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prange\Downloads\"/>
    </mc:Choice>
  </mc:AlternateContent>
  <xr:revisionPtr revIDLastSave="0" documentId="13_ncr:1_{697FF1AB-CF0A-4942-A309-5EBE31FB3296}" xr6:coauthVersionLast="47" xr6:coauthVersionMax="47" xr10:uidLastSave="{00000000-0000-0000-0000-000000000000}"/>
  <bookViews>
    <workbookView xWindow="1596" yWindow="1164" windowWidth="35904" windowHeight="15132" tabRatio="934" activeTab="3" xr2:uid="{00000000-000D-0000-FFFF-FFFF00000000}"/>
  </bookViews>
  <sheets>
    <sheet name="Instructions" sheetId="43" r:id="rId1"/>
    <sheet name="Settings" sheetId="38" r:id="rId2"/>
    <sheet name="POS Ranks" sheetId="44" r:id="rId3"/>
    <sheet name="OVR &amp; VORP Ranks" sheetId="48" r:id="rId4"/>
    <sheet name="Ranks w Proj" sheetId="54" r:id="rId5"/>
    <sheet name="Jake's Ranks" sheetId="55" r:id="rId6"/>
    <sheet name="ARI" sheetId="32" r:id="rId7"/>
    <sheet name="ATL" sheetId="4" r:id="rId8"/>
    <sheet name="BAL" sheetId="5" r:id="rId9"/>
    <sheet name="BUF" sheetId="6" r:id="rId10"/>
    <sheet name="CAR" sheetId="1" r:id="rId11"/>
    <sheet name="CHI" sheetId="7" r:id="rId12"/>
    <sheet name="CIN" sheetId="8" r:id="rId13"/>
    <sheet name="CLE" sheetId="9" r:id="rId14"/>
    <sheet name="DAL" sheetId="10" r:id="rId15"/>
    <sheet name="DEN" sheetId="11" r:id="rId16"/>
    <sheet name="DET" sheetId="12" r:id="rId17"/>
    <sheet name="GB" sheetId="13" r:id="rId18"/>
    <sheet name="HOU" sheetId="14" r:id="rId19"/>
    <sheet name="IND" sheetId="15" r:id="rId20"/>
    <sheet name="JAX" sheetId="16" r:id="rId21"/>
    <sheet name="KC" sheetId="17" r:id="rId22"/>
    <sheet name="LV" sheetId="25" r:id="rId23"/>
    <sheet name="LAC" sheetId="3" r:id="rId24"/>
    <sheet name="LAR" sheetId="18" r:id="rId25"/>
    <sheet name="MIA" sheetId="19" r:id="rId26"/>
    <sheet name="MIN" sheetId="20" r:id="rId27"/>
    <sheet name="NE" sheetId="21" r:id="rId28"/>
    <sheet name="NO" sheetId="22" r:id="rId29"/>
    <sheet name="NYG" sheetId="23" r:id="rId30"/>
    <sheet name="NYJ" sheetId="24" r:id="rId31"/>
    <sheet name="PHI" sheetId="26" r:id="rId32"/>
    <sheet name="PIT" sheetId="27" r:id="rId33"/>
    <sheet name="SF" sheetId="2" r:id="rId34"/>
    <sheet name="SEA" sheetId="28" r:id="rId35"/>
    <sheet name="TB" sheetId="29" r:id="rId36"/>
    <sheet name="TEN" sheetId="30" r:id="rId37"/>
    <sheet name="WSH" sheetId="31" r:id="rId38"/>
    <sheet name="DST" sheetId="37" r:id="rId39"/>
    <sheet name="Calculated Points" sheetId="47" state="hidden" r:id="rId40"/>
    <sheet name="Rankings" sheetId="56" state="hidden" r:id="rId41"/>
    <sheet name="QB" sheetId="33" state="hidden" r:id="rId42"/>
    <sheet name="RB" sheetId="36" state="hidden" r:id="rId43"/>
    <sheet name="WR" sheetId="35" state="hidden" r:id="rId44"/>
    <sheet name="TE" sheetId="34" state="hidden" r:id="rId45"/>
    <sheet name="DST1" sheetId="46" state="hidden" r:id="rId46"/>
    <sheet name="AVG" sheetId="49" state="hidden" r:id="rId47"/>
    <sheet name="QBA" sheetId="50" state="hidden" r:id="rId48"/>
    <sheet name="RBA" sheetId="51" state="hidden" r:id="rId49"/>
    <sheet name="WRA" sheetId="52" state="hidden" r:id="rId50"/>
    <sheet name="TEA" sheetId="53" state="hidden" r:id="rId51"/>
  </sheets>
  <externalReferences>
    <externalReference r:id="rId52"/>
  </externalReferences>
  <definedNames>
    <definedName name="COMPLETIONS" localSheetId="39">[1]Settings!$B$3</definedName>
    <definedName name="COMPLETIONS" localSheetId="3">[1]Settings!$B$3</definedName>
    <definedName name="COMPLETIONS">Settings!$B$3</definedName>
    <definedName name="DEF_0_PTS_ALLOW">Settings!$B$22</definedName>
    <definedName name="DEF_1_6_PTS_ALLOW">Settings!$B$23</definedName>
    <definedName name="DEF_14_21_PTS_ALLOW">Settings!$B$25</definedName>
    <definedName name="DEF_22_27_PTS_ALLOW">Settings!$B$26</definedName>
    <definedName name="DEF_28_35_PTS_ALLOW">Settings!$B$27</definedName>
    <definedName name="DEF_35__PTS_ALLOW">Settings!$B$28</definedName>
    <definedName name="DEF_7_13_PTS_ALLOW">Settings!$B$24</definedName>
    <definedName name="DEF_FORCE_FUMBLE">Settings!$B$18</definedName>
    <definedName name="DEF_INT">Settings!$B$17</definedName>
    <definedName name="DEF_RECOVER_FUMBLE">Settings!$B$19</definedName>
    <definedName name="DEF_SACKS">Settings!$B$16</definedName>
    <definedName name="DEF_SAFETIES">Settings!$B$20</definedName>
    <definedName name="DEF_TOUCHDOWN">Settings!$B$21</definedName>
    <definedName name="DEF_YD_ALLOW_PER">Settings!#REF!</definedName>
    <definedName name="FLEXVORPCalc">'OVR &amp; VORP Ranks'!$AD$6</definedName>
    <definedName name="INTERCEPTIONS" localSheetId="39">[1]Settings!$B$6</definedName>
    <definedName name="INTERCEPTIONS" localSheetId="3">[1]Settings!$B$6</definedName>
    <definedName name="INTERCEPTIONS">Settings!$B$6</definedName>
    <definedName name="PASS_ATTEMPTS" localSheetId="39">[1]Settings!$B$2</definedName>
    <definedName name="PASS_ATTEMPTS" localSheetId="3">[1]Settings!$B$2</definedName>
    <definedName name="PASS_ATTEMPTS">Settings!$B$2</definedName>
    <definedName name="PASS_TDS" localSheetId="39">[1]Settings!$B$5</definedName>
    <definedName name="PASS_TDS" localSheetId="3">[1]Settings!$B$5</definedName>
    <definedName name="PASS_TDS">Settings!$B$5</definedName>
    <definedName name="PASS_YARDS" localSheetId="39">[1]Settings!$B$4</definedName>
    <definedName name="PASS_YARDS" localSheetId="3">[1]Settings!$B$4</definedName>
    <definedName name="PASS_YARDS">Settings!$B$4</definedName>
    <definedName name="QBVORPCalc">'OVR &amp; VORP Ranks'!$AD$2</definedName>
    <definedName name="RBVORPCalc">'OVR &amp; VORP Ranks'!$AD$3</definedName>
    <definedName name="RECEPTIONS_RB" localSheetId="39">[1]Settings!$B$11</definedName>
    <definedName name="RECEPTIONS_RB" localSheetId="3">[1]Settings!$B$11</definedName>
    <definedName name="RECEPTIONS_RB">Settings!$B$11</definedName>
    <definedName name="RECEPTIONS_TE" localSheetId="39">[1]Settings!$B$13</definedName>
    <definedName name="RECEPTIONS_TE" localSheetId="3">[1]Settings!$B$13</definedName>
    <definedName name="RECEPTIONS_TE">Settings!$B$13</definedName>
    <definedName name="RECEPTIONS_WR" localSheetId="39">[1]Settings!$B$12</definedName>
    <definedName name="RECEPTIONS_WR" localSheetId="3">[1]Settings!$B$12</definedName>
    <definedName name="RECEPTIONS_WR">Settings!$B$12</definedName>
    <definedName name="RECV_TDS" localSheetId="39">[1]Settings!$B$15</definedName>
    <definedName name="RECV_TDS" localSheetId="3">[1]Settings!$B$15</definedName>
    <definedName name="RECV_TDS">Settings!$B$15</definedName>
    <definedName name="RECV_YARDS" localSheetId="39">[1]Settings!$B$14</definedName>
    <definedName name="RECV_YARDS" localSheetId="3">[1]Settings!$B$14</definedName>
    <definedName name="RECV_YARDS">Settings!$B$14</definedName>
    <definedName name="RUSH_ATTEMPTS" localSheetId="39">[1]Settings!$B$7</definedName>
    <definedName name="RUSH_ATTEMPTS" localSheetId="3">[1]Settings!$B$7</definedName>
    <definedName name="RUSH_ATTEMPTS">Settings!$B$7</definedName>
    <definedName name="RUSH_TDS" localSheetId="39">[1]Settings!$B$9</definedName>
    <definedName name="RUSH_TDS" localSheetId="3">[1]Settings!$B$9</definedName>
    <definedName name="RUSH_TDS">Settings!$B$9</definedName>
    <definedName name="RUSH_YARDS" localSheetId="39">[1]Settings!$B$8</definedName>
    <definedName name="RUSH_YARDS" localSheetId="3">[1]Settings!$B$8</definedName>
    <definedName name="RUSH_YARDS">Settings!$B$8</definedName>
    <definedName name="SFLEXVORPCalc">'OVR &amp; VORP Ranks'!$AD$7</definedName>
    <definedName name="STARTING_DST">Settings!$E$7</definedName>
    <definedName name="STARTING_FLEX">Settings!$E$9</definedName>
    <definedName name="STARTING_QB">Settings!$E$3</definedName>
    <definedName name="STARTING_RB">Settings!$E$4</definedName>
    <definedName name="STARTING_SUPERFLEX">Settings!$E$8</definedName>
    <definedName name="STARTING_TE">Settings!$E$6</definedName>
    <definedName name="STARTING_WR">Settings!$E$5</definedName>
    <definedName name="TARGETS" localSheetId="39">[1]Settings!$B$10</definedName>
    <definedName name="TARGETS" localSheetId="3">[1]Settings!$B$10</definedName>
    <definedName name="TARGETS">Settings!$B$10</definedName>
    <definedName name="TEAMS">Settings!$E$2</definedName>
    <definedName name="TEVORPCalc">'OVR &amp; VORP Ranks'!$AD$5</definedName>
    <definedName name="WRTEVORPCalc">'OVR &amp; VORP Ranks'!$AD$8</definedName>
    <definedName name="WRVORPCalc">'OVR &amp; VORP Ranks'!$AD$4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30" l="1"/>
  <c r="AE3" i="29"/>
  <c r="AE3" i="28"/>
  <c r="AE3" i="2"/>
  <c r="AE3" i="26"/>
  <c r="AE3" i="24"/>
  <c r="AE3" i="23"/>
  <c r="AE3" i="21"/>
  <c r="AE3" i="20"/>
  <c r="AE3" i="19"/>
  <c r="AE3" i="18"/>
  <c r="AE3" i="3"/>
  <c r="AE3" i="25"/>
  <c r="AE3" i="17"/>
  <c r="AE3" i="16"/>
  <c r="AE3" i="15"/>
  <c r="W4" i="14"/>
  <c r="AE3" i="14"/>
  <c r="AE3" i="13"/>
  <c r="AE3" i="12"/>
  <c r="AE3" i="11"/>
  <c r="AE3" i="10"/>
  <c r="AE3" i="9"/>
  <c r="AE3" i="8"/>
  <c r="AE3" i="7"/>
  <c r="AE3" i="1"/>
  <c r="AE3" i="6"/>
  <c r="AE3" i="5"/>
  <c r="AE3" i="4"/>
  <c r="B2" i="55"/>
  <c r="L2" i="55" s="1"/>
  <c r="AR2" i="55"/>
  <c r="AR3" i="55"/>
  <c r="AR4" i="55"/>
  <c r="AR5" i="55"/>
  <c r="AR6" i="55"/>
  <c r="AR7" i="55"/>
  <c r="AR8" i="55"/>
  <c r="AR9" i="55"/>
  <c r="AR10" i="55"/>
  <c r="AR11" i="55"/>
  <c r="AR12" i="55"/>
  <c r="AR13" i="55"/>
  <c r="AR14" i="55"/>
  <c r="AR15" i="55"/>
  <c r="AR16" i="55"/>
  <c r="AR17" i="55"/>
  <c r="AR18" i="55"/>
  <c r="AR19" i="55"/>
  <c r="AR20" i="55"/>
  <c r="AR21" i="55"/>
  <c r="AR22" i="55"/>
  <c r="AR23" i="55"/>
  <c r="AR24" i="55"/>
  <c r="AR25" i="55"/>
  <c r="AR26" i="55"/>
  <c r="AR27" i="55"/>
  <c r="AR28" i="55"/>
  <c r="AR29" i="55"/>
  <c r="AR30" i="55"/>
  <c r="AR31" i="55"/>
  <c r="AR32" i="55"/>
  <c r="AR33" i="55"/>
  <c r="AR34" i="55"/>
  <c r="AR35" i="55"/>
  <c r="AR36" i="55"/>
  <c r="AR37" i="55"/>
  <c r="AR38" i="55"/>
  <c r="AR39" i="55"/>
  <c r="AR40" i="55"/>
  <c r="AR41" i="55"/>
  <c r="AR42" i="55"/>
  <c r="AR43" i="55"/>
  <c r="AR44" i="55"/>
  <c r="AR45" i="55"/>
  <c r="AR46" i="55"/>
  <c r="AR47" i="55"/>
  <c r="AR48" i="55"/>
  <c r="AR49" i="55"/>
  <c r="AU49" i="55" s="1"/>
  <c r="AR50" i="55"/>
  <c r="AR51" i="55"/>
  <c r="AR52" i="55"/>
  <c r="AR53" i="55"/>
  <c r="AR54" i="55"/>
  <c r="AR55" i="55"/>
  <c r="AR56" i="55"/>
  <c r="AR57" i="55"/>
  <c r="AR58" i="55"/>
  <c r="AR59" i="55"/>
  <c r="AR60" i="55"/>
  <c r="AR61" i="55"/>
  <c r="AR62" i="55"/>
  <c r="AR63" i="55"/>
  <c r="AR64" i="55"/>
  <c r="AR65" i="55"/>
  <c r="AR66" i="55"/>
  <c r="AR67" i="55"/>
  <c r="AR68" i="55"/>
  <c r="AR69" i="55"/>
  <c r="AR70" i="55"/>
  <c r="AR71" i="55"/>
  <c r="AR72" i="55"/>
  <c r="AR73" i="55"/>
  <c r="AR74" i="55"/>
  <c r="AR75" i="55"/>
  <c r="AR76" i="55"/>
  <c r="AR77" i="55"/>
  <c r="AR78" i="55"/>
  <c r="AR79" i="55"/>
  <c r="AR80" i="55"/>
  <c r="AR81" i="55"/>
  <c r="AR82" i="55"/>
  <c r="AR83" i="55"/>
  <c r="AR84" i="55"/>
  <c r="AR85" i="55"/>
  <c r="AR86" i="55"/>
  <c r="AR87" i="55"/>
  <c r="AR88" i="55"/>
  <c r="AR89" i="55"/>
  <c r="AR90" i="55"/>
  <c r="AR91" i="55"/>
  <c r="AR92" i="55"/>
  <c r="AR93" i="55"/>
  <c r="AR94" i="55"/>
  <c r="AR95" i="55"/>
  <c r="AR96" i="55"/>
  <c r="AR97" i="55"/>
  <c r="AR98" i="55"/>
  <c r="AR99" i="55"/>
  <c r="AR100" i="55"/>
  <c r="AR101" i="55"/>
  <c r="AE2" i="55"/>
  <c r="AE3" i="55"/>
  <c r="AE4" i="55"/>
  <c r="AE5" i="55"/>
  <c r="AE6" i="55"/>
  <c r="AE7" i="55"/>
  <c r="AE8" i="55"/>
  <c r="AE9" i="55"/>
  <c r="AE10" i="55"/>
  <c r="AE11" i="55"/>
  <c r="AE12" i="55"/>
  <c r="AE13" i="55"/>
  <c r="AE14" i="55"/>
  <c r="AE15" i="55"/>
  <c r="AE16" i="55"/>
  <c r="AE17" i="55"/>
  <c r="AE18" i="55"/>
  <c r="AE19" i="55"/>
  <c r="AE20" i="55"/>
  <c r="AE21" i="55"/>
  <c r="AE22" i="55"/>
  <c r="AE23" i="55"/>
  <c r="AE24" i="55"/>
  <c r="AE25" i="55"/>
  <c r="AE26" i="55"/>
  <c r="AE27" i="55"/>
  <c r="AE28" i="55"/>
  <c r="AE29" i="55"/>
  <c r="AE30" i="55"/>
  <c r="AE31" i="55"/>
  <c r="AE32" i="55"/>
  <c r="AE33" i="55"/>
  <c r="AE34" i="55"/>
  <c r="AE35" i="55"/>
  <c r="AE36" i="55"/>
  <c r="AE37" i="55"/>
  <c r="AE38" i="55"/>
  <c r="AE39" i="55"/>
  <c r="AE40" i="55"/>
  <c r="AE41" i="55"/>
  <c r="AE42" i="55"/>
  <c r="AE43" i="55"/>
  <c r="AE44" i="55"/>
  <c r="AE45" i="55"/>
  <c r="AE46" i="55"/>
  <c r="AE47" i="55"/>
  <c r="AE48" i="55"/>
  <c r="AE49" i="55"/>
  <c r="AE50" i="55"/>
  <c r="AE51" i="55"/>
  <c r="AE52" i="55"/>
  <c r="AE53" i="55"/>
  <c r="AE54" i="55"/>
  <c r="AE55" i="55"/>
  <c r="AE56" i="55"/>
  <c r="AE57" i="55"/>
  <c r="AE58" i="55"/>
  <c r="AE59" i="55"/>
  <c r="AE60" i="55"/>
  <c r="AE61" i="55"/>
  <c r="AE62" i="55"/>
  <c r="AE63" i="55"/>
  <c r="AE64" i="55"/>
  <c r="AE65" i="55"/>
  <c r="AE66" i="55"/>
  <c r="AE67" i="55"/>
  <c r="AE68" i="55"/>
  <c r="AE69" i="55"/>
  <c r="AE70" i="55"/>
  <c r="AE71" i="55"/>
  <c r="AE72" i="55"/>
  <c r="AE73" i="55"/>
  <c r="AE74" i="55"/>
  <c r="AE75" i="55"/>
  <c r="AE76" i="55"/>
  <c r="AE77" i="55"/>
  <c r="AE78" i="55"/>
  <c r="AE79" i="55"/>
  <c r="AE80" i="55"/>
  <c r="AE81" i="55"/>
  <c r="AE82" i="55"/>
  <c r="AE83" i="55"/>
  <c r="AE84" i="55"/>
  <c r="AE85" i="55"/>
  <c r="AE86" i="55"/>
  <c r="AE87" i="55"/>
  <c r="AE88" i="55"/>
  <c r="AE89" i="55"/>
  <c r="AE90" i="55"/>
  <c r="AE91" i="55"/>
  <c r="AE92" i="55"/>
  <c r="AE93" i="55"/>
  <c r="AE94" i="55"/>
  <c r="AE95" i="55"/>
  <c r="AE96" i="55"/>
  <c r="AE97" i="55"/>
  <c r="AE98" i="55"/>
  <c r="AE99" i="55"/>
  <c r="AE100" i="55"/>
  <c r="AE101" i="55"/>
  <c r="AE102" i="55"/>
  <c r="AE103" i="55"/>
  <c r="AE104" i="55"/>
  <c r="AE105" i="55"/>
  <c r="AE106" i="55"/>
  <c r="AE107" i="55"/>
  <c r="AE108" i="55"/>
  <c r="AE109" i="55"/>
  <c r="AE110" i="55"/>
  <c r="AE111" i="55"/>
  <c r="AE112" i="55"/>
  <c r="AE113" i="55"/>
  <c r="AE114" i="55"/>
  <c r="AE115" i="55"/>
  <c r="AE116" i="55"/>
  <c r="AE117" i="55"/>
  <c r="AE118" i="55"/>
  <c r="AE119" i="55"/>
  <c r="AE120" i="55"/>
  <c r="AE121" i="55"/>
  <c r="AE122" i="55"/>
  <c r="AE123" i="55"/>
  <c r="AE124" i="55"/>
  <c r="AE125" i="55"/>
  <c r="AE126" i="55"/>
  <c r="AE127" i="55"/>
  <c r="AE128" i="55"/>
  <c r="AE129" i="55"/>
  <c r="AE130" i="55"/>
  <c r="AE131" i="55"/>
  <c r="AE132" i="55"/>
  <c r="AE133" i="55"/>
  <c r="AE134" i="55"/>
  <c r="AE135" i="55"/>
  <c r="AE136" i="55"/>
  <c r="AE137" i="55"/>
  <c r="AE138" i="55"/>
  <c r="AE139" i="55"/>
  <c r="AE140" i="55"/>
  <c r="AE141" i="55"/>
  <c r="AE142" i="55"/>
  <c r="AE143" i="55"/>
  <c r="AE144" i="55"/>
  <c r="AE145" i="55"/>
  <c r="AE146" i="55"/>
  <c r="AE147" i="55"/>
  <c r="AE148" i="55"/>
  <c r="AE149" i="55"/>
  <c r="AE150" i="55"/>
  <c r="AE151" i="55"/>
  <c r="AE152" i="55"/>
  <c r="AE153" i="55"/>
  <c r="AE154" i="55"/>
  <c r="AE155" i="55"/>
  <c r="AE156" i="55"/>
  <c r="AE157" i="55"/>
  <c r="AE158" i="55"/>
  <c r="AE159" i="55"/>
  <c r="AE160" i="55"/>
  <c r="AE161" i="55"/>
  <c r="AE162" i="55"/>
  <c r="AE163" i="55"/>
  <c r="AE164" i="55"/>
  <c r="AE165" i="55"/>
  <c r="AE166" i="55"/>
  <c r="AE167" i="55"/>
  <c r="AE168" i="55"/>
  <c r="AE169" i="55"/>
  <c r="AE170" i="55"/>
  <c r="AE171" i="55"/>
  <c r="AE172" i="55"/>
  <c r="AE173" i="55"/>
  <c r="AE174" i="55"/>
  <c r="AE175" i="55"/>
  <c r="AE176" i="55"/>
  <c r="AE177" i="55"/>
  <c r="AE178" i="55"/>
  <c r="AE179" i="55"/>
  <c r="AE180" i="55"/>
  <c r="AE181" i="55"/>
  <c r="AE182" i="55"/>
  <c r="AE183" i="55"/>
  <c r="AE184" i="55"/>
  <c r="AE185" i="55"/>
  <c r="AE186" i="55"/>
  <c r="AE187" i="55"/>
  <c r="AM187" i="55" s="1"/>
  <c r="AE188" i="55"/>
  <c r="AJ188" i="55" s="1"/>
  <c r="AE189" i="55"/>
  <c r="AF189" i="55" s="1"/>
  <c r="AE190" i="55"/>
  <c r="AI190" i="55" s="1"/>
  <c r="AE191" i="55"/>
  <c r="AL191" i="55" s="1"/>
  <c r="AE192" i="55"/>
  <c r="AM192" i="55" s="1"/>
  <c r="AE193" i="55"/>
  <c r="AI193" i="55" s="1"/>
  <c r="AE194" i="55"/>
  <c r="AF194" i="55" s="1"/>
  <c r="AE195" i="55"/>
  <c r="AN195" i="55" s="1"/>
  <c r="AE196" i="55"/>
  <c r="AI196" i="55" s="1"/>
  <c r="AE197" i="55"/>
  <c r="AF197" i="55" s="1"/>
  <c r="AE198" i="55"/>
  <c r="AK198" i="55" s="1"/>
  <c r="AE199" i="55"/>
  <c r="AI199" i="55" s="1"/>
  <c r="AE200" i="55"/>
  <c r="AN200" i="55" s="1"/>
  <c r="AE201" i="55"/>
  <c r="AK201" i="55" s="1"/>
  <c r="AE202" i="55"/>
  <c r="AJ202" i="55" s="1"/>
  <c r="AE203" i="55"/>
  <c r="AN203" i="55" s="1"/>
  <c r="AE204" i="55"/>
  <c r="AI204" i="55" s="1"/>
  <c r="AE205" i="55"/>
  <c r="AM205" i="55" s="1"/>
  <c r="AE206" i="55"/>
  <c r="AF206" i="55" s="1"/>
  <c r="AE207" i="55"/>
  <c r="AL207" i="55" s="1"/>
  <c r="AE208" i="55"/>
  <c r="AN208" i="55" s="1"/>
  <c r="AE209" i="55"/>
  <c r="AI209" i="55" s="1"/>
  <c r="AE210" i="55"/>
  <c r="AJ210" i="55" s="1"/>
  <c r="AE211" i="55"/>
  <c r="AN211" i="55" s="1"/>
  <c r="AE212" i="55"/>
  <c r="AH212" i="55" s="1"/>
  <c r="AE213" i="55"/>
  <c r="AF213" i="55" s="1"/>
  <c r="AE214" i="55"/>
  <c r="AJ214" i="55" s="1"/>
  <c r="AE215" i="55"/>
  <c r="AH215" i="55" s="1"/>
  <c r="AE216" i="55"/>
  <c r="AN216" i="55" s="1"/>
  <c r="AE217" i="55"/>
  <c r="AK217" i="55" s="1"/>
  <c r="AE218" i="55"/>
  <c r="AJ218" i="55" s="1"/>
  <c r="AE219" i="55"/>
  <c r="AN219" i="55" s="1"/>
  <c r="AE220" i="55"/>
  <c r="AH220" i="55" s="1"/>
  <c r="AE221" i="55"/>
  <c r="AN221" i="55" s="1"/>
  <c r="Q2" i="55"/>
  <c r="Q3" i="55"/>
  <c r="Q4" i="55"/>
  <c r="Q5" i="55"/>
  <c r="Q6" i="55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V98" i="55" s="1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B3" i="55"/>
  <c r="M3" i="55" s="1"/>
  <c r="B4" i="55"/>
  <c r="B5" i="55"/>
  <c r="B6" i="55"/>
  <c r="B7" i="55"/>
  <c r="J7" i="55" s="1"/>
  <c r="B8" i="55"/>
  <c r="B9" i="55"/>
  <c r="C9" i="55" s="1"/>
  <c r="B10" i="55"/>
  <c r="M10" i="55" s="1"/>
  <c r="B11" i="55"/>
  <c r="B12" i="55"/>
  <c r="I12" i="55" s="1"/>
  <c r="B13" i="55"/>
  <c r="L13" i="55" s="1"/>
  <c r="B14" i="55"/>
  <c r="I14" i="55" s="1"/>
  <c r="B15" i="55"/>
  <c r="B16" i="55"/>
  <c r="B17" i="55"/>
  <c r="I17" i="55" s="1"/>
  <c r="B18" i="55"/>
  <c r="B19" i="55"/>
  <c r="B20" i="55"/>
  <c r="I20" i="55" s="1"/>
  <c r="B21" i="55"/>
  <c r="K21" i="55" s="1"/>
  <c r="B22" i="55"/>
  <c r="C22" i="55" s="1"/>
  <c r="B23" i="55"/>
  <c r="J23" i="55" s="1"/>
  <c r="B24" i="55"/>
  <c r="B25" i="55"/>
  <c r="G25" i="55" s="1"/>
  <c r="B26" i="55"/>
  <c r="B27" i="55"/>
  <c r="C27" i="55" s="1"/>
  <c r="B28" i="55"/>
  <c r="I28" i="55" s="1"/>
  <c r="B29" i="55"/>
  <c r="L29" i="55" s="1"/>
  <c r="B30" i="55"/>
  <c r="B31" i="55"/>
  <c r="B32" i="55"/>
  <c r="G32" i="55" s="1"/>
  <c r="B33" i="55"/>
  <c r="I33" i="55" s="1"/>
  <c r="B34" i="55"/>
  <c r="B35" i="55"/>
  <c r="B36" i="55"/>
  <c r="B37" i="55"/>
  <c r="B38" i="55"/>
  <c r="B39" i="55"/>
  <c r="B40" i="55"/>
  <c r="B41" i="55"/>
  <c r="B42" i="55"/>
  <c r="B43" i="55"/>
  <c r="J43" i="55" s="1"/>
  <c r="B44" i="55"/>
  <c r="B45" i="55"/>
  <c r="J45" i="55" s="1"/>
  <c r="B46" i="55"/>
  <c r="B47" i="55"/>
  <c r="B48" i="55"/>
  <c r="B49" i="55"/>
  <c r="B50" i="55"/>
  <c r="B51" i="55"/>
  <c r="H51" i="55" s="1"/>
  <c r="B52" i="55"/>
  <c r="B53" i="55"/>
  <c r="B54" i="55"/>
  <c r="B55" i="55"/>
  <c r="B56" i="55"/>
  <c r="B57" i="55"/>
  <c r="B58" i="55"/>
  <c r="B59" i="55"/>
  <c r="J59" i="55" s="1"/>
  <c r="B60" i="55"/>
  <c r="B61" i="55"/>
  <c r="K61" i="55" s="1"/>
  <c r="B62" i="55"/>
  <c r="C62" i="55" s="1"/>
  <c r="B63" i="55"/>
  <c r="B64" i="55"/>
  <c r="B65" i="55"/>
  <c r="B66" i="55"/>
  <c r="B67" i="55"/>
  <c r="J67" i="55" s="1"/>
  <c r="B68" i="55"/>
  <c r="B69" i="55"/>
  <c r="B70" i="55"/>
  <c r="B71" i="55"/>
  <c r="B72" i="55"/>
  <c r="B73" i="55"/>
  <c r="B74" i="55"/>
  <c r="B75" i="55"/>
  <c r="B76" i="55"/>
  <c r="B77" i="55"/>
  <c r="B78" i="55"/>
  <c r="B79" i="55"/>
  <c r="B80" i="55"/>
  <c r="AH186" i="55"/>
  <c r="AH179" i="55"/>
  <c r="AI177" i="55"/>
  <c r="AH177" i="55"/>
  <c r="AI160" i="55"/>
  <c r="AH160" i="55"/>
  <c r="AI157" i="55"/>
  <c r="AI154" i="55"/>
  <c r="AH154" i="55"/>
  <c r="AI126" i="55"/>
  <c r="AH126" i="55"/>
  <c r="AI101" i="55"/>
  <c r="AH101" i="55"/>
  <c r="AI99" i="55"/>
  <c r="AH99" i="55"/>
  <c r="AI97" i="55"/>
  <c r="AH97" i="55"/>
  <c r="AH93" i="55"/>
  <c r="AI88" i="55"/>
  <c r="AI83" i="55"/>
  <c r="AH83" i="55"/>
  <c r="AI81" i="55"/>
  <c r="AH81" i="55"/>
  <c r="V61" i="55"/>
  <c r="AI51" i="55"/>
  <c r="AH51" i="55"/>
  <c r="AV49" i="55"/>
  <c r="AH39" i="55"/>
  <c r="AI39" i="55"/>
  <c r="AH32" i="55"/>
  <c r="AI32" i="55"/>
  <c r="AI30" i="55"/>
  <c r="AH30" i="55"/>
  <c r="AI27" i="55"/>
  <c r="AH27" i="55"/>
  <c r="AH24" i="55"/>
  <c r="AI24" i="55"/>
  <c r="AI22" i="55"/>
  <c r="AH22" i="55"/>
  <c r="AI16" i="55"/>
  <c r="AH16" i="55"/>
  <c r="AI11" i="55"/>
  <c r="AH11" i="55"/>
  <c r="I11" i="55"/>
  <c r="AI6" i="55"/>
  <c r="AH6" i="55"/>
  <c r="AI3" i="55"/>
  <c r="AH3" i="55"/>
  <c r="G3" i="55"/>
  <c r="K2" i="55"/>
  <c r="F31" i="10"/>
  <c r="W22" i="32"/>
  <c r="W21" i="32"/>
  <c r="W20" i="32"/>
  <c r="W19" i="32"/>
  <c r="W18" i="32"/>
  <c r="W17" i="32"/>
  <c r="W16" i="32"/>
  <c r="W15" i="32"/>
  <c r="W22" i="5"/>
  <c r="W21" i="5"/>
  <c r="W20" i="5"/>
  <c r="W19" i="5"/>
  <c r="W18" i="5"/>
  <c r="W17" i="5"/>
  <c r="W16" i="5"/>
  <c r="W15" i="5"/>
  <c r="W22" i="6"/>
  <c r="W21" i="6"/>
  <c r="W20" i="6"/>
  <c r="W19" i="6"/>
  <c r="W18" i="6"/>
  <c r="W17" i="6"/>
  <c r="W16" i="6"/>
  <c r="W15" i="6"/>
  <c r="W22" i="1"/>
  <c r="W21" i="1"/>
  <c r="W20" i="1"/>
  <c r="W19" i="1"/>
  <c r="W18" i="1"/>
  <c r="W17" i="1"/>
  <c r="W16" i="1"/>
  <c r="W15" i="1"/>
  <c r="W22" i="7"/>
  <c r="W21" i="7"/>
  <c r="W20" i="7"/>
  <c r="W19" i="7"/>
  <c r="W18" i="7"/>
  <c r="W17" i="7"/>
  <c r="W16" i="7"/>
  <c r="W15" i="7"/>
  <c r="W22" i="8"/>
  <c r="W21" i="8"/>
  <c r="W20" i="8"/>
  <c r="W19" i="8"/>
  <c r="W18" i="8"/>
  <c r="W17" i="8"/>
  <c r="W16" i="8"/>
  <c r="W15" i="8"/>
  <c r="W22" i="9"/>
  <c r="W21" i="9"/>
  <c r="W20" i="9"/>
  <c r="W19" i="9"/>
  <c r="W18" i="9"/>
  <c r="W17" i="9"/>
  <c r="W16" i="9"/>
  <c r="W15" i="9"/>
  <c r="W22" i="10"/>
  <c r="W21" i="10"/>
  <c r="W20" i="10"/>
  <c r="W19" i="10"/>
  <c r="W18" i="10"/>
  <c r="W17" i="10"/>
  <c r="W16" i="10"/>
  <c r="W15" i="10"/>
  <c r="W22" i="11"/>
  <c r="W21" i="11"/>
  <c r="W20" i="11"/>
  <c r="W19" i="11"/>
  <c r="W18" i="11"/>
  <c r="W17" i="11"/>
  <c r="W16" i="11"/>
  <c r="W15" i="11"/>
  <c r="W22" i="12"/>
  <c r="W21" i="12"/>
  <c r="W20" i="12"/>
  <c r="W19" i="12"/>
  <c r="W18" i="12"/>
  <c r="W17" i="12"/>
  <c r="W16" i="12"/>
  <c r="W15" i="12"/>
  <c r="W22" i="13"/>
  <c r="W21" i="13"/>
  <c r="W20" i="13"/>
  <c r="W19" i="13"/>
  <c r="W18" i="13"/>
  <c r="W17" i="13"/>
  <c r="W16" i="13"/>
  <c r="W15" i="13"/>
  <c r="W22" i="14"/>
  <c r="W21" i="14"/>
  <c r="W20" i="14"/>
  <c r="W19" i="14"/>
  <c r="W18" i="14"/>
  <c r="W17" i="14"/>
  <c r="W16" i="14"/>
  <c r="W15" i="14"/>
  <c r="W22" i="15"/>
  <c r="W21" i="15"/>
  <c r="W20" i="15"/>
  <c r="W19" i="15"/>
  <c r="W18" i="15"/>
  <c r="W17" i="15"/>
  <c r="W16" i="15"/>
  <c r="W15" i="15"/>
  <c r="W22" i="16"/>
  <c r="W21" i="16"/>
  <c r="W20" i="16"/>
  <c r="W19" i="16"/>
  <c r="W18" i="16"/>
  <c r="W17" i="16"/>
  <c r="W16" i="16"/>
  <c r="W15" i="16"/>
  <c r="W22" i="17"/>
  <c r="W21" i="17"/>
  <c r="W20" i="17"/>
  <c r="W19" i="17"/>
  <c r="W18" i="17"/>
  <c r="W17" i="17"/>
  <c r="W16" i="17"/>
  <c r="W15" i="17"/>
  <c r="W22" i="25"/>
  <c r="W21" i="25"/>
  <c r="W20" i="25"/>
  <c r="W19" i="25"/>
  <c r="W18" i="25"/>
  <c r="W17" i="25"/>
  <c r="W16" i="25"/>
  <c r="W15" i="25"/>
  <c r="W22" i="3"/>
  <c r="W21" i="3"/>
  <c r="W20" i="3"/>
  <c r="W19" i="3"/>
  <c r="W18" i="3"/>
  <c r="W17" i="3"/>
  <c r="W16" i="3"/>
  <c r="W15" i="3"/>
  <c r="W22" i="18"/>
  <c r="W21" i="18"/>
  <c r="W20" i="18"/>
  <c r="W19" i="18"/>
  <c r="W18" i="18"/>
  <c r="W17" i="18"/>
  <c r="W16" i="18"/>
  <c r="W15" i="18"/>
  <c r="W22" i="19"/>
  <c r="W21" i="19"/>
  <c r="W20" i="19"/>
  <c r="W19" i="19"/>
  <c r="W18" i="19"/>
  <c r="W17" i="19"/>
  <c r="W16" i="19"/>
  <c r="W15" i="19"/>
  <c r="W22" i="20"/>
  <c r="W21" i="20"/>
  <c r="W20" i="20"/>
  <c r="W19" i="20"/>
  <c r="W18" i="20"/>
  <c r="W17" i="20"/>
  <c r="W16" i="20"/>
  <c r="W15" i="20"/>
  <c r="W22" i="21"/>
  <c r="W21" i="21"/>
  <c r="W20" i="21"/>
  <c r="W19" i="21"/>
  <c r="W18" i="21"/>
  <c r="W17" i="21"/>
  <c r="W16" i="21"/>
  <c r="W15" i="21"/>
  <c r="W22" i="22"/>
  <c r="W21" i="22"/>
  <c r="W20" i="22"/>
  <c r="W19" i="22"/>
  <c r="W18" i="22"/>
  <c r="W17" i="22"/>
  <c r="W16" i="22"/>
  <c r="W15" i="22"/>
  <c r="W22" i="23"/>
  <c r="W21" i="23"/>
  <c r="W20" i="23"/>
  <c r="W19" i="23"/>
  <c r="W18" i="23"/>
  <c r="W17" i="23"/>
  <c r="W16" i="23"/>
  <c r="W15" i="23"/>
  <c r="W22" i="24"/>
  <c r="W21" i="24"/>
  <c r="W20" i="24"/>
  <c r="W19" i="24"/>
  <c r="W18" i="24"/>
  <c r="W17" i="24"/>
  <c r="W16" i="24"/>
  <c r="W15" i="24"/>
  <c r="W22" i="26"/>
  <c r="W21" i="26"/>
  <c r="W20" i="26"/>
  <c r="W19" i="26"/>
  <c r="W18" i="26"/>
  <c r="W17" i="26"/>
  <c r="W16" i="26"/>
  <c r="W15" i="26"/>
  <c r="W22" i="27"/>
  <c r="W21" i="27"/>
  <c r="W20" i="27"/>
  <c r="W19" i="27"/>
  <c r="W18" i="27"/>
  <c r="W17" i="27"/>
  <c r="W16" i="27"/>
  <c r="W15" i="27"/>
  <c r="W22" i="2"/>
  <c r="W21" i="2"/>
  <c r="W20" i="2"/>
  <c r="W19" i="2"/>
  <c r="W18" i="2"/>
  <c r="W17" i="2"/>
  <c r="W16" i="2"/>
  <c r="W15" i="2"/>
  <c r="W22" i="28"/>
  <c r="W21" i="28"/>
  <c r="W20" i="28"/>
  <c r="W19" i="28"/>
  <c r="W18" i="28"/>
  <c r="W17" i="28"/>
  <c r="W16" i="28"/>
  <c r="W15" i="28"/>
  <c r="W22" i="29"/>
  <c r="W21" i="29"/>
  <c r="W20" i="29"/>
  <c r="W19" i="29"/>
  <c r="W18" i="29"/>
  <c r="W17" i="29"/>
  <c r="W16" i="29"/>
  <c r="W15" i="29"/>
  <c r="W22" i="30"/>
  <c r="W21" i="30"/>
  <c r="W20" i="30"/>
  <c r="W19" i="30"/>
  <c r="W18" i="30"/>
  <c r="W17" i="30"/>
  <c r="W16" i="30"/>
  <c r="W15" i="30"/>
  <c r="W22" i="31"/>
  <c r="W21" i="31"/>
  <c r="W20" i="31"/>
  <c r="W19" i="31"/>
  <c r="W18" i="31"/>
  <c r="W17" i="31"/>
  <c r="W16" i="31"/>
  <c r="W15" i="31"/>
  <c r="W22" i="4"/>
  <c r="W21" i="4"/>
  <c r="W20" i="4"/>
  <c r="W19" i="4"/>
  <c r="W18" i="4"/>
  <c r="W17" i="4"/>
  <c r="W16" i="4"/>
  <c r="W15" i="4"/>
  <c r="W12" i="32"/>
  <c r="W11" i="32"/>
  <c r="W10" i="32"/>
  <c r="W9" i="32"/>
  <c r="W8" i="32"/>
  <c r="W7" i="32"/>
  <c r="W12" i="5"/>
  <c r="W11" i="5"/>
  <c r="W10" i="5"/>
  <c r="W9" i="5"/>
  <c r="W8" i="5"/>
  <c r="W7" i="5"/>
  <c r="W12" i="6"/>
  <c r="W11" i="6"/>
  <c r="W10" i="6"/>
  <c r="W9" i="6"/>
  <c r="W8" i="6"/>
  <c r="W7" i="6"/>
  <c r="W12" i="1"/>
  <c r="W11" i="1"/>
  <c r="W10" i="1"/>
  <c r="W9" i="1"/>
  <c r="W8" i="1"/>
  <c r="W7" i="1"/>
  <c r="W12" i="7"/>
  <c r="W11" i="7"/>
  <c r="W10" i="7"/>
  <c r="W9" i="7"/>
  <c r="W8" i="7"/>
  <c r="W7" i="7"/>
  <c r="W12" i="8"/>
  <c r="W11" i="8"/>
  <c r="W10" i="8"/>
  <c r="W9" i="8"/>
  <c r="W8" i="8"/>
  <c r="W7" i="8"/>
  <c r="W12" i="9"/>
  <c r="W11" i="9"/>
  <c r="W10" i="9"/>
  <c r="W9" i="9"/>
  <c r="W8" i="9"/>
  <c r="W7" i="9"/>
  <c r="W12" i="10"/>
  <c r="W11" i="10"/>
  <c r="W10" i="10"/>
  <c r="W9" i="10"/>
  <c r="W8" i="10"/>
  <c r="W7" i="10"/>
  <c r="W12" i="11"/>
  <c r="W11" i="11"/>
  <c r="W10" i="11"/>
  <c r="W9" i="11"/>
  <c r="W8" i="11"/>
  <c r="W7" i="11"/>
  <c r="W12" i="12"/>
  <c r="W11" i="12"/>
  <c r="W10" i="12"/>
  <c r="W9" i="12"/>
  <c r="W8" i="12"/>
  <c r="W7" i="12"/>
  <c r="W12" i="13"/>
  <c r="W11" i="13"/>
  <c r="W10" i="13"/>
  <c r="W9" i="13"/>
  <c r="W8" i="13"/>
  <c r="W7" i="13"/>
  <c r="W12" i="14"/>
  <c r="W11" i="14"/>
  <c r="W10" i="14"/>
  <c r="W9" i="14"/>
  <c r="W8" i="14"/>
  <c r="W7" i="14"/>
  <c r="W12" i="15"/>
  <c r="W11" i="15"/>
  <c r="W10" i="15"/>
  <c r="W9" i="15"/>
  <c r="W8" i="15"/>
  <c r="W7" i="15"/>
  <c r="W12" i="16"/>
  <c r="W11" i="16"/>
  <c r="W10" i="16"/>
  <c r="W9" i="16"/>
  <c r="W8" i="16"/>
  <c r="W7" i="16"/>
  <c r="W12" i="17"/>
  <c r="W11" i="17"/>
  <c r="W10" i="17"/>
  <c r="W9" i="17"/>
  <c r="W8" i="17"/>
  <c r="W7" i="17"/>
  <c r="W12" i="25"/>
  <c r="W11" i="25"/>
  <c r="W10" i="25"/>
  <c r="W9" i="25"/>
  <c r="W8" i="25"/>
  <c r="W7" i="25"/>
  <c r="W12" i="3"/>
  <c r="W11" i="3"/>
  <c r="W10" i="3"/>
  <c r="W9" i="3"/>
  <c r="W8" i="3"/>
  <c r="W7" i="3"/>
  <c r="W12" i="18"/>
  <c r="W11" i="18"/>
  <c r="W10" i="18"/>
  <c r="W9" i="18"/>
  <c r="W8" i="18"/>
  <c r="W7" i="18"/>
  <c r="W12" i="19"/>
  <c r="W11" i="19"/>
  <c r="W10" i="19"/>
  <c r="W9" i="19"/>
  <c r="W8" i="19"/>
  <c r="W7" i="19"/>
  <c r="W12" i="20"/>
  <c r="W11" i="20"/>
  <c r="W10" i="20"/>
  <c r="W9" i="20"/>
  <c r="W8" i="20"/>
  <c r="W7" i="20"/>
  <c r="W12" i="21"/>
  <c r="W11" i="21"/>
  <c r="W10" i="21"/>
  <c r="W9" i="21"/>
  <c r="W8" i="21"/>
  <c r="W7" i="21"/>
  <c r="W12" i="22"/>
  <c r="W11" i="22"/>
  <c r="W10" i="22"/>
  <c r="W9" i="22"/>
  <c r="W8" i="22"/>
  <c r="W7" i="22"/>
  <c r="W12" i="23"/>
  <c r="W11" i="23"/>
  <c r="W10" i="23"/>
  <c r="W9" i="23"/>
  <c r="W8" i="23"/>
  <c r="W7" i="23"/>
  <c r="W12" i="24"/>
  <c r="W11" i="24"/>
  <c r="W10" i="24"/>
  <c r="W9" i="24"/>
  <c r="W8" i="24"/>
  <c r="W7" i="24"/>
  <c r="W12" i="26"/>
  <c r="W11" i="26"/>
  <c r="W10" i="26"/>
  <c r="W9" i="26"/>
  <c r="W8" i="26"/>
  <c r="W7" i="26"/>
  <c r="W12" i="27"/>
  <c r="W11" i="27"/>
  <c r="W10" i="27"/>
  <c r="W9" i="27"/>
  <c r="W8" i="27"/>
  <c r="W7" i="27"/>
  <c r="W12" i="2"/>
  <c r="W11" i="2"/>
  <c r="W10" i="2"/>
  <c r="W9" i="2"/>
  <c r="W8" i="2"/>
  <c r="W7" i="2"/>
  <c r="W12" i="28"/>
  <c r="W11" i="28"/>
  <c r="W10" i="28"/>
  <c r="W9" i="28"/>
  <c r="W8" i="28"/>
  <c r="W7" i="28"/>
  <c r="W12" i="29"/>
  <c r="W11" i="29"/>
  <c r="W10" i="29"/>
  <c r="W9" i="29"/>
  <c r="W8" i="29"/>
  <c r="W7" i="29"/>
  <c r="W12" i="30"/>
  <c r="W11" i="30"/>
  <c r="W10" i="30"/>
  <c r="W9" i="30"/>
  <c r="W8" i="30"/>
  <c r="W7" i="30"/>
  <c r="W12" i="31"/>
  <c r="W11" i="31"/>
  <c r="W10" i="31"/>
  <c r="W9" i="31"/>
  <c r="W8" i="31"/>
  <c r="W7" i="31"/>
  <c r="W12" i="4"/>
  <c r="W11" i="4"/>
  <c r="W10" i="4"/>
  <c r="W9" i="4"/>
  <c r="W8" i="4"/>
  <c r="W7" i="4"/>
  <c r="W4" i="32"/>
  <c r="W3" i="32"/>
  <c r="W4" i="5"/>
  <c r="W3" i="5"/>
  <c r="W4" i="6"/>
  <c r="W3" i="6"/>
  <c r="W4" i="1"/>
  <c r="W3" i="1"/>
  <c r="W4" i="7"/>
  <c r="W3" i="7"/>
  <c r="W4" i="8"/>
  <c r="W3" i="8"/>
  <c r="W4" i="9"/>
  <c r="W3" i="9"/>
  <c r="W4" i="10"/>
  <c r="W3" i="10"/>
  <c r="W4" i="11"/>
  <c r="W3" i="11"/>
  <c r="W4" i="12"/>
  <c r="W3" i="12"/>
  <c r="W4" i="13"/>
  <c r="W3" i="13"/>
  <c r="W3" i="14"/>
  <c r="W4" i="15"/>
  <c r="W3" i="15"/>
  <c r="W4" i="16"/>
  <c r="W3" i="16"/>
  <c r="W4" i="17"/>
  <c r="W3" i="17"/>
  <c r="W4" i="25"/>
  <c r="W3" i="25"/>
  <c r="W4" i="3"/>
  <c r="W3" i="3"/>
  <c r="W4" i="18"/>
  <c r="W3" i="18"/>
  <c r="W4" i="19"/>
  <c r="W3" i="19"/>
  <c r="W4" i="20"/>
  <c r="W3" i="20"/>
  <c r="W4" i="21"/>
  <c r="W3" i="21"/>
  <c r="W4" i="22"/>
  <c r="W3" i="22"/>
  <c r="W4" i="23"/>
  <c r="W3" i="23"/>
  <c r="W4" i="24"/>
  <c r="W3" i="24"/>
  <c r="W4" i="26"/>
  <c r="W3" i="26"/>
  <c r="W4" i="27"/>
  <c r="W3" i="27"/>
  <c r="W4" i="2"/>
  <c r="W3" i="2"/>
  <c r="W4" i="28"/>
  <c r="W3" i="28"/>
  <c r="W4" i="29"/>
  <c r="W3" i="29"/>
  <c r="W4" i="30"/>
  <c r="W3" i="30"/>
  <c r="W4" i="31"/>
  <c r="W3" i="31"/>
  <c r="W4" i="4"/>
  <c r="W3" i="4"/>
  <c r="W2" i="32"/>
  <c r="W2" i="5"/>
  <c r="W2" i="6"/>
  <c r="W2" i="1"/>
  <c r="W2" i="7"/>
  <c r="W2" i="8"/>
  <c r="W2" i="9"/>
  <c r="W2" i="10"/>
  <c r="W2" i="11"/>
  <c r="W2" i="12"/>
  <c r="W2" i="13"/>
  <c r="W2" i="14"/>
  <c r="W2" i="15"/>
  <c r="W2" i="16"/>
  <c r="W2" i="17"/>
  <c r="W2" i="25"/>
  <c r="W2" i="3"/>
  <c r="W2" i="18"/>
  <c r="W2" i="19"/>
  <c r="W2" i="20"/>
  <c r="W2" i="21"/>
  <c r="W2" i="22"/>
  <c r="W2" i="23"/>
  <c r="W2" i="24"/>
  <c r="W2" i="26"/>
  <c r="W2" i="27"/>
  <c r="W2" i="2"/>
  <c r="W2" i="28"/>
  <c r="W2" i="29"/>
  <c r="W2" i="30"/>
  <c r="W2" i="31"/>
  <c r="W2" i="4"/>
  <c r="Q3" i="4"/>
  <c r="Q4" i="4"/>
  <c r="Q3" i="5"/>
  <c r="Q4" i="5"/>
  <c r="Q3" i="6"/>
  <c r="Q4" i="6"/>
  <c r="Q3" i="1"/>
  <c r="Q4" i="1"/>
  <c r="Q3" i="7"/>
  <c r="Q4" i="7"/>
  <c r="Q3" i="8"/>
  <c r="Q4" i="8"/>
  <c r="Q3" i="9"/>
  <c r="Q4" i="9"/>
  <c r="Q3" i="10"/>
  <c r="Q4" i="10"/>
  <c r="Q3" i="11"/>
  <c r="Q4" i="11"/>
  <c r="Q3" i="12"/>
  <c r="Q4" i="12"/>
  <c r="Q3" i="13"/>
  <c r="Q4" i="13"/>
  <c r="Q3" i="14"/>
  <c r="Q3" i="15"/>
  <c r="Q4" i="15"/>
  <c r="Q3" i="16"/>
  <c r="Q4" i="16"/>
  <c r="Q3" i="17"/>
  <c r="Q4" i="17"/>
  <c r="Q3" i="25"/>
  <c r="Q4" i="25"/>
  <c r="Q3" i="3"/>
  <c r="Q4" i="3"/>
  <c r="Q3" i="18"/>
  <c r="Q4" i="18"/>
  <c r="Q3" i="19"/>
  <c r="Q4" i="19"/>
  <c r="Q3" i="20"/>
  <c r="Q4" i="20"/>
  <c r="Q3" i="21"/>
  <c r="Q4" i="21"/>
  <c r="Q3" i="22"/>
  <c r="Q3" i="23"/>
  <c r="Q4" i="23"/>
  <c r="Q3" i="24"/>
  <c r="Q4" i="24"/>
  <c r="Q3" i="26"/>
  <c r="Q3" i="27"/>
  <c r="Q3" i="2"/>
  <c r="Q4" i="2"/>
  <c r="Q3" i="28"/>
  <c r="Q4" i="28"/>
  <c r="Q3" i="29"/>
  <c r="Q4" i="29"/>
  <c r="Q3" i="30"/>
  <c r="Q4" i="30"/>
  <c r="Q3" i="31"/>
  <c r="Q4" i="31"/>
  <c r="Q4" i="32"/>
  <c r="Q2" i="4"/>
  <c r="Q2" i="5"/>
  <c r="Q2" i="6"/>
  <c r="Q2" i="1"/>
  <c r="Q2" i="7"/>
  <c r="Q2" i="8"/>
  <c r="Q2" i="9"/>
  <c r="Q2" i="10"/>
  <c r="Q2" i="11"/>
  <c r="Q2" i="12"/>
  <c r="Q2" i="13"/>
  <c r="Q2" i="14"/>
  <c r="Q2" i="15"/>
  <c r="Q2" i="16"/>
  <c r="Q2" i="17"/>
  <c r="Q2" i="25"/>
  <c r="Q2" i="3"/>
  <c r="Q2" i="18"/>
  <c r="Q2" i="19"/>
  <c r="Q2" i="20"/>
  <c r="Q2" i="21"/>
  <c r="Q2" i="22"/>
  <c r="Q2" i="23"/>
  <c r="Q2" i="24"/>
  <c r="Q2" i="26"/>
  <c r="Q2" i="27"/>
  <c r="Q2" i="2"/>
  <c r="Q2" i="28"/>
  <c r="Q2" i="29"/>
  <c r="Q2" i="30"/>
  <c r="Q2" i="31"/>
  <c r="Q2" i="32"/>
  <c r="K97" i="52"/>
  <c r="L97" i="52"/>
  <c r="M97" i="52"/>
  <c r="N97" i="52"/>
  <c r="O97" i="52"/>
  <c r="K98" i="52"/>
  <c r="L98" i="52"/>
  <c r="M98" i="52"/>
  <c r="N98" i="52"/>
  <c r="O98" i="52"/>
  <c r="L18" i="52"/>
  <c r="M18" i="52"/>
  <c r="N18" i="52"/>
  <c r="O18" i="52"/>
  <c r="M19" i="52"/>
  <c r="N19" i="52"/>
  <c r="O19" i="52"/>
  <c r="K136" i="51"/>
  <c r="L136" i="51"/>
  <c r="M136" i="51"/>
  <c r="N136" i="51"/>
  <c r="O136" i="51"/>
  <c r="K84" i="51"/>
  <c r="L84" i="51"/>
  <c r="M84" i="51"/>
  <c r="N84" i="51"/>
  <c r="O84" i="51"/>
  <c r="K4" i="51"/>
  <c r="L4" i="51"/>
  <c r="M4" i="51"/>
  <c r="N4" i="51"/>
  <c r="O4" i="51"/>
  <c r="F31" i="4"/>
  <c r="F31" i="5"/>
  <c r="F31" i="6"/>
  <c r="F31" i="1"/>
  <c r="F31" i="7"/>
  <c r="F31" i="8"/>
  <c r="F31" i="9"/>
  <c r="F31" i="11"/>
  <c r="F31" i="12"/>
  <c r="F31" i="13"/>
  <c r="F31" i="14"/>
  <c r="F31" i="16"/>
  <c r="F31" i="17"/>
  <c r="F31" i="18"/>
  <c r="F31" i="28"/>
  <c r="F31" i="15"/>
  <c r="F31" i="3"/>
  <c r="F31" i="25"/>
  <c r="F31" i="19"/>
  <c r="F31" i="20"/>
  <c r="F31" i="21"/>
  <c r="F31" i="22"/>
  <c r="F31" i="23"/>
  <c r="F31" i="24"/>
  <c r="F31" i="26"/>
  <c r="F31" i="27"/>
  <c r="F31" i="2"/>
  <c r="F31" i="29"/>
  <c r="F31" i="30"/>
  <c r="F31" i="32"/>
  <c r="AH28" i="55" l="1"/>
  <c r="AI28" i="55"/>
  <c r="H22" i="55"/>
  <c r="U31" i="55"/>
  <c r="G6" i="55"/>
  <c r="C2" i="55"/>
  <c r="I37" i="55"/>
  <c r="C78" i="55"/>
  <c r="C70" i="55"/>
  <c r="C54" i="55"/>
  <c r="C46" i="55"/>
  <c r="C38" i="55"/>
  <c r="C30" i="55"/>
  <c r="C14" i="55"/>
  <c r="C6" i="55"/>
  <c r="AF220" i="55"/>
  <c r="AF212" i="55"/>
  <c r="AF204" i="55"/>
  <c r="AF196" i="55"/>
  <c r="AF188" i="55"/>
  <c r="C77" i="55"/>
  <c r="C69" i="55"/>
  <c r="C61" i="55"/>
  <c r="C53" i="55"/>
  <c r="C45" i="55"/>
  <c r="C37" i="55"/>
  <c r="C29" i="55"/>
  <c r="C21" i="55"/>
  <c r="C13" i="55"/>
  <c r="C5" i="55"/>
  <c r="AF219" i="55"/>
  <c r="AF211" i="55"/>
  <c r="AF203" i="55"/>
  <c r="AF195" i="55"/>
  <c r="AF187" i="55"/>
  <c r="C76" i="55"/>
  <c r="C68" i="55"/>
  <c r="C60" i="55"/>
  <c r="C52" i="55"/>
  <c r="C44" i="55"/>
  <c r="C36" i="55"/>
  <c r="C28" i="55"/>
  <c r="C20" i="55"/>
  <c r="C12" i="55"/>
  <c r="C4" i="55"/>
  <c r="AF218" i="55"/>
  <c r="AF210" i="55"/>
  <c r="AF202" i="55"/>
  <c r="C75" i="55"/>
  <c r="C67" i="55"/>
  <c r="C59" i="55"/>
  <c r="C51" i="55"/>
  <c r="C43" i="55"/>
  <c r="C35" i="55"/>
  <c r="C19" i="55"/>
  <c r="C11" i="55"/>
  <c r="C3" i="55"/>
  <c r="AF217" i="55"/>
  <c r="AF209" i="55"/>
  <c r="AF201" i="55"/>
  <c r="AF193" i="55"/>
  <c r="C74" i="55"/>
  <c r="C66" i="55"/>
  <c r="C58" i="55"/>
  <c r="C50" i="55"/>
  <c r="C42" i="55"/>
  <c r="C34" i="55"/>
  <c r="C26" i="55"/>
  <c r="C18" i="55"/>
  <c r="C10" i="55"/>
  <c r="AF216" i="55"/>
  <c r="AF208" i="55"/>
  <c r="AF200" i="55"/>
  <c r="AF192" i="55"/>
  <c r="C73" i="55"/>
  <c r="C65" i="55"/>
  <c r="C57" i="55"/>
  <c r="C49" i="55"/>
  <c r="C41" i="55"/>
  <c r="C33" i="55"/>
  <c r="C25" i="55"/>
  <c r="C17" i="55"/>
  <c r="AF215" i="55"/>
  <c r="AF207" i="55"/>
  <c r="AF199" i="55"/>
  <c r="AF191" i="55"/>
  <c r="C80" i="55"/>
  <c r="C72" i="55"/>
  <c r="C64" i="55"/>
  <c r="C56" i="55"/>
  <c r="C48" i="55"/>
  <c r="C40" i="55"/>
  <c r="C32" i="55"/>
  <c r="C24" i="55"/>
  <c r="C16" i="55"/>
  <c r="C8" i="55"/>
  <c r="AF214" i="55"/>
  <c r="AF198" i="55"/>
  <c r="AF190" i="55"/>
  <c r="C79" i="55"/>
  <c r="C71" i="55"/>
  <c r="C63" i="55"/>
  <c r="C55" i="55"/>
  <c r="C47" i="55"/>
  <c r="C39" i="55"/>
  <c r="C31" i="55"/>
  <c r="C23" i="55"/>
  <c r="C15" i="55"/>
  <c r="C7" i="55"/>
  <c r="AF221" i="55"/>
  <c r="AF205" i="55"/>
  <c r="E2" i="55"/>
  <c r="K40" i="55"/>
  <c r="U37" i="55"/>
  <c r="E33" i="55"/>
  <c r="E25" i="55"/>
  <c r="E17" i="55"/>
  <c r="E9" i="55"/>
  <c r="H12" i="55"/>
  <c r="E32" i="55"/>
  <c r="E24" i="55"/>
  <c r="E16" i="55"/>
  <c r="E8" i="55"/>
  <c r="E39" i="55"/>
  <c r="E31" i="55"/>
  <c r="E23" i="55"/>
  <c r="E15" i="55"/>
  <c r="E7" i="55"/>
  <c r="G20" i="55"/>
  <c r="E62" i="55"/>
  <c r="E30" i="55"/>
  <c r="E22" i="55"/>
  <c r="E14" i="55"/>
  <c r="E6" i="55"/>
  <c r="E53" i="55"/>
  <c r="E37" i="55"/>
  <c r="E29" i="55"/>
  <c r="E21" i="55"/>
  <c r="E13" i="55"/>
  <c r="E5" i="55"/>
  <c r="E52" i="55"/>
  <c r="E28" i="55"/>
  <c r="E20" i="55"/>
  <c r="E12" i="55"/>
  <c r="E4" i="55"/>
  <c r="G12" i="55"/>
  <c r="U61" i="55"/>
  <c r="E51" i="55"/>
  <c r="E19" i="55"/>
  <c r="E11" i="55"/>
  <c r="E3" i="55"/>
  <c r="E26" i="55"/>
  <c r="E18" i="55"/>
  <c r="E10" i="55"/>
  <c r="U43" i="55"/>
  <c r="F33" i="55"/>
  <c r="F25" i="55"/>
  <c r="F17" i="55"/>
  <c r="F9" i="55"/>
  <c r="F32" i="55"/>
  <c r="F24" i="55"/>
  <c r="F16" i="55"/>
  <c r="F8" i="55"/>
  <c r="F39" i="55"/>
  <c r="F31" i="55"/>
  <c r="F23" i="55"/>
  <c r="F15" i="55"/>
  <c r="F7" i="55"/>
  <c r="F62" i="55"/>
  <c r="F30" i="55"/>
  <c r="F22" i="55"/>
  <c r="F14" i="55"/>
  <c r="F6" i="55"/>
  <c r="F53" i="55"/>
  <c r="F37" i="55"/>
  <c r="F29" i="55"/>
  <c r="F21" i="55"/>
  <c r="F13" i="55"/>
  <c r="F5" i="55"/>
  <c r="F52" i="55"/>
  <c r="F28" i="55"/>
  <c r="F20" i="55"/>
  <c r="F12" i="55"/>
  <c r="F51" i="55"/>
  <c r="F19" i="55"/>
  <c r="F11" i="55"/>
  <c r="F3" i="55"/>
  <c r="F26" i="55"/>
  <c r="F18" i="55"/>
  <c r="F10" i="55"/>
  <c r="F2" i="55"/>
  <c r="I5" i="55"/>
  <c r="J41" i="55"/>
  <c r="J40" i="55"/>
  <c r="J32" i="55"/>
  <c r="J55" i="55"/>
  <c r="J54" i="55"/>
  <c r="J38" i="55"/>
  <c r="J61" i="55"/>
  <c r="J29" i="55"/>
  <c r="J21" i="55"/>
  <c r="J13" i="55"/>
  <c r="L21" i="55"/>
  <c r="J44" i="55"/>
  <c r="J36" i="55"/>
  <c r="J20" i="55"/>
  <c r="J12" i="55"/>
  <c r="J4" i="55"/>
  <c r="J3" i="55"/>
  <c r="J58" i="55"/>
  <c r="J50" i="55"/>
  <c r="J34" i="55"/>
  <c r="J10" i="55"/>
  <c r="J2" i="55"/>
  <c r="T105" i="55"/>
  <c r="T88" i="55"/>
  <c r="T31" i="55"/>
  <c r="T110" i="55"/>
  <c r="T102" i="55"/>
  <c r="T46" i="55"/>
  <c r="T61" i="55"/>
  <c r="T37" i="55"/>
  <c r="T43" i="55"/>
  <c r="T19" i="55"/>
  <c r="T3" i="55"/>
  <c r="T98" i="55"/>
  <c r="G5" i="55"/>
  <c r="I3" i="55"/>
  <c r="L3" i="55"/>
  <c r="H3" i="55"/>
  <c r="G19" i="55"/>
  <c r="AJ217" i="55"/>
  <c r="AJ209" i="55"/>
  <c r="AJ201" i="55"/>
  <c r="AJ193" i="55"/>
  <c r="AJ216" i="55"/>
  <c r="AJ208" i="55"/>
  <c r="AJ200" i="55"/>
  <c r="AJ192" i="55"/>
  <c r="AJ215" i="55"/>
  <c r="AJ207" i="55"/>
  <c r="AJ199" i="55"/>
  <c r="AJ191" i="55"/>
  <c r="AJ206" i="55"/>
  <c r="AJ198" i="55"/>
  <c r="AJ190" i="55"/>
  <c r="AJ221" i="55"/>
  <c r="AJ213" i="55"/>
  <c r="AJ205" i="55"/>
  <c r="AJ197" i="55"/>
  <c r="AJ189" i="55"/>
  <c r="AJ220" i="55"/>
  <c r="AJ212" i="55"/>
  <c r="AJ204" i="55"/>
  <c r="AJ196" i="55"/>
  <c r="AJ219" i="55"/>
  <c r="AJ211" i="55"/>
  <c r="AJ203" i="55"/>
  <c r="AJ195" i="55"/>
  <c r="AJ187" i="55"/>
  <c r="AJ194" i="55"/>
  <c r="K3" i="55"/>
  <c r="H11" i="55"/>
  <c r="K50" i="55"/>
  <c r="K58" i="55"/>
  <c r="K10" i="55"/>
  <c r="V43" i="55"/>
  <c r="V19" i="55"/>
  <c r="V88" i="55"/>
  <c r="G13" i="55"/>
  <c r="I13" i="55"/>
  <c r="V31" i="55"/>
  <c r="V105" i="55"/>
  <c r="AM203" i="55"/>
  <c r="AM221" i="55"/>
  <c r="AM195" i="55"/>
  <c r="AM208" i="55"/>
  <c r="AM216" i="55"/>
  <c r="AI198" i="55"/>
  <c r="AL192" i="55"/>
  <c r="AM197" i="55"/>
  <c r="AM200" i="55"/>
  <c r="G51" i="55"/>
  <c r="K43" i="55"/>
  <c r="I19" i="55"/>
  <c r="H19" i="55"/>
  <c r="G11" i="55"/>
  <c r="U46" i="55"/>
  <c r="V46" i="55"/>
  <c r="AN218" i="55"/>
  <c r="AK210" i="55"/>
  <c r="AH210" i="55"/>
  <c r="AN210" i="55"/>
  <c r="AN202" i="55"/>
  <c r="M23" i="55"/>
  <c r="M7" i="55"/>
  <c r="AN194" i="55"/>
  <c r="AN217" i="55"/>
  <c r="AN209" i="55"/>
  <c r="AN201" i="55"/>
  <c r="AN193" i="55"/>
  <c r="M29" i="55"/>
  <c r="M21" i="55"/>
  <c r="M13" i="55"/>
  <c r="AN192" i="55"/>
  <c r="M20" i="55"/>
  <c r="M12" i="55"/>
  <c r="AN215" i="55"/>
  <c r="AN207" i="55"/>
  <c r="AN199" i="55"/>
  <c r="AN191" i="55"/>
  <c r="AN214" i="55"/>
  <c r="AN206" i="55"/>
  <c r="AN198" i="55"/>
  <c r="AN190" i="55"/>
  <c r="AN213" i="55"/>
  <c r="AN205" i="55"/>
  <c r="AN197" i="55"/>
  <c r="AN189" i="55"/>
  <c r="AN220" i="55"/>
  <c r="AN212" i="55"/>
  <c r="AN204" i="55"/>
  <c r="AN196" i="55"/>
  <c r="AN188" i="55"/>
  <c r="M32" i="55"/>
  <c r="AN187" i="55"/>
  <c r="M2" i="55"/>
  <c r="AX49" i="55"/>
  <c r="AW49" i="55"/>
  <c r="H6" i="55"/>
  <c r="V37" i="55"/>
  <c r="AH214" i="55"/>
  <c r="AH198" i="55"/>
  <c r="I6" i="55"/>
  <c r="K13" i="55"/>
  <c r="G22" i="55"/>
  <c r="K38" i="55"/>
  <c r="L38" i="55"/>
  <c r="AK190" i="55"/>
  <c r="AM189" i="55"/>
  <c r="I29" i="55"/>
  <c r="H30" i="55"/>
  <c r="AL198" i="55"/>
  <c r="AM213" i="55"/>
  <c r="AK214" i="55"/>
  <c r="I22" i="55"/>
  <c r="G14" i="55"/>
  <c r="G21" i="55"/>
  <c r="H14" i="55"/>
  <c r="I21" i="55"/>
  <c r="K29" i="55"/>
  <c r="I30" i="55"/>
  <c r="AK206" i="55"/>
  <c r="AL214" i="55"/>
  <c r="G30" i="55"/>
  <c r="AL190" i="55"/>
  <c r="AI206" i="55"/>
  <c r="AI214" i="55"/>
  <c r="L45" i="55"/>
  <c r="AH190" i="55"/>
  <c r="AL206" i="55"/>
  <c r="K36" i="55"/>
  <c r="AH201" i="55"/>
  <c r="H20" i="55"/>
  <c r="H28" i="55"/>
  <c r="L44" i="55"/>
  <c r="AH209" i="55"/>
  <c r="AH217" i="55"/>
  <c r="AL199" i="55"/>
  <c r="AK207" i="55"/>
  <c r="AM191" i="55"/>
  <c r="AK193" i="55"/>
  <c r="AK209" i="55"/>
  <c r="AM218" i="55"/>
  <c r="AH191" i="55"/>
  <c r="AM199" i="55"/>
  <c r="AM202" i="55"/>
  <c r="AM207" i="55"/>
  <c r="AI191" i="55"/>
  <c r="L40" i="55"/>
  <c r="H53" i="55"/>
  <c r="AK191" i="55"/>
  <c r="AI215" i="55"/>
  <c r="AK199" i="55"/>
  <c r="AH207" i="55"/>
  <c r="AL215" i="55"/>
  <c r="AH188" i="55"/>
  <c r="AM194" i="55"/>
  <c r="AH202" i="55"/>
  <c r="AI212" i="55"/>
  <c r="AH218" i="55"/>
  <c r="AH187" i="55"/>
  <c r="AI188" i="55"/>
  <c r="AI201" i="55"/>
  <c r="AK202" i="55"/>
  <c r="AI207" i="55"/>
  <c r="AM215" i="55"/>
  <c r="AI217" i="55"/>
  <c r="AK218" i="55"/>
  <c r="AK187" i="55"/>
  <c r="AM210" i="55"/>
  <c r="AI220" i="55"/>
  <c r="AH193" i="55"/>
  <c r="AH194" i="55"/>
  <c r="AH199" i="55"/>
  <c r="AH204" i="55"/>
  <c r="AK194" i="55"/>
  <c r="AH206" i="55"/>
  <c r="AH196" i="55"/>
  <c r="G9" i="55"/>
  <c r="G62" i="55"/>
  <c r="H62" i="55"/>
  <c r="K55" i="55"/>
  <c r="K54" i="55"/>
  <c r="I62" i="55"/>
  <c r="G24" i="55"/>
  <c r="I9" i="55"/>
  <c r="L32" i="55"/>
  <c r="H25" i="55"/>
  <c r="G17" i="55"/>
  <c r="I25" i="55"/>
  <c r="H17" i="55"/>
  <c r="G33" i="55"/>
  <c r="H33" i="55"/>
  <c r="L41" i="55"/>
  <c r="H7" i="55"/>
  <c r="G7" i="55"/>
  <c r="K7" i="55"/>
  <c r="L7" i="55"/>
  <c r="I10" i="55"/>
  <c r="H10" i="55"/>
  <c r="L10" i="55"/>
  <c r="G10" i="55"/>
  <c r="H15" i="55"/>
  <c r="G15" i="55"/>
  <c r="I18" i="55"/>
  <c r="H18" i="55"/>
  <c r="G18" i="55"/>
  <c r="K23" i="55"/>
  <c r="H23" i="55"/>
  <c r="G23" i="55"/>
  <c r="L23" i="55"/>
  <c r="V3" i="55"/>
  <c r="U3" i="55"/>
  <c r="I26" i="55"/>
  <c r="H26" i="55"/>
  <c r="G26" i="55"/>
  <c r="H31" i="55"/>
  <c r="G31" i="55"/>
  <c r="L34" i="55"/>
  <c r="G39" i="55"/>
  <c r="I39" i="55"/>
  <c r="H39" i="55"/>
  <c r="I7" i="55"/>
  <c r="I15" i="55"/>
  <c r="I23" i="55"/>
  <c r="AI34" i="55"/>
  <c r="AH34" i="55"/>
  <c r="I52" i="55"/>
  <c r="H52" i="55"/>
  <c r="G52" i="55"/>
  <c r="L4" i="55"/>
  <c r="K4" i="55"/>
  <c r="I31" i="55"/>
  <c r="I2" i="55"/>
  <c r="H2" i="55"/>
  <c r="G2" i="55"/>
  <c r="K34" i="55"/>
  <c r="AI55" i="55"/>
  <c r="AH55" i="55"/>
  <c r="G29" i="55"/>
  <c r="H32" i="55"/>
  <c r="L36" i="55"/>
  <c r="G37" i="55"/>
  <c r="K59" i="55"/>
  <c r="L59" i="55"/>
  <c r="G8" i="55"/>
  <c r="K12" i="55"/>
  <c r="G16" i="55"/>
  <c r="K20" i="55"/>
  <c r="H8" i="55"/>
  <c r="L12" i="55"/>
  <c r="H16" i="55"/>
  <c r="L20" i="55"/>
  <c r="H24" i="55"/>
  <c r="H5" i="55"/>
  <c r="I8" i="55"/>
  <c r="H13" i="55"/>
  <c r="I16" i="55"/>
  <c r="H21" i="55"/>
  <c r="I24" i="55"/>
  <c r="H29" i="55"/>
  <c r="I32" i="55"/>
  <c r="H37" i="55"/>
  <c r="L50" i="55"/>
  <c r="L67" i="55"/>
  <c r="K67" i="55"/>
  <c r="U19" i="55"/>
  <c r="G28" i="55"/>
  <c r="K32" i="55"/>
  <c r="L43" i="55"/>
  <c r="K44" i="55"/>
  <c r="K45" i="55"/>
  <c r="G53" i="55"/>
  <c r="I53" i="55"/>
  <c r="L58" i="55"/>
  <c r="AH62" i="55"/>
  <c r="AI62" i="55"/>
  <c r="L61" i="55"/>
  <c r="K41" i="55"/>
  <c r="I51" i="55"/>
  <c r="AI73" i="55"/>
  <c r="AH73" i="55"/>
  <c r="L55" i="55"/>
  <c r="L54" i="55"/>
  <c r="U88" i="55"/>
  <c r="AH88" i="55"/>
  <c r="AI93" i="55"/>
  <c r="U110" i="55"/>
  <c r="U102" i="55"/>
  <c r="U105" i="55"/>
  <c r="U98" i="55"/>
  <c r="AI120" i="55"/>
  <c r="AH120" i="55"/>
  <c r="AI79" i="55"/>
  <c r="V102" i="55"/>
  <c r="V110" i="55"/>
  <c r="AI148" i="55"/>
  <c r="AH148" i="55"/>
  <c r="AH79" i="55"/>
  <c r="AH105" i="55"/>
  <c r="AI116" i="55"/>
  <c r="AI105" i="55"/>
  <c r="AI127" i="55"/>
  <c r="AH127" i="55"/>
  <c r="AH116" i="55"/>
  <c r="AI151" i="55"/>
  <c r="AH151" i="55"/>
  <c r="AH168" i="55"/>
  <c r="AL219" i="55"/>
  <c r="AK219" i="55"/>
  <c r="AI219" i="55"/>
  <c r="AH219" i="55"/>
  <c r="AM219" i="55"/>
  <c r="AH157" i="55"/>
  <c r="AI168" i="55"/>
  <c r="AL189" i="55"/>
  <c r="AK189" i="55"/>
  <c r="AI189" i="55"/>
  <c r="AH189" i="55"/>
  <c r="AK192" i="55"/>
  <c r="AI192" i="55"/>
  <c r="AH192" i="55"/>
  <c r="AL195" i="55"/>
  <c r="AI187" i="55"/>
  <c r="AI179" i="55"/>
  <c r="AL211" i="55"/>
  <c r="AK211" i="55"/>
  <c r="AI211" i="55"/>
  <c r="AH211" i="55"/>
  <c r="AL203" i="55"/>
  <c r="AK203" i="55"/>
  <c r="AI203" i="55"/>
  <c r="AH203" i="55"/>
  <c r="AK195" i="55"/>
  <c r="AI195" i="55"/>
  <c r="AH195" i="55"/>
  <c r="AM211" i="55"/>
  <c r="AL187" i="55"/>
  <c r="AI186" i="55"/>
  <c r="AK188" i="55"/>
  <c r="AM190" i="55"/>
  <c r="AL193" i="55"/>
  <c r="AI194" i="55"/>
  <c r="AK196" i="55"/>
  <c r="AH197" i="55"/>
  <c r="AM198" i="55"/>
  <c r="AL201" i="55"/>
  <c r="AI202" i="55"/>
  <c r="AK204" i="55"/>
  <c r="AH205" i="55"/>
  <c r="AM206" i="55"/>
  <c r="AL209" i="55"/>
  <c r="AI210" i="55"/>
  <c r="AK212" i="55"/>
  <c r="AH213" i="55"/>
  <c r="AM214" i="55"/>
  <c r="AL217" i="55"/>
  <c r="AI218" i="55"/>
  <c r="AK220" i="55"/>
  <c r="AH221" i="55"/>
  <c r="AL188" i="55"/>
  <c r="AM193" i="55"/>
  <c r="AL196" i="55"/>
  <c r="AI197" i="55"/>
  <c r="AH200" i="55"/>
  <c r="AM201" i="55"/>
  <c r="AL204" i="55"/>
  <c r="AI205" i="55"/>
  <c r="AH208" i="55"/>
  <c r="AM209" i="55"/>
  <c r="AL212" i="55"/>
  <c r="AI213" i="55"/>
  <c r="AK215" i="55"/>
  <c r="AH216" i="55"/>
  <c r="AM217" i="55"/>
  <c r="AL220" i="55"/>
  <c r="AI221" i="55"/>
  <c r="AM188" i="55"/>
  <c r="AM196" i="55"/>
  <c r="AI200" i="55"/>
  <c r="AM204" i="55"/>
  <c r="AI208" i="55"/>
  <c r="AM212" i="55"/>
  <c r="AI216" i="55"/>
  <c r="AM220" i="55"/>
  <c r="AL194" i="55"/>
  <c r="AK197" i="55"/>
  <c r="AL202" i="55"/>
  <c r="AK205" i="55"/>
  <c r="AL210" i="55"/>
  <c r="AK213" i="55"/>
  <c r="AL218" i="55"/>
  <c r="AK221" i="55"/>
  <c r="AL197" i="55"/>
  <c r="AK200" i="55"/>
  <c r="AL205" i="55"/>
  <c r="AK208" i="55"/>
  <c r="AL213" i="55"/>
  <c r="AK216" i="55"/>
  <c r="AL221" i="55"/>
  <c r="AL200" i="55"/>
  <c r="AL208" i="55"/>
  <c r="AL216" i="55"/>
  <c r="W30" i="32"/>
  <c r="K18" i="52"/>
  <c r="K19" i="52"/>
  <c r="L19" i="52"/>
  <c r="H2" i="53"/>
  <c r="I2" i="53"/>
  <c r="J2" i="53"/>
  <c r="H3" i="53"/>
  <c r="I3" i="53"/>
  <c r="J3" i="53"/>
  <c r="H4" i="53"/>
  <c r="I4" i="53"/>
  <c r="J4" i="53"/>
  <c r="H5" i="53"/>
  <c r="I5" i="53"/>
  <c r="J5" i="53"/>
  <c r="H6" i="53"/>
  <c r="I6" i="53"/>
  <c r="J6" i="53"/>
  <c r="H7" i="53"/>
  <c r="I7" i="53"/>
  <c r="J7" i="53"/>
  <c r="H8" i="53"/>
  <c r="I8" i="53"/>
  <c r="J8" i="53"/>
  <c r="H9" i="53"/>
  <c r="I9" i="53"/>
  <c r="J9" i="53"/>
  <c r="H10" i="53"/>
  <c r="I10" i="53"/>
  <c r="J10" i="53"/>
  <c r="H11" i="53"/>
  <c r="I11" i="53"/>
  <c r="J11" i="53"/>
  <c r="H12" i="53"/>
  <c r="I12" i="53"/>
  <c r="J12" i="53"/>
  <c r="H13" i="53"/>
  <c r="I13" i="53"/>
  <c r="J13" i="53"/>
  <c r="H14" i="53"/>
  <c r="I14" i="53"/>
  <c r="J14" i="53"/>
  <c r="H15" i="53"/>
  <c r="I15" i="53"/>
  <c r="J15" i="53"/>
  <c r="H16" i="53"/>
  <c r="I16" i="53"/>
  <c r="J16" i="53"/>
  <c r="H17" i="53"/>
  <c r="I17" i="53"/>
  <c r="J17" i="53"/>
  <c r="H18" i="53"/>
  <c r="I18" i="53"/>
  <c r="J18" i="53"/>
  <c r="H19" i="53"/>
  <c r="I19" i="53"/>
  <c r="J19" i="53"/>
  <c r="H20" i="53"/>
  <c r="I20" i="53"/>
  <c r="J20" i="53"/>
  <c r="H21" i="53"/>
  <c r="I21" i="53"/>
  <c r="J21" i="53"/>
  <c r="H22" i="53"/>
  <c r="I22" i="53"/>
  <c r="J22" i="53"/>
  <c r="H23" i="53"/>
  <c r="I23" i="53"/>
  <c r="J23" i="53"/>
  <c r="H24" i="53"/>
  <c r="I24" i="53"/>
  <c r="J24" i="53"/>
  <c r="H25" i="53"/>
  <c r="I25" i="53"/>
  <c r="J25" i="53"/>
  <c r="H26" i="53"/>
  <c r="I26" i="53"/>
  <c r="J26" i="53"/>
  <c r="H27" i="53"/>
  <c r="I27" i="53"/>
  <c r="J27" i="53"/>
  <c r="H28" i="53"/>
  <c r="I28" i="53"/>
  <c r="J28" i="53"/>
  <c r="H29" i="53"/>
  <c r="I29" i="53"/>
  <c r="J29" i="53"/>
  <c r="H30" i="53"/>
  <c r="I30" i="53"/>
  <c r="J30" i="53"/>
  <c r="H31" i="53"/>
  <c r="I31" i="53"/>
  <c r="J31" i="53"/>
  <c r="H32" i="53"/>
  <c r="I32" i="53"/>
  <c r="J32" i="53"/>
  <c r="H33" i="53"/>
  <c r="I33" i="53"/>
  <c r="J33" i="53"/>
  <c r="H34" i="53"/>
  <c r="I34" i="53"/>
  <c r="J34" i="53"/>
  <c r="H35" i="53"/>
  <c r="I35" i="53"/>
  <c r="J35" i="53"/>
  <c r="H36" i="53"/>
  <c r="I36" i="53"/>
  <c r="J36" i="53"/>
  <c r="H37" i="53"/>
  <c r="I37" i="53"/>
  <c r="J37" i="53"/>
  <c r="H38" i="53"/>
  <c r="I38" i="53"/>
  <c r="J38" i="53"/>
  <c r="H39" i="53"/>
  <c r="I39" i="53"/>
  <c r="J39" i="53"/>
  <c r="H40" i="53"/>
  <c r="I40" i="53"/>
  <c r="J40" i="53"/>
  <c r="H41" i="53"/>
  <c r="I41" i="53"/>
  <c r="J41" i="53"/>
  <c r="H42" i="53"/>
  <c r="I42" i="53"/>
  <c r="J42" i="53"/>
  <c r="H43" i="53"/>
  <c r="I43" i="53"/>
  <c r="J43" i="53"/>
  <c r="H44" i="53"/>
  <c r="I44" i="53"/>
  <c r="J44" i="53"/>
  <c r="H45" i="53"/>
  <c r="I45" i="53"/>
  <c r="J45" i="53"/>
  <c r="H46" i="53"/>
  <c r="I46" i="53"/>
  <c r="J46" i="53"/>
  <c r="H47" i="53"/>
  <c r="I47" i="53"/>
  <c r="J47" i="53"/>
  <c r="H48" i="53"/>
  <c r="I48" i="53"/>
  <c r="J48" i="53"/>
  <c r="H49" i="53"/>
  <c r="I49" i="53"/>
  <c r="J49" i="53"/>
  <c r="H50" i="53"/>
  <c r="I50" i="53"/>
  <c r="J50" i="53"/>
  <c r="H51" i="53"/>
  <c r="I51" i="53"/>
  <c r="J51" i="53"/>
  <c r="H52" i="53"/>
  <c r="I52" i="53"/>
  <c r="J52" i="53"/>
  <c r="H53" i="53"/>
  <c r="I53" i="53"/>
  <c r="J53" i="53"/>
  <c r="H54" i="53"/>
  <c r="I54" i="53"/>
  <c r="J54" i="53"/>
  <c r="H55" i="53"/>
  <c r="I55" i="53"/>
  <c r="J55" i="53"/>
  <c r="H56" i="53"/>
  <c r="I56" i="53"/>
  <c r="J56" i="53"/>
  <c r="H57" i="53"/>
  <c r="I57" i="53"/>
  <c r="J57" i="53"/>
  <c r="H58" i="53"/>
  <c r="I58" i="53"/>
  <c r="J58" i="53"/>
  <c r="H59" i="53"/>
  <c r="I59" i="53"/>
  <c r="J59" i="53"/>
  <c r="H60" i="53"/>
  <c r="I60" i="53"/>
  <c r="J60" i="53"/>
  <c r="H61" i="53"/>
  <c r="I61" i="53"/>
  <c r="J61" i="53"/>
  <c r="H62" i="53"/>
  <c r="I62" i="53"/>
  <c r="J62" i="53"/>
  <c r="H63" i="53"/>
  <c r="I63" i="53"/>
  <c r="J63" i="53"/>
  <c r="H64" i="53"/>
  <c r="I64" i="53"/>
  <c r="J64" i="53"/>
  <c r="H65" i="53"/>
  <c r="I65" i="53"/>
  <c r="J65" i="53"/>
  <c r="H66" i="53"/>
  <c r="I66" i="53"/>
  <c r="J66" i="53"/>
  <c r="H67" i="53"/>
  <c r="I67" i="53"/>
  <c r="J67" i="53"/>
  <c r="H68" i="53"/>
  <c r="I68" i="53"/>
  <c r="J68" i="53"/>
  <c r="H69" i="53"/>
  <c r="I69" i="53"/>
  <c r="J69" i="53"/>
  <c r="H70" i="53"/>
  <c r="I70" i="53"/>
  <c r="J70" i="53"/>
  <c r="H71" i="53"/>
  <c r="I71" i="53"/>
  <c r="J71" i="53"/>
  <c r="H72" i="53"/>
  <c r="I72" i="53"/>
  <c r="J72" i="53"/>
  <c r="H73" i="53"/>
  <c r="I73" i="53"/>
  <c r="J73" i="53"/>
  <c r="H74" i="53"/>
  <c r="I74" i="53"/>
  <c r="J74" i="53"/>
  <c r="H75" i="53"/>
  <c r="I75" i="53"/>
  <c r="J75" i="53"/>
  <c r="H76" i="53"/>
  <c r="I76" i="53"/>
  <c r="J76" i="53"/>
  <c r="H77" i="53"/>
  <c r="I77" i="53"/>
  <c r="J77" i="53"/>
  <c r="H78" i="53"/>
  <c r="I78" i="53"/>
  <c r="J78" i="53"/>
  <c r="H79" i="53"/>
  <c r="I79" i="53"/>
  <c r="J79" i="53"/>
  <c r="H80" i="53"/>
  <c r="I80" i="53"/>
  <c r="J80" i="53"/>
  <c r="H81" i="53"/>
  <c r="I81" i="53"/>
  <c r="J81" i="53"/>
  <c r="H82" i="53"/>
  <c r="I82" i="53"/>
  <c r="J82" i="53"/>
  <c r="H83" i="53"/>
  <c r="I83" i="53"/>
  <c r="J83" i="53"/>
  <c r="H84" i="53"/>
  <c r="I84" i="53"/>
  <c r="J84" i="53"/>
  <c r="H85" i="53"/>
  <c r="I85" i="53"/>
  <c r="J85" i="53"/>
  <c r="H86" i="53"/>
  <c r="I86" i="53"/>
  <c r="J86" i="53"/>
  <c r="H87" i="53"/>
  <c r="I87" i="53"/>
  <c r="J87" i="53"/>
  <c r="H88" i="53"/>
  <c r="I88" i="53"/>
  <c r="J88" i="53"/>
  <c r="H89" i="53"/>
  <c r="I89" i="53"/>
  <c r="J89" i="53"/>
  <c r="H90" i="53"/>
  <c r="I90" i="53"/>
  <c r="J90" i="53"/>
  <c r="H91" i="53"/>
  <c r="I91" i="53"/>
  <c r="J91" i="53"/>
  <c r="H92" i="53"/>
  <c r="I92" i="53"/>
  <c r="J92" i="53"/>
  <c r="H93" i="53"/>
  <c r="I93" i="53"/>
  <c r="J93" i="53"/>
  <c r="H94" i="53"/>
  <c r="I94" i="53"/>
  <c r="J94" i="53"/>
  <c r="H95" i="53"/>
  <c r="I95" i="53"/>
  <c r="J95" i="53"/>
  <c r="H96" i="53"/>
  <c r="I96" i="53"/>
  <c r="J96" i="53"/>
  <c r="H97" i="53"/>
  <c r="I97" i="53"/>
  <c r="J97" i="53"/>
  <c r="H98" i="53"/>
  <c r="I98" i="53"/>
  <c r="J98" i="53"/>
  <c r="H99" i="53"/>
  <c r="I99" i="53"/>
  <c r="J99" i="53"/>
  <c r="H100" i="53"/>
  <c r="I100" i="53"/>
  <c r="J100" i="53"/>
  <c r="H101" i="53"/>
  <c r="I101" i="53"/>
  <c r="J101" i="53"/>
  <c r="H102" i="53"/>
  <c r="I102" i="53"/>
  <c r="J102" i="53"/>
  <c r="H103" i="53"/>
  <c r="I103" i="53"/>
  <c r="J103" i="53"/>
  <c r="H104" i="53"/>
  <c r="I104" i="53"/>
  <c r="J104" i="53"/>
  <c r="H105" i="53"/>
  <c r="I105" i="53"/>
  <c r="J105" i="53"/>
  <c r="H106" i="53"/>
  <c r="I106" i="53"/>
  <c r="J106" i="53"/>
  <c r="H107" i="53"/>
  <c r="I107" i="53"/>
  <c r="J107" i="53"/>
  <c r="H108" i="53"/>
  <c r="I108" i="53"/>
  <c r="J108" i="53"/>
  <c r="H109" i="53"/>
  <c r="I109" i="53"/>
  <c r="J109" i="53"/>
  <c r="H110" i="53"/>
  <c r="I110" i="53"/>
  <c r="J110" i="53"/>
  <c r="H111" i="53"/>
  <c r="I111" i="53"/>
  <c r="J111" i="53"/>
  <c r="H112" i="53"/>
  <c r="I112" i="53"/>
  <c r="J112" i="53"/>
  <c r="H113" i="53"/>
  <c r="I113" i="53"/>
  <c r="J113" i="53"/>
  <c r="H114" i="53"/>
  <c r="I114" i="53"/>
  <c r="J114" i="53"/>
  <c r="H115" i="53"/>
  <c r="I115" i="53"/>
  <c r="J115" i="53"/>
  <c r="H116" i="53"/>
  <c r="I116" i="53"/>
  <c r="J116" i="53"/>
  <c r="H117" i="53"/>
  <c r="I117" i="53"/>
  <c r="J117" i="53"/>
  <c r="H118" i="53"/>
  <c r="I118" i="53"/>
  <c r="J118" i="53"/>
  <c r="H119" i="53"/>
  <c r="I119" i="53"/>
  <c r="J119" i="53"/>
  <c r="H120" i="53"/>
  <c r="I120" i="53"/>
  <c r="J120" i="53"/>
  <c r="H121" i="53"/>
  <c r="I121" i="53"/>
  <c r="J121" i="53"/>
  <c r="H122" i="53"/>
  <c r="I122" i="53"/>
  <c r="J122" i="53"/>
  <c r="H123" i="53"/>
  <c r="I123" i="53"/>
  <c r="J123" i="53"/>
  <c r="H124" i="53"/>
  <c r="I124" i="53"/>
  <c r="J124" i="53"/>
  <c r="H125" i="53"/>
  <c r="I125" i="53"/>
  <c r="J125" i="53"/>
  <c r="H126" i="53"/>
  <c r="I126" i="53"/>
  <c r="J126" i="53"/>
  <c r="H127" i="53"/>
  <c r="I127" i="53"/>
  <c r="J127" i="53"/>
  <c r="K2" i="52"/>
  <c r="L2" i="52"/>
  <c r="M2" i="52"/>
  <c r="N2" i="52"/>
  <c r="O2" i="52"/>
  <c r="K3" i="52"/>
  <c r="L3" i="52"/>
  <c r="M3" i="52"/>
  <c r="N3" i="52"/>
  <c r="O3" i="52"/>
  <c r="K4" i="52"/>
  <c r="L4" i="52"/>
  <c r="M4" i="52"/>
  <c r="N4" i="52"/>
  <c r="O4" i="52"/>
  <c r="K5" i="52"/>
  <c r="L5" i="52"/>
  <c r="M5" i="52"/>
  <c r="N5" i="52"/>
  <c r="O5" i="52"/>
  <c r="K6" i="52"/>
  <c r="L6" i="52"/>
  <c r="M6" i="52"/>
  <c r="N6" i="52"/>
  <c r="O6" i="52"/>
  <c r="K7" i="52"/>
  <c r="L7" i="52"/>
  <c r="M7" i="52"/>
  <c r="N7" i="52"/>
  <c r="O7" i="52"/>
  <c r="K8" i="52"/>
  <c r="L8" i="52"/>
  <c r="M8" i="52"/>
  <c r="N8" i="52"/>
  <c r="O8" i="52"/>
  <c r="K9" i="52"/>
  <c r="L9" i="52"/>
  <c r="M9" i="52"/>
  <c r="N9" i="52"/>
  <c r="O9" i="52"/>
  <c r="K10" i="52"/>
  <c r="L10" i="52"/>
  <c r="M10" i="52"/>
  <c r="N10" i="52"/>
  <c r="O10" i="52"/>
  <c r="K11" i="52"/>
  <c r="L11" i="52"/>
  <c r="M11" i="52"/>
  <c r="N11" i="52"/>
  <c r="O11" i="52"/>
  <c r="K12" i="52"/>
  <c r="L12" i="52"/>
  <c r="M12" i="52"/>
  <c r="N12" i="52"/>
  <c r="O12" i="52"/>
  <c r="K13" i="52"/>
  <c r="L13" i="52"/>
  <c r="M13" i="52"/>
  <c r="N13" i="52"/>
  <c r="O13" i="52"/>
  <c r="K14" i="52"/>
  <c r="L14" i="52"/>
  <c r="M14" i="52"/>
  <c r="N14" i="52"/>
  <c r="O14" i="52"/>
  <c r="K15" i="52"/>
  <c r="L15" i="52"/>
  <c r="M15" i="52"/>
  <c r="N15" i="52"/>
  <c r="O15" i="52"/>
  <c r="K16" i="52"/>
  <c r="L16" i="52"/>
  <c r="M16" i="52"/>
  <c r="N16" i="52"/>
  <c r="O16" i="52"/>
  <c r="K17" i="52"/>
  <c r="L17" i="52"/>
  <c r="M17" i="52"/>
  <c r="N17" i="52"/>
  <c r="O17" i="52"/>
  <c r="K20" i="52"/>
  <c r="L20" i="52"/>
  <c r="M20" i="52"/>
  <c r="N20" i="52"/>
  <c r="O20" i="52"/>
  <c r="K21" i="52"/>
  <c r="L21" i="52"/>
  <c r="M21" i="52"/>
  <c r="N21" i="52"/>
  <c r="O21" i="52"/>
  <c r="K22" i="52"/>
  <c r="L22" i="52"/>
  <c r="M22" i="52"/>
  <c r="N22" i="52"/>
  <c r="O22" i="52"/>
  <c r="K23" i="52"/>
  <c r="L23" i="52"/>
  <c r="M23" i="52"/>
  <c r="N23" i="52"/>
  <c r="O23" i="52"/>
  <c r="K24" i="52"/>
  <c r="L24" i="52"/>
  <c r="M24" i="52"/>
  <c r="N24" i="52"/>
  <c r="O24" i="52"/>
  <c r="K25" i="52"/>
  <c r="L25" i="52"/>
  <c r="M25" i="52"/>
  <c r="N25" i="52"/>
  <c r="O25" i="52"/>
  <c r="K26" i="52"/>
  <c r="L26" i="52"/>
  <c r="M26" i="52"/>
  <c r="N26" i="52"/>
  <c r="O26" i="52"/>
  <c r="K27" i="52"/>
  <c r="L27" i="52"/>
  <c r="M27" i="52"/>
  <c r="N27" i="52"/>
  <c r="O27" i="52"/>
  <c r="K28" i="52"/>
  <c r="L28" i="52"/>
  <c r="M28" i="52"/>
  <c r="N28" i="52"/>
  <c r="O28" i="52"/>
  <c r="K29" i="52"/>
  <c r="L29" i="52"/>
  <c r="M29" i="52"/>
  <c r="N29" i="52"/>
  <c r="O29" i="52"/>
  <c r="K30" i="52"/>
  <c r="L30" i="52"/>
  <c r="M30" i="52"/>
  <c r="N30" i="52"/>
  <c r="O30" i="52"/>
  <c r="K31" i="52"/>
  <c r="L31" i="52"/>
  <c r="M31" i="52"/>
  <c r="N31" i="52"/>
  <c r="O31" i="52"/>
  <c r="K32" i="52"/>
  <c r="L32" i="52"/>
  <c r="M32" i="52"/>
  <c r="N32" i="52"/>
  <c r="O32" i="52"/>
  <c r="K33" i="52"/>
  <c r="L33" i="52"/>
  <c r="M33" i="52"/>
  <c r="N33" i="52"/>
  <c r="O33" i="52"/>
  <c r="K34" i="52"/>
  <c r="L34" i="52"/>
  <c r="M34" i="52"/>
  <c r="N34" i="52"/>
  <c r="O34" i="52"/>
  <c r="K35" i="52"/>
  <c r="L35" i="52"/>
  <c r="M35" i="52"/>
  <c r="N35" i="52"/>
  <c r="O35" i="52"/>
  <c r="K36" i="52"/>
  <c r="L36" i="52"/>
  <c r="M36" i="52"/>
  <c r="N36" i="52"/>
  <c r="O36" i="52"/>
  <c r="K37" i="52"/>
  <c r="L37" i="52"/>
  <c r="M37" i="52"/>
  <c r="N37" i="52"/>
  <c r="O37" i="52"/>
  <c r="K38" i="52"/>
  <c r="L38" i="52"/>
  <c r="M38" i="52"/>
  <c r="N38" i="52"/>
  <c r="O38" i="52"/>
  <c r="K39" i="52"/>
  <c r="L39" i="52"/>
  <c r="M39" i="52"/>
  <c r="N39" i="52"/>
  <c r="O39" i="52"/>
  <c r="K40" i="52"/>
  <c r="L40" i="52"/>
  <c r="M40" i="52"/>
  <c r="N40" i="52"/>
  <c r="O40" i="52"/>
  <c r="K41" i="52"/>
  <c r="L41" i="52"/>
  <c r="M41" i="52"/>
  <c r="N41" i="52"/>
  <c r="O41" i="52"/>
  <c r="K42" i="52"/>
  <c r="L42" i="52"/>
  <c r="M42" i="52"/>
  <c r="N42" i="52"/>
  <c r="O42" i="52"/>
  <c r="K43" i="52"/>
  <c r="L43" i="52"/>
  <c r="M43" i="52"/>
  <c r="N43" i="52"/>
  <c r="O43" i="52"/>
  <c r="K44" i="52"/>
  <c r="L44" i="52"/>
  <c r="M44" i="52"/>
  <c r="N44" i="52"/>
  <c r="O44" i="52"/>
  <c r="K45" i="52"/>
  <c r="L45" i="52"/>
  <c r="M45" i="52"/>
  <c r="N45" i="52"/>
  <c r="O45" i="52"/>
  <c r="K46" i="52"/>
  <c r="L46" i="52"/>
  <c r="M46" i="52"/>
  <c r="N46" i="52"/>
  <c r="O46" i="52"/>
  <c r="K47" i="52"/>
  <c r="L47" i="52"/>
  <c r="M47" i="52"/>
  <c r="N47" i="52"/>
  <c r="O47" i="52"/>
  <c r="K48" i="52"/>
  <c r="L48" i="52"/>
  <c r="M48" i="52"/>
  <c r="N48" i="52"/>
  <c r="O48" i="52"/>
  <c r="K49" i="52"/>
  <c r="L49" i="52"/>
  <c r="M49" i="52"/>
  <c r="N49" i="52"/>
  <c r="O49" i="52"/>
  <c r="K50" i="52"/>
  <c r="L50" i="52"/>
  <c r="M50" i="52"/>
  <c r="N50" i="52"/>
  <c r="O50" i="52"/>
  <c r="K51" i="52"/>
  <c r="L51" i="52"/>
  <c r="M51" i="52"/>
  <c r="N51" i="52"/>
  <c r="O51" i="52"/>
  <c r="K52" i="52"/>
  <c r="L52" i="52"/>
  <c r="M52" i="52"/>
  <c r="N52" i="52"/>
  <c r="O52" i="52"/>
  <c r="K53" i="52"/>
  <c r="L53" i="52"/>
  <c r="M53" i="52"/>
  <c r="N53" i="52"/>
  <c r="O53" i="52"/>
  <c r="K54" i="52"/>
  <c r="L54" i="52"/>
  <c r="M54" i="52"/>
  <c r="N54" i="52"/>
  <c r="O54" i="52"/>
  <c r="K55" i="52"/>
  <c r="L55" i="52"/>
  <c r="M55" i="52"/>
  <c r="N55" i="52"/>
  <c r="O55" i="52"/>
  <c r="K56" i="52"/>
  <c r="L56" i="52"/>
  <c r="M56" i="52"/>
  <c r="N56" i="52"/>
  <c r="O56" i="52"/>
  <c r="K57" i="52"/>
  <c r="L57" i="52"/>
  <c r="M57" i="52"/>
  <c r="N57" i="52"/>
  <c r="O57" i="52"/>
  <c r="K58" i="52"/>
  <c r="L58" i="52"/>
  <c r="M58" i="52"/>
  <c r="N58" i="52"/>
  <c r="O58" i="52"/>
  <c r="K59" i="52"/>
  <c r="L59" i="52"/>
  <c r="M59" i="52"/>
  <c r="N59" i="52"/>
  <c r="O59" i="52"/>
  <c r="K60" i="52"/>
  <c r="L60" i="52"/>
  <c r="M60" i="52"/>
  <c r="N60" i="52"/>
  <c r="O60" i="52"/>
  <c r="K61" i="52"/>
  <c r="L61" i="52"/>
  <c r="M61" i="52"/>
  <c r="N61" i="52"/>
  <c r="O61" i="52"/>
  <c r="K62" i="52"/>
  <c r="L62" i="52"/>
  <c r="M62" i="52"/>
  <c r="N62" i="52"/>
  <c r="O62" i="52"/>
  <c r="K63" i="52"/>
  <c r="L63" i="52"/>
  <c r="M63" i="52"/>
  <c r="N63" i="52"/>
  <c r="O63" i="52"/>
  <c r="K64" i="52"/>
  <c r="L64" i="52"/>
  <c r="M64" i="52"/>
  <c r="N64" i="52"/>
  <c r="O64" i="52"/>
  <c r="K65" i="52"/>
  <c r="L65" i="52"/>
  <c r="M65" i="52"/>
  <c r="N65" i="52"/>
  <c r="O65" i="52"/>
  <c r="K66" i="52"/>
  <c r="L66" i="52"/>
  <c r="M66" i="52"/>
  <c r="N66" i="52"/>
  <c r="O66" i="52"/>
  <c r="K67" i="52"/>
  <c r="L67" i="52"/>
  <c r="M67" i="52"/>
  <c r="N67" i="52"/>
  <c r="O67" i="52"/>
  <c r="K68" i="52"/>
  <c r="L68" i="52"/>
  <c r="M68" i="52"/>
  <c r="N68" i="52"/>
  <c r="O68" i="52"/>
  <c r="K69" i="52"/>
  <c r="L69" i="52"/>
  <c r="M69" i="52"/>
  <c r="N69" i="52"/>
  <c r="O69" i="52"/>
  <c r="K70" i="52"/>
  <c r="L70" i="52"/>
  <c r="M70" i="52"/>
  <c r="N70" i="52"/>
  <c r="O70" i="52"/>
  <c r="K71" i="52"/>
  <c r="L71" i="52"/>
  <c r="M71" i="52"/>
  <c r="N71" i="52"/>
  <c r="O71" i="52"/>
  <c r="K72" i="52"/>
  <c r="L72" i="52"/>
  <c r="M72" i="52"/>
  <c r="N72" i="52"/>
  <c r="O72" i="52"/>
  <c r="K73" i="52"/>
  <c r="L73" i="52"/>
  <c r="M73" i="52"/>
  <c r="N73" i="52"/>
  <c r="O73" i="52"/>
  <c r="K74" i="52"/>
  <c r="L74" i="52"/>
  <c r="M74" i="52"/>
  <c r="N74" i="52"/>
  <c r="O74" i="52"/>
  <c r="K75" i="52"/>
  <c r="L75" i="52"/>
  <c r="M75" i="52"/>
  <c r="N75" i="52"/>
  <c r="O75" i="52"/>
  <c r="K76" i="52"/>
  <c r="L76" i="52"/>
  <c r="M76" i="52"/>
  <c r="N76" i="52"/>
  <c r="O76" i="52"/>
  <c r="K77" i="52"/>
  <c r="L77" i="52"/>
  <c r="M77" i="52"/>
  <c r="N77" i="52"/>
  <c r="O77" i="52"/>
  <c r="K78" i="52"/>
  <c r="L78" i="52"/>
  <c r="M78" i="52"/>
  <c r="N78" i="52"/>
  <c r="O78" i="52"/>
  <c r="K79" i="52"/>
  <c r="L79" i="52"/>
  <c r="M79" i="52"/>
  <c r="N79" i="52"/>
  <c r="O79" i="52"/>
  <c r="K80" i="52"/>
  <c r="L80" i="52"/>
  <c r="M80" i="52"/>
  <c r="N80" i="52"/>
  <c r="O80" i="52"/>
  <c r="K81" i="52"/>
  <c r="L81" i="52"/>
  <c r="M81" i="52"/>
  <c r="N81" i="52"/>
  <c r="O81" i="52"/>
  <c r="K82" i="52"/>
  <c r="L82" i="52"/>
  <c r="M82" i="52"/>
  <c r="N82" i="52"/>
  <c r="O82" i="52"/>
  <c r="K83" i="52"/>
  <c r="L83" i="52"/>
  <c r="M83" i="52"/>
  <c r="N83" i="52"/>
  <c r="O83" i="52"/>
  <c r="K84" i="52"/>
  <c r="L84" i="52"/>
  <c r="M84" i="52"/>
  <c r="N84" i="52"/>
  <c r="O84" i="52"/>
  <c r="K85" i="52"/>
  <c r="L85" i="52"/>
  <c r="M85" i="52"/>
  <c r="N85" i="52"/>
  <c r="O85" i="52"/>
  <c r="K86" i="52"/>
  <c r="L86" i="52"/>
  <c r="M86" i="52"/>
  <c r="N86" i="52"/>
  <c r="O86" i="52"/>
  <c r="K87" i="52"/>
  <c r="L87" i="52"/>
  <c r="M87" i="52"/>
  <c r="N87" i="52"/>
  <c r="O87" i="52"/>
  <c r="K88" i="52"/>
  <c r="L88" i="52"/>
  <c r="M88" i="52"/>
  <c r="N88" i="52"/>
  <c r="O88" i="52"/>
  <c r="K89" i="52"/>
  <c r="L89" i="52"/>
  <c r="M89" i="52"/>
  <c r="N89" i="52"/>
  <c r="O89" i="52"/>
  <c r="K90" i="52"/>
  <c r="L90" i="52"/>
  <c r="M90" i="52"/>
  <c r="N90" i="52"/>
  <c r="O90" i="52"/>
  <c r="K91" i="52"/>
  <c r="L91" i="52"/>
  <c r="M91" i="52"/>
  <c r="N91" i="52"/>
  <c r="O91" i="52"/>
  <c r="K92" i="52"/>
  <c r="L92" i="52"/>
  <c r="M92" i="52"/>
  <c r="N92" i="52"/>
  <c r="O92" i="52"/>
  <c r="K93" i="52"/>
  <c r="L93" i="52"/>
  <c r="M93" i="52"/>
  <c r="N93" i="52"/>
  <c r="O93" i="52"/>
  <c r="K94" i="52"/>
  <c r="L94" i="52"/>
  <c r="M94" i="52"/>
  <c r="N94" i="52"/>
  <c r="O94" i="52"/>
  <c r="K95" i="52"/>
  <c r="L95" i="52"/>
  <c r="M95" i="52"/>
  <c r="N95" i="52"/>
  <c r="O95" i="52"/>
  <c r="K96" i="52"/>
  <c r="L96" i="52"/>
  <c r="M96" i="52"/>
  <c r="N96" i="52"/>
  <c r="O96" i="52"/>
  <c r="K99" i="52"/>
  <c r="L99" i="52"/>
  <c r="M99" i="52"/>
  <c r="N99" i="52"/>
  <c r="O99" i="52"/>
  <c r="K100" i="52"/>
  <c r="L100" i="52"/>
  <c r="M100" i="52"/>
  <c r="N100" i="52"/>
  <c r="O100" i="52"/>
  <c r="K101" i="52"/>
  <c r="L101" i="52"/>
  <c r="M101" i="52"/>
  <c r="N101" i="52"/>
  <c r="O101" i="52"/>
  <c r="K102" i="52"/>
  <c r="L102" i="52"/>
  <c r="M102" i="52"/>
  <c r="N102" i="52"/>
  <c r="O102" i="52"/>
  <c r="K103" i="52"/>
  <c r="L103" i="52"/>
  <c r="M103" i="52"/>
  <c r="N103" i="52"/>
  <c r="O103" i="52"/>
  <c r="K104" i="52"/>
  <c r="L104" i="52"/>
  <c r="M104" i="52"/>
  <c r="N104" i="52"/>
  <c r="O104" i="52"/>
  <c r="K105" i="52"/>
  <c r="L105" i="52"/>
  <c r="M105" i="52"/>
  <c r="N105" i="52"/>
  <c r="O105" i="52"/>
  <c r="K106" i="52"/>
  <c r="L106" i="52"/>
  <c r="M106" i="52"/>
  <c r="N106" i="52"/>
  <c r="O106" i="52"/>
  <c r="K107" i="52"/>
  <c r="L107" i="52"/>
  <c r="M107" i="52"/>
  <c r="N107" i="52"/>
  <c r="O107" i="52"/>
  <c r="K108" i="52"/>
  <c r="L108" i="52"/>
  <c r="M108" i="52"/>
  <c r="N108" i="52"/>
  <c r="O108" i="52"/>
  <c r="K109" i="52"/>
  <c r="L109" i="52"/>
  <c r="M109" i="52"/>
  <c r="N109" i="52"/>
  <c r="O109" i="52"/>
  <c r="K110" i="52"/>
  <c r="L110" i="52"/>
  <c r="M110" i="52"/>
  <c r="N110" i="52"/>
  <c r="O110" i="52"/>
  <c r="K111" i="52"/>
  <c r="L111" i="52"/>
  <c r="M111" i="52"/>
  <c r="N111" i="52"/>
  <c r="O111" i="52"/>
  <c r="K112" i="52"/>
  <c r="L112" i="52"/>
  <c r="M112" i="52"/>
  <c r="N112" i="52"/>
  <c r="O112" i="52"/>
  <c r="K113" i="52"/>
  <c r="L113" i="52"/>
  <c r="M113" i="52"/>
  <c r="N113" i="52"/>
  <c r="O113" i="52"/>
  <c r="K114" i="52"/>
  <c r="L114" i="52"/>
  <c r="M114" i="52"/>
  <c r="N114" i="52"/>
  <c r="O114" i="52"/>
  <c r="K115" i="52"/>
  <c r="L115" i="52"/>
  <c r="M115" i="52"/>
  <c r="N115" i="52"/>
  <c r="O115" i="52"/>
  <c r="K116" i="52"/>
  <c r="L116" i="52"/>
  <c r="M116" i="52"/>
  <c r="N116" i="52"/>
  <c r="O116" i="52"/>
  <c r="K117" i="52"/>
  <c r="L117" i="52"/>
  <c r="M117" i="52"/>
  <c r="N117" i="52"/>
  <c r="O117" i="52"/>
  <c r="K118" i="52"/>
  <c r="L118" i="52"/>
  <c r="M118" i="52"/>
  <c r="N118" i="52"/>
  <c r="O118" i="52"/>
  <c r="K119" i="52"/>
  <c r="L119" i="52"/>
  <c r="M119" i="52"/>
  <c r="N119" i="52"/>
  <c r="O119" i="52"/>
  <c r="K120" i="52"/>
  <c r="L120" i="52"/>
  <c r="M120" i="52"/>
  <c r="N120" i="52"/>
  <c r="O120" i="52"/>
  <c r="K121" i="52"/>
  <c r="L121" i="52"/>
  <c r="M121" i="52"/>
  <c r="N121" i="52"/>
  <c r="O121" i="52"/>
  <c r="K122" i="52"/>
  <c r="L122" i="52"/>
  <c r="M122" i="52"/>
  <c r="N122" i="52"/>
  <c r="O122" i="52"/>
  <c r="K123" i="52"/>
  <c r="L123" i="52"/>
  <c r="M123" i="52"/>
  <c r="N123" i="52"/>
  <c r="O123" i="52"/>
  <c r="K124" i="52"/>
  <c r="L124" i="52"/>
  <c r="M124" i="52"/>
  <c r="N124" i="52"/>
  <c r="O124" i="52"/>
  <c r="K125" i="52"/>
  <c r="L125" i="52"/>
  <c r="M125" i="52"/>
  <c r="N125" i="52"/>
  <c r="O125" i="52"/>
  <c r="K126" i="52"/>
  <c r="L126" i="52"/>
  <c r="M126" i="52"/>
  <c r="N126" i="52"/>
  <c r="O126" i="52"/>
  <c r="K127" i="52"/>
  <c r="L127" i="52"/>
  <c r="M127" i="52"/>
  <c r="N127" i="52"/>
  <c r="O127" i="52"/>
  <c r="K128" i="52"/>
  <c r="L128" i="52"/>
  <c r="M128" i="52"/>
  <c r="N128" i="52"/>
  <c r="O128" i="52"/>
  <c r="K129" i="52"/>
  <c r="L129" i="52"/>
  <c r="M129" i="52"/>
  <c r="N129" i="52"/>
  <c r="O129" i="52"/>
  <c r="K130" i="52"/>
  <c r="L130" i="52"/>
  <c r="M130" i="52"/>
  <c r="N130" i="52"/>
  <c r="O130" i="52"/>
  <c r="K131" i="52"/>
  <c r="L131" i="52"/>
  <c r="M131" i="52"/>
  <c r="N131" i="52"/>
  <c r="O131" i="52"/>
  <c r="K132" i="52"/>
  <c r="L132" i="52"/>
  <c r="M132" i="52"/>
  <c r="N132" i="52"/>
  <c r="O132" i="52"/>
  <c r="K133" i="52"/>
  <c r="L133" i="52"/>
  <c r="M133" i="52"/>
  <c r="N133" i="52"/>
  <c r="O133" i="52"/>
  <c r="K134" i="52"/>
  <c r="L134" i="52"/>
  <c r="M134" i="52"/>
  <c r="N134" i="52"/>
  <c r="O134" i="52"/>
  <c r="K135" i="52"/>
  <c r="L135" i="52"/>
  <c r="M135" i="52"/>
  <c r="N135" i="52"/>
  <c r="O135" i="52"/>
  <c r="K136" i="52"/>
  <c r="L136" i="52"/>
  <c r="M136" i="52"/>
  <c r="N136" i="52"/>
  <c r="O136" i="52"/>
  <c r="K137" i="52"/>
  <c r="L137" i="52"/>
  <c r="M137" i="52"/>
  <c r="N137" i="52"/>
  <c r="O137" i="52"/>
  <c r="K138" i="52"/>
  <c r="L138" i="52"/>
  <c r="M138" i="52"/>
  <c r="N138" i="52"/>
  <c r="O138" i="52"/>
  <c r="K139" i="52"/>
  <c r="L139" i="52"/>
  <c r="M139" i="52"/>
  <c r="N139" i="52"/>
  <c r="O139" i="52"/>
  <c r="K140" i="52"/>
  <c r="L140" i="52"/>
  <c r="M140" i="52"/>
  <c r="N140" i="52"/>
  <c r="O140" i="52"/>
  <c r="K141" i="52"/>
  <c r="L141" i="52"/>
  <c r="M141" i="52"/>
  <c r="N141" i="52"/>
  <c r="O141" i="52"/>
  <c r="K142" i="52"/>
  <c r="L142" i="52"/>
  <c r="M142" i="52"/>
  <c r="N142" i="52"/>
  <c r="O142" i="52"/>
  <c r="K143" i="52"/>
  <c r="L143" i="52"/>
  <c r="M143" i="52"/>
  <c r="N143" i="52"/>
  <c r="O143" i="52"/>
  <c r="K144" i="52"/>
  <c r="L144" i="52"/>
  <c r="M144" i="52"/>
  <c r="N144" i="52"/>
  <c r="O144" i="52"/>
  <c r="K145" i="52"/>
  <c r="L145" i="52"/>
  <c r="M145" i="52"/>
  <c r="N145" i="52"/>
  <c r="O145" i="52"/>
  <c r="K146" i="52"/>
  <c r="L146" i="52"/>
  <c r="M146" i="52"/>
  <c r="N146" i="52"/>
  <c r="O146" i="52"/>
  <c r="K147" i="52"/>
  <c r="L147" i="52"/>
  <c r="M147" i="52"/>
  <c r="N147" i="52"/>
  <c r="O147" i="52"/>
  <c r="K148" i="52"/>
  <c r="L148" i="52"/>
  <c r="M148" i="52"/>
  <c r="N148" i="52"/>
  <c r="O148" i="52"/>
  <c r="K149" i="52"/>
  <c r="L149" i="52"/>
  <c r="M149" i="52"/>
  <c r="N149" i="52"/>
  <c r="O149" i="52"/>
  <c r="K150" i="52"/>
  <c r="L150" i="52"/>
  <c r="M150" i="52"/>
  <c r="N150" i="52"/>
  <c r="O150" i="52"/>
  <c r="K151" i="52"/>
  <c r="L151" i="52"/>
  <c r="M151" i="52"/>
  <c r="N151" i="52"/>
  <c r="O151" i="52"/>
  <c r="K152" i="52"/>
  <c r="L152" i="52"/>
  <c r="M152" i="52"/>
  <c r="N152" i="52"/>
  <c r="O152" i="52"/>
  <c r="K153" i="52"/>
  <c r="L153" i="52"/>
  <c r="M153" i="52"/>
  <c r="N153" i="52"/>
  <c r="O153" i="52"/>
  <c r="K154" i="52"/>
  <c r="L154" i="52"/>
  <c r="M154" i="52"/>
  <c r="N154" i="52"/>
  <c r="O154" i="52"/>
  <c r="K155" i="52"/>
  <c r="L155" i="52"/>
  <c r="M155" i="52"/>
  <c r="N155" i="52"/>
  <c r="O155" i="52"/>
  <c r="K156" i="52"/>
  <c r="L156" i="52"/>
  <c r="M156" i="52"/>
  <c r="N156" i="52"/>
  <c r="O156" i="52"/>
  <c r="K157" i="52"/>
  <c r="L157" i="52"/>
  <c r="M157" i="52"/>
  <c r="N157" i="52"/>
  <c r="O157" i="52"/>
  <c r="K158" i="52"/>
  <c r="L158" i="52"/>
  <c r="M158" i="52"/>
  <c r="N158" i="52"/>
  <c r="O158" i="52"/>
  <c r="K159" i="52"/>
  <c r="L159" i="52"/>
  <c r="M159" i="52"/>
  <c r="N159" i="52"/>
  <c r="O159" i="52"/>
  <c r="K160" i="52"/>
  <c r="L160" i="52"/>
  <c r="M160" i="52"/>
  <c r="N160" i="52"/>
  <c r="O160" i="52"/>
  <c r="K161" i="52"/>
  <c r="L161" i="52"/>
  <c r="M161" i="52"/>
  <c r="N161" i="52"/>
  <c r="O161" i="52"/>
  <c r="K162" i="52"/>
  <c r="L162" i="52"/>
  <c r="M162" i="52"/>
  <c r="N162" i="52"/>
  <c r="O162" i="52"/>
  <c r="K163" i="52"/>
  <c r="L163" i="52"/>
  <c r="M163" i="52"/>
  <c r="N163" i="52"/>
  <c r="O163" i="52"/>
  <c r="K164" i="52"/>
  <c r="L164" i="52"/>
  <c r="M164" i="52"/>
  <c r="N164" i="52"/>
  <c r="O164" i="52"/>
  <c r="K165" i="52"/>
  <c r="L165" i="52"/>
  <c r="M165" i="52"/>
  <c r="N165" i="52"/>
  <c r="O165" i="52"/>
  <c r="K166" i="52"/>
  <c r="L166" i="52"/>
  <c r="M166" i="52"/>
  <c r="N166" i="52"/>
  <c r="O166" i="52"/>
  <c r="K167" i="52"/>
  <c r="L167" i="52"/>
  <c r="M167" i="52"/>
  <c r="N167" i="52"/>
  <c r="O167" i="52"/>
  <c r="K168" i="52"/>
  <c r="L168" i="52"/>
  <c r="M168" i="52"/>
  <c r="N168" i="52"/>
  <c r="O168" i="52"/>
  <c r="K169" i="52"/>
  <c r="L169" i="52"/>
  <c r="M169" i="52"/>
  <c r="N169" i="52"/>
  <c r="O169" i="52"/>
  <c r="K170" i="52"/>
  <c r="L170" i="52"/>
  <c r="M170" i="52"/>
  <c r="N170" i="52"/>
  <c r="O170" i="52"/>
  <c r="K171" i="52"/>
  <c r="L171" i="52"/>
  <c r="M171" i="52"/>
  <c r="N171" i="52"/>
  <c r="O171" i="52"/>
  <c r="K172" i="52"/>
  <c r="L172" i="52"/>
  <c r="M172" i="52"/>
  <c r="N172" i="52"/>
  <c r="O172" i="52"/>
  <c r="K173" i="52"/>
  <c r="L173" i="52"/>
  <c r="M173" i="52"/>
  <c r="N173" i="52"/>
  <c r="O173" i="52"/>
  <c r="K174" i="52"/>
  <c r="L174" i="52"/>
  <c r="M174" i="52"/>
  <c r="N174" i="52"/>
  <c r="O174" i="52"/>
  <c r="K175" i="52"/>
  <c r="L175" i="52"/>
  <c r="M175" i="52"/>
  <c r="N175" i="52"/>
  <c r="O175" i="52"/>
  <c r="K176" i="52"/>
  <c r="L176" i="52"/>
  <c r="M176" i="52"/>
  <c r="N176" i="52"/>
  <c r="O176" i="52"/>
  <c r="K177" i="52"/>
  <c r="L177" i="52"/>
  <c r="M177" i="52"/>
  <c r="N177" i="52"/>
  <c r="O177" i="52"/>
  <c r="K178" i="52"/>
  <c r="L178" i="52"/>
  <c r="M178" i="52"/>
  <c r="N178" i="52"/>
  <c r="O178" i="52"/>
  <c r="K179" i="52"/>
  <c r="L179" i="52"/>
  <c r="M179" i="52"/>
  <c r="N179" i="52"/>
  <c r="O179" i="52"/>
  <c r="K180" i="52"/>
  <c r="L180" i="52"/>
  <c r="M180" i="52"/>
  <c r="N180" i="52"/>
  <c r="O180" i="52"/>
  <c r="K181" i="52"/>
  <c r="L181" i="52"/>
  <c r="M181" i="52"/>
  <c r="N181" i="52"/>
  <c r="O181" i="52"/>
  <c r="K182" i="52"/>
  <c r="L182" i="52"/>
  <c r="M182" i="52"/>
  <c r="N182" i="52"/>
  <c r="O182" i="52"/>
  <c r="K183" i="52"/>
  <c r="L183" i="52"/>
  <c r="M183" i="52"/>
  <c r="N183" i="52"/>
  <c r="O183" i="52"/>
  <c r="K184" i="52"/>
  <c r="L184" i="52"/>
  <c r="M184" i="52"/>
  <c r="N184" i="52"/>
  <c r="O184" i="52"/>
  <c r="K185" i="52"/>
  <c r="L185" i="52"/>
  <c r="M185" i="52"/>
  <c r="N185" i="52"/>
  <c r="O185" i="52"/>
  <c r="K186" i="52"/>
  <c r="L186" i="52"/>
  <c r="M186" i="52"/>
  <c r="N186" i="52"/>
  <c r="O186" i="52"/>
  <c r="K187" i="52"/>
  <c r="L187" i="52"/>
  <c r="M187" i="52"/>
  <c r="N187" i="52"/>
  <c r="O187" i="52"/>
  <c r="K188" i="52"/>
  <c r="L188" i="52"/>
  <c r="M188" i="52"/>
  <c r="N188" i="52"/>
  <c r="O188" i="52"/>
  <c r="K189" i="52"/>
  <c r="L189" i="52"/>
  <c r="M189" i="52"/>
  <c r="N189" i="52"/>
  <c r="O189" i="52"/>
  <c r="K190" i="52"/>
  <c r="L190" i="52"/>
  <c r="M190" i="52"/>
  <c r="N190" i="52"/>
  <c r="O190" i="52"/>
  <c r="K191" i="52"/>
  <c r="L191" i="52"/>
  <c r="M191" i="52"/>
  <c r="N191" i="52"/>
  <c r="O191" i="52"/>
  <c r="K192" i="52"/>
  <c r="L192" i="52"/>
  <c r="M192" i="52"/>
  <c r="N192" i="52"/>
  <c r="O192" i="52"/>
  <c r="K193" i="52"/>
  <c r="L193" i="52"/>
  <c r="M193" i="52"/>
  <c r="N193" i="52"/>
  <c r="O193" i="52"/>
  <c r="K2" i="51"/>
  <c r="L2" i="51"/>
  <c r="M2" i="51"/>
  <c r="N2" i="51"/>
  <c r="O2" i="51"/>
  <c r="K3" i="51"/>
  <c r="L3" i="51"/>
  <c r="M3" i="51"/>
  <c r="N3" i="51"/>
  <c r="O3" i="51"/>
  <c r="K5" i="51"/>
  <c r="L5" i="51"/>
  <c r="M5" i="51"/>
  <c r="N5" i="51"/>
  <c r="O5" i="51"/>
  <c r="K6" i="51"/>
  <c r="L6" i="51"/>
  <c r="M6" i="51"/>
  <c r="N6" i="51"/>
  <c r="O6" i="51"/>
  <c r="K7" i="51"/>
  <c r="L7" i="51"/>
  <c r="M7" i="51"/>
  <c r="N7" i="51"/>
  <c r="O7" i="51"/>
  <c r="K8" i="51"/>
  <c r="L8" i="51"/>
  <c r="M8" i="51"/>
  <c r="N8" i="51"/>
  <c r="O8" i="51"/>
  <c r="K9" i="51"/>
  <c r="L9" i="51"/>
  <c r="M9" i="51"/>
  <c r="N9" i="51"/>
  <c r="O9" i="51"/>
  <c r="K10" i="51"/>
  <c r="L10" i="51"/>
  <c r="M10" i="51"/>
  <c r="N10" i="51"/>
  <c r="O10" i="51"/>
  <c r="K11" i="51"/>
  <c r="L11" i="51"/>
  <c r="M11" i="51"/>
  <c r="N11" i="51"/>
  <c r="O11" i="51"/>
  <c r="K12" i="51"/>
  <c r="L12" i="51"/>
  <c r="M12" i="51"/>
  <c r="N12" i="51"/>
  <c r="O12" i="51"/>
  <c r="K13" i="51"/>
  <c r="L13" i="51"/>
  <c r="M13" i="51"/>
  <c r="N13" i="51"/>
  <c r="O13" i="51"/>
  <c r="K14" i="51"/>
  <c r="L14" i="51"/>
  <c r="M14" i="51"/>
  <c r="N14" i="51"/>
  <c r="O14" i="51"/>
  <c r="K15" i="51"/>
  <c r="L15" i="51"/>
  <c r="M15" i="51"/>
  <c r="N15" i="51"/>
  <c r="O15" i="51"/>
  <c r="K16" i="51"/>
  <c r="L16" i="51"/>
  <c r="M16" i="51"/>
  <c r="N16" i="51"/>
  <c r="O16" i="51"/>
  <c r="K17" i="51"/>
  <c r="L17" i="51"/>
  <c r="M17" i="51"/>
  <c r="N17" i="51"/>
  <c r="O17" i="51"/>
  <c r="K18" i="51"/>
  <c r="L18" i="51"/>
  <c r="M18" i="51"/>
  <c r="N18" i="51"/>
  <c r="O18" i="51"/>
  <c r="K19" i="51"/>
  <c r="L19" i="51"/>
  <c r="M19" i="51"/>
  <c r="N19" i="51"/>
  <c r="O19" i="51"/>
  <c r="K20" i="51"/>
  <c r="L20" i="51"/>
  <c r="M20" i="51"/>
  <c r="N20" i="51"/>
  <c r="O20" i="51"/>
  <c r="K21" i="51"/>
  <c r="L21" i="51"/>
  <c r="M21" i="51"/>
  <c r="N21" i="51"/>
  <c r="O21" i="51"/>
  <c r="K22" i="51"/>
  <c r="L22" i="51"/>
  <c r="M22" i="51"/>
  <c r="N22" i="51"/>
  <c r="O22" i="51"/>
  <c r="K23" i="51"/>
  <c r="L23" i="51"/>
  <c r="M23" i="51"/>
  <c r="N23" i="51"/>
  <c r="O23" i="51"/>
  <c r="K24" i="51"/>
  <c r="L24" i="51"/>
  <c r="M24" i="51"/>
  <c r="N24" i="51"/>
  <c r="O24" i="51"/>
  <c r="K25" i="51"/>
  <c r="L25" i="51"/>
  <c r="M25" i="51"/>
  <c r="N25" i="51"/>
  <c r="O25" i="51"/>
  <c r="K26" i="51"/>
  <c r="L26" i="51"/>
  <c r="M26" i="51"/>
  <c r="N26" i="51"/>
  <c r="O26" i="51"/>
  <c r="K27" i="51"/>
  <c r="L27" i="51"/>
  <c r="M27" i="51"/>
  <c r="N27" i="51"/>
  <c r="O27" i="51"/>
  <c r="K28" i="51"/>
  <c r="L28" i="51"/>
  <c r="M28" i="51"/>
  <c r="N28" i="51"/>
  <c r="O28" i="51"/>
  <c r="K29" i="51"/>
  <c r="L29" i="51"/>
  <c r="M29" i="51"/>
  <c r="N29" i="51"/>
  <c r="O29" i="51"/>
  <c r="K30" i="51"/>
  <c r="L30" i="51"/>
  <c r="M30" i="51"/>
  <c r="N30" i="51"/>
  <c r="O30" i="51"/>
  <c r="K31" i="51"/>
  <c r="L31" i="51"/>
  <c r="M31" i="51"/>
  <c r="N31" i="51"/>
  <c r="O31" i="51"/>
  <c r="K32" i="51"/>
  <c r="L32" i="51"/>
  <c r="M32" i="51"/>
  <c r="N32" i="51"/>
  <c r="O32" i="51"/>
  <c r="K33" i="51"/>
  <c r="L33" i="51"/>
  <c r="M33" i="51"/>
  <c r="N33" i="51"/>
  <c r="O33" i="51"/>
  <c r="K34" i="51"/>
  <c r="L34" i="51"/>
  <c r="M34" i="51"/>
  <c r="N34" i="51"/>
  <c r="O34" i="51"/>
  <c r="K35" i="51"/>
  <c r="L35" i="51"/>
  <c r="M35" i="51"/>
  <c r="N35" i="51"/>
  <c r="O35" i="51"/>
  <c r="K36" i="51"/>
  <c r="L36" i="51"/>
  <c r="M36" i="51"/>
  <c r="N36" i="51"/>
  <c r="O36" i="51"/>
  <c r="K37" i="51"/>
  <c r="L37" i="51"/>
  <c r="M37" i="51"/>
  <c r="N37" i="51"/>
  <c r="O37" i="51"/>
  <c r="K38" i="51"/>
  <c r="L38" i="51"/>
  <c r="M38" i="51"/>
  <c r="N38" i="51"/>
  <c r="O38" i="51"/>
  <c r="K39" i="51"/>
  <c r="L39" i="51"/>
  <c r="M39" i="51"/>
  <c r="N39" i="51"/>
  <c r="O39" i="51"/>
  <c r="K40" i="51"/>
  <c r="L40" i="51"/>
  <c r="M40" i="51"/>
  <c r="N40" i="51"/>
  <c r="O40" i="51"/>
  <c r="K41" i="51"/>
  <c r="L41" i="51"/>
  <c r="M41" i="51"/>
  <c r="N41" i="51"/>
  <c r="O41" i="51"/>
  <c r="K42" i="51"/>
  <c r="L42" i="51"/>
  <c r="M42" i="51"/>
  <c r="N42" i="51"/>
  <c r="O42" i="51"/>
  <c r="K43" i="51"/>
  <c r="L43" i="51"/>
  <c r="M43" i="51"/>
  <c r="N43" i="51"/>
  <c r="O43" i="51"/>
  <c r="K44" i="51"/>
  <c r="L44" i="51"/>
  <c r="M44" i="51"/>
  <c r="N44" i="51"/>
  <c r="O44" i="51"/>
  <c r="K45" i="51"/>
  <c r="L45" i="51"/>
  <c r="M45" i="51"/>
  <c r="N45" i="51"/>
  <c r="O45" i="51"/>
  <c r="K46" i="51"/>
  <c r="L46" i="51"/>
  <c r="M46" i="51"/>
  <c r="N46" i="51"/>
  <c r="O46" i="51"/>
  <c r="K47" i="51"/>
  <c r="L47" i="51"/>
  <c r="M47" i="51"/>
  <c r="N47" i="51"/>
  <c r="O47" i="51"/>
  <c r="K48" i="51"/>
  <c r="L48" i="51"/>
  <c r="M48" i="51"/>
  <c r="N48" i="51"/>
  <c r="O48" i="51"/>
  <c r="K49" i="51"/>
  <c r="L49" i="51"/>
  <c r="M49" i="51"/>
  <c r="N49" i="51"/>
  <c r="O49" i="51"/>
  <c r="K50" i="51"/>
  <c r="L50" i="51"/>
  <c r="M50" i="51"/>
  <c r="N50" i="51"/>
  <c r="O50" i="51"/>
  <c r="K51" i="51"/>
  <c r="L51" i="51"/>
  <c r="M51" i="51"/>
  <c r="N51" i="51"/>
  <c r="O51" i="51"/>
  <c r="K52" i="51"/>
  <c r="L52" i="51"/>
  <c r="M52" i="51"/>
  <c r="N52" i="51"/>
  <c r="O52" i="51"/>
  <c r="K53" i="51"/>
  <c r="L53" i="51"/>
  <c r="M53" i="51"/>
  <c r="N53" i="51"/>
  <c r="O53" i="51"/>
  <c r="K54" i="51"/>
  <c r="L54" i="51"/>
  <c r="M54" i="51"/>
  <c r="N54" i="51"/>
  <c r="O54" i="51"/>
  <c r="K55" i="51"/>
  <c r="L55" i="51"/>
  <c r="M55" i="51"/>
  <c r="N55" i="51"/>
  <c r="O55" i="51"/>
  <c r="K56" i="51"/>
  <c r="L56" i="51"/>
  <c r="M56" i="51"/>
  <c r="N56" i="51"/>
  <c r="O56" i="51"/>
  <c r="K57" i="51"/>
  <c r="L57" i="51"/>
  <c r="M57" i="51"/>
  <c r="N57" i="51"/>
  <c r="O57" i="51"/>
  <c r="K58" i="51"/>
  <c r="L58" i="51"/>
  <c r="M58" i="51"/>
  <c r="N58" i="51"/>
  <c r="O58" i="51"/>
  <c r="K59" i="51"/>
  <c r="L59" i="51"/>
  <c r="M59" i="51"/>
  <c r="N59" i="51"/>
  <c r="O59" i="51"/>
  <c r="K60" i="51"/>
  <c r="L60" i="51"/>
  <c r="M60" i="51"/>
  <c r="N60" i="51"/>
  <c r="O60" i="51"/>
  <c r="K61" i="51"/>
  <c r="L61" i="51"/>
  <c r="M61" i="51"/>
  <c r="N61" i="51"/>
  <c r="O61" i="51"/>
  <c r="K62" i="51"/>
  <c r="L62" i="51"/>
  <c r="M62" i="51"/>
  <c r="N62" i="51"/>
  <c r="O62" i="51"/>
  <c r="K63" i="51"/>
  <c r="L63" i="51"/>
  <c r="M63" i="51"/>
  <c r="N63" i="51"/>
  <c r="O63" i="51"/>
  <c r="K64" i="51"/>
  <c r="L64" i="51"/>
  <c r="M64" i="51"/>
  <c r="N64" i="51"/>
  <c r="O64" i="51"/>
  <c r="K65" i="51"/>
  <c r="L65" i="51"/>
  <c r="M65" i="51"/>
  <c r="N65" i="51"/>
  <c r="O65" i="51"/>
  <c r="K66" i="51"/>
  <c r="L66" i="51"/>
  <c r="M66" i="51"/>
  <c r="N66" i="51"/>
  <c r="O66" i="51"/>
  <c r="K67" i="51"/>
  <c r="L67" i="51"/>
  <c r="M67" i="51"/>
  <c r="N67" i="51"/>
  <c r="O67" i="51"/>
  <c r="K68" i="51"/>
  <c r="L68" i="51"/>
  <c r="M68" i="51"/>
  <c r="N68" i="51"/>
  <c r="O68" i="51"/>
  <c r="K69" i="51"/>
  <c r="L69" i="51"/>
  <c r="M69" i="51"/>
  <c r="N69" i="51"/>
  <c r="O69" i="51"/>
  <c r="K70" i="51"/>
  <c r="L70" i="51"/>
  <c r="M70" i="51"/>
  <c r="N70" i="51"/>
  <c r="O70" i="51"/>
  <c r="K71" i="51"/>
  <c r="L71" i="51"/>
  <c r="M71" i="51"/>
  <c r="N71" i="51"/>
  <c r="O71" i="51"/>
  <c r="K72" i="51"/>
  <c r="L72" i="51"/>
  <c r="M72" i="51"/>
  <c r="N72" i="51"/>
  <c r="O72" i="51"/>
  <c r="K73" i="51"/>
  <c r="L73" i="51"/>
  <c r="M73" i="51"/>
  <c r="N73" i="51"/>
  <c r="O73" i="51"/>
  <c r="K74" i="51"/>
  <c r="L74" i="51"/>
  <c r="M74" i="51"/>
  <c r="N74" i="51"/>
  <c r="O74" i="51"/>
  <c r="K75" i="51"/>
  <c r="L75" i="51"/>
  <c r="M75" i="51"/>
  <c r="N75" i="51"/>
  <c r="O75" i="51"/>
  <c r="K76" i="51"/>
  <c r="L76" i="51"/>
  <c r="M76" i="51"/>
  <c r="N76" i="51"/>
  <c r="O76" i="51"/>
  <c r="K77" i="51"/>
  <c r="L77" i="51"/>
  <c r="M77" i="51"/>
  <c r="N77" i="51"/>
  <c r="O77" i="51"/>
  <c r="K78" i="51"/>
  <c r="L78" i="51"/>
  <c r="M78" i="51"/>
  <c r="N78" i="51"/>
  <c r="O78" i="51"/>
  <c r="K79" i="51"/>
  <c r="L79" i="51"/>
  <c r="M79" i="51"/>
  <c r="N79" i="51"/>
  <c r="O79" i="51"/>
  <c r="K80" i="51"/>
  <c r="L80" i="51"/>
  <c r="M80" i="51"/>
  <c r="N80" i="51"/>
  <c r="O80" i="51"/>
  <c r="K81" i="51"/>
  <c r="L81" i="51"/>
  <c r="M81" i="51"/>
  <c r="N81" i="51"/>
  <c r="O81" i="51"/>
  <c r="K82" i="51"/>
  <c r="L82" i="51"/>
  <c r="M82" i="51"/>
  <c r="N82" i="51"/>
  <c r="O82" i="51"/>
  <c r="K83" i="51"/>
  <c r="L83" i="51"/>
  <c r="M83" i="51"/>
  <c r="N83" i="51"/>
  <c r="O83" i="51"/>
  <c r="K85" i="51"/>
  <c r="L85" i="51"/>
  <c r="M85" i="51"/>
  <c r="N85" i="51"/>
  <c r="O85" i="51"/>
  <c r="K86" i="51"/>
  <c r="L86" i="51"/>
  <c r="M86" i="51"/>
  <c r="N86" i="51"/>
  <c r="O86" i="51"/>
  <c r="K87" i="51"/>
  <c r="L87" i="51"/>
  <c r="M87" i="51"/>
  <c r="N87" i="51"/>
  <c r="O87" i="51"/>
  <c r="K88" i="51"/>
  <c r="L88" i="51"/>
  <c r="M88" i="51"/>
  <c r="N88" i="51"/>
  <c r="O88" i="51"/>
  <c r="K89" i="51"/>
  <c r="L89" i="51"/>
  <c r="M89" i="51"/>
  <c r="N89" i="51"/>
  <c r="O89" i="51"/>
  <c r="K90" i="51"/>
  <c r="L90" i="51"/>
  <c r="M90" i="51"/>
  <c r="N90" i="51"/>
  <c r="O90" i="51"/>
  <c r="K91" i="51"/>
  <c r="L91" i="51"/>
  <c r="M91" i="51"/>
  <c r="N91" i="51"/>
  <c r="O91" i="51"/>
  <c r="K92" i="51"/>
  <c r="L92" i="51"/>
  <c r="M92" i="51"/>
  <c r="N92" i="51"/>
  <c r="O92" i="51"/>
  <c r="K93" i="51"/>
  <c r="L93" i="51"/>
  <c r="M93" i="51"/>
  <c r="N93" i="51"/>
  <c r="O93" i="51"/>
  <c r="K94" i="51"/>
  <c r="L94" i="51"/>
  <c r="M94" i="51"/>
  <c r="N94" i="51"/>
  <c r="O94" i="51"/>
  <c r="K95" i="51"/>
  <c r="L95" i="51"/>
  <c r="M95" i="51"/>
  <c r="N95" i="51"/>
  <c r="O95" i="51"/>
  <c r="K96" i="51"/>
  <c r="L96" i="51"/>
  <c r="M96" i="51"/>
  <c r="N96" i="51"/>
  <c r="O96" i="51"/>
  <c r="K97" i="51"/>
  <c r="L97" i="51"/>
  <c r="M97" i="51"/>
  <c r="N97" i="51"/>
  <c r="O97" i="51"/>
  <c r="K98" i="51"/>
  <c r="L98" i="51"/>
  <c r="M98" i="51"/>
  <c r="N98" i="51"/>
  <c r="O98" i="51"/>
  <c r="K99" i="51"/>
  <c r="L99" i="51"/>
  <c r="M99" i="51"/>
  <c r="N99" i="51"/>
  <c r="O99" i="51"/>
  <c r="K100" i="51"/>
  <c r="L100" i="51"/>
  <c r="M100" i="51"/>
  <c r="N100" i="51"/>
  <c r="O100" i="51"/>
  <c r="K101" i="51"/>
  <c r="L101" i="51"/>
  <c r="M101" i="51"/>
  <c r="N101" i="51"/>
  <c r="O101" i="51"/>
  <c r="K102" i="51"/>
  <c r="L102" i="51"/>
  <c r="M102" i="51"/>
  <c r="N102" i="51"/>
  <c r="O102" i="51"/>
  <c r="K103" i="51"/>
  <c r="L103" i="51"/>
  <c r="M103" i="51"/>
  <c r="N103" i="51"/>
  <c r="O103" i="51"/>
  <c r="K104" i="51"/>
  <c r="L104" i="51"/>
  <c r="M104" i="51"/>
  <c r="N104" i="51"/>
  <c r="O104" i="51"/>
  <c r="K105" i="51"/>
  <c r="L105" i="51"/>
  <c r="M105" i="51"/>
  <c r="N105" i="51"/>
  <c r="O105" i="51"/>
  <c r="K106" i="51"/>
  <c r="L106" i="51"/>
  <c r="M106" i="51"/>
  <c r="N106" i="51"/>
  <c r="O106" i="51"/>
  <c r="K107" i="51"/>
  <c r="L107" i="51"/>
  <c r="M107" i="51"/>
  <c r="N107" i="51"/>
  <c r="O107" i="51"/>
  <c r="K108" i="51"/>
  <c r="L108" i="51"/>
  <c r="M108" i="51"/>
  <c r="N108" i="51"/>
  <c r="O108" i="51"/>
  <c r="K109" i="51"/>
  <c r="L109" i="51"/>
  <c r="M109" i="51"/>
  <c r="N109" i="51"/>
  <c r="O109" i="51"/>
  <c r="K110" i="51"/>
  <c r="L110" i="51"/>
  <c r="M110" i="51"/>
  <c r="N110" i="51"/>
  <c r="O110" i="51"/>
  <c r="K111" i="51"/>
  <c r="L111" i="51"/>
  <c r="M111" i="51"/>
  <c r="N111" i="51"/>
  <c r="O111" i="51"/>
  <c r="K112" i="51"/>
  <c r="L112" i="51"/>
  <c r="M112" i="51"/>
  <c r="N112" i="51"/>
  <c r="O112" i="51"/>
  <c r="K113" i="51"/>
  <c r="L113" i="51"/>
  <c r="M113" i="51"/>
  <c r="N113" i="51"/>
  <c r="O113" i="51"/>
  <c r="K114" i="51"/>
  <c r="L114" i="51"/>
  <c r="M114" i="51"/>
  <c r="N114" i="51"/>
  <c r="O114" i="51"/>
  <c r="K115" i="51"/>
  <c r="L115" i="51"/>
  <c r="M115" i="51"/>
  <c r="N115" i="51"/>
  <c r="O115" i="51"/>
  <c r="K116" i="51"/>
  <c r="L116" i="51"/>
  <c r="M116" i="51"/>
  <c r="N116" i="51"/>
  <c r="O116" i="51"/>
  <c r="K117" i="51"/>
  <c r="L117" i="51"/>
  <c r="M117" i="51"/>
  <c r="N117" i="51"/>
  <c r="O117" i="51"/>
  <c r="K118" i="51"/>
  <c r="L118" i="51"/>
  <c r="M118" i="51"/>
  <c r="N118" i="51"/>
  <c r="O118" i="51"/>
  <c r="K119" i="51"/>
  <c r="L119" i="51"/>
  <c r="M119" i="51"/>
  <c r="N119" i="51"/>
  <c r="O119" i="51"/>
  <c r="K120" i="51"/>
  <c r="L120" i="51"/>
  <c r="M120" i="51"/>
  <c r="N120" i="51"/>
  <c r="O120" i="51"/>
  <c r="K121" i="51"/>
  <c r="L121" i="51"/>
  <c r="M121" i="51"/>
  <c r="N121" i="51"/>
  <c r="O121" i="51"/>
  <c r="K122" i="51"/>
  <c r="L122" i="51"/>
  <c r="M122" i="51"/>
  <c r="N122" i="51"/>
  <c r="O122" i="51"/>
  <c r="K123" i="51"/>
  <c r="L123" i="51"/>
  <c r="M123" i="51"/>
  <c r="N123" i="51"/>
  <c r="O123" i="51"/>
  <c r="K124" i="51"/>
  <c r="L124" i="51"/>
  <c r="M124" i="51"/>
  <c r="N124" i="51"/>
  <c r="O124" i="51"/>
  <c r="K125" i="51"/>
  <c r="L125" i="51"/>
  <c r="M125" i="51"/>
  <c r="N125" i="51"/>
  <c r="O125" i="51"/>
  <c r="K126" i="51"/>
  <c r="L126" i="51"/>
  <c r="M126" i="51"/>
  <c r="N126" i="51"/>
  <c r="O126" i="51"/>
  <c r="K127" i="51"/>
  <c r="L127" i="51"/>
  <c r="M127" i="51"/>
  <c r="N127" i="51"/>
  <c r="O127" i="51"/>
  <c r="K128" i="51"/>
  <c r="L128" i="51"/>
  <c r="M128" i="51"/>
  <c r="N128" i="51"/>
  <c r="O128" i="51"/>
  <c r="K129" i="51"/>
  <c r="L129" i="51"/>
  <c r="M129" i="51"/>
  <c r="N129" i="51"/>
  <c r="O129" i="51"/>
  <c r="K130" i="51"/>
  <c r="L130" i="51"/>
  <c r="M130" i="51"/>
  <c r="N130" i="51"/>
  <c r="O130" i="51"/>
  <c r="K131" i="51"/>
  <c r="L131" i="51"/>
  <c r="M131" i="51"/>
  <c r="N131" i="51"/>
  <c r="O131" i="51"/>
  <c r="K132" i="51"/>
  <c r="L132" i="51"/>
  <c r="M132" i="51"/>
  <c r="N132" i="51"/>
  <c r="O132" i="51"/>
  <c r="K133" i="51"/>
  <c r="L133" i="51"/>
  <c r="M133" i="51"/>
  <c r="N133" i="51"/>
  <c r="O133" i="51"/>
  <c r="K134" i="51"/>
  <c r="L134" i="51"/>
  <c r="M134" i="51"/>
  <c r="N134" i="51"/>
  <c r="O134" i="51"/>
  <c r="K135" i="51"/>
  <c r="L135" i="51"/>
  <c r="M135" i="51"/>
  <c r="N135" i="51"/>
  <c r="O135" i="51"/>
  <c r="K137" i="51"/>
  <c r="L137" i="51"/>
  <c r="M137" i="51"/>
  <c r="N137" i="51"/>
  <c r="O137" i="51"/>
  <c r="K138" i="51"/>
  <c r="L138" i="51"/>
  <c r="M138" i="51"/>
  <c r="N138" i="51"/>
  <c r="O138" i="51"/>
  <c r="K139" i="51"/>
  <c r="L139" i="51"/>
  <c r="M139" i="51"/>
  <c r="N139" i="51"/>
  <c r="O139" i="51"/>
  <c r="K140" i="51"/>
  <c r="L140" i="51"/>
  <c r="M140" i="51"/>
  <c r="N140" i="51"/>
  <c r="O140" i="51"/>
  <c r="K141" i="51"/>
  <c r="L141" i="51"/>
  <c r="M141" i="51"/>
  <c r="N141" i="51"/>
  <c r="O141" i="51"/>
  <c r="K142" i="51"/>
  <c r="L142" i="51"/>
  <c r="M142" i="51"/>
  <c r="N142" i="51"/>
  <c r="O142" i="51"/>
  <c r="K143" i="51"/>
  <c r="L143" i="51"/>
  <c r="M143" i="51"/>
  <c r="N143" i="51"/>
  <c r="O143" i="51"/>
  <c r="K144" i="51"/>
  <c r="L144" i="51"/>
  <c r="M144" i="51"/>
  <c r="N144" i="51"/>
  <c r="O144" i="51"/>
  <c r="K145" i="51"/>
  <c r="L145" i="51"/>
  <c r="M145" i="51"/>
  <c r="N145" i="51"/>
  <c r="O145" i="51"/>
  <c r="K146" i="51"/>
  <c r="L146" i="51"/>
  <c r="M146" i="51"/>
  <c r="N146" i="51"/>
  <c r="O146" i="51"/>
  <c r="K147" i="51"/>
  <c r="L147" i="51"/>
  <c r="M147" i="51"/>
  <c r="N147" i="51"/>
  <c r="O147" i="51"/>
  <c r="K148" i="51"/>
  <c r="L148" i="51"/>
  <c r="M148" i="51"/>
  <c r="N148" i="51"/>
  <c r="O148" i="51"/>
  <c r="K149" i="51"/>
  <c r="L149" i="51"/>
  <c r="M149" i="51"/>
  <c r="N149" i="51"/>
  <c r="O149" i="51"/>
  <c r="K150" i="51"/>
  <c r="L150" i="51"/>
  <c r="M150" i="51"/>
  <c r="N150" i="51"/>
  <c r="O150" i="51"/>
  <c r="K151" i="51"/>
  <c r="L151" i="51"/>
  <c r="M151" i="51"/>
  <c r="N151" i="51"/>
  <c r="O151" i="51"/>
  <c r="L2" i="50"/>
  <c r="M2" i="50"/>
  <c r="N2" i="50"/>
  <c r="O2" i="50"/>
  <c r="P2" i="50"/>
  <c r="Q2" i="50"/>
  <c r="L3" i="50"/>
  <c r="M3" i="50"/>
  <c r="N3" i="50"/>
  <c r="O3" i="50"/>
  <c r="P3" i="50"/>
  <c r="Q3" i="50"/>
  <c r="L4" i="50"/>
  <c r="M4" i="50"/>
  <c r="N4" i="50"/>
  <c r="O4" i="50"/>
  <c r="P4" i="50"/>
  <c r="Q4" i="50"/>
  <c r="L5" i="50"/>
  <c r="M5" i="50"/>
  <c r="N5" i="50"/>
  <c r="O5" i="50"/>
  <c r="P5" i="50"/>
  <c r="Q5" i="50"/>
  <c r="L6" i="50"/>
  <c r="M6" i="50"/>
  <c r="N6" i="50"/>
  <c r="O6" i="50"/>
  <c r="P6" i="50"/>
  <c r="Q6" i="50"/>
  <c r="L7" i="50"/>
  <c r="M7" i="50"/>
  <c r="N7" i="50"/>
  <c r="O7" i="50"/>
  <c r="P7" i="50"/>
  <c r="Q7" i="50"/>
  <c r="L8" i="50"/>
  <c r="M8" i="50"/>
  <c r="N8" i="50"/>
  <c r="O8" i="50"/>
  <c r="P8" i="50"/>
  <c r="Q8" i="50"/>
  <c r="L9" i="50"/>
  <c r="M9" i="50"/>
  <c r="N9" i="50"/>
  <c r="O9" i="50"/>
  <c r="P9" i="50"/>
  <c r="Q9" i="50"/>
  <c r="L10" i="50"/>
  <c r="M10" i="50"/>
  <c r="N10" i="50"/>
  <c r="O10" i="50"/>
  <c r="P10" i="50"/>
  <c r="Q10" i="50"/>
  <c r="L11" i="50"/>
  <c r="M11" i="50"/>
  <c r="N11" i="50"/>
  <c r="O11" i="50"/>
  <c r="P11" i="50"/>
  <c r="Q11" i="50"/>
  <c r="L12" i="50"/>
  <c r="M12" i="50"/>
  <c r="N12" i="50"/>
  <c r="O12" i="50"/>
  <c r="P12" i="50"/>
  <c r="Q12" i="50"/>
  <c r="L13" i="50"/>
  <c r="M13" i="50"/>
  <c r="N13" i="50"/>
  <c r="O13" i="50"/>
  <c r="P13" i="50"/>
  <c r="Q13" i="50"/>
  <c r="L14" i="50"/>
  <c r="M14" i="50"/>
  <c r="N14" i="50"/>
  <c r="O14" i="50"/>
  <c r="P14" i="50"/>
  <c r="Q14" i="50"/>
  <c r="L15" i="50"/>
  <c r="M15" i="50"/>
  <c r="N15" i="50"/>
  <c r="O15" i="50"/>
  <c r="P15" i="50"/>
  <c r="Q15" i="50"/>
  <c r="L16" i="50"/>
  <c r="M16" i="50"/>
  <c r="N16" i="50"/>
  <c r="O16" i="50"/>
  <c r="P16" i="50"/>
  <c r="Q16" i="50"/>
  <c r="L17" i="50"/>
  <c r="M17" i="50"/>
  <c r="N17" i="50"/>
  <c r="O17" i="50"/>
  <c r="P17" i="50"/>
  <c r="Q17" i="50"/>
  <c r="L18" i="50"/>
  <c r="M18" i="50"/>
  <c r="N18" i="50"/>
  <c r="O18" i="50"/>
  <c r="P18" i="50"/>
  <c r="Q18" i="50"/>
  <c r="L19" i="50"/>
  <c r="M19" i="50"/>
  <c r="N19" i="50"/>
  <c r="O19" i="50"/>
  <c r="P19" i="50"/>
  <c r="Q19" i="50"/>
  <c r="L20" i="50"/>
  <c r="M20" i="50"/>
  <c r="N20" i="50"/>
  <c r="O20" i="50"/>
  <c r="P20" i="50"/>
  <c r="Q20" i="50"/>
  <c r="L21" i="50"/>
  <c r="M21" i="50"/>
  <c r="N21" i="50"/>
  <c r="O21" i="50"/>
  <c r="P21" i="50"/>
  <c r="Q21" i="50"/>
  <c r="L22" i="50"/>
  <c r="M22" i="50"/>
  <c r="N22" i="50"/>
  <c r="O22" i="50"/>
  <c r="P22" i="50"/>
  <c r="Q22" i="50"/>
  <c r="L23" i="50"/>
  <c r="M23" i="50"/>
  <c r="N23" i="50"/>
  <c r="O23" i="50"/>
  <c r="P23" i="50"/>
  <c r="Q23" i="50"/>
  <c r="L24" i="50"/>
  <c r="M24" i="50"/>
  <c r="N24" i="50"/>
  <c r="O24" i="50"/>
  <c r="P24" i="50"/>
  <c r="Q24" i="50"/>
  <c r="L25" i="50"/>
  <c r="M25" i="50"/>
  <c r="N25" i="50"/>
  <c r="O25" i="50"/>
  <c r="P25" i="50"/>
  <c r="Q25" i="50"/>
  <c r="L26" i="50"/>
  <c r="M26" i="50"/>
  <c r="N26" i="50"/>
  <c r="O26" i="50"/>
  <c r="P26" i="50"/>
  <c r="Q26" i="50"/>
  <c r="L27" i="50"/>
  <c r="M27" i="50"/>
  <c r="N27" i="50"/>
  <c r="O27" i="50"/>
  <c r="P27" i="50"/>
  <c r="Q27" i="50"/>
  <c r="L28" i="50"/>
  <c r="M28" i="50"/>
  <c r="N28" i="50"/>
  <c r="O28" i="50"/>
  <c r="P28" i="50"/>
  <c r="Q28" i="50"/>
  <c r="L29" i="50"/>
  <c r="M29" i="50"/>
  <c r="N29" i="50"/>
  <c r="O29" i="50"/>
  <c r="P29" i="50"/>
  <c r="Q29" i="50"/>
  <c r="L30" i="50"/>
  <c r="M30" i="50"/>
  <c r="N30" i="50"/>
  <c r="O30" i="50"/>
  <c r="P30" i="50"/>
  <c r="Q30" i="50"/>
  <c r="L31" i="50"/>
  <c r="M31" i="50"/>
  <c r="N31" i="50"/>
  <c r="O31" i="50"/>
  <c r="P31" i="50"/>
  <c r="Q31" i="50"/>
  <c r="L32" i="50"/>
  <c r="M32" i="50"/>
  <c r="N32" i="50"/>
  <c r="O32" i="50"/>
  <c r="P32" i="50"/>
  <c r="Q32" i="50"/>
  <c r="L33" i="50"/>
  <c r="M33" i="50"/>
  <c r="N33" i="50"/>
  <c r="O33" i="50"/>
  <c r="P33" i="50"/>
  <c r="Q33" i="50"/>
  <c r="L34" i="50"/>
  <c r="M34" i="50"/>
  <c r="N34" i="50"/>
  <c r="O34" i="50"/>
  <c r="P34" i="50"/>
  <c r="Q34" i="50"/>
  <c r="L35" i="50"/>
  <c r="M35" i="50"/>
  <c r="N35" i="50"/>
  <c r="O35" i="50"/>
  <c r="P35" i="50"/>
  <c r="Q35" i="50"/>
  <c r="L36" i="50"/>
  <c r="M36" i="50"/>
  <c r="N36" i="50"/>
  <c r="O36" i="50"/>
  <c r="P36" i="50"/>
  <c r="Q36" i="50"/>
  <c r="L37" i="50"/>
  <c r="M37" i="50"/>
  <c r="N37" i="50"/>
  <c r="O37" i="50"/>
  <c r="P37" i="50"/>
  <c r="Q37" i="50"/>
  <c r="L38" i="50"/>
  <c r="M38" i="50"/>
  <c r="N38" i="50"/>
  <c r="O38" i="50"/>
  <c r="P38" i="50"/>
  <c r="Q38" i="50"/>
  <c r="L39" i="50"/>
  <c r="M39" i="50"/>
  <c r="N39" i="50"/>
  <c r="O39" i="50"/>
  <c r="P39" i="50"/>
  <c r="Q39" i="50"/>
  <c r="L40" i="50"/>
  <c r="M40" i="50"/>
  <c r="N40" i="50"/>
  <c r="O40" i="50"/>
  <c r="P40" i="50"/>
  <c r="Q40" i="50"/>
  <c r="L41" i="50"/>
  <c r="M41" i="50"/>
  <c r="N41" i="50"/>
  <c r="O41" i="50"/>
  <c r="P41" i="50"/>
  <c r="Q41" i="50"/>
  <c r="L42" i="50"/>
  <c r="M42" i="50"/>
  <c r="N42" i="50"/>
  <c r="O42" i="50"/>
  <c r="P42" i="50"/>
  <c r="Q42" i="50"/>
  <c r="L43" i="50"/>
  <c r="M43" i="50"/>
  <c r="N43" i="50"/>
  <c r="O43" i="50"/>
  <c r="P43" i="50"/>
  <c r="Q43" i="50"/>
  <c r="L44" i="50"/>
  <c r="M44" i="50"/>
  <c r="N44" i="50"/>
  <c r="O44" i="50"/>
  <c r="P44" i="50"/>
  <c r="Q44" i="50"/>
  <c r="L45" i="50"/>
  <c r="M45" i="50"/>
  <c r="N45" i="50"/>
  <c r="O45" i="50"/>
  <c r="P45" i="50"/>
  <c r="Q45" i="50"/>
  <c r="L46" i="50"/>
  <c r="M46" i="50"/>
  <c r="N46" i="50"/>
  <c r="O46" i="50"/>
  <c r="P46" i="50"/>
  <c r="Q46" i="50"/>
  <c r="L47" i="50"/>
  <c r="M47" i="50"/>
  <c r="N47" i="50"/>
  <c r="O47" i="50"/>
  <c r="P47" i="50"/>
  <c r="Q47" i="50"/>
  <c r="L48" i="50"/>
  <c r="M48" i="50"/>
  <c r="N48" i="50"/>
  <c r="O48" i="50"/>
  <c r="P48" i="50"/>
  <c r="Q48" i="50"/>
  <c r="L49" i="50"/>
  <c r="M49" i="50"/>
  <c r="N49" i="50"/>
  <c r="O49" i="50"/>
  <c r="P49" i="50"/>
  <c r="Q49" i="50"/>
  <c r="L50" i="50"/>
  <c r="M50" i="50"/>
  <c r="N50" i="50"/>
  <c r="O50" i="50"/>
  <c r="P50" i="50"/>
  <c r="Q50" i="50"/>
  <c r="L51" i="50"/>
  <c r="M51" i="50"/>
  <c r="N51" i="50"/>
  <c r="O51" i="50"/>
  <c r="P51" i="50"/>
  <c r="Q51" i="50"/>
  <c r="L52" i="50"/>
  <c r="M52" i="50"/>
  <c r="N52" i="50"/>
  <c r="O52" i="50"/>
  <c r="P52" i="50"/>
  <c r="Q52" i="50"/>
  <c r="L53" i="50"/>
  <c r="M53" i="50"/>
  <c r="N53" i="50"/>
  <c r="O53" i="50"/>
  <c r="P53" i="50"/>
  <c r="Q53" i="50"/>
  <c r="L54" i="50"/>
  <c r="M54" i="50"/>
  <c r="N54" i="50"/>
  <c r="O54" i="50"/>
  <c r="P54" i="50"/>
  <c r="Q54" i="50"/>
  <c r="L55" i="50"/>
  <c r="M55" i="50"/>
  <c r="N55" i="50"/>
  <c r="O55" i="50"/>
  <c r="P55" i="50"/>
  <c r="Q55" i="50"/>
  <c r="L56" i="50"/>
  <c r="M56" i="50"/>
  <c r="N56" i="50"/>
  <c r="O56" i="50"/>
  <c r="P56" i="50"/>
  <c r="Q56" i="50"/>
  <c r="L57" i="50"/>
  <c r="M57" i="50"/>
  <c r="N57" i="50"/>
  <c r="O57" i="50"/>
  <c r="P57" i="50"/>
  <c r="Q57" i="50"/>
  <c r="L58" i="50"/>
  <c r="M58" i="50"/>
  <c r="N58" i="50"/>
  <c r="O58" i="50"/>
  <c r="P58" i="50"/>
  <c r="Q58" i="50"/>
  <c r="L59" i="50"/>
  <c r="M59" i="50"/>
  <c r="N59" i="50"/>
  <c r="O59" i="50"/>
  <c r="P59" i="50"/>
  <c r="Q59" i="50"/>
  <c r="L60" i="50"/>
  <c r="M60" i="50"/>
  <c r="N60" i="50"/>
  <c r="O60" i="50"/>
  <c r="P60" i="50"/>
  <c r="Q60" i="50"/>
  <c r="L61" i="50"/>
  <c r="M61" i="50"/>
  <c r="N61" i="50"/>
  <c r="O61" i="50"/>
  <c r="P61" i="50"/>
  <c r="Q61" i="50"/>
  <c r="L62" i="50"/>
  <c r="M62" i="50"/>
  <c r="N62" i="50"/>
  <c r="O62" i="50"/>
  <c r="P62" i="50"/>
  <c r="Q62" i="50"/>
  <c r="L63" i="50"/>
  <c r="M63" i="50"/>
  <c r="N63" i="50"/>
  <c r="O63" i="50"/>
  <c r="P63" i="50"/>
  <c r="Q63" i="50"/>
  <c r="L64" i="50"/>
  <c r="M64" i="50"/>
  <c r="N64" i="50"/>
  <c r="O64" i="50"/>
  <c r="P64" i="50"/>
  <c r="Q64" i="50"/>
  <c r="L65" i="50"/>
  <c r="M65" i="50"/>
  <c r="N65" i="50"/>
  <c r="O65" i="50"/>
  <c r="P65" i="50"/>
  <c r="Q65" i="50"/>
  <c r="L66" i="50"/>
  <c r="M66" i="50"/>
  <c r="N66" i="50"/>
  <c r="O66" i="50"/>
  <c r="P66" i="50"/>
  <c r="Q66" i="50"/>
  <c r="L67" i="50"/>
  <c r="M67" i="50"/>
  <c r="N67" i="50"/>
  <c r="O67" i="50"/>
  <c r="P67" i="50"/>
  <c r="Q67" i="50"/>
  <c r="L68" i="50"/>
  <c r="M68" i="50"/>
  <c r="N68" i="50"/>
  <c r="O68" i="50"/>
  <c r="P68" i="50"/>
  <c r="Q68" i="50"/>
  <c r="L69" i="50"/>
  <c r="M69" i="50"/>
  <c r="N69" i="50"/>
  <c r="O69" i="50"/>
  <c r="P69" i="50"/>
  <c r="Q69" i="50"/>
  <c r="L70" i="50"/>
  <c r="M70" i="50"/>
  <c r="N70" i="50"/>
  <c r="O70" i="50"/>
  <c r="P70" i="50"/>
  <c r="Q70" i="50"/>
  <c r="L71" i="50"/>
  <c r="M71" i="50"/>
  <c r="N71" i="50"/>
  <c r="O71" i="50"/>
  <c r="P71" i="50"/>
  <c r="Q71" i="50"/>
  <c r="L72" i="50"/>
  <c r="M72" i="50"/>
  <c r="N72" i="50"/>
  <c r="O72" i="50"/>
  <c r="P72" i="50"/>
  <c r="Q72" i="50"/>
  <c r="L73" i="50"/>
  <c r="M73" i="50"/>
  <c r="N73" i="50"/>
  <c r="O73" i="50"/>
  <c r="P73" i="50"/>
  <c r="Q73" i="50"/>
  <c r="L74" i="50"/>
  <c r="M74" i="50"/>
  <c r="N74" i="50"/>
  <c r="O74" i="50"/>
  <c r="P74" i="50"/>
  <c r="Q74" i="50"/>
  <c r="AD10" i="48" l="1"/>
  <c r="AD2" i="48" s="1"/>
  <c r="B19" i="35" l="1"/>
  <c r="B18" i="35"/>
  <c r="B17" i="35"/>
  <c r="B33" i="35"/>
  <c r="B32" i="35"/>
  <c r="AA21" i="16"/>
  <c r="AE4" i="22" l="1"/>
  <c r="Q4" i="22" s="1"/>
  <c r="AE4" i="26" l="1"/>
  <c r="Q4" i="26" s="1"/>
  <c r="AD8" i="48" l="1"/>
  <c r="AN103" i="47" l="1"/>
  <c r="AN3" i="47"/>
  <c r="D97" i="34" l="1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AO3" i="47" s="1"/>
  <c r="BG273" i="48"/>
  <c r="BG19" i="48"/>
  <c r="BG105" i="48"/>
  <c r="BG117" i="48"/>
  <c r="BG83" i="48"/>
  <c r="BG42" i="48"/>
  <c r="BG91" i="48"/>
  <c r="BG70" i="48"/>
  <c r="BG156" i="48"/>
  <c r="BG50" i="48"/>
  <c r="BG67" i="48"/>
  <c r="BG193" i="48"/>
  <c r="BG208" i="48"/>
  <c r="BG261" i="48"/>
  <c r="BG124" i="48"/>
  <c r="BG240" i="48"/>
  <c r="BG244" i="48"/>
  <c r="BG277" i="48"/>
  <c r="BG185" i="48"/>
  <c r="BG241" i="48"/>
  <c r="BG99" i="48"/>
  <c r="BG54" i="48"/>
  <c r="BG187" i="48"/>
  <c r="BG179" i="48"/>
  <c r="BG72" i="48"/>
  <c r="BG267" i="48"/>
  <c r="BG92" i="48"/>
  <c r="BG65" i="48"/>
  <c r="BG149" i="48"/>
  <c r="BG232" i="48"/>
  <c r="BG247" i="48"/>
  <c r="BG142" i="48"/>
  <c r="BG127" i="48"/>
  <c r="BG219" i="48"/>
  <c r="BG5" i="48"/>
  <c r="BG119" i="48"/>
  <c r="BG14" i="48"/>
  <c r="BG272" i="48"/>
  <c r="BG94" i="48"/>
  <c r="BG266" i="48"/>
  <c r="BG102" i="48"/>
  <c r="BG136" i="48"/>
  <c r="BG43" i="48"/>
  <c r="BG130" i="48"/>
  <c r="BG147" i="48"/>
  <c r="BG171" i="48"/>
  <c r="BG51" i="48"/>
  <c r="BG263" i="48"/>
  <c r="BG186" i="48"/>
  <c r="BG226" i="48"/>
  <c r="BG197" i="48"/>
  <c r="BG218" i="48"/>
  <c r="BG27" i="48"/>
  <c r="BG16" i="48"/>
  <c r="BG48" i="48"/>
  <c r="BG180" i="48"/>
  <c r="BG175" i="48"/>
  <c r="BG113" i="48"/>
  <c r="BG228" i="48"/>
  <c r="BG116" i="48"/>
  <c r="BG161" i="48"/>
  <c r="BG249" i="48"/>
  <c r="BG35" i="48"/>
  <c r="BG157" i="48"/>
  <c r="BG128" i="48"/>
  <c r="BG101" i="48"/>
  <c r="BG38" i="48"/>
  <c r="BG120" i="48"/>
  <c r="BG269" i="48"/>
  <c r="BG260" i="48"/>
  <c r="BG122" i="48"/>
  <c r="BG86" i="48"/>
  <c r="BG45" i="48"/>
  <c r="BG276" i="48"/>
  <c r="BG62" i="48"/>
  <c r="BG90" i="48"/>
  <c r="BG177" i="48"/>
  <c r="BG153" i="48"/>
  <c r="BG198" i="48"/>
  <c r="BG80" i="48"/>
  <c r="BG133" i="48"/>
  <c r="BG275" i="48"/>
  <c r="BG112" i="48"/>
  <c r="BG165" i="48"/>
  <c r="BG148" i="48"/>
  <c r="BG78" i="48"/>
  <c r="BG201" i="48"/>
  <c r="BG166" i="48"/>
  <c r="BG96" i="48"/>
  <c r="BG24" i="48"/>
  <c r="BG4" i="48"/>
  <c r="BG163" i="48"/>
  <c r="BG15" i="48"/>
  <c r="BG190" i="48"/>
  <c r="BG184" i="48"/>
  <c r="BG58" i="48"/>
  <c r="BG159" i="48"/>
  <c r="BG61" i="48"/>
  <c r="BG123" i="48"/>
  <c r="BG71" i="48"/>
  <c r="BG154" i="48"/>
  <c r="BG242" i="48"/>
  <c r="BG47" i="48"/>
  <c r="BG281" i="48"/>
  <c r="BG150" i="48"/>
  <c r="BG60" i="48"/>
  <c r="BG168" i="48"/>
  <c r="BG131" i="48"/>
  <c r="BG115" i="48"/>
  <c r="BG32" i="48"/>
  <c r="BG158" i="48"/>
  <c r="BG251" i="48"/>
  <c r="BG211" i="48"/>
  <c r="BG37" i="48"/>
  <c r="BG25" i="48"/>
  <c r="BG114" i="48"/>
  <c r="BG164" i="48"/>
  <c r="BG225" i="48"/>
  <c r="BG129" i="48"/>
  <c r="BG264" i="48"/>
  <c r="BG189" i="48"/>
  <c r="BG221" i="48"/>
  <c r="BG229" i="48"/>
  <c r="BG199" i="48"/>
  <c r="BG268" i="48"/>
  <c r="BG258" i="48"/>
  <c r="BG207" i="48"/>
  <c r="BG110" i="48"/>
  <c r="BG167" i="48"/>
  <c r="BG274" i="48"/>
  <c r="BG28" i="48"/>
  <c r="BG279" i="48"/>
  <c r="BG100" i="48"/>
  <c r="BG10" i="48"/>
  <c r="BG224" i="48"/>
  <c r="BG141" i="48"/>
  <c r="BG132" i="48"/>
  <c r="BG134" i="48"/>
  <c r="BG173" i="48"/>
  <c r="BG21" i="48"/>
  <c r="BG146" i="48"/>
  <c r="BG26" i="48"/>
  <c r="BG151" i="48"/>
  <c r="BG98" i="48"/>
  <c r="BG13" i="48"/>
  <c r="BG85" i="48"/>
  <c r="BG87" i="48"/>
  <c r="BG192" i="48"/>
  <c r="BG256" i="48"/>
  <c r="BG188" i="48"/>
  <c r="BG280" i="48"/>
  <c r="BG259" i="48"/>
  <c r="BG107" i="48"/>
  <c r="BG220" i="48"/>
  <c r="BG140" i="48"/>
  <c r="BG172" i="48"/>
  <c r="BG8" i="48"/>
  <c r="BG84" i="48"/>
  <c r="BG121" i="48"/>
  <c r="BG235" i="48"/>
  <c r="BG144" i="48"/>
  <c r="BG176" i="48"/>
  <c r="BG138" i="48"/>
  <c r="BG170" i="48"/>
  <c r="BG69" i="48"/>
  <c r="BG82" i="48"/>
  <c r="BG106" i="48"/>
  <c r="BG217" i="48"/>
  <c r="BG214" i="48"/>
  <c r="BG253" i="48"/>
  <c r="BG183" i="48"/>
  <c r="BG2" i="48"/>
  <c r="BG178" i="48"/>
  <c r="BG230" i="48"/>
  <c r="BG270" i="48"/>
  <c r="BG238" i="48"/>
  <c r="BG126" i="48"/>
  <c r="BG152" i="48"/>
  <c r="BG18" i="48"/>
  <c r="BG262" i="48"/>
  <c r="BG95" i="48"/>
  <c r="BG252" i="48"/>
  <c r="BG145" i="48"/>
  <c r="BG174" i="48"/>
  <c r="BG257" i="48"/>
  <c r="BG31" i="48"/>
  <c r="BG222" i="48"/>
  <c r="BG271" i="48"/>
  <c r="BG11" i="48"/>
  <c r="BG44" i="48"/>
  <c r="BG79" i="48"/>
  <c r="BG36" i="48"/>
  <c r="BG39" i="48"/>
  <c r="BG265" i="48"/>
  <c r="BG162" i="48"/>
  <c r="BG40" i="48"/>
  <c r="BG205" i="48"/>
  <c r="BG196" i="48"/>
  <c r="BG169" i="48"/>
  <c r="BG237" i="48"/>
  <c r="BG246" i="48"/>
  <c r="BG213" i="48"/>
  <c r="BG206" i="48"/>
  <c r="BG160" i="48"/>
  <c r="BG33" i="48"/>
  <c r="BG104" i="48"/>
  <c r="BG182" i="48"/>
  <c r="BG77" i="48"/>
  <c r="BG68" i="48"/>
  <c r="BG248" i="48"/>
  <c r="BG109" i="48"/>
  <c r="BG46" i="48"/>
  <c r="BG137" i="48"/>
  <c r="BG93" i="48"/>
  <c r="BG236" i="48"/>
  <c r="BG17" i="48"/>
  <c r="BG89" i="48"/>
  <c r="BG233" i="48"/>
  <c r="BG66" i="48"/>
  <c r="BG118" i="48"/>
  <c r="BG243" i="48"/>
  <c r="BG231" i="48"/>
  <c r="BG56" i="48"/>
  <c r="BG41" i="48"/>
  <c r="BG23" i="48"/>
  <c r="BG52" i="48"/>
  <c r="BG57" i="48"/>
  <c r="BG55" i="48"/>
  <c r="BG125" i="48"/>
  <c r="BG6" i="48"/>
  <c r="BG202" i="48"/>
  <c r="BG155" i="48"/>
  <c r="BG203" i="48"/>
  <c r="BG22" i="48"/>
  <c r="BG63" i="48"/>
  <c r="BG88" i="48"/>
  <c r="BG74" i="48"/>
  <c r="BG223" i="48"/>
  <c r="BG103" i="48"/>
  <c r="BG59" i="48"/>
  <c r="BG250" i="48"/>
  <c r="BG135" i="48"/>
  <c r="BG245" i="48"/>
  <c r="BG49" i="48"/>
  <c r="BG254" i="48"/>
  <c r="BG278" i="48"/>
  <c r="BG53" i="48"/>
  <c r="BG9" i="48"/>
  <c r="BG20" i="48"/>
  <c r="BG7" i="48"/>
  <c r="BG30" i="48"/>
  <c r="BG64" i="48"/>
  <c r="BG73" i="48"/>
  <c r="BG255" i="48"/>
  <c r="BG29" i="48"/>
  <c r="BG204" i="48"/>
  <c r="BG194" i="48"/>
  <c r="BG143" i="48"/>
  <c r="BG239" i="48"/>
  <c r="BG212" i="48"/>
  <c r="BG34" i="48"/>
  <c r="BG81" i="48"/>
  <c r="BG76" i="48"/>
  <c r="BG108" i="48"/>
  <c r="BG181" i="48"/>
  <c r="BG3" i="48"/>
  <c r="BG139" i="48"/>
  <c r="BG111" i="48"/>
  <c r="BG195" i="48"/>
  <c r="BG209" i="48"/>
  <c r="BG200" i="48"/>
  <c r="BG227" i="48"/>
  <c r="BG216" i="48"/>
  <c r="BG97" i="48"/>
  <c r="BG234" i="48"/>
  <c r="BG210" i="48"/>
  <c r="BG215" i="48"/>
  <c r="BG12" i="48"/>
  <c r="BG191" i="48"/>
  <c r="BG75" i="48"/>
  <c r="D161" i="36" l="1"/>
  <c r="B161" i="36"/>
  <c r="D160" i="36"/>
  <c r="B160" i="36"/>
  <c r="D159" i="36"/>
  <c r="B159" i="36"/>
  <c r="D158" i="36"/>
  <c r="B158" i="36"/>
  <c r="D157" i="36"/>
  <c r="B157" i="36"/>
  <c r="D156" i="36"/>
  <c r="B156" i="36"/>
  <c r="D155" i="36"/>
  <c r="B155" i="36"/>
  <c r="D154" i="36"/>
  <c r="B154" i="36"/>
  <c r="D153" i="36"/>
  <c r="B153" i="36"/>
  <c r="D152" i="36"/>
  <c r="B152" i="36"/>
  <c r="D151" i="36"/>
  <c r="B151" i="36"/>
  <c r="D150" i="36"/>
  <c r="B150" i="36"/>
  <c r="D149" i="36"/>
  <c r="B149" i="36"/>
  <c r="D148" i="36"/>
  <c r="B148" i="36"/>
  <c r="D147" i="36"/>
  <c r="B147" i="36"/>
  <c r="D146" i="36"/>
  <c r="B146" i="36"/>
  <c r="D145" i="36"/>
  <c r="B145" i="36"/>
  <c r="D144" i="36"/>
  <c r="B144" i="36"/>
  <c r="D143" i="36"/>
  <c r="B143" i="36"/>
  <c r="D142" i="36"/>
  <c r="B142" i="36"/>
  <c r="D141" i="36"/>
  <c r="B141" i="36"/>
  <c r="D140" i="36"/>
  <c r="B140" i="36"/>
  <c r="D139" i="36"/>
  <c r="B139" i="36"/>
  <c r="D138" i="36"/>
  <c r="B138" i="36"/>
  <c r="D137" i="36"/>
  <c r="B137" i="36"/>
  <c r="D136" i="36"/>
  <c r="B136" i="36"/>
  <c r="D135" i="36"/>
  <c r="B135" i="36"/>
  <c r="D134" i="36"/>
  <c r="B134" i="36"/>
  <c r="D133" i="36"/>
  <c r="B133" i="36"/>
  <c r="D132" i="36"/>
  <c r="B132" i="36"/>
  <c r="D131" i="36"/>
  <c r="B131" i="36"/>
  <c r="D130" i="36"/>
  <c r="B130" i="36"/>
  <c r="D129" i="36"/>
  <c r="B129" i="36"/>
  <c r="D128" i="36"/>
  <c r="B128" i="36"/>
  <c r="D127" i="36"/>
  <c r="B127" i="36"/>
  <c r="D126" i="36"/>
  <c r="B126" i="36"/>
  <c r="D125" i="36"/>
  <c r="B125" i="36"/>
  <c r="D124" i="36"/>
  <c r="B124" i="36"/>
  <c r="D123" i="36"/>
  <c r="B123" i="36"/>
  <c r="D122" i="36"/>
  <c r="B122" i="36"/>
  <c r="D121" i="36"/>
  <c r="B121" i="36"/>
  <c r="D120" i="36"/>
  <c r="B120" i="36"/>
  <c r="D119" i="36"/>
  <c r="B119" i="36"/>
  <c r="D118" i="36"/>
  <c r="B118" i="36"/>
  <c r="D117" i="36"/>
  <c r="B117" i="36"/>
  <c r="D116" i="36"/>
  <c r="B116" i="36"/>
  <c r="D115" i="36"/>
  <c r="B115" i="36"/>
  <c r="D114" i="36"/>
  <c r="B114" i="36"/>
  <c r="D113" i="36"/>
  <c r="B113" i="36"/>
  <c r="D112" i="36"/>
  <c r="B112" i="36"/>
  <c r="D111" i="36"/>
  <c r="B111" i="36"/>
  <c r="D110" i="36"/>
  <c r="B110" i="36"/>
  <c r="D109" i="36"/>
  <c r="B109" i="36"/>
  <c r="D108" i="36"/>
  <c r="B108" i="36"/>
  <c r="D107" i="36"/>
  <c r="B107" i="36"/>
  <c r="D106" i="36"/>
  <c r="B106" i="36"/>
  <c r="D105" i="36"/>
  <c r="B105" i="36"/>
  <c r="D104" i="36"/>
  <c r="B104" i="36"/>
  <c r="D103" i="36"/>
  <c r="B103" i="36"/>
  <c r="D102" i="36"/>
  <c r="B102" i="36"/>
  <c r="D101" i="36"/>
  <c r="B101" i="36"/>
  <c r="D100" i="36"/>
  <c r="B100" i="36"/>
  <c r="D99" i="36"/>
  <c r="B99" i="36"/>
  <c r="D98" i="36"/>
  <c r="B98" i="36"/>
  <c r="D97" i="36"/>
  <c r="B97" i="36"/>
  <c r="D96" i="36"/>
  <c r="B96" i="36"/>
  <c r="D95" i="36"/>
  <c r="B95" i="36"/>
  <c r="D94" i="36"/>
  <c r="B94" i="36"/>
  <c r="D93" i="36"/>
  <c r="B93" i="36"/>
  <c r="D92" i="36"/>
  <c r="B92" i="36"/>
  <c r="D91" i="36"/>
  <c r="B91" i="36"/>
  <c r="D90" i="36"/>
  <c r="B90" i="36"/>
  <c r="D89" i="36"/>
  <c r="B89" i="36"/>
  <c r="D88" i="36"/>
  <c r="B88" i="36"/>
  <c r="D87" i="36"/>
  <c r="B87" i="36"/>
  <c r="D86" i="36"/>
  <c r="B86" i="36"/>
  <c r="D85" i="36"/>
  <c r="B85" i="36"/>
  <c r="D84" i="36"/>
  <c r="B84" i="36"/>
  <c r="D83" i="36"/>
  <c r="B83" i="36"/>
  <c r="D82" i="36"/>
  <c r="B82" i="36"/>
  <c r="D81" i="36"/>
  <c r="B81" i="36"/>
  <c r="D80" i="36"/>
  <c r="B80" i="36"/>
  <c r="D79" i="36"/>
  <c r="B79" i="36"/>
  <c r="D78" i="36"/>
  <c r="B78" i="36"/>
  <c r="D77" i="36"/>
  <c r="B77" i="36"/>
  <c r="D76" i="36"/>
  <c r="B76" i="36"/>
  <c r="D75" i="36"/>
  <c r="B75" i="36"/>
  <c r="D74" i="36"/>
  <c r="B74" i="36"/>
  <c r="D73" i="36"/>
  <c r="B73" i="36"/>
  <c r="D72" i="36"/>
  <c r="B72" i="36"/>
  <c r="D71" i="36"/>
  <c r="B71" i="36"/>
  <c r="D70" i="36"/>
  <c r="B70" i="36"/>
  <c r="D69" i="36"/>
  <c r="B69" i="36"/>
  <c r="D68" i="36"/>
  <c r="B68" i="36"/>
  <c r="D67" i="36"/>
  <c r="B67" i="36"/>
  <c r="D66" i="36"/>
  <c r="B66" i="36"/>
  <c r="D65" i="36"/>
  <c r="B65" i="36"/>
  <c r="D64" i="36"/>
  <c r="B64" i="36"/>
  <c r="D63" i="36"/>
  <c r="B63" i="36"/>
  <c r="D62" i="36"/>
  <c r="B62" i="36"/>
  <c r="D61" i="36"/>
  <c r="B61" i="36"/>
  <c r="D60" i="36"/>
  <c r="B60" i="36"/>
  <c r="D59" i="36"/>
  <c r="B59" i="36"/>
  <c r="D58" i="36"/>
  <c r="B58" i="36"/>
  <c r="D57" i="36"/>
  <c r="B57" i="36"/>
  <c r="D56" i="36"/>
  <c r="B56" i="36"/>
  <c r="D55" i="36"/>
  <c r="B55" i="36"/>
  <c r="D54" i="36"/>
  <c r="B54" i="36"/>
  <c r="D53" i="36"/>
  <c r="B53" i="36"/>
  <c r="D52" i="36"/>
  <c r="B52" i="36"/>
  <c r="D51" i="36"/>
  <c r="B51" i="36"/>
  <c r="D50" i="36"/>
  <c r="B50" i="36"/>
  <c r="D49" i="36"/>
  <c r="B49" i="36"/>
  <c r="D48" i="36"/>
  <c r="B48" i="36"/>
  <c r="D47" i="36"/>
  <c r="B47" i="36"/>
  <c r="D46" i="36"/>
  <c r="B46" i="36"/>
  <c r="D45" i="36"/>
  <c r="B45" i="36"/>
  <c r="D44" i="36"/>
  <c r="B44" i="36"/>
  <c r="D43" i="36"/>
  <c r="B43" i="36"/>
  <c r="D42" i="36"/>
  <c r="B42" i="36"/>
  <c r="D41" i="36"/>
  <c r="B41" i="36"/>
  <c r="D40" i="36"/>
  <c r="B40" i="36"/>
  <c r="D39" i="36"/>
  <c r="B39" i="36"/>
  <c r="D38" i="36"/>
  <c r="B38" i="36"/>
  <c r="D37" i="36"/>
  <c r="B37" i="36"/>
  <c r="D36" i="36"/>
  <c r="B36" i="36"/>
  <c r="D35" i="36"/>
  <c r="B35" i="36"/>
  <c r="D34" i="36"/>
  <c r="B34" i="36"/>
  <c r="D33" i="36"/>
  <c r="B33" i="36"/>
  <c r="D32" i="36"/>
  <c r="B32" i="36"/>
  <c r="D31" i="36"/>
  <c r="B31" i="36"/>
  <c r="D30" i="36"/>
  <c r="B30" i="36"/>
  <c r="D29" i="36"/>
  <c r="B29" i="36"/>
  <c r="D28" i="36"/>
  <c r="B28" i="36"/>
  <c r="D27" i="36"/>
  <c r="B27" i="36"/>
  <c r="D26" i="36"/>
  <c r="B26" i="36"/>
  <c r="D25" i="36"/>
  <c r="B25" i="36"/>
  <c r="D24" i="36"/>
  <c r="B24" i="36"/>
  <c r="D23" i="36"/>
  <c r="B23" i="36"/>
  <c r="D22" i="36"/>
  <c r="B22" i="36"/>
  <c r="D21" i="36"/>
  <c r="B21" i="36"/>
  <c r="D20" i="36"/>
  <c r="B20" i="36"/>
  <c r="D19" i="36"/>
  <c r="B19" i="36"/>
  <c r="D18" i="36"/>
  <c r="B18" i="36"/>
  <c r="D17" i="36"/>
  <c r="B17" i="36"/>
  <c r="D16" i="36"/>
  <c r="B16" i="36"/>
  <c r="D15" i="36"/>
  <c r="B15" i="36"/>
  <c r="D14" i="36"/>
  <c r="B14" i="36"/>
  <c r="D13" i="36"/>
  <c r="B13" i="36"/>
  <c r="D12" i="36"/>
  <c r="B12" i="36"/>
  <c r="B9" i="36"/>
  <c r="B8" i="36"/>
  <c r="B7" i="36"/>
  <c r="D7" i="36"/>
  <c r="D8" i="36"/>
  <c r="D9" i="36"/>
  <c r="B10" i="36"/>
  <c r="D10" i="36"/>
  <c r="B11" i="36"/>
  <c r="D11" i="36"/>
  <c r="B2" i="36"/>
  <c r="B3" i="36"/>
  <c r="A3" i="36" s="1"/>
  <c r="D2" i="36"/>
  <c r="B4" i="36"/>
  <c r="B5" i="36"/>
  <c r="B6" i="36"/>
  <c r="D3" i="36"/>
  <c r="D4" i="36"/>
  <c r="D5" i="36"/>
  <c r="D6" i="36"/>
  <c r="T66" i="55" l="1"/>
  <c r="V66" i="55"/>
  <c r="V77" i="55"/>
  <c r="V22" i="55"/>
  <c r="U11" i="55"/>
  <c r="U74" i="55"/>
  <c r="V74" i="55"/>
  <c r="U115" i="55"/>
  <c r="V32" i="55"/>
  <c r="T89" i="55"/>
  <c r="W14" i="55"/>
  <c r="U77" i="55"/>
  <c r="V101" i="55"/>
  <c r="V14" i="55"/>
  <c r="U22" i="55"/>
  <c r="V99" i="55"/>
  <c r="V89" i="55"/>
  <c r="V11" i="55"/>
  <c r="U32" i="55"/>
  <c r="T32" i="55"/>
  <c r="T94" i="55"/>
  <c r="T101" i="55"/>
  <c r="T115" i="55"/>
  <c r="Z14" i="55"/>
  <c r="U99" i="55"/>
  <c r="U89" i="55"/>
  <c r="T33" i="55"/>
  <c r="T77" i="55"/>
  <c r="T99" i="55"/>
  <c r="T74" i="55"/>
  <c r="V94" i="55"/>
  <c r="V9" i="55"/>
  <c r="U14" i="55"/>
  <c r="V33" i="55"/>
  <c r="U35" i="55"/>
  <c r="T14" i="55"/>
  <c r="T9" i="55"/>
  <c r="Y14" i="55"/>
  <c r="U9" i="55"/>
  <c r="U33" i="55"/>
  <c r="X14" i="55"/>
  <c r="T35" i="55"/>
  <c r="V35" i="55"/>
  <c r="U101" i="55"/>
  <c r="T11" i="55"/>
  <c r="T7" i="55"/>
  <c r="T22" i="55"/>
  <c r="U7" i="55"/>
  <c r="V7" i="55"/>
  <c r="U94" i="55"/>
  <c r="V115" i="55"/>
  <c r="V39" i="55"/>
  <c r="V55" i="55"/>
  <c r="V47" i="55"/>
  <c r="X97" i="55"/>
  <c r="U123" i="55"/>
  <c r="Y49" i="55"/>
  <c r="T75" i="55"/>
  <c r="T2" i="55"/>
  <c r="U47" i="55"/>
  <c r="V44" i="55"/>
  <c r="T118" i="55"/>
  <c r="T8" i="55"/>
  <c r="T55" i="55"/>
  <c r="T38" i="55"/>
  <c r="T68" i="55"/>
  <c r="T4" i="55"/>
  <c r="T67" i="55"/>
  <c r="W97" i="55"/>
  <c r="U8" i="55"/>
  <c r="V45" i="55"/>
  <c r="X49" i="55"/>
  <c r="V36" i="55"/>
  <c r="V27" i="55"/>
  <c r="V104" i="55"/>
  <c r="V2" i="55"/>
  <c r="T47" i="55"/>
  <c r="T123" i="55"/>
  <c r="T59" i="55"/>
  <c r="U75" i="55"/>
  <c r="U28" i="55"/>
  <c r="U36" i="55"/>
  <c r="Z49" i="55"/>
  <c r="U104" i="55"/>
  <c r="U120" i="55"/>
  <c r="T120" i="55"/>
  <c r="T39" i="55"/>
  <c r="U44" i="55"/>
  <c r="X121" i="55"/>
  <c r="U118" i="55"/>
  <c r="Y97" i="55"/>
  <c r="V123" i="55"/>
  <c r="V75" i="55"/>
  <c r="T108" i="55"/>
  <c r="T44" i="55"/>
  <c r="U55" i="55"/>
  <c r="U39" i="55"/>
  <c r="V68" i="55"/>
  <c r="V120" i="55"/>
  <c r="U27" i="55"/>
  <c r="V59" i="55"/>
  <c r="Z97" i="55"/>
  <c r="T113" i="55"/>
  <c r="T104" i="55"/>
  <c r="T36" i="55"/>
  <c r="U108" i="55"/>
  <c r="U68" i="55"/>
  <c r="V8" i="55"/>
  <c r="U45" i="55"/>
  <c r="U59" i="55"/>
  <c r="T45" i="55"/>
  <c r="T28" i="55"/>
  <c r="T27" i="55"/>
  <c r="W121" i="55"/>
  <c r="W49" i="55"/>
  <c r="V38" i="55"/>
  <c r="V67" i="55"/>
  <c r="Z121" i="55"/>
  <c r="V118" i="55"/>
  <c r="U113" i="55"/>
  <c r="V4" i="55"/>
  <c r="V28" i="55"/>
  <c r="V108" i="55"/>
  <c r="U38" i="55"/>
  <c r="U2" i="55"/>
  <c r="U4" i="55"/>
  <c r="U67" i="55"/>
  <c r="V113" i="55"/>
  <c r="Y121" i="55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Y3" i="47"/>
  <c r="R3" i="47"/>
  <c r="D3" i="47"/>
  <c r="AD7" i="48" l="1"/>
  <c r="AD6" i="48" l="1"/>
  <c r="AD4" i="48" s="1"/>
  <c r="AD5" i="48"/>
  <c r="AD3" i="48" l="1"/>
  <c r="AC11" i="18"/>
  <c r="AA11" i="18"/>
  <c r="AC10" i="18"/>
  <c r="AA10" i="18"/>
  <c r="AC9" i="18"/>
  <c r="AA9" i="18"/>
  <c r="AC8" i="18"/>
  <c r="AA8" i="18"/>
  <c r="AC7" i="18"/>
  <c r="AA7" i="18"/>
  <c r="Q4" i="14"/>
  <c r="AJ3" i="48" l="1"/>
  <c r="AJ4" i="48"/>
  <c r="AJ5" i="48"/>
  <c r="AJ6" i="48"/>
  <c r="AJ7" i="48"/>
  <c r="AJ8" i="48"/>
  <c r="AJ9" i="48"/>
  <c r="AJ10" i="48"/>
  <c r="AJ11" i="48"/>
  <c r="AJ12" i="48"/>
  <c r="AJ13" i="48"/>
  <c r="AJ14" i="48"/>
  <c r="AJ15" i="48"/>
  <c r="AJ16" i="48"/>
  <c r="AJ17" i="48"/>
  <c r="AJ18" i="48"/>
  <c r="AJ19" i="48"/>
  <c r="AJ20" i="48"/>
  <c r="AJ21" i="48"/>
  <c r="AJ22" i="48"/>
  <c r="AJ23" i="48"/>
  <c r="AJ24" i="48"/>
  <c r="AJ25" i="48"/>
  <c r="AJ26" i="48"/>
  <c r="AJ27" i="48"/>
  <c r="AJ28" i="48"/>
  <c r="AJ29" i="48"/>
  <c r="AJ30" i="48"/>
  <c r="AJ31" i="48"/>
  <c r="AJ32" i="48"/>
  <c r="AJ33" i="48"/>
  <c r="AJ34" i="48"/>
  <c r="AJ35" i="48"/>
  <c r="AJ36" i="48"/>
  <c r="AJ37" i="48"/>
  <c r="AJ38" i="48"/>
  <c r="AJ39" i="48"/>
  <c r="AJ40" i="48"/>
  <c r="AJ41" i="48"/>
  <c r="AJ42" i="48"/>
  <c r="AJ43" i="48"/>
  <c r="AJ44" i="48"/>
  <c r="AJ45" i="48"/>
  <c r="AJ46" i="48"/>
  <c r="AJ47" i="48"/>
  <c r="AJ48" i="48"/>
  <c r="AJ49" i="48"/>
  <c r="AJ50" i="48"/>
  <c r="AJ51" i="48"/>
  <c r="AJ52" i="48"/>
  <c r="AJ53" i="48"/>
  <c r="AJ54" i="48"/>
  <c r="AJ55" i="48"/>
  <c r="AJ56" i="48"/>
  <c r="AJ57" i="48"/>
  <c r="AJ58" i="48"/>
  <c r="AJ59" i="48"/>
  <c r="AJ60" i="48"/>
  <c r="AJ61" i="48"/>
  <c r="AJ62" i="48"/>
  <c r="AJ63" i="48"/>
  <c r="AJ64" i="48"/>
  <c r="AJ65" i="48"/>
  <c r="AJ66" i="48"/>
  <c r="AJ67" i="48"/>
  <c r="AJ68" i="48"/>
  <c r="AJ69" i="48"/>
  <c r="AJ70" i="48"/>
  <c r="AJ71" i="48"/>
  <c r="AJ72" i="48"/>
  <c r="AJ73" i="48"/>
  <c r="AJ74" i="48"/>
  <c r="AJ75" i="48"/>
  <c r="AJ76" i="48"/>
  <c r="AJ77" i="48"/>
  <c r="AJ78" i="48"/>
  <c r="AJ79" i="48"/>
  <c r="AJ80" i="48"/>
  <c r="AJ81" i="48"/>
  <c r="AJ82" i="48"/>
  <c r="AJ83" i="48"/>
  <c r="AJ84" i="48"/>
  <c r="AJ85" i="48"/>
  <c r="AJ86" i="48"/>
  <c r="AJ87" i="48"/>
  <c r="AJ88" i="48"/>
  <c r="AJ89" i="48"/>
  <c r="AJ90" i="48"/>
  <c r="AJ91" i="48"/>
  <c r="AJ92" i="48"/>
  <c r="AJ93" i="48"/>
  <c r="AJ94" i="48"/>
  <c r="AJ95" i="48"/>
  <c r="AJ96" i="48"/>
  <c r="AJ97" i="48"/>
  <c r="AJ98" i="48"/>
  <c r="AJ99" i="48"/>
  <c r="AJ100" i="48"/>
  <c r="AJ101" i="48"/>
  <c r="AJ102" i="48"/>
  <c r="AJ103" i="48"/>
  <c r="AJ104" i="48"/>
  <c r="AJ105" i="48"/>
  <c r="AJ106" i="48"/>
  <c r="AJ107" i="48"/>
  <c r="AJ108" i="48"/>
  <c r="AJ109" i="48"/>
  <c r="AJ110" i="48"/>
  <c r="AJ111" i="48"/>
  <c r="AJ112" i="48"/>
  <c r="AJ113" i="48"/>
  <c r="AJ114" i="48"/>
  <c r="AJ115" i="48"/>
  <c r="AJ116" i="48"/>
  <c r="AJ117" i="48"/>
  <c r="AJ118" i="48"/>
  <c r="AJ119" i="48"/>
  <c r="AJ120" i="48"/>
  <c r="AJ121" i="48"/>
  <c r="AJ122" i="48"/>
  <c r="AJ123" i="48"/>
  <c r="AJ124" i="48"/>
  <c r="AJ125" i="48"/>
  <c r="AJ126" i="48"/>
  <c r="AJ127" i="48"/>
  <c r="AJ128" i="48"/>
  <c r="AJ129" i="48"/>
  <c r="AJ130" i="48"/>
  <c r="AJ131" i="48"/>
  <c r="AJ132" i="48"/>
  <c r="AJ133" i="48"/>
  <c r="AJ134" i="48"/>
  <c r="AJ135" i="48"/>
  <c r="AJ136" i="48"/>
  <c r="AJ137" i="48"/>
  <c r="AJ138" i="48"/>
  <c r="AJ139" i="48"/>
  <c r="AJ140" i="48"/>
  <c r="AJ141" i="48"/>
  <c r="AJ142" i="48"/>
  <c r="AJ143" i="48"/>
  <c r="AJ144" i="48"/>
  <c r="AJ145" i="48"/>
  <c r="AJ146" i="48"/>
  <c r="AJ147" i="48"/>
  <c r="AJ148" i="48"/>
  <c r="AJ149" i="48"/>
  <c r="AJ150" i="48"/>
  <c r="AJ151" i="48"/>
  <c r="AJ152" i="48"/>
  <c r="AJ153" i="48"/>
  <c r="AJ154" i="48"/>
  <c r="AJ155" i="48"/>
  <c r="AJ156" i="48"/>
  <c r="AJ157" i="48"/>
  <c r="AJ158" i="48"/>
  <c r="AJ159" i="48"/>
  <c r="AJ160" i="48"/>
  <c r="AJ161" i="48"/>
  <c r="AJ162" i="48"/>
  <c r="AJ163" i="48"/>
  <c r="AJ164" i="48"/>
  <c r="AJ165" i="48"/>
  <c r="AJ166" i="48"/>
  <c r="AJ167" i="48"/>
  <c r="AJ168" i="48"/>
  <c r="AJ169" i="48"/>
  <c r="AJ170" i="48"/>
  <c r="AJ171" i="48"/>
  <c r="AJ172" i="48"/>
  <c r="AJ173" i="48"/>
  <c r="AJ174" i="48"/>
  <c r="AJ175" i="48"/>
  <c r="AJ176" i="48"/>
  <c r="AJ177" i="48"/>
  <c r="AJ178" i="48"/>
  <c r="AJ179" i="48"/>
  <c r="AJ180" i="48"/>
  <c r="AJ181" i="48"/>
  <c r="AJ182" i="48"/>
  <c r="AJ183" i="48"/>
  <c r="AJ184" i="48"/>
  <c r="AJ185" i="48"/>
  <c r="AJ186" i="48"/>
  <c r="AJ187" i="48"/>
  <c r="AJ188" i="48"/>
  <c r="AJ189" i="48"/>
  <c r="AJ190" i="48"/>
  <c r="AJ191" i="48"/>
  <c r="AJ192" i="48"/>
  <c r="AJ193" i="48"/>
  <c r="AJ194" i="48"/>
  <c r="AJ195" i="48"/>
  <c r="AJ196" i="48"/>
  <c r="AJ197" i="48"/>
  <c r="AJ198" i="48"/>
  <c r="AJ199" i="48"/>
  <c r="AJ200" i="48"/>
  <c r="AJ201" i="48"/>
  <c r="AJ202" i="48"/>
  <c r="AJ203" i="48"/>
  <c r="AJ204" i="48"/>
  <c r="AJ205" i="48"/>
  <c r="AJ206" i="48"/>
  <c r="AJ207" i="48"/>
  <c r="AJ208" i="48"/>
  <c r="AJ209" i="48"/>
  <c r="AJ210" i="48"/>
  <c r="AJ211" i="48"/>
  <c r="AJ212" i="48"/>
  <c r="AJ213" i="48"/>
  <c r="AJ214" i="48"/>
  <c r="AJ215" i="48"/>
  <c r="AJ216" i="48"/>
  <c r="AJ217" i="48"/>
  <c r="AJ218" i="48"/>
  <c r="AJ219" i="48"/>
  <c r="AJ220" i="48"/>
  <c r="AJ221" i="48"/>
  <c r="AJ222" i="48"/>
  <c r="AJ223" i="48"/>
  <c r="AJ224" i="48"/>
  <c r="AJ225" i="48"/>
  <c r="AJ226" i="48"/>
  <c r="AJ227" i="48"/>
  <c r="AJ228" i="48"/>
  <c r="AJ229" i="48"/>
  <c r="AJ230" i="48"/>
  <c r="AJ231" i="48"/>
  <c r="AJ232" i="48"/>
  <c r="AJ233" i="48"/>
  <c r="AJ234" i="48"/>
  <c r="AJ235" i="48"/>
  <c r="AJ236" i="48"/>
  <c r="AJ237" i="48"/>
  <c r="AJ238" i="48"/>
  <c r="AJ239" i="48"/>
  <c r="AJ240" i="48"/>
  <c r="AJ241" i="48"/>
  <c r="AJ242" i="48"/>
  <c r="AJ243" i="48"/>
  <c r="AJ244" i="48"/>
  <c r="AJ245" i="48"/>
  <c r="AJ246" i="48"/>
  <c r="AJ247" i="48"/>
  <c r="AJ248" i="48"/>
  <c r="AJ249" i="48"/>
  <c r="AJ250" i="48"/>
  <c r="AJ251" i="48"/>
  <c r="AJ252" i="48"/>
  <c r="AJ253" i="48"/>
  <c r="AJ254" i="48"/>
  <c r="AJ255" i="48"/>
  <c r="AJ256" i="48"/>
  <c r="AJ257" i="48"/>
  <c r="AJ258" i="48"/>
  <c r="AJ259" i="48"/>
  <c r="AJ260" i="48"/>
  <c r="AJ261" i="48"/>
  <c r="AJ262" i="48"/>
  <c r="AJ263" i="48"/>
  <c r="AJ264" i="48"/>
  <c r="AJ265" i="48"/>
  <c r="AJ266" i="48"/>
  <c r="AJ267" i="48"/>
  <c r="AJ268" i="48"/>
  <c r="AJ269" i="48"/>
  <c r="AJ270" i="48"/>
  <c r="AJ271" i="48"/>
  <c r="AJ272" i="48"/>
  <c r="AJ273" i="48"/>
  <c r="AJ274" i="48"/>
  <c r="AJ275" i="48"/>
  <c r="AJ276" i="48"/>
  <c r="AJ277" i="48"/>
  <c r="AJ278" i="48"/>
  <c r="AJ279" i="48"/>
  <c r="AJ280" i="48"/>
  <c r="AJ281" i="48"/>
  <c r="AJ282" i="48"/>
  <c r="AJ283" i="48"/>
  <c r="AJ284" i="48"/>
  <c r="AJ285" i="48"/>
  <c r="AJ286" i="48"/>
  <c r="AJ287" i="48"/>
  <c r="AJ288" i="48"/>
  <c r="AJ289" i="48"/>
  <c r="AJ290" i="48"/>
  <c r="AJ291" i="48"/>
  <c r="AJ292" i="48"/>
  <c r="AJ293" i="48"/>
  <c r="AJ294" i="48"/>
  <c r="AJ295" i="48"/>
  <c r="AJ296" i="48"/>
  <c r="AJ297" i="48"/>
  <c r="AJ298" i="48"/>
  <c r="AJ299" i="48"/>
  <c r="AJ300" i="48"/>
  <c r="AJ301" i="48"/>
  <c r="D33" i="46" l="1"/>
  <c r="AG34" i="47" s="1"/>
  <c r="C33" i="46"/>
  <c r="AF34" i="47" s="1"/>
  <c r="B33" i="46"/>
  <c r="AE34" i="47" s="1"/>
  <c r="D32" i="46"/>
  <c r="AG33" i="47" s="1"/>
  <c r="C32" i="46"/>
  <c r="AF33" i="47" s="1"/>
  <c r="B32" i="46"/>
  <c r="AE33" i="47" s="1"/>
  <c r="D31" i="46"/>
  <c r="AG32" i="47" s="1"/>
  <c r="C31" i="46"/>
  <c r="AF32" i="47" s="1"/>
  <c r="B31" i="46"/>
  <c r="AE32" i="47" s="1"/>
  <c r="D30" i="46"/>
  <c r="AG31" i="47" s="1"/>
  <c r="C30" i="46"/>
  <c r="AF31" i="47" s="1"/>
  <c r="B30" i="46"/>
  <c r="AE31" i="47" s="1"/>
  <c r="D29" i="46"/>
  <c r="AG30" i="47" s="1"/>
  <c r="C29" i="46"/>
  <c r="AF30" i="47" s="1"/>
  <c r="B29" i="46"/>
  <c r="AE30" i="47" s="1"/>
  <c r="D28" i="46"/>
  <c r="AG29" i="47" s="1"/>
  <c r="C28" i="46"/>
  <c r="AF29" i="47" s="1"/>
  <c r="B28" i="46"/>
  <c r="AE29" i="47" s="1"/>
  <c r="D27" i="46"/>
  <c r="AG28" i="47" s="1"/>
  <c r="C27" i="46"/>
  <c r="AF28" i="47" s="1"/>
  <c r="B27" i="46"/>
  <c r="AE28" i="47" s="1"/>
  <c r="D26" i="46"/>
  <c r="AG27" i="47" s="1"/>
  <c r="C26" i="46"/>
  <c r="AF27" i="47" s="1"/>
  <c r="B26" i="46"/>
  <c r="AE27" i="47" s="1"/>
  <c r="D25" i="46"/>
  <c r="AG26" i="47" s="1"/>
  <c r="C25" i="46"/>
  <c r="AF26" i="47" s="1"/>
  <c r="B25" i="46"/>
  <c r="AE26" i="47" s="1"/>
  <c r="D24" i="46"/>
  <c r="AG25" i="47" s="1"/>
  <c r="C24" i="46"/>
  <c r="AF25" i="47" s="1"/>
  <c r="B24" i="46"/>
  <c r="AE25" i="47" s="1"/>
  <c r="D23" i="46"/>
  <c r="AG24" i="47" s="1"/>
  <c r="C23" i="46"/>
  <c r="AF24" i="47" s="1"/>
  <c r="B23" i="46"/>
  <c r="AE24" i="47" s="1"/>
  <c r="D22" i="46"/>
  <c r="AG23" i="47" s="1"/>
  <c r="C22" i="46"/>
  <c r="AF23" i="47" s="1"/>
  <c r="B22" i="46"/>
  <c r="AE23" i="47" s="1"/>
  <c r="D21" i="46"/>
  <c r="AG22" i="47" s="1"/>
  <c r="C21" i="46"/>
  <c r="AF22" i="47" s="1"/>
  <c r="B21" i="46"/>
  <c r="AE22" i="47" s="1"/>
  <c r="D20" i="46"/>
  <c r="AG21" i="47" s="1"/>
  <c r="C20" i="46"/>
  <c r="AF21" i="47" s="1"/>
  <c r="B20" i="46"/>
  <c r="AE21" i="47" s="1"/>
  <c r="D19" i="46"/>
  <c r="AG20" i="47" s="1"/>
  <c r="C19" i="46"/>
  <c r="AF20" i="47" s="1"/>
  <c r="B19" i="46"/>
  <c r="AE20" i="47" s="1"/>
  <c r="D18" i="46"/>
  <c r="AG19" i="47" s="1"/>
  <c r="C18" i="46"/>
  <c r="AF19" i="47" s="1"/>
  <c r="B18" i="46"/>
  <c r="AE19" i="47" s="1"/>
  <c r="D17" i="46"/>
  <c r="AG18" i="47" s="1"/>
  <c r="C17" i="46"/>
  <c r="AF18" i="47" s="1"/>
  <c r="B17" i="46"/>
  <c r="AE18" i="47" s="1"/>
  <c r="D16" i="46"/>
  <c r="AG17" i="47" s="1"/>
  <c r="C16" i="46"/>
  <c r="AF17" i="47" s="1"/>
  <c r="B16" i="46"/>
  <c r="AE17" i="47" s="1"/>
  <c r="D15" i="46"/>
  <c r="AG16" i="47" s="1"/>
  <c r="C15" i="46"/>
  <c r="AF16" i="47" s="1"/>
  <c r="B15" i="46"/>
  <c r="AE16" i="47" s="1"/>
  <c r="D14" i="46"/>
  <c r="AG15" i="47" s="1"/>
  <c r="C14" i="46"/>
  <c r="AF15" i="47" s="1"/>
  <c r="B14" i="46"/>
  <c r="AE15" i="47" s="1"/>
  <c r="D13" i="46"/>
  <c r="AG14" i="47" s="1"/>
  <c r="C13" i="46"/>
  <c r="AF14" i="47" s="1"/>
  <c r="B13" i="46"/>
  <c r="AE14" i="47" s="1"/>
  <c r="D12" i="46"/>
  <c r="AG13" i="47" s="1"/>
  <c r="C12" i="46"/>
  <c r="AF13" i="47" s="1"/>
  <c r="B12" i="46"/>
  <c r="AE13" i="47" s="1"/>
  <c r="D11" i="46"/>
  <c r="AG12" i="47" s="1"/>
  <c r="C11" i="46"/>
  <c r="AF12" i="47" s="1"/>
  <c r="B11" i="46"/>
  <c r="AE12" i="47" s="1"/>
  <c r="D10" i="46"/>
  <c r="AG11" i="47" s="1"/>
  <c r="C10" i="46"/>
  <c r="AF11" i="47" s="1"/>
  <c r="B10" i="46"/>
  <c r="AE11" i="47" s="1"/>
  <c r="D9" i="46"/>
  <c r="AG10" i="47" s="1"/>
  <c r="C9" i="46"/>
  <c r="AF10" i="47" s="1"/>
  <c r="B9" i="46"/>
  <c r="AE10" i="47" s="1"/>
  <c r="D8" i="46"/>
  <c r="AG9" i="47" s="1"/>
  <c r="C8" i="46"/>
  <c r="AF9" i="47" s="1"/>
  <c r="B8" i="46"/>
  <c r="AE9" i="47" s="1"/>
  <c r="D7" i="46"/>
  <c r="AG8" i="47" s="1"/>
  <c r="C7" i="46"/>
  <c r="AF8" i="47" s="1"/>
  <c r="B7" i="46"/>
  <c r="AE8" i="47" s="1"/>
  <c r="D6" i="46"/>
  <c r="AG7" i="47" s="1"/>
  <c r="C6" i="46"/>
  <c r="AF7" i="47" s="1"/>
  <c r="B6" i="46"/>
  <c r="AE7" i="47" s="1"/>
  <c r="D5" i="46"/>
  <c r="AG6" i="47" s="1"/>
  <c r="C5" i="46"/>
  <c r="AF6" i="47" s="1"/>
  <c r="B5" i="46"/>
  <c r="AE6" i="47" s="1"/>
  <c r="D4" i="46"/>
  <c r="AG5" i="47" s="1"/>
  <c r="C4" i="46"/>
  <c r="AF5" i="47" s="1"/>
  <c r="B4" i="46"/>
  <c r="AE5" i="47" s="1"/>
  <c r="D3" i="46"/>
  <c r="AG4" i="47" s="1"/>
  <c r="C3" i="46"/>
  <c r="AF4" i="47" s="1"/>
  <c r="B3" i="46"/>
  <c r="AE4" i="47" s="1"/>
  <c r="D2" i="46"/>
  <c r="AG3" i="47" s="1"/>
  <c r="C2" i="46"/>
  <c r="AF3" i="47" s="1"/>
  <c r="B2" i="46"/>
  <c r="AE3" i="47" s="1"/>
  <c r="AC3" i="47" l="1"/>
  <c r="AC8" i="47"/>
  <c r="AC4" i="47"/>
  <c r="AC5" i="47"/>
  <c r="AC13" i="47"/>
  <c r="AC21" i="47"/>
  <c r="AC29" i="47"/>
  <c r="AC16" i="47"/>
  <c r="AC24" i="47"/>
  <c r="AC32" i="47"/>
  <c r="AC11" i="47"/>
  <c r="AC19" i="47"/>
  <c r="AC27" i="47"/>
  <c r="AC6" i="47"/>
  <c r="AC14" i="47"/>
  <c r="AC22" i="47"/>
  <c r="AC30" i="47"/>
  <c r="AC9" i="47"/>
  <c r="AC17" i="47"/>
  <c r="AC25" i="47"/>
  <c r="AC33" i="47"/>
  <c r="AC12" i="47"/>
  <c r="AC20" i="47"/>
  <c r="AC28" i="47"/>
  <c r="AC7" i="47"/>
  <c r="AC15" i="47"/>
  <c r="AC23" i="47"/>
  <c r="AC31" i="47"/>
  <c r="AC10" i="47"/>
  <c r="AC18" i="47"/>
  <c r="AC26" i="47"/>
  <c r="AC34" i="47"/>
  <c r="D202" i="35"/>
  <c r="D201" i="35"/>
  <c r="D199" i="35"/>
  <c r="D200" i="35"/>
  <c r="D198" i="35"/>
  <c r="D197" i="35"/>
  <c r="D196" i="35"/>
  <c r="D194" i="35"/>
  <c r="D195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0" i="35"/>
  <c r="D181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20" i="35"/>
  <c r="D119" i="35"/>
  <c r="D118" i="35"/>
  <c r="D117" i="35"/>
  <c r="D116" i="35"/>
  <c r="D115" i="35"/>
  <c r="D158" i="35"/>
  <c r="D159" i="35"/>
  <c r="D157" i="35"/>
  <c r="D156" i="35"/>
  <c r="D155" i="35"/>
  <c r="D154" i="35"/>
  <c r="D153" i="35"/>
  <c r="D151" i="35"/>
  <c r="D152" i="35"/>
  <c r="D150" i="35"/>
  <c r="D149" i="35"/>
  <c r="D148" i="35"/>
  <c r="D147" i="35"/>
  <c r="D146" i="35"/>
  <c r="D145" i="35"/>
  <c r="D144" i="35"/>
  <c r="D143" i="35"/>
  <c r="D142" i="35"/>
  <c r="D141" i="35"/>
  <c r="D140" i="35"/>
  <c r="D138" i="35"/>
  <c r="D139" i="35"/>
  <c r="D137" i="35"/>
  <c r="D136" i="35"/>
  <c r="D135" i="35"/>
  <c r="D134" i="35"/>
  <c r="D133" i="35"/>
  <c r="D130" i="35"/>
  <c r="D132" i="35"/>
  <c r="D131" i="35"/>
  <c r="D129" i="35"/>
  <c r="D128" i="35"/>
  <c r="D127" i="35"/>
  <c r="D126" i="35"/>
  <c r="D124" i="35"/>
  <c r="D125" i="35"/>
  <c r="D123" i="35"/>
  <c r="D122" i="35"/>
  <c r="D121" i="35"/>
  <c r="D114" i="35"/>
  <c r="D113" i="35"/>
  <c r="D112" i="35"/>
  <c r="D111" i="35"/>
  <c r="D109" i="35"/>
  <c r="D110" i="35"/>
  <c r="D107" i="35"/>
  <c r="D108" i="35"/>
  <c r="D106" i="35"/>
  <c r="D104" i="35"/>
  <c r="D105" i="35"/>
  <c r="D103" i="35"/>
  <c r="D102" i="35"/>
  <c r="D101" i="35"/>
  <c r="D99" i="35"/>
  <c r="D100" i="35"/>
  <c r="D98" i="35"/>
  <c r="D97" i="35"/>
  <c r="D95" i="35"/>
  <c r="D96" i="35"/>
  <c r="D94" i="35"/>
  <c r="D93" i="35"/>
  <c r="D92" i="35"/>
  <c r="D91" i="35"/>
  <c r="D90" i="35"/>
  <c r="D89" i="35"/>
  <c r="D88" i="35"/>
  <c r="D87" i="35"/>
  <c r="D86" i="35"/>
  <c r="D84" i="35"/>
  <c r="D85" i="35"/>
  <c r="D83" i="35"/>
  <c r="D81" i="35"/>
  <c r="D82" i="35"/>
  <c r="D79" i="35"/>
  <c r="D80" i="35"/>
  <c r="D78" i="35"/>
  <c r="D77" i="35"/>
  <c r="D76" i="35"/>
  <c r="D75" i="35"/>
  <c r="D74" i="35"/>
  <c r="D73" i="35"/>
  <c r="D71" i="35"/>
  <c r="D72" i="35"/>
  <c r="D70" i="35"/>
  <c r="D68" i="35"/>
  <c r="D69" i="35"/>
  <c r="D67" i="35"/>
  <c r="D66" i="35"/>
  <c r="D64" i="35"/>
  <c r="D65" i="35"/>
  <c r="D63" i="35"/>
  <c r="D62" i="35"/>
  <c r="D60" i="35"/>
  <c r="D61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2" i="35"/>
  <c r="D23" i="35"/>
  <c r="D21" i="35"/>
  <c r="D20" i="35"/>
  <c r="D18" i="35"/>
  <c r="D17" i="35"/>
  <c r="D19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B26" i="35"/>
  <c r="B40" i="35"/>
  <c r="B76" i="35"/>
  <c r="B83" i="35"/>
  <c r="B95" i="35"/>
  <c r="B107" i="35"/>
  <c r="B127" i="35"/>
  <c r="B151" i="35"/>
  <c r="B158" i="35"/>
  <c r="B194" i="35"/>
  <c r="B202" i="35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40" i="33"/>
  <c r="D39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38" i="33"/>
  <c r="D37" i="33"/>
  <c r="D36" i="33"/>
  <c r="D35" i="33"/>
  <c r="D34" i="33"/>
  <c r="D33" i="33"/>
  <c r="D32" i="33"/>
  <c r="D31" i="33"/>
  <c r="D30" i="33"/>
  <c r="D29" i="33"/>
  <c r="D28" i="33"/>
  <c r="D26" i="33"/>
  <c r="D27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E3" i="47" s="1"/>
  <c r="B58" i="33"/>
  <c r="B49" i="33"/>
  <c r="B28" i="33"/>
  <c r="B3" i="33"/>
  <c r="A3" i="33" s="1"/>
  <c r="B2" i="33"/>
  <c r="C3" i="47" s="1"/>
  <c r="AE26" i="44" l="1"/>
  <c r="AF10" i="44"/>
  <c r="AF7" i="44"/>
  <c r="AF9" i="44"/>
  <c r="AE9" i="44"/>
  <c r="AD26" i="44"/>
  <c r="AD9" i="44"/>
  <c r="AE7" i="44"/>
  <c r="AF26" i="44"/>
  <c r="AD7" i="44"/>
  <c r="AE23" i="44"/>
  <c r="AE22" i="44"/>
  <c r="AF17" i="44"/>
  <c r="S3" i="47"/>
  <c r="AO103" i="47"/>
  <c r="AE10" i="44"/>
  <c r="AD8" i="44"/>
  <c r="AF11" i="44"/>
  <c r="AD10" i="44"/>
  <c r="D4" i="47"/>
  <c r="E4" i="47"/>
  <c r="C4" i="47"/>
  <c r="AE25" i="44"/>
  <c r="AE6" i="44"/>
  <c r="AD22" i="44"/>
  <c r="AF8" i="44"/>
  <c r="AE5" i="44"/>
  <c r="AD21" i="44"/>
  <c r="AF6" i="44"/>
  <c r="AE4" i="44"/>
  <c r="AD20" i="44"/>
  <c r="AF4" i="44"/>
  <c r="AE3" i="44"/>
  <c r="AD19" i="44"/>
  <c r="AF2" i="44"/>
  <c r="AD2" i="44"/>
  <c r="AF33" i="44"/>
  <c r="AD18" i="44"/>
  <c r="AE33" i="44"/>
  <c r="AF31" i="44"/>
  <c r="AD17" i="44"/>
  <c r="AE32" i="44"/>
  <c r="AF29" i="44"/>
  <c r="AD16" i="44"/>
  <c r="AE31" i="44"/>
  <c r="AF27" i="44"/>
  <c r="AD15" i="44"/>
  <c r="AE30" i="44"/>
  <c r="AF25" i="44"/>
  <c r="AD14" i="44"/>
  <c r="AE29" i="44"/>
  <c r="AF23" i="44"/>
  <c r="AD13" i="44"/>
  <c r="AE28" i="44"/>
  <c r="AF21" i="44"/>
  <c r="AD12" i="44"/>
  <c r="AE27" i="44"/>
  <c r="AF19" i="44"/>
  <c r="AD11" i="44"/>
  <c r="AF15" i="44"/>
  <c r="AE24" i="44"/>
  <c r="AF13" i="44"/>
  <c r="AD6" i="44"/>
  <c r="AE21" i="44"/>
  <c r="AD5" i="44"/>
  <c r="AE20" i="44"/>
  <c r="AF5" i="44"/>
  <c r="AD4" i="44"/>
  <c r="AE19" i="44"/>
  <c r="AF3" i="44"/>
  <c r="AD3" i="44"/>
  <c r="AE18" i="44"/>
  <c r="AE2" i="44"/>
  <c r="AF32" i="44"/>
  <c r="AE17" i="44"/>
  <c r="AD33" i="44"/>
  <c r="AF30" i="44"/>
  <c r="AE16" i="44"/>
  <c r="AD32" i="44"/>
  <c r="AF28" i="44"/>
  <c r="AE15" i="44"/>
  <c r="AD31" i="44"/>
  <c r="AE14" i="44"/>
  <c r="AD30" i="44"/>
  <c r="AF24" i="44"/>
  <c r="AE13" i="44"/>
  <c r="AD29" i="44"/>
  <c r="AF22" i="44"/>
  <c r="AE12" i="44"/>
  <c r="AD28" i="44"/>
  <c r="AF20" i="44"/>
  <c r="AE11" i="44"/>
  <c r="AD27" i="44"/>
  <c r="AF18" i="44"/>
  <c r="AF16" i="44"/>
  <c r="AD25" i="44"/>
  <c r="AF14" i="44"/>
  <c r="AE8" i="44"/>
  <c r="AD24" i="44"/>
  <c r="AF12" i="44"/>
  <c r="AD23" i="44"/>
  <c r="AE4" i="27" l="1"/>
  <c r="Q4" i="27" s="1"/>
  <c r="AE3" i="32" l="1"/>
  <c r="Q3" i="32" s="1"/>
  <c r="AC27" i="4" l="1"/>
  <c r="AC26" i="4"/>
  <c r="AC25" i="4"/>
  <c r="AC24" i="4"/>
  <c r="AC27" i="5"/>
  <c r="AC26" i="5"/>
  <c r="AC25" i="5"/>
  <c r="AC24" i="5"/>
  <c r="AC27" i="6"/>
  <c r="AC26" i="6"/>
  <c r="AC25" i="6"/>
  <c r="AC24" i="6"/>
  <c r="AC27" i="1"/>
  <c r="AC26" i="1"/>
  <c r="AC25" i="1"/>
  <c r="AC24" i="1"/>
  <c r="AC27" i="7"/>
  <c r="AC26" i="7"/>
  <c r="AC25" i="7"/>
  <c r="AC24" i="7"/>
  <c r="AC27" i="8"/>
  <c r="AC26" i="8"/>
  <c r="AC25" i="8"/>
  <c r="AC24" i="8"/>
  <c r="AC27" i="9"/>
  <c r="AC26" i="9"/>
  <c r="AC25" i="9"/>
  <c r="AC24" i="9"/>
  <c r="AC27" i="10"/>
  <c r="AC26" i="10"/>
  <c r="AC25" i="10"/>
  <c r="AC24" i="10"/>
  <c r="AC27" i="11"/>
  <c r="AC26" i="11"/>
  <c r="AC25" i="11"/>
  <c r="AC24" i="11"/>
  <c r="AC27" i="12"/>
  <c r="AC26" i="12"/>
  <c r="AC25" i="12"/>
  <c r="AC24" i="12"/>
  <c r="AC27" i="13"/>
  <c r="AC26" i="13"/>
  <c r="AC25" i="13"/>
  <c r="AC24" i="13"/>
  <c r="AC27" i="14"/>
  <c r="AC26" i="14"/>
  <c r="AC25" i="14"/>
  <c r="AC24" i="14"/>
  <c r="AC27" i="15"/>
  <c r="AC26" i="15"/>
  <c r="AC25" i="15"/>
  <c r="AC24" i="15"/>
  <c r="AC27" i="16"/>
  <c r="AC26" i="16"/>
  <c r="AC25" i="16"/>
  <c r="AC24" i="16"/>
  <c r="AC27" i="17"/>
  <c r="AC26" i="17"/>
  <c r="AC25" i="17"/>
  <c r="AC24" i="17"/>
  <c r="AC27" i="3"/>
  <c r="AC26" i="3"/>
  <c r="AC25" i="3"/>
  <c r="AC24" i="3"/>
  <c r="AC27" i="18"/>
  <c r="AC26" i="18"/>
  <c r="AC25" i="18"/>
  <c r="AC24" i="18"/>
  <c r="AC27" i="25"/>
  <c r="AC26" i="25"/>
  <c r="AC25" i="25"/>
  <c r="AC24" i="25"/>
  <c r="AC27" i="19"/>
  <c r="AC26" i="19"/>
  <c r="AC25" i="19"/>
  <c r="AC24" i="19"/>
  <c r="AC27" i="20"/>
  <c r="AC26" i="20"/>
  <c r="AC25" i="20"/>
  <c r="AC24" i="20"/>
  <c r="AC27" i="21"/>
  <c r="AC26" i="21"/>
  <c r="AC25" i="21"/>
  <c r="AC24" i="21"/>
  <c r="AC27" i="22"/>
  <c r="AC26" i="22"/>
  <c r="AC25" i="22"/>
  <c r="AC24" i="22"/>
  <c r="AC27" i="23"/>
  <c r="AC26" i="23"/>
  <c r="AC25" i="23"/>
  <c r="AC24" i="23"/>
  <c r="AC27" i="24"/>
  <c r="AC26" i="24"/>
  <c r="AC25" i="24"/>
  <c r="AC24" i="24"/>
  <c r="AC27" i="26"/>
  <c r="AC26" i="26"/>
  <c r="AC25" i="26"/>
  <c r="AC24" i="26"/>
  <c r="AC27" i="27"/>
  <c r="AC26" i="27"/>
  <c r="AC25" i="27"/>
  <c r="AC24" i="27"/>
  <c r="AC27" i="28"/>
  <c r="AC26" i="28"/>
  <c r="AC25" i="28"/>
  <c r="AC24" i="28"/>
  <c r="AC27" i="2"/>
  <c r="AC26" i="2"/>
  <c r="AC25" i="2"/>
  <c r="AC24" i="2"/>
  <c r="AC27" i="29"/>
  <c r="AC26" i="29"/>
  <c r="AC25" i="29"/>
  <c r="AC24" i="29"/>
  <c r="AC27" i="30"/>
  <c r="AC26" i="30"/>
  <c r="AC25" i="30"/>
  <c r="AC24" i="30"/>
  <c r="AC27" i="31"/>
  <c r="AC26" i="31"/>
  <c r="AC25" i="31"/>
  <c r="AC24" i="31"/>
  <c r="AC27" i="32"/>
  <c r="AC26" i="32"/>
  <c r="AC25" i="32"/>
  <c r="AC24" i="32"/>
  <c r="AC22" i="4"/>
  <c r="AC21" i="4"/>
  <c r="AC20" i="4"/>
  <c r="AC19" i="4"/>
  <c r="AC18" i="4"/>
  <c r="AC17" i="4"/>
  <c r="AC16" i="4"/>
  <c r="AC15" i="4"/>
  <c r="AC22" i="5"/>
  <c r="AC21" i="5"/>
  <c r="AC20" i="5"/>
  <c r="AC19" i="5"/>
  <c r="AC18" i="5"/>
  <c r="AC17" i="5"/>
  <c r="AC16" i="5"/>
  <c r="AC15" i="5"/>
  <c r="AC22" i="6"/>
  <c r="AC21" i="6"/>
  <c r="AC20" i="6"/>
  <c r="AC19" i="6"/>
  <c r="AC18" i="6"/>
  <c r="AC17" i="6"/>
  <c r="AC16" i="6"/>
  <c r="AC15" i="6"/>
  <c r="AC22" i="1"/>
  <c r="AC21" i="1"/>
  <c r="AC20" i="1"/>
  <c r="AC19" i="1"/>
  <c r="AC18" i="1"/>
  <c r="AC17" i="1"/>
  <c r="AC16" i="1"/>
  <c r="AC15" i="1"/>
  <c r="AC22" i="7"/>
  <c r="AC21" i="7"/>
  <c r="AC20" i="7"/>
  <c r="AC19" i="7"/>
  <c r="AC18" i="7"/>
  <c r="AC17" i="7"/>
  <c r="AC16" i="7"/>
  <c r="AC15" i="7"/>
  <c r="AC22" i="8"/>
  <c r="AC21" i="8"/>
  <c r="AC20" i="8"/>
  <c r="AC19" i="8"/>
  <c r="AC18" i="8"/>
  <c r="AC17" i="8"/>
  <c r="AC16" i="8"/>
  <c r="AC15" i="8"/>
  <c r="AC22" i="9"/>
  <c r="AC21" i="9"/>
  <c r="AC20" i="9"/>
  <c r="AC19" i="9"/>
  <c r="AC18" i="9"/>
  <c r="AC17" i="9"/>
  <c r="AC16" i="9"/>
  <c r="AC15" i="9"/>
  <c r="AC22" i="10"/>
  <c r="AC21" i="10"/>
  <c r="AC20" i="10"/>
  <c r="AC19" i="10"/>
  <c r="AC18" i="10"/>
  <c r="AC17" i="10"/>
  <c r="AC16" i="10"/>
  <c r="AC15" i="10"/>
  <c r="AC22" i="11"/>
  <c r="AC21" i="11"/>
  <c r="AC20" i="11"/>
  <c r="AC19" i="11"/>
  <c r="AC18" i="11"/>
  <c r="AC17" i="11"/>
  <c r="AC16" i="11"/>
  <c r="AC15" i="11"/>
  <c r="AC22" i="12"/>
  <c r="AC21" i="12"/>
  <c r="AC20" i="12"/>
  <c r="AC19" i="12"/>
  <c r="AC18" i="12"/>
  <c r="AC17" i="12"/>
  <c r="AC16" i="12"/>
  <c r="AC15" i="12"/>
  <c r="AC22" i="13"/>
  <c r="AC21" i="13"/>
  <c r="AC20" i="13"/>
  <c r="AC19" i="13"/>
  <c r="AC18" i="13"/>
  <c r="AC17" i="13"/>
  <c r="AC16" i="13"/>
  <c r="AC15" i="13"/>
  <c r="AC21" i="14"/>
  <c r="AC20" i="14"/>
  <c r="AC19" i="14"/>
  <c r="AC18" i="14"/>
  <c r="AC17" i="14"/>
  <c r="AC16" i="14"/>
  <c r="AC15" i="14"/>
  <c r="AC22" i="15"/>
  <c r="AC21" i="15"/>
  <c r="AC20" i="15"/>
  <c r="AC19" i="15"/>
  <c r="AC18" i="15"/>
  <c r="AC17" i="15"/>
  <c r="AC16" i="15"/>
  <c r="AC15" i="15"/>
  <c r="AC22" i="16"/>
  <c r="AC21" i="16"/>
  <c r="AC20" i="16"/>
  <c r="AC19" i="16"/>
  <c r="AC18" i="16"/>
  <c r="AC17" i="16"/>
  <c r="AC16" i="16"/>
  <c r="AC15" i="16"/>
  <c r="AC22" i="17"/>
  <c r="AC21" i="17"/>
  <c r="AC20" i="17"/>
  <c r="AC19" i="17"/>
  <c r="AC18" i="17"/>
  <c r="AC17" i="17"/>
  <c r="AC16" i="17"/>
  <c r="AC15" i="17"/>
  <c r="AC22" i="3"/>
  <c r="AC21" i="3"/>
  <c r="AC20" i="3"/>
  <c r="AC19" i="3"/>
  <c r="AC18" i="3"/>
  <c r="AC17" i="3"/>
  <c r="AC16" i="3"/>
  <c r="AC15" i="3"/>
  <c r="AC22" i="18"/>
  <c r="AC21" i="18"/>
  <c r="AC20" i="18"/>
  <c r="AC19" i="18"/>
  <c r="AC18" i="18"/>
  <c r="AC17" i="18"/>
  <c r="AC16" i="18"/>
  <c r="AC15" i="18"/>
  <c r="AC22" i="25"/>
  <c r="AC21" i="25"/>
  <c r="AC20" i="25"/>
  <c r="AC19" i="25"/>
  <c r="AC18" i="25"/>
  <c r="AC17" i="25"/>
  <c r="AC16" i="25"/>
  <c r="AC15" i="25"/>
  <c r="AC22" i="19"/>
  <c r="AC21" i="19"/>
  <c r="AC20" i="19"/>
  <c r="AC19" i="19"/>
  <c r="AC18" i="19"/>
  <c r="AC17" i="19"/>
  <c r="AC16" i="19"/>
  <c r="AC15" i="19"/>
  <c r="AC22" i="20"/>
  <c r="AC21" i="20"/>
  <c r="AC20" i="20"/>
  <c r="AC19" i="20"/>
  <c r="AC18" i="20"/>
  <c r="AC17" i="20"/>
  <c r="AC16" i="20"/>
  <c r="AC15" i="20"/>
  <c r="AC22" i="21"/>
  <c r="AC21" i="21"/>
  <c r="AC20" i="21"/>
  <c r="AC19" i="21"/>
  <c r="AC18" i="21"/>
  <c r="AC17" i="21"/>
  <c r="AC16" i="21"/>
  <c r="AC15" i="21"/>
  <c r="AC22" i="22"/>
  <c r="AC21" i="22"/>
  <c r="AC20" i="22"/>
  <c r="AC19" i="22"/>
  <c r="AC18" i="22"/>
  <c r="AC17" i="22"/>
  <c r="AC16" i="22"/>
  <c r="AC15" i="22"/>
  <c r="AC22" i="23"/>
  <c r="AC21" i="23"/>
  <c r="AC20" i="23"/>
  <c r="AC19" i="23"/>
  <c r="AC18" i="23"/>
  <c r="AC17" i="23"/>
  <c r="AC16" i="23"/>
  <c r="AC15" i="23"/>
  <c r="AC22" i="24"/>
  <c r="AC21" i="24"/>
  <c r="AC20" i="24"/>
  <c r="AC19" i="24"/>
  <c r="AC18" i="24"/>
  <c r="AC17" i="24"/>
  <c r="AC16" i="24"/>
  <c r="AC15" i="24"/>
  <c r="AC22" i="26"/>
  <c r="AC21" i="26"/>
  <c r="AC20" i="26"/>
  <c r="AC19" i="26"/>
  <c r="AC18" i="26"/>
  <c r="AC17" i="26"/>
  <c r="AC16" i="26"/>
  <c r="AC15" i="26"/>
  <c r="AC22" i="27"/>
  <c r="AC21" i="27"/>
  <c r="AC20" i="27"/>
  <c r="AC19" i="27"/>
  <c r="AC18" i="27"/>
  <c r="AC17" i="27"/>
  <c r="AC16" i="27"/>
  <c r="AC15" i="27"/>
  <c r="AC22" i="28"/>
  <c r="AC21" i="28"/>
  <c r="AC20" i="28"/>
  <c r="AC19" i="28"/>
  <c r="AC18" i="28"/>
  <c r="AC17" i="28"/>
  <c r="AC16" i="28"/>
  <c r="AC15" i="28"/>
  <c r="AC22" i="2"/>
  <c r="AC21" i="2"/>
  <c r="AC20" i="2"/>
  <c r="AC19" i="2"/>
  <c r="AC18" i="2"/>
  <c r="AC17" i="2"/>
  <c r="AC16" i="2"/>
  <c r="AC15" i="2"/>
  <c r="AC22" i="29"/>
  <c r="AC21" i="29"/>
  <c r="AC20" i="29"/>
  <c r="AC19" i="29"/>
  <c r="AC18" i="29"/>
  <c r="AC17" i="29"/>
  <c r="AC16" i="29"/>
  <c r="AC15" i="29"/>
  <c r="AC22" i="30"/>
  <c r="AC21" i="30"/>
  <c r="AC20" i="30"/>
  <c r="AC19" i="30"/>
  <c r="AC18" i="30"/>
  <c r="AC17" i="30"/>
  <c r="AC16" i="30"/>
  <c r="AC15" i="30"/>
  <c r="AC22" i="31"/>
  <c r="AC21" i="31"/>
  <c r="AC20" i="31"/>
  <c r="AC19" i="31"/>
  <c r="AC18" i="31"/>
  <c r="AC17" i="31"/>
  <c r="AC16" i="31"/>
  <c r="AC15" i="31"/>
  <c r="AC22" i="32"/>
  <c r="AC21" i="32"/>
  <c r="AC20" i="32"/>
  <c r="AC19" i="32"/>
  <c r="AC18" i="32"/>
  <c r="AC17" i="32"/>
  <c r="AC16" i="32"/>
  <c r="AC15" i="32"/>
  <c r="AC8" i="4"/>
  <c r="AC9" i="4"/>
  <c r="AC10" i="4"/>
  <c r="AC11" i="4"/>
  <c r="AC12" i="4"/>
  <c r="AC8" i="5"/>
  <c r="AC9" i="5"/>
  <c r="AC10" i="5"/>
  <c r="AC11" i="5"/>
  <c r="AC12" i="5"/>
  <c r="AC8" i="6"/>
  <c r="AC9" i="6"/>
  <c r="AC10" i="6"/>
  <c r="AC11" i="6"/>
  <c r="AC12" i="6"/>
  <c r="AC8" i="1"/>
  <c r="AC9" i="1"/>
  <c r="AC10" i="1"/>
  <c r="AC11" i="1"/>
  <c r="AC12" i="1"/>
  <c r="AC8" i="7"/>
  <c r="AC9" i="7"/>
  <c r="AC10" i="7"/>
  <c r="AC11" i="7"/>
  <c r="AC12" i="7"/>
  <c r="AC8" i="8"/>
  <c r="AC9" i="8"/>
  <c r="AC10" i="8"/>
  <c r="AC11" i="8"/>
  <c r="AC12" i="8"/>
  <c r="AC8" i="9"/>
  <c r="AC9" i="9"/>
  <c r="AC10" i="9"/>
  <c r="AC11" i="9"/>
  <c r="AC12" i="9"/>
  <c r="AC8" i="10"/>
  <c r="AC9" i="10"/>
  <c r="AC10" i="10"/>
  <c r="AC11" i="10"/>
  <c r="AC12" i="10"/>
  <c r="AC8" i="11"/>
  <c r="AC9" i="11"/>
  <c r="AC10" i="11"/>
  <c r="AC11" i="11"/>
  <c r="AC12" i="11"/>
  <c r="AC8" i="12"/>
  <c r="AC9" i="12"/>
  <c r="AC10" i="12"/>
  <c r="AC11" i="12"/>
  <c r="AC12" i="12"/>
  <c r="AC8" i="13"/>
  <c r="AC9" i="13"/>
  <c r="AC10" i="13"/>
  <c r="AC11" i="13"/>
  <c r="AC12" i="13"/>
  <c r="AC8" i="14"/>
  <c r="AC9" i="14"/>
  <c r="AC10" i="14"/>
  <c r="AC11" i="14"/>
  <c r="AC12" i="14"/>
  <c r="AC8" i="15"/>
  <c r="AC9" i="15"/>
  <c r="AC10" i="15"/>
  <c r="AC11" i="15"/>
  <c r="AC12" i="15"/>
  <c r="AC8" i="16"/>
  <c r="AC9" i="16"/>
  <c r="AC10" i="16"/>
  <c r="AC11" i="16"/>
  <c r="AC12" i="16"/>
  <c r="AC8" i="17"/>
  <c r="AC9" i="17"/>
  <c r="AC10" i="17"/>
  <c r="AC11" i="17"/>
  <c r="AC12" i="17"/>
  <c r="AC8" i="3"/>
  <c r="AC9" i="3"/>
  <c r="AC10" i="3"/>
  <c r="AC11" i="3"/>
  <c r="AC12" i="3"/>
  <c r="AC12" i="18"/>
  <c r="AC8" i="25"/>
  <c r="AC9" i="25"/>
  <c r="AC10" i="25"/>
  <c r="AC11" i="25"/>
  <c r="AC12" i="25"/>
  <c r="AC8" i="19"/>
  <c r="AC9" i="19"/>
  <c r="AC10" i="19"/>
  <c r="AC11" i="19"/>
  <c r="AC12" i="19"/>
  <c r="AC8" i="20"/>
  <c r="AC9" i="20"/>
  <c r="AC10" i="20"/>
  <c r="AC11" i="20"/>
  <c r="AC12" i="20"/>
  <c r="AC8" i="21"/>
  <c r="AC9" i="21"/>
  <c r="AC10" i="21"/>
  <c r="AC11" i="21"/>
  <c r="AC12" i="21"/>
  <c r="AC8" i="22"/>
  <c r="AC9" i="22"/>
  <c r="AC10" i="22"/>
  <c r="AC11" i="22"/>
  <c r="AC12" i="22"/>
  <c r="AC8" i="23"/>
  <c r="AC9" i="23"/>
  <c r="AC10" i="23"/>
  <c r="AC11" i="23"/>
  <c r="AC12" i="23"/>
  <c r="AC8" i="24"/>
  <c r="AC9" i="24"/>
  <c r="AC10" i="24"/>
  <c r="AC11" i="24"/>
  <c r="AC12" i="24"/>
  <c r="AC8" i="26"/>
  <c r="AC9" i="26"/>
  <c r="AC10" i="26"/>
  <c r="AC11" i="26"/>
  <c r="AC12" i="26"/>
  <c r="AC8" i="27"/>
  <c r="AC9" i="27"/>
  <c r="AC10" i="27"/>
  <c r="AC11" i="27"/>
  <c r="AC12" i="27"/>
  <c r="AC8" i="28"/>
  <c r="AC9" i="28"/>
  <c r="AC10" i="28"/>
  <c r="AC11" i="28"/>
  <c r="AC12" i="28"/>
  <c r="AC8" i="2"/>
  <c r="AC9" i="2"/>
  <c r="AC10" i="2"/>
  <c r="AC11" i="2"/>
  <c r="AC12" i="2"/>
  <c r="AC8" i="29"/>
  <c r="AC9" i="29"/>
  <c r="AC10" i="29"/>
  <c r="AC11" i="29"/>
  <c r="AC12" i="29"/>
  <c r="AC8" i="30"/>
  <c r="AC9" i="30"/>
  <c r="AC10" i="30"/>
  <c r="AC11" i="30"/>
  <c r="AC12" i="30"/>
  <c r="AC8" i="31"/>
  <c r="AC9" i="31"/>
  <c r="AC10" i="31"/>
  <c r="AC11" i="31"/>
  <c r="AC12" i="31"/>
  <c r="AC8" i="32"/>
  <c r="AC9" i="32"/>
  <c r="AC10" i="32"/>
  <c r="AC11" i="32"/>
  <c r="AC12" i="32"/>
  <c r="AC7" i="4"/>
  <c r="AC7" i="5"/>
  <c r="AC7" i="6"/>
  <c r="AC7" i="1"/>
  <c r="AC7" i="7"/>
  <c r="AC7" i="8"/>
  <c r="AC7" i="9"/>
  <c r="AC7" i="10"/>
  <c r="AC7" i="11"/>
  <c r="AC7" i="12"/>
  <c r="AC7" i="13"/>
  <c r="AC7" i="14"/>
  <c r="AC7" i="15"/>
  <c r="AC7" i="16"/>
  <c r="AC7" i="17"/>
  <c r="AC7" i="3"/>
  <c r="AC7" i="25"/>
  <c r="AC7" i="19"/>
  <c r="AC7" i="20"/>
  <c r="AC7" i="21"/>
  <c r="AC7" i="22"/>
  <c r="AC7" i="23"/>
  <c r="AC7" i="24"/>
  <c r="AC7" i="26"/>
  <c r="AC7" i="27"/>
  <c r="AC7" i="28"/>
  <c r="AC7" i="2"/>
  <c r="AC7" i="29"/>
  <c r="AC7" i="30"/>
  <c r="AC7" i="31"/>
  <c r="AC7" i="32"/>
  <c r="AA27" i="4"/>
  <c r="AA26" i="4"/>
  <c r="AA25" i="4"/>
  <c r="AA24" i="4"/>
  <c r="AA27" i="5"/>
  <c r="AA26" i="5"/>
  <c r="AA25" i="5"/>
  <c r="AA24" i="5"/>
  <c r="AA27" i="6"/>
  <c r="AA26" i="6"/>
  <c r="AA25" i="6"/>
  <c r="AA24" i="6"/>
  <c r="AA27" i="1"/>
  <c r="AA26" i="1"/>
  <c r="AA25" i="1"/>
  <c r="AA24" i="1"/>
  <c r="AA27" i="7"/>
  <c r="AA26" i="7"/>
  <c r="AA25" i="7"/>
  <c r="AA24" i="7"/>
  <c r="AA27" i="8"/>
  <c r="AA26" i="8"/>
  <c r="AA25" i="8"/>
  <c r="AA24" i="8"/>
  <c r="AA27" i="9"/>
  <c r="AA26" i="9"/>
  <c r="AA25" i="9"/>
  <c r="AA24" i="9"/>
  <c r="AA27" i="10"/>
  <c r="AA26" i="10"/>
  <c r="AA25" i="10"/>
  <c r="AA24" i="10"/>
  <c r="AA27" i="11"/>
  <c r="AA26" i="11"/>
  <c r="AA25" i="11"/>
  <c r="AA24" i="11"/>
  <c r="AA27" i="12"/>
  <c r="AA26" i="12"/>
  <c r="AA25" i="12"/>
  <c r="AA24" i="12"/>
  <c r="AA27" i="13"/>
  <c r="AA26" i="13"/>
  <c r="AA25" i="13"/>
  <c r="AA24" i="13"/>
  <c r="AA27" i="14"/>
  <c r="AA26" i="14"/>
  <c r="AA25" i="14"/>
  <c r="AA24" i="14"/>
  <c r="AA27" i="15"/>
  <c r="AA26" i="15"/>
  <c r="AA25" i="15"/>
  <c r="AA24" i="15"/>
  <c r="AA27" i="16"/>
  <c r="AA26" i="16"/>
  <c r="AA25" i="16"/>
  <c r="AA24" i="16"/>
  <c r="AA27" i="17"/>
  <c r="AA26" i="17"/>
  <c r="AA25" i="17"/>
  <c r="AA24" i="17"/>
  <c r="AA27" i="3"/>
  <c r="AA26" i="3"/>
  <c r="AA25" i="3"/>
  <c r="AA24" i="3"/>
  <c r="AA27" i="18"/>
  <c r="AA26" i="18"/>
  <c r="AA25" i="18"/>
  <c r="AA24" i="18"/>
  <c r="AA27" i="25"/>
  <c r="AA26" i="25"/>
  <c r="AA25" i="25"/>
  <c r="AA24" i="25"/>
  <c r="AA27" i="19"/>
  <c r="AA26" i="19"/>
  <c r="AA25" i="19"/>
  <c r="AA24" i="19"/>
  <c r="AA27" i="20"/>
  <c r="AA26" i="20"/>
  <c r="AA25" i="20"/>
  <c r="AA24" i="20"/>
  <c r="AA27" i="21"/>
  <c r="AA26" i="21"/>
  <c r="AA25" i="21"/>
  <c r="AA24" i="21"/>
  <c r="AA27" i="22"/>
  <c r="AA26" i="22"/>
  <c r="AA25" i="22"/>
  <c r="AA24" i="22"/>
  <c r="AA27" i="23"/>
  <c r="AA26" i="23"/>
  <c r="AA25" i="23"/>
  <c r="AA24" i="23"/>
  <c r="AA27" i="24"/>
  <c r="AA26" i="24"/>
  <c r="AA25" i="24"/>
  <c r="AA24" i="24"/>
  <c r="AA27" i="26"/>
  <c r="AA26" i="26"/>
  <c r="AA25" i="26"/>
  <c r="AA24" i="26"/>
  <c r="AA27" i="27"/>
  <c r="AA26" i="27"/>
  <c r="AA25" i="27"/>
  <c r="AA24" i="27"/>
  <c r="AA27" i="28"/>
  <c r="AA26" i="28"/>
  <c r="AA25" i="28"/>
  <c r="AA24" i="28"/>
  <c r="AA27" i="2"/>
  <c r="AA26" i="2"/>
  <c r="AA25" i="2"/>
  <c r="AA24" i="2"/>
  <c r="AA27" i="29"/>
  <c r="AA26" i="29"/>
  <c r="AA25" i="29"/>
  <c r="AA24" i="29"/>
  <c r="AA27" i="30"/>
  <c r="AA26" i="30"/>
  <c r="AA25" i="30"/>
  <c r="AA24" i="30"/>
  <c r="AA27" i="31"/>
  <c r="AA26" i="31"/>
  <c r="AA25" i="31"/>
  <c r="AA24" i="31"/>
  <c r="AA27" i="32"/>
  <c r="AA26" i="32"/>
  <c r="AA25" i="32"/>
  <c r="AA24" i="32"/>
  <c r="AA22" i="4"/>
  <c r="AA21" i="4"/>
  <c r="AA20" i="4"/>
  <c r="AA19" i="4"/>
  <c r="AA18" i="4"/>
  <c r="AA17" i="4"/>
  <c r="AA16" i="4"/>
  <c r="AA15" i="4"/>
  <c r="AA22" i="5"/>
  <c r="AA21" i="5"/>
  <c r="AA20" i="5"/>
  <c r="AA19" i="5"/>
  <c r="AA18" i="5"/>
  <c r="AA17" i="5"/>
  <c r="AA16" i="5"/>
  <c r="AA15" i="5"/>
  <c r="AA22" i="6"/>
  <c r="AA21" i="6"/>
  <c r="AA20" i="6"/>
  <c r="AA19" i="6"/>
  <c r="AA18" i="6"/>
  <c r="AA17" i="6"/>
  <c r="AA16" i="6"/>
  <c r="AA15" i="6"/>
  <c r="AA22" i="1"/>
  <c r="AA21" i="1"/>
  <c r="AA20" i="1"/>
  <c r="AA19" i="1"/>
  <c r="AA18" i="1"/>
  <c r="AA17" i="1"/>
  <c r="AA16" i="1"/>
  <c r="AA15" i="1"/>
  <c r="AA22" i="7"/>
  <c r="AA21" i="7"/>
  <c r="AA20" i="7"/>
  <c r="AA19" i="7"/>
  <c r="AA18" i="7"/>
  <c r="AA17" i="7"/>
  <c r="AA16" i="7"/>
  <c r="AA15" i="7"/>
  <c r="AA22" i="8"/>
  <c r="AA21" i="8"/>
  <c r="AA20" i="8"/>
  <c r="AA19" i="8"/>
  <c r="AA18" i="8"/>
  <c r="AA17" i="8"/>
  <c r="AA16" i="8"/>
  <c r="AA15" i="8"/>
  <c r="AA22" i="9"/>
  <c r="AA21" i="9"/>
  <c r="AA20" i="9"/>
  <c r="AA19" i="9"/>
  <c r="AA18" i="9"/>
  <c r="AA17" i="9"/>
  <c r="AA16" i="9"/>
  <c r="AA15" i="9"/>
  <c r="AA22" i="10"/>
  <c r="AA21" i="10"/>
  <c r="AA20" i="10"/>
  <c r="AA19" i="10"/>
  <c r="AA18" i="10"/>
  <c r="AA17" i="10"/>
  <c r="AA16" i="10"/>
  <c r="AA15" i="10"/>
  <c r="AA22" i="11"/>
  <c r="AA21" i="11"/>
  <c r="AA20" i="11"/>
  <c r="AA19" i="11"/>
  <c r="AA18" i="11"/>
  <c r="AA17" i="11"/>
  <c r="AA16" i="11"/>
  <c r="AA15" i="11"/>
  <c r="AA22" i="12"/>
  <c r="AA21" i="12"/>
  <c r="AA20" i="12"/>
  <c r="AA19" i="12"/>
  <c r="AA18" i="12"/>
  <c r="AA17" i="12"/>
  <c r="AA16" i="12"/>
  <c r="AA15" i="12"/>
  <c r="AA22" i="13"/>
  <c r="AA21" i="13"/>
  <c r="AA20" i="13"/>
  <c r="AA19" i="13"/>
  <c r="AA18" i="13"/>
  <c r="AA17" i="13"/>
  <c r="AA16" i="13"/>
  <c r="AA15" i="13"/>
  <c r="AA21" i="14"/>
  <c r="AA20" i="14"/>
  <c r="AA19" i="14"/>
  <c r="AA18" i="14"/>
  <c r="AA17" i="14"/>
  <c r="AA16" i="14"/>
  <c r="AA15" i="14"/>
  <c r="AA22" i="15"/>
  <c r="AA21" i="15"/>
  <c r="AA20" i="15"/>
  <c r="AA19" i="15"/>
  <c r="AA18" i="15"/>
  <c r="AA17" i="15"/>
  <c r="AA16" i="15"/>
  <c r="AA15" i="15"/>
  <c r="AA22" i="16"/>
  <c r="AA20" i="16"/>
  <c r="AA19" i="16"/>
  <c r="AA18" i="16"/>
  <c r="AA17" i="16"/>
  <c r="AA16" i="16"/>
  <c r="AA15" i="16"/>
  <c r="AA22" i="17"/>
  <c r="AA21" i="17"/>
  <c r="AA20" i="17"/>
  <c r="AA19" i="17"/>
  <c r="AA18" i="17"/>
  <c r="AA17" i="17"/>
  <c r="AA16" i="17"/>
  <c r="AA15" i="17"/>
  <c r="AA22" i="3"/>
  <c r="AA21" i="3"/>
  <c r="AA20" i="3"/>
  <c r="AA19" i="3"/>
  <c r="AA18" i="3"/>
  <c r="AA17" i="3"/>
  <c r="AA16" i="3"/>
  <c r="AA15" i="3"/>
  <c r="AA22" i="18"/>
  <c r="AA21" i="18"/>
  <c r="AA20" i="18"/>
  <c r="AA19" i="18"/>
  <c r="AA18" i="18"/>
  <c r="AA17" i="18"/>
  <c r="AA16" i="18"/>
  <c r="AA15" i="18"/>
  <c r="AA22" i="25"/>
  <c r="AA21" i="25"/>
  <c r="AA20" i="25"/>
  <c r="AA19" i="25"/>
  <c r="AA18" i="25"/>
  <c r="AA17" i="25"/>
  <c r="AA16" i="25"/>
  <c r="AA15" i="25"/>
  <c r="AA22" i="19"/>
  <c r="AA21" i="19"/>
  <c r="AA20" i="19"/>
  <c r="AA19" i="19"/>
  <c r="AA18" i="19"/>
  <c r="AA17" i="19"/>
  <c r="AA16" i="19"/>
  <c r="AA15" i="19"/>
  <c r="AA22" i="20"/>
  <c r="AA21" i="20"/>
  <c r="AA20" i="20"/>
  <c r="AA19" i="20"/>
  <c r="AA18" i="20"/>
  <c r="AA17" i="20"/>
  <c r="AA16" i="20"/>
  <c r="AA15" i="20"/>
  <c r="AA22" i="21"/>
  <c r="AA21" i="21"/>
  <c r="AA20" i="21"/>
  <c r="AA19" i="21"/>
  <c r="AA18" i="21"/>
  <c r="AA17" i="21"/>
  <c r="AA16" i="21"/>
  <c r="AA15" i="21"/>
  <c r="AA22" i="22"/>
  <c r="AA21" i="22"/>
  <c r="AA20" i="22"/>
  <c r="AA19" i="22"/>
  <c r="AA18" i="22"/>
  <c r="AA17" i="22"/>
  <c r="AA16" i="22"/>
  <c r="AA15" i="22"/>
  <c r="AA22" i="23"/>
  <c r="AA21" i="23"/>
  <c r="AA20" i="23"/>
  <c r="AA19" i="23"/>
  <c r="AA18" i="23"/>
  <c r="AA17" i="23"/>
  <c r="AA16" i="23"/>
  <c r="AA15" i="23"/>
  <c r="AA22" i="24"/>
  <c r="AA21" i="24"/>
  <c r="AA20" i="24"/>
  <c r="AA19" i="24"/>
  <c r="AA18" i="24"/>
  <c r="AA17" i="24"/>
  <c r="AA16" i="24"/>
  <c r="AA15" i="24"/>
  <c r="AA22" i="26"/>
  <c r="AA21" i="26"/>
  <c r="AA20" i="26"/>
  <c r="AA19" i="26"/>
  <c r="AA18" i="26"/>
  <c r="AA17" i="26"/>
  <c r="AA16" i="26"/>
  <c r="AA15" i="26"/>
  <c r="AA22" i="27"/>
  <c r="AA21" i="27"/>
  <c r="AA20" i="27"/>
  <c r="AA19" i="27"/>
  <c r="AA18" i="27"/>
  <c r="AA17" i="27"/>
  <c r="AA16" i="27"/>
  <c r="AA15" i="27"/>
  <c r="AA22" i="28"/>
  <c r="AA21" i="28"/>
  <c r="AA20" i="28"/>
  <c r="AA19" i="28"/>
  <c r="AA18" i="28"/>
  <c r="AA17" i="28"/>
  <c r="AA16" i="28"/>
  <c r="AA15" i="28"/>
  <c r="AA22" i="2"/>
  <c r="AA21" i="2"/>
  <c r="AA20" i="2"/>
  <c r="AA19" i="2"/>
  <c r="AA18" i="2"/>
  <c r="AA17" i="2"/>
  <c r="AA16" i="2"/>
  <c r="AA15" i="2"/>
  <c r="AA22" i="29"/>
  <c r="AA21" i="29"/>
  <c r="AA20" i="29"/>
  <c r="AA19" i="29"/>
  <c r="AA18" i="29"/>
  <c r="AA17" i="29"/>
  <c r="AA16" i="29"/>
  <c r="AA15" i="29"/>
  <c r="AA22" i="30"/>
  <c r="AA21" i="30"/>
  <c r="AA20" i="30"/>
  <c r="AA19" i="30"/>
  <c r="AA18" i="30"/>
  <c r="AA17" i="30"/>
  <c r="AA16" i="30"/>
  <c r="AA15" i="30"/>
  <c r="AA22" i="31"/>
  <c r="AA21" i="31"/>
  <c r="AA20" i="31"/>
  <c r="AA19" i="31"/>
  <c r="AA18" i="31"/>
  <c r="AA17" i="31"/>
  <c r="AA16" i="31"/>
  <c r="AA15" i="31"/>
  <c r="AA22" i="32"/>
  <c r="AA21" i="32"/>
  <c r="AA20" i="32"/>
  <c r="AA19" i="32"/>
  <c r="AA18" i="32"/>
  <c r="AA17" i="32"/>
  <c r="AA16" i="32"/>
  <c r="AA15" i="32"/>
  <c r="AA12" i="4"/>
  <c r="AA11" i="4"/>
  <c r="AA10" i="4"/>
  <c r="AA9" i="4"/>
  <c r="AA8" i="4"/>
  <c r="AA12" i="5"/>
  <c r="AA11" i="5"/>
  <c r="AA10" i="5"/>
  <c r="AA9" i="5"/>
  <c r="AA8" i="5"/>
  <c r="AA12" i="6"/>
  <c r="AA11" i="6"/>
  <c r="AA10" i="6"/>
  <c r="AA9" i="6"/>
  <c r="AA8" i="6"/>
  <c r="AA12" i="1"/>
  <c r="AA11" i="1"/>
  <c r="AA10" i="1"/>
  <c r="AA9" i="1"/>
  <c r="AA8" i="1"/>
  <c r="AA12" i="7"/>
  <c r="AA11" i="7"/>
  <c r="AA10" i="7"/>
  <c r="AA9" i="7"/>
  <c r="AA8" i="7"/>
  <c r="AA12" i="8"/>
  <c r="AA11" i="8"/>
  <c r="AA10" i="8"/>
  <c r="AA9" i="8"/>
  <c r="AA8" i="8"/>
  <c r="AA12" i="9"/>
  <c r="AA11" i="9"/>
  <c r="AA10" i="9"/>
  <c r="AA9" i="9"/>
  <c r="AA8" i="9"/>
  <c r="AA12" i="10"/>
  <c r="AA11" i="10"/>
  <c r="AA10" i="10"/>
  <c r="AA9" i="10"/>
  <c r="AA8" i="10"/>
  <c r="AA12" i="11"/>
  <c r="AA11" i="11"/>
  <c r="AA10" i="11"/>
  <c r="AA9" i="11"/>
  <c r="AA8" i="11"/>
  <c r="AA12" i="12"/>
  <c r="AA11" i="12"/>
  <c r="AA10" i="12"/>
  <c r="AA9" i="12"/>
  <c r="AA8" i="12"/>
  <c r="AA12" i="13"/>
  <c r="AA11" i="13"/>
  <c r="AA10" i="13"/>
  <c r="AA9" i="13"/>
  <c r="AA8" i="13"/>
  <c r="AA12" i="14"/>
  <c r="AA11" i="14"/>
  <c r="AA10" i="14"/>
  <c r="AA9" i="14"/>
  <c r="AA8" i="14"/>
  <c r="AA12" i="15"/>
  <c r="AA11" i="15"/>
  <c r="AA10" i="15"/>
  <c r="AA9" i="15"/>
  <c r="AA8" i="15"/>
  <c r="AA12" i="16"/>
  <c r="AA11" i="16"/>
  <c r="AA10" i="16"/>
  <c r="AA9" i="16"/>
  <c r="AA8" i="16"/>
  <c r="AA12" i="17"/>
  <c r="AA11" i="17"/>
  <c r="AA10" i="17"/>
  <c r="AA9" i="17"/>
  <c r="AA8" i="17"/>
  <c r="AA12" i="3"/>
  <c r="AA11" i="3"/>
  <c r="AA10" i="3"/>
  <c r="AA9" i="3"/>
  <c r="AA8" i="3"/>
  <c r="AA12" i="18"/>
  <c r="AA12" i="25"/>
  <c r="AA11" i="25"/>
  <c r="AA10" i="25"/>
  <c r="AA9" i="25"/>
  <c r="AA8" i="25"/>
  <c r="AA12" i="19"/>
  <c r="AA11" i="19"/>
  <c r="AA10" i="19"/>
  <c r="AA9" i="19"/>
  <c r="AA8" i="19"/>
  <c r="AA12" i="20"/>
  <c r="AA11" i="20"/>
  <c r="AA10" i="20"/>
  <c r="AA9" i="20"/>
  <c r="AA8" i="20"/>
  <c r="AA12" i="21"/>
  <c r="AA11" i="21"/>
  <c r="AA10" i="21"/>
  <c r="AA9" i="21"/>
  <c r="AA8" i="21"/>
  <c r="AA12" i="22"/>
  <c r="AA11" i="22"/>
  <c r="AA10" i="22"/>
  <c r="AA9" i="22"/>
  <c r="AA8" i="22"/>
  <c r="AA12" i="23"/>
  <c r="AA11" i="23"/>
  <c r="AA10" i="23"/>
  <c r="AA9" i="23"/>
  <c r="AA8" i="23"/>
  <c r="AA12" i="24"/>
  <c r="AA11" i="24"/>
  <c r="AA10" i="24"/>
  <c r="AA9" i="24"/>
  <c r="AA8" i="24"/>
  <c r="AA12" i="26"/>
  <c r="AA11" i="26"/>
  <c r="AA10" i="26"/>
  <c r="AA9" i="26"/>
  <c r="AA8" i="26"/>
  <c r="AA12" i="27"/>
  <c r="AA11" i="27"/>
  <c r="AA10" i="27"/>
  <c r="AA9" i="27"/>
  <c r="AA8" i="27"/>
  <c r="AA12" i="28"/>
  <c r="AA11" i="28"/>
  <c r="AA10" i="28"/>
  <c r="AA9" i="28"/>
  <c r="AA8" i="28"/>
  <c r="AA12" i="2"/>
  <c r="AA11" i="2"/>
  <c r="AA10" i="2"/>
  <c r="AA9" i="2"/>
  <c r="AA8" i="2"/>
  <c r="AA12" i="29"/>
  <c r="AA11" i="29"/>
  <c r="AA10" i="29"/>
  <c r="AA9" i="29"/>
  <c r="AA8" i="29"/>
  <c r="AA12" i="30"/>
  <c r="AA11" i="30"/>
  <c r="AA10" i="30"/>
  <c r="AA9" i="30"/>
  <c r="AA8" i="30"/>
  <c r="AA12" i="31"/>
  <c r="AA11" i="31"/>
  <c r="AA10" i="31"/>
  <c r="AA9" i="31"/>
  <c r="AA8" i="31"/>
  <c r="AA12" i="32"/>
  <c r="AA11" i="32"/>
  <c r="AA10" i="32"/>
  <c r="AA9" i="32"/>
  <c r="AA8" i="32"/>
  <c r="AA7" i="4"/>
  <c r="AA7" i="5"/>
  <c r="AA7" i="6"/>
  <c r="AA7" i="1"/>
  <c r="AA7" i="7"/>
  <c r="AA7" i="8"/>
  <c r="AA7" i="9"/>
  <c r="AA7" i="10"/>
  <c r="AA7" i="11"/>
  <c r="AA7" i="12"/>
  <c r="AA7" i="13"/>
  <c r="AA7" i="14"/>
  <c r="AA7" i="15"/>
  <c r="AA7" i="16"/>
  <c r="AA7" i="17"/>
  <c r="AA7" i="3"/>
  <c r="AA7" i="25"/>
  <c r="AA7" i="19"/>
  <c r="AA7" i="20"/>
  <c r="AA7" i="21"/>
  <c r="AA7" i="22"/>
  <c r="AA7" i="23"/>
  <c r="AA7" i="24"/>
  <c r="AA7" i="26"/>
  <c r="AA7" i="27"/>
  <c r="AA7" i="28"/>
  <c r="AA7" i="2"/>
  <c r="AA7" i="29"/>
  <c r="AA7" i="30"/>
  <c r="AA7" i="31"/>
  <c r="AA7" i="32"/>
  <c r="AF30" i="4"/>
  <c r="AF30" i="5"/>
  <c r="AF30" i="6"/>
  <c r="AF30" i="1"/>
  <c r="AF30" i="7"/>
  <c r="AF30" i="8"/>
  <c r="AF30" i="9"/>
  <c r="AF30" i="10"/>
  <c r="AF30" i="11"/>
  <c r="AF30" i="12"/>
  <c r="AF30" i="13"/>
  <c r="AF30" i="14"/>
  <c r="AF30" i="15"/>
  <c r="AF30" i="16"/>
  <c r="AF30" i="17"/>
  <c r="AF30" i="3"/>
  <c r="AF30" i="18"/>
  <c r="AF30" i="25"/>
  <c r="AF30" i="19"/>
  <c r="AF30" i="20"/>
  <c r="AF30" i="21"/>
  <c r="AF30" i="22"/>
  <c r="AF30" i="23"/>
  <c r="AF30" i="24"/>
  <c r="AF30" i="26"/>
  <c r="AF30" i="27"/>
  <c r="AF30" i="28"/>
  <c r="AF30" i="2"/>
  <c r="AF30" i="29"/>
  <c r="AF30" i="30"/>
  <c r="AF30" i="31"/>
  <c r="AF30" i="32"/>
  <c r="AE30" i="4"/>
  <c r="AE30" i="5"/>
  <c r="AE30" i="6"/>
  <c r="AE30" i="1"/>
  <c r="AE30" i="7"/>
  <c r="AE30" i="8"/>
  <c r="AE30" i="9"/>
  <c r="AE30" i="10"/>
  <c r="AE30" i="11"/>
  <c r="AE30" i="12"/>
  <c r="AE30" i="13"/>
  <c r="AE30" i="14"/>
  <c r="AE30" i="15"/>
  <c r="AE30" i="16"/>
  <c r="AE30" i="17"/>
  <c r="AE30" i="3"/>
  <c r="AE30" i="18"/>
  <c r="AE30" i="25"/>
  <c r="AE30" i="19"/>
  <c r="AE30" i="20"/>
  <c r="AE30" i="21"/>
  <c r="AE30" i="22"/>
  <c r="AE30" i="23"/>
  <c r="AE30" i="24"/>
  <c r="AE30" i="26"/>
  <c r="AE30" i="27"/>
  <c r="AE30" i="28"/>
  <c r="AE30" i="2"/>
  <c r="AE30" i="29"/>
  <c r="AE30" i="30"/>
  <c r="AE30" i="31"/>
  <c r="AE30" i="32"/>
  <c r="AG30" i="4"/>
  <c r="AG30" i="5"/>
  <c r="AG30" i="6"/>
  <c r="AG30" i="1"/>
  <c r="AG30" i="7"/>
  <c r="AG30" i="8"/>
  <c r="AG30" i="9"/>
  <c r="AG30" i="10"/>
  <c r="AG30" i="11"/>
  <c r="AG30" i="12"/>
  <c r="AG30" i="13"/>
  <c r="AG30" i="14"/>
  <c r="AG30" i="15"/>
  <c r="AG30" i="16"/>
  <c r="AG30" i="17"/>
  <c r="AG30" i="3"/>
  <c r="AG30" i="18"/>
  <c r="AG30" i="25"/>
  <c r="AG30" i="19"/>
  <c r="AG30" i="20"/>
  <c r="AG30" i="21"/>
  <c r="AG30" i="22"/>
  <c r="AG30" i="23"/>
  <c r="AG30" i="24"/>
  <c r="AG30" i="26"/>
  <c r="AG30" i="27"/>
  <c r="AG30" i="28"/>
  <c r="AG30" i="2"/>
  <c r="AG30" i="29"/>
  <c r="AG30" i="30"/>
  <c r="AG30" i="31"/>
  <c r="AG30" i="32"/>
  <c r="AA30" i="3" l="1"/>
  <c r="AA30" i="21"/>
  <c r="AA30" i="26"/>
  <c r="AA30" i="29"/>
  <c r="AC30" i="28"/>
  <c r="AA30" i="27"/>
  <c r="AA30" i="20"/>
  <c r="AA30" i="15"/>
  <c r="AA30" i="12"/>
  <c r="AA30" i="5"/>
  <c r="AA30" i="9"/>
  <c r="AA30" i="17"/>
  <c r="AA30" i="10"/>
  <c r="AA30" i="23"/>
  <c r="AC30" i="18"/>
  <c r="AA30" i="11"/>
  <c r="AA30" i="4"/>
  <c r="AC30" i="26"/>
  <c r="AC30" i="11"/>
  <c r="AA30" i="2"/>
  <c r="AA30" i="24"/>
  <c r="AA30" i="1"/>
  <c r="AA30" i="14"/>
  <c r="W30" i="14"/>
  <c r="W30" i="31"/>
  <c r="W30" i="9"/>
  <c r="W30" i="15"/>
  <c r="W30" i="1"/>
  <c r="AA30" i="18"/>
  <c r="AC30" i="9"/>
  <c r="AC30" i="2"/>
  <c r="AC30" i="7"/>
  <c r="W30" i="26"/>
  <c r="W30" i="17"/>
  <c r="AC30" i="17"/>
  <c r="AC30" i="23"/>
  <c r="W30" i="16"/>
  <c r="W30" i="5"/>
  <c r="AA30" i="31"/>
  <c r="AA30" i="7"/>
  <c r="W30" i="28"/>
  <c r="W30" i="13"/>
  <c r="W30" i="30"/>
  <c r="W30" i="22"/>
  <c r="W30" i="8"/>
  <c r="W30" i="23"/>
  <c r="AA30" i="25"/>
  <c r="W30" i="19"/>
  <c r="W30" i="6"/>
  <c r="W30" i="27"/>
  <c r="W30" i="25"/>
  <c r="W30" i="12"/>
  <c r="AC30" i="4"/>
  <c r="W30" i="4"/>
  <c r="AC30" i="19"/>
  <c r="AC30" i="27"/>
  <c r="AC30" i="25"/>
  <c r="AC30" i="16"/>
  <c r="AC30" i="12"/>
  <c r="AC30" i="8"/>
  <c r="AC30" i="30"/>
  <c r="AC30" i="29"/>
  <c r="AC30" i="22"/>
  <c r="AC30" i="21"/>
  <c r="AC30" i="15"/>
  <c r="AC30" i="13"/>
  <c r="AC30" i="6"/>
  <c r="AC30" i="20"/>
  <c r="AC30" i="14"/>
  <c r="AC30" i="1"/>
  <c r="AC30" i="31"/>
  <c r="AC30" i="5"/>
  <c r="AC30" i="24"/>
  <c r="AC30" i="3"/>
  <c r="AC30" i="10"/>
  <c r="AA30" i="28"/>
  <c r="AA30" i="19"/>
  <c r="AA30" i="13"/>
  <c r="AA30" i="6"/>
  <c r="AA30" i="30"/>
  <c r="AA30" i="22"/>
  <c r="AA30" i="16"/>
  <c r="AA30" i="8"/>
  <c r="W30" i="24"/>
  <c r="W30" i="3"/>
  <c r="W30" i="10"/>
  <c r="W30" i="2"/>
  <c r="W30" i="20"/>
  <c r="W30" i="29"/>
  <c r="W30" i="21"/>
  <c r="W30" i="18"/>
  <c r="W30" i="11"/>
  <c r="W30" i="7"/>
  <c r="AC30" i="32"/>
  <c r="F31" i="31"/>
  <c r="AB30" i="32" l="1"/>
  <c r="AB30" i="5"/>
  <c r="AB30" i="6"/>
  <c r="AB30" i="1"/>
  <c r="AB30" i="7"/>
  <c r="AB30" i="8"/>
  <c r="AB30" i="9"/>
  <c r="AB30" i="10"/>
  <c r="AB30" i="11"/>
  <c r="AB30" i="12"/>
  <c r="AB30" i="13"/>
  <c r="AB30" i="14"/>
  <c r="AB30" i="15"/>
  <c r="AB30" i="16"/>
  <c r="AB30" i="17"/>
  <c r="AB30" i="3"/>
  <c r="AB30" i="18"/>
  <c r="AB30" i="25"/>
  <c r="AB30" i="19"/>
  <c r="AB30" i="20"/>
  <c r="AB30" i="21"/>
  <c r="AB30" i="22"/>
  <c r="AB30" i="23"/>
  <c r="AB30" i="24"/>
  <c r="AB30" i="26"/>
  <c r="AB30" i="27"/>
  <c r="AB30" i="28"/>
  <c r="AB30" i="2"/>
  <c r="AB30" i="29"/>
  <c r="AB30" i="30"/>
  <c r="AB30" i="31"/>
  <c r="AB30" i="4"/>
  <c r="D37" i="32"/>
  <c r="D37" i="4"/>
  <c r="D37" i="5"/>
  <c r="D37" i="6"/>
  <c r="D37" i="1"/>
  <c r="D37" i="7"/>
  <c r="D37" i="8"/>
  <c r="D37" i="9"/>
  <c r="D37" i="10"/>
  <c r="D37" i="11"/>
  <c r="D37" i="12"/>
  <c r="D37" i="13"/>
  <c r="D37" i="14"/>
  <c r="D37" i="15"/>
  <c r="D37" i="17"/>
  <c r="D37" i="3"/>
  <c r="D37" i="18"/>
  <c r="D37" i="25"/>
  <c r="D37" i="19"/>
  <c r="D37" i="20"/>
  <c r="D37" i="21"/>
  <c r="D37" i="22"/>
  <c r="D37" i="23"/>
  <c r="D37" i="24"/>
  <c r="D37" i="26"/>
  <c r="D37" i="27"/>
  <c r="I7" i="27" s="1"/>
  <c r="D37" i="28"/>
  <c r="D37" i="2"/>
  <c r="D37" i="29"/>
  <c r="D37" i="30"/>
  <c r="D37" i="31"/>
  <c r="D37" i="16"/>
  <c r="D34" i="32"/>
  <c r="D34" i="4"/>
  <c r="D34" i="5"/>
  <c r="D34" i="6"/>
  <c r="D34" i="1"/>
  <c r="D34" i="7"/>
  <c r="D34" i="8"/>
  <c r="D34" i="9"/>
  <c r="D34" i="10"/>
  <c r="D34" i="11"/>
  <c r="D34" i="12"/>
  <c r="D34" i="13"/>
  <c r="D34" i="14"/>
  <c r="D34" i="15"/>
  <c r="D34" i="17"/>
  <c r="D34" i="3"/>
  <c r="D34" i="18"/>
  <c r="D34" i="25"/>
  <c r="D34" i="19"/>
  <c r="D34" i="20"/>
  <c r="D34" i="21"/>
  <c r="D34" i="22"/>
  <c r="D34" i="23"/>
  <c r="D34" i="24"/>
  <c r="D34" i="26"/>
  <c r="D34" i="27"/>
  <c r="D34" i="28"/>
  <c r="D34" i="2"/>
  <c r="D34" i="29"/>
  <c r="D34" i="30"/>
  <c r="D34" i="31"/>
  <c r="D34" i="16"/>
  <c r="I10" i="23" l="1"/>
  <c r="I22" i="23"/>
  <c r="I8" i="23"/>
  <c r="I18" i="23"/>
  <c r="I19" i="23"/>
  <c r="I4" i="23"/>
  <c r="I9" i="23"/>
  <c r="E119" i="36" s="1"/>
  <c r="I16" i="23"/>
  <c r="I3" i="23"/>
  <c r="I11" i="23"/>
  <c r="I17" i="23"/>
  <c r="I21" i="23"/>
  <c r="I15" i="23"/>
  <c r="I20" i="23"/>
  <c r="I7" i="23"/>
  <c r="E117" i="36" s="1"/>
  <c r="I12" i="23"/>
  <c r="I18" i="17"/>
  <c r="I12" i="17"/>
  <c r="I11" i="17"/>
  <c r="I7" i="17"/>
  <c r="I9" i="17"/>
  <c r="I3" i="17"/>
  <c r="I10" i="17"/>
  <c r="I19" i="17"/>
  <c r="I4" i="17"/>
  <c r="I16" i="17"/>
  <c r="I17" i="17"/>
  <c r="I21" i="17"/>
  <c r="I20" i="17"/>
  <c r="I22" i="17"/>
  <c r="I8" i="17"/>
  <c r="I15" i="17"/>
  <c r="I12" i="30"/>
  <c r="I9" i="30"/>
  <c r="I8" i="30"/>
  <c r="I7" i="30"/>
  <c r="I16" i="30"/>
  <c r="I21" i="30"/>
  <c r="I11" i="30"/>
  <c r="I17" i="30"/>
  <c r="I4" i="30"/>
  <c r="I15" i="30"/>
  <c r="I22" i="30"/>
  <c r="I18" i="30"/>
  <c r="I20" i="30"/>
  <c r="I3" i="30"/>
  <c r="I19" i="30"/>
  <c r="I10" i="30"/>
  <c r="E155" i="36" s="1"/>
  <c r="I3" i="22"/>
  <c r="I20" i="22"/>
  <c r="I17" i="22"/>
  <c r="I7" i="22"/>
  <c r="I12" i="22"/>
  <c r="I8" i="22"/>
  <c r="I10" i="22"/>
  <c r="I18" i="22"/>
  <c r="I19" i="22"/>
  <c r="I11" i="22"/>
  <c r="I16" i="22"/>
  <c r="I4" i="22"/>
  <c r="I9" i="22"/>
  <c r="I22" i="22"/>
  <c r="I21" i="22"/>
  <c r="I15" i="22"/>
  <c r="I22" i="15"/>
  <c r="I19" i="15"/>
  <c r="I7" i="15"/>
  <c r="I18" i="15"/>
  <c r="I20" i="15"/>
  <c r="I10" i="15"/>
  <c r="I12" i="15"/>
  <c r="I11" i="15"/>
  <c r="E71" i="36" s="1"/>
  <c r="I16" i="15"/>
  <c r="I17" i="15"/>
  <c r="I9" i="15"/>
  <c r="I8" i="15"/>
  <c r="I15" i="15"/>
  <c r="I4" i="15"/>
  <c r="I3" i="15"/>
  <c r="I21" i="15"/>
  <c r="I11" i="31"/>
  <c r="E161" i="36" s="1"/>
  <c r="I10" i="31"/>
  <c r="I8" i="31"/>
  <c r="I22" i="31"/>
  <c r="I4" i="31"/>
  <c r="I3" i="31"/>
  <c r="I12" i="31"/>
  <c r="I20" i="31"/>
  <c r="I7" i="31"/>
  <c r="E157" i="36" s="1"/>
  <c r="T17" i="55" s="1"/>
  <c r="I21" i="31"/>
  <c r="I15" i="31"/>
  <c r="I19" i="31"/>
  <c r="I18" i="31"/>
  <c r="I9" i="31"/>
  <c r="I16" i="31"/>
  <c r="I17" i="31"/>
  <c r="I16" i="14"/>
  <c r="I8" i="14"/>
  <c r="I4" i="14"/>
  <c r="I18" i="14"/>
  <c r="I21" i="14"/>
  <c r="I22" i="14"/>
  <c r="I20" i="14"/>
  <c r="I12" i="14"/>
  <c r="I7" i="14"/>
  <c r="I19" i="14"/>
  <c r="I3" i="14"/>
  <c r="I17" i="14"/>
  <c r="I10" i="14"/>
  <c r="I11" i="14"/>
  <c r="I15" i="14"/>
  <c r="I9" i="14"/>
  <c r="E64" i="36" s="1"/>
  <c r="I19" i="1"/>
  <c r="I18" i="1"/>
  <c r="I10" i="1"/>
  <c r="I7" i="1"/>
  <c r="I17" i="1"/>
  <c r="I9" i="1"/>
  <c r="I3" i="1"/>
  <c r="I15" i="1"/>
  <c r="I11" i="1"/>
  <c r="I21" i="1"/>
  <c r="I4" i="1"/>
  <c r="I16" i="1"/>
  <c r="I8" i="1"/>
  <c r="I22" i="1"/>
  <c r="I12" i="1"/>
  <c r="I20" i="1"/>
  <c r="I17" i="8"/>
  <c r="I16" i="8"/>
  <c r="I10" i="8"/>
  <c r="I7" i="8"/>
  <c r="I4" i="8"/>
  <c r="I22" i="8"/>
  <c r="I19" i="8"/>
  <c r="I18" i="8"/>
  <c r="I12" i="8"/>
  <c r="I15" i="8"/>
  <c r="I21" i="8"/>
  <c r="I8" i="8"/>
  <c r="I20" i="8"/>
  <c r="I9" i="8"/>
  <c r="I11" i="8"/>
  <c r="I3" i="8"/>
  <c r="I17" i="20"/>
  <c r="I16" i="20"/>
  <c r="I15" i="20"/>
  <c r="I11" i="20"/>
  <c r="I22" i="20"/>
  <c r="I18" i="20"/>
  <c r="I20" i="20"/>
  <c r="I19" i="20"/>
  <c r="I21" i="20"/>
  <c r="I3" i="20"/>
  <c r="I7" i="20"/>
  <c r="I4" i="20"/>
  <c r="I8" i="20"/>
  <c r="E103" i="36" s="1"/>
  <c r="I9" i="20"/>
  <c r="E104" i="36" s="1"/>
  <c r="T116" i="55" s="1"/>
  <c r="I10" i="20"/>
  <c r="E105" i="36" s="1"/>
  <c r="T112" i="55" s="1"/>
  <c r="I12" i="20"/>
  <c r="I12" i="13"/>
  <c r="I15" i="13"/>
  <c r="I11" i="13"/>
  <c r="I18" i="13"/>
  <c r="I21" i="13"/>
  <c r="I22" i="13"/>
  <c r="I19" i="13"/>
  <c r="I20" i="13"/>
  <c r="I8" i="13"/>
  <c r="I4" i="13"/>
  <c r="I7" i="13"/>
  <c r="I9" i="13"/>
  <c r="I16" i="13"/>
  <c r="I17" i="13"/>
  <c r="I3" i="13"/>
  <c r="I10" i="13"/>
  <c r="E60" i="36" s="1"/>
  <c r="I20" i="6"/>
  <c r="I7" i="6"/>
  <c r="I12" i="6"/>
  <c r="I19" i="6"/>
  <c r="I9" i="6"/>
  <c r="I10" i="6"/>
  <c r="I4" i="6"/>
  <c r="I17" i="6"/>
  <c r="I11" i="6"/>
  <c r="I18" i="6"/>
  <c r="I8" i="6"/>
  <c r="I22" i="6"/>
  <c r="I15" i="6"/>
  <c r="I21" i="6"/>
  <c r="I16" i="6"/>
  <c r="I3" i="6"/>
  <c r="I8" i="28"/>
  <c r="I22" i="28"/>
  <c r="I7" i="28"/>
  <c r="I21" i="28"/>
  <c r="I4" i="28"/>
  <c r="I17" i="28"/>
  <c r="I3" i="28"/>
  <c r="I16" i="28"/>
  <c r="I15" i="28"/>
  <c r="I12" i="28"/>
  <c r="I9" i="28"/>
  <c r="I18" i="28"/>
  <c r="I19" i="28"/>
  <c r="I20" i="28"/>
  <c r="I10" i="28"/>
  <c r="I11" i="28"/>
  <c r="E141" i="36" s="1"/>
  <c r="I22" i="19"/>
  <c r="I12" i="19"/>
  <c r="I10" i="19"/>
  <c r="I7" i="19"/>
  <c r="I4" i="19"/>
  <c r="I15" i="19"/>
  <c r="I18" i="19"/>
  <c r="I20" i="19"/>
  <c r="I21" i="19"/>
  <c r="I3" i="19"/>
  <c r="I8" i="19"/>
  <c r="I16" i="19"/>
  <c r="I17" i="19"/>
  <c r="I19" i="19"/>
  <c r="I9" i="19"/>
  <c r="E99" i="36" s="1"/>
  <c r="I11" i="19"/>
  <c r="E101" i="36" s="1"/>
  <c r="I22" i="12"/>
  <c r="I21" i="12"/>
  <c r="I20" i="12"/>
  <c r="I7" i="12"/>
  <c r="I4" i="12"/>
  <c r="I12" i="12"/>
  <c r="I15" i="12"/>
  <c r="I17" i="12"/>
  <c r="I18" i="12"/>
  <c r="I19" i="12"/>
  <c r="I3" i="12"/>
  <c r="I8" i="12"/>
  <c r="I10" i="12"/>
  <c r="I9" i="12"/>
  <c r="I11" i="12"/>
  <c r="I16" i="12"/>
  <c r="I17" i="5"/>
  <c r="I16" i="5"/>
  <c r="I18" i="5"/>
  <c r="I15" i="5"/>
  <c r="I10" i="5"/>
  <c r="I22" i="5"/>
  <c r="I20" i="5"/>
  <c r="I19" i="5"/>
  <c r="I8" i="5"/>
  <c r="I21" i="5"/>
  <c r="I7" i="5"/>
  <c r="E12" i="36" s="1"/>
  <c r="I4" i="5"/>
  <c r="I9" i="5"/>
  <c r="I11" i="5"/>
  <c r="I12" i="5"/>
  <c r="I3" i="5"/>
  <c r="I17" i="16"/>
  <c r="I16" i="16"/>
  <c r="I8" i="16"/>
  <c r="I10" i="16"/>
  <c r="I9" i="16"/>
  <c r="I11" i="16"/>
  <c r="E76" i="36" s="1"/>
  <c r="I3" i="16"/>
  <c r="I19" i="16"/>
  <c r="I7" i="16"/>
  <c r="I21" i="16"/>
  <c r="I12" i="16"/>
  <c r="I15" i="16"/>
  <c r="I18" i="16"/>
  <c r="I4" i="16"/>
  <c r="I20" i="16"/>
  <c r="I22" i="16"/>
  <c r="I10" i="3"/>
  <c r="I8" i="3"/>
  <c r="I17" i="3"/>
  <c r="I7" i="3"/>
  <c r="E82" i="36" s="1"/>
  <c r="T6" i="55" s="1"/>
  <c r="I22" i="3"/>
  <c r="I9" i="3"/>
  <c r="I20" i="3"/>
  <c r="I15" i="3"/>
  <c r="I18" i="3"/>
  <c r="I21" i="3"/>
  <c r="I3" i="3"/>
  <c r="I12" i="3"/>
  <c r="I19" i="3"/>
  <c r="I11" i="3"/>
  <c r="I16" i="3"/>
  <c r="I4" i="3"/>
  <c r="I10" i="29"/>
  <c r="I9" i="29"/>
  <c r="I19" i="29"/>
  <c r="I12" i="29"/>
  <c r="I16" i="29"/>
  <c r="I21" i="29"/>
  <c r="I18" i="29"/>
  <c r="I7" i="29"/>
  <c r="E147" i="36" s="1"/>
  <c r="T12" i="55" s="1"/>
  <c r="I17" i="29"/>
  <c r="I3" i="29"/>
  <c r="I4" i="29"/>
  <c r="I22" i="29"/>
  <c r="I8" i="29"/>
  <c r="I11" i="29"/>
  <c r="I20" i="29"/>
  <c r="I15" i="29"/>
  <c r="I22" i="25"/>
  <c r="I11" i="25"/>
  <c r="I4" i="25"/>
  <c r="I19" i="25"/>
  <c r="I16" i="25"/>
  <c r="I17" i="25"/>
  <c r="I8" i="25"/>
  <c r="E93" i="36" s="1"/>
  <c r="T62" i="55" s="1"/>
  <c r="I21" i="25"/>
  <c r="I3" i="25"/>
  <c r="I15" i="25"/>
  <c r="I20" i="25"/>
  <c r="I10" i="25"/>
  <c r="E95" i="36" s="1"/>
  <c r="I18" i="25"/>
  <c r="I9" i="25"/>
  <c r="E94" i="36" s="1"/>
  <c r="I12" i="25"/>
  <c r="I7" i="25"/>
  <c r="E92" i="36" s="1"/>
  <c r="T21" i="55" s="1"/>
  <c r="I16" i="11"/>
  <c r="I4" i="11"/>
  <c r="I3" i="11"/>
  <c r="I9" i="11"/>
  <c r="I7" i="11"/>
  <c r="I12" i="11"/>
  <c r="I21" i="11"/>
  <c r="I22" i="11"/>
  <c r="I15" i="11"/>
  <c r="I18" i="11"/>
  <c r="I20" i="11"/>
  <c r="I19" i="11"/>
  <c r="I8" i="11"/>
  <c r="I17" i="11"/>
  <c r="I10" i="11"/>
  <c r="I11" i="11"/>
  <c r="E51" i="36" s="1"/>
  <c r="I17" i="4"/>
  <c r="I16" i="4"/>
  <c r="I15" i="4"/>
  <c r="I22" i="4"/>
  <c r="I3" i="4"/>
  <c r="I21" i="4"/>
  <c r="I20" i="4"/>
  <c r="I19" i="4"/>
  <c r="I18" i="4"/>
  <c r="I9" i="4"/>
  <c r="I10" i="4"/>
  <c r="I12" i="4"/>
  <c r="I4" i="4"/>
  <c r="I11" i="4"/>
  <c r="I7" i="4"/>
  <c r="I8" i="4"/>
  <c r="E8" i="36" s="1"/>
  <c r="I8" i="24"/>
  <c r="I9" i="24"/>
  <c r="I19" i="24"/>
  <c r="I15" i="24"/>
  <c r="I11" i="24"/>
  <c r="I3" i="24"/>
  <c r="I18" i="24"/>
  <c r="I7" i="24"/>
  <c r="E122" i="36" s="1"/>
  <c r="T20" i="55" s="1"/>
  <c r="I16" i="24"/>
  <c r="I10" i="24"/>
  <c r="I17" i="24"/>
  <c r="I21" i="24"/>
  <c r="I12" i="24"/>
  <c r="I22" i="24"/>
  <c r="I4" i="24"/>
  <c r="I20" i="24"/>
  <c r="I17" i="9"/>
  <c r="I10" i="9"/>
  <c r="I21" i="9"/>
  <c r="I8" i="9"/>
  <c r="I16" i="9"/>
  <c r="I4" i="9"/>
  <c r="I15" i="9"/>
  <c r="I11" i="9"/>
  <c r="E41" i="36" s="1"/>
  <c r="I18" i="9"/>
  <c r="I7" i="9"/>
  <c r="I9" i="9"/>
  <c r="I3" i="9"/>
  <c r="I19" i="9"/>
  <c r="I12" i="9"/>
  <c r="I22" i="9"/>
  <c r="I20" i="9"/>
  <c r="I22" i="21"/>
  <c r="I21" i="21"/>
  <c r="I15" i="21"/>
  <c r="I20" i="21"/>
  <c r="I9" i="21"/>
  <c r="I18" i="21"/>
  <c r="I8" i="21"/>
  <c r="I10" i="21"/>
  <c r="E110" i="36" s="1"/>
  <c r="I17" i="21"/>
  <c r="I4" i="21"/>
  <c r="I12" i="21"/>
  <c r="I7" i="21"/>
  <c r="I16" i="21"/>
  <c r="I11" i="21"/>
  <c r="E111" i="36" s="1"/>
  <c r="T109" i="55" s="1"/>
  <c r="I19" i="21"/>
  <c r="I3" i="21"/>
  <c r="I22" i="18"/>
  <c r="I21" i="18"/>
  <c r="I15" i="18"/>
  <c r="I8" i="18"/>
  <c r="E88" i="36" s="1"/>
  <c r="I9" i="18"/>
  <c r="I3" i="18"/>
  <c r="I7" i="18"/>
  <c r="E87" i="36" s="1"/>
  <c r="T13" i="55" s="1"/>
  <c r="I20" i="18"/>
  <c r="I12" i="18"/>
  <c r="I18" i="18"/>
  <c r="I19" i="18"/>
  <c r="I4" i="18"/>
  <c r="I11" i="18"/>
  <c r="E91" i="36" s="1"/>
  <c r="I16" i="18"/>
  <c r="I17" i="18"/>
  <c r="I10" i="18"/>
  <c r="E90" i="36" s="1"/>
  <c r="I15" i="10"/>
  <c r="I16" i="10"/>
  <c r="I19" i="10"/>
  <c r="I18" i="10"/>
  <c r="I20" i="10"/>
  <c r="I8" i="10"/>
  <c r="E43" i="36" s="1"/>
  <c r="I7" i="10"/>
  <c r="E42" i="36" s="1"/>
  <c r="I11" i="10"/>
  <c r="E46" i="36" s="1"/>
  <c r="I9" i="10"/>
  <c r="I3" i="10"/>
  <c r="I21" i="10"/>
  <c r="I22" i="10"/>
  <c r="I10" i="10"/>
  <c r="E45" i="36" s="1"/>
  <c r="I17" i="10"/>
  <c r="I12" i="10"/>
  <c r="I4" i="10"/>
  <c r="I21" i="32"/>
  <c r="I8" i="32"/>
  <c r="I16" i="32"/>
  <c r="I9" i="32"/>
  <c r="I10" i="32"/>
  <c r="I20" i="32"/>
  <c r="I3" i="32"/>
  <c r="I2" i="32"/>
  <c r="I19" i="32"/>
  <c r="I11" i="32"/>
  <c r="I18" i="32"/>
  <c r="I17" i="32"/>
  <c r="I4" i="32"/>
  <c r="I7" i="32"/>
  <c r="K7" i="32" s="1"/>
  <c r="I12" i="32"/>
  <c r="I22" i="32"/>
  <c r="I15" i="32"/>
  <c r="I16" i="2"/>
  <c r="I11" i="2"/>
  <c r="E146" i="36" s="1"/>
  <c r="T78" i="55" s="1"/>
  <c r="I10" i="2"/>
  <c r="E145" i="36" s="1"/>
  <c r="T79" i="55" s="1"/>
  <c r="I20" i="2"/>
  <c r="I17" i="2"/>
  <c r="I12" i="2"/>
  <c r="I7" i="2"/>
  <c r="E142" i="36" s="1"/>
  <c r="T24" i="55" s="1"/>
  <c r="I4" i="2"/>
  <c r="I21" i="2"/>
  <c r="I22" i="2"/>
  <c r="I8" i="2"/>
  <c r="E143" i="36" s="1"/>
  <c r="T87" i="55" s="1"/>
  <c r="I18" i="2"/>
  <c r="I19" i="2"/>
  <c r="I9" i="2"/>
  <c r="E144" i="36" s="1"/>
  <c r="T100" i="55" s="1"/>
  <c r="I15" i="2"/>
  <c r="I3" i="2"/>
  <c r="I15" i="27"/>
  <c r="I4" i="27"/>
  <c r="I12" i="27"/>
  <c r="I8" i="27"/>
  <c r="I16" i="27"/>
  <c r="I20" i="27"/>
  <c r="I17" i="27"/>
  <c r="I9" i="27"/>
  <c r="E134" i="36" s="1"/>
  <c r="T122" i="55" s="1"/>
  <c r="I18" i="27"/>
  <c r="I21" i="27"/>
  <c r="I3" i="27"/>
  <c r="I10" i="27"/>
  <c r="E135" i="36" s="1"/>
  <c r="I22" i="27"/>
  <c r="I19" i="27"/>
  <c r="I11" i="27"/>
  <c r="E136" i="36" s="1"/>
  <c r="I15" i="26"/>
  <c r="I4" i="26"/>
  <c r="I19" i="26"/>
  <c r="I12" i="26"/>
  <c r="I10" i="26"/>
  <c r="I22" i="26"/>
  <c r="I20" i="26"/>
  <c r="I3" i="26"/>
  <c r="I11" i="26"/>
  <c r="I16" i="26"/>
  <c r="I9" i="26"/>
  <c r="I7" i="26"/>
  <c r="I17" i="26"/>
  <c r="I8" i="26"/>
  <c r="E128" i="36" s="1"/>
  <c r="I21" i="26"/>
  <c r="I18" i="26"/>
  <c r="I18" i="7"/>
  <c r="I17" i="7"/>
  <c r="I16" i="7"/>
  <c r="I15" i="7"/>
  <c r="I7" i="7"/>
  <c r="I3" i="7"/>
  <c r="I8" i="7"/>
  <c r="E28" i="36" s="1"/>
  <c r="I11" i="7"/>
  <c r="E31" i="36" s="1"/>
  <c r="I9" i="7"/>
  <c r="E29" i="36" s="1"/>
  <c r="T86" i="55" s="1"/>
  <c r="I21" i="7"/>
  <c r="I19" i="7"/>
  <c r="I20" i="7"/>
  <c r="I4" i="7"/>
  <c r="I12" i="7"/>
  <c r="I22" i="7"/>
  <c r="I10" i="7"/>
  <c r="E30" i="36" s="1"/>
  <c r="T117" i="55" s="1"/>
  <c r="L57" i="53"/>
  <c r="R89" i="52"/>
  <c r="R88" i="52"/>
  <c r="R87" i="52"/>
  <c r="R86" i="52"/>
  <c r="L58" i="53"/>
  <c r="L59" i="53"/>
  <c r="R91" i="52"/>
  <c r="R70" i="51"/>
  <c r="R90" i="52"/>
  <c r="L60" i="53"/>
  <c r="R69" i="51"/>
  <c r="R68" i="51"/>
  <c r="R67" i="51"/>
  <c r="Q151" i="52"/>
  <c r="Q149" i="52"/>
  <c r="S57" i="50"/>
  <c r="Q150" i="52"/>
  <c r="Q146" i="52"/>
  <c r="Q147" i="52"/>
  <c r="Q118" i="51"/>
  <c r="Q148" i="52"/>
  <c r="Q115" i="51"/>
  <c r="S56" i="50"/>
  <c r="Q116" i="51"/>
  <c r="Q117" i="51"/>
  <c r="S58" i="50"/>
  <c r="L62" i="53"/>
  <c r="R97" i="52"/>
  <c r="L63" i="53"/>
  <c r="R96" i="52"/>
  <c r="L64" i="53"/>
  <c r="R95" i="52"/>
  <c r="L65" i="53"/>
  <c r="R94" i="52"/>
  <c r="L61" i="53"/>
  <c r="R93" i="52"/>
  <c r="R92" i="52"/>
  <c r="R73" i="51"/>
  <c r="R72" i="51"/>
  <c r="R71" i="51"/>
  <c r="R75" i="51"/>
  <c r="R74" i="51"/>
  <c r="Q141" i="52"/>
  <c r="Q112" i="51"/>
  <c r="Q142" i="52"/>
  <c r="Q143" i="52"/>
  <c r="Q144" i="52"/>
  <c r="Q145" i="52"/>
  <c r="S55" i="50"/>
  <c r="Q140" i="52"/>
  <c r="Q113" i="51"/>
  <c r="S54" i="50"/>
  <c r="Q114" i="51"/>
  <c r="Q111" i="51"/>
  <c r="Q93" i="52"/>
  <c r="Q95" i="52"/>
  <c r="Q73" i="51"/>
  <c r="Q96" i="52"/>
  <c r="Q97" i="52"/>
  <c r="Q92" i="52"/>
  <c r="Q94" i="52"/>
  <c r="Q72" i="51"/>
  <c r="Q75" i="51"/>
  <c r="Q71" i="51"/>
  <c r="S36" i="50"/>
  <c r="Q74" i="51"/>
  <c r="S35" i="50"/>
  <c r="Q41" i="52"/>
  <c r="Q39" i="52"/>
  <c r="Q40" i="52"/>
  <c r="Q42" i="52"/>
  <c r="Q43" i="52"/>
  <c r="Q38" i="52"/>
  <c r="S15" i="50"/>
  <c r="S16" i="50"/>
  <c r="Q33" i="51"/>
  <c r="Q30" i="51"/>
  <c r="Q31" i="51"/>
  <c r="Q32" i="51"/>
  <c r="L29" i="53"/>
  <c r="L30" i="53"/>
  <c r="R45" i="52"/>
  <c r="L28" i="53"/>
  <c r="R44" i="52"/>
  <c r="R36" i="51"/>
  <c r="R48" i="52"/>
  <c r="R47" i="52"/>
  <c r="R38" i="51"/>
  <c r="R46" i="52"/>
  <c r="R37" i="51"/>
  <c r="R35" i="51"/>
  <c r="R34" i="51"/>
  <c r="R39" i="51"/>
  <c r="Q103" i="52"/>
  <c r="Q99" i="52"/>
  <c r="Q100" i="52"/>
  <c r="Q101" i="52"/>
  <c r="Q102" i="52"/>
  <c r="Q98" i="52"/>
  <c r="Q76" i="51"/>
  <c r="S37" i="50"/>
  <c r="Q77" i="51"/>
  <c r="Q78" i="51"/>
  <c r="S38" i="50"/>
  <c r="Q79" i="51"/>
  <c r="Q80" i="51"/>
  <c r="Q37" i="52"/>
  <c r="Q35" i="52"/>
  <c r="Q29" i="51"/>
  <c r="Q33" i="52"/>
  <c r="Q34" i="52"/>
  <c r="Q36" i="52"/>
  <c r="Q27" i="51"/>
  <c r="Q32" i="52"/>
  <c r="Q28" i="51"/>
  <c r="S12" i="50"/>
  <c r="Q26" i="51"/>
  <c r="S13" i="50"/>
  <c r="Q25" i="51"/>
  <c r="S14" i="50"/>
  <c r="R103" i="52"/>
  <c r="R102" i="52"/>
  <c r="L67" i="53"/>
  <c r="R101" i="52"/>
  <c r="L68" i="53"/>
  <c r="R100" i="52"/>
  <c r="L69" i="53"/>
  <c r="R99" i="52"/>
  <c r="R98" i="52"/>
  <c r="R79" i="51"/>
  <c r="R76" i="51"/>
  <c r="L66" i="53"/>
  <c r="R80" i="51"/>
  <c r="R77" i="51"/>
  <c r="R78" i="51"/>
  <c r="Q189" i="52"/>
  <c r="Q191" i="52"/>
  <c r="S73" i="50"/>
  <c r="Q192" i="52"/>
  <c r="Q193" i="52"/>
  <c r="Q188" i="52"/>
  <c r="Q148" i="51"/>
  <c r="Q190" i="52"/>
  <c r="S72" i="50"/>
  <c r="S74" i="50"/>
  <c r="Q149" i="51"/>
  <c r="Q150" i="51"/>
  <c r="Q151" i="51"/>
  <c r="R177" i="52"/>
  <c r="R176" i="52"/>
  <c r="R175" i="52"/>
  <c r="L116" i="53"/>
  <c r="L117" i="53"/>
  <c r="R181" i="52"/>
  <c r="L118" i="53"/>
  <c r="R180" i="52"/>
  <c r="L115" i="53"/>
  <c r="R179" i="52"/>
  <c r="R142" i="51"/>
  <c r="R141" i="51"/>
  <c r="R140" i="51"/>
  <c r="R178" i="52"/>
  <c r="R139" i="51"/>
  <c r="Q180" i="52"/>
  <c r="Q178" i="52"/>
  <c r="Q176" i="52"/>
  <c r="Q177" i="52"/>
  <c r="Q179" i="52"/>
  <c r="Q181" i="52"/>
  <c r="Q175" i="52"/>
  <c r="Q142" i="51"/>
  <c r="Q139" i="51"/>
  <c r="Q140" i="51"/>
  <c r="Q141" i="51"/>
  <c r="S68" i="50"/>
  <c r="S69" i="50"/>
  <c r="Q133" i="52"/>
  <c r="Q131" i="52"/>
  <c r="S49" i="50"/>
  <c r="Q129" i="52"/>
  <c r="Q130" i="52"/>
  <c r="Q132" i="52"/>
  <c r="Q128" i="52"/>
  <c r="S50" i="50"/>
  <c r="Q102" i="51"/>
  <c r="Q103" i="51"/>
  <c r="Q104" i="51"/>
  <c r="Q105" i="51"/>
  <c r="Q101" i="51"/>
  <c r="Q79" i="52"/>
  <c r="Q74" i="52"/>
  <c r="Q58" i="51"/>
  <c r="Q75" i="52"/>
  <c r="Q76" i="52"/>
  <c r="Q77" i="52"/>
  <c r="Q61" i="51"/>
  <c r="Q78" i="52"/>
  <c r="Q62" i="51"/>
  <c r="S29" i="50"/>
  <c r="Q59" i="51"/>
  <c r="S30" i="50"/>
  <c r="Q60" i="51"/>
  <c r="Q31" i="52"/>
  <c r="Q27" i="52"/>
  <c r="Q28" i="52"/>
  <c r="Q29" i="52"/>
  <c r="Q30" i="52"/>
  <c r="Q26" i="52"/>
  <c r="Q21" i="51"/>
  <c r="S11" i="50"/>
  <c r="Q22" i="51"/>
  <c r="Q23" i="51"/>
  <c r="Q24" i="51"/>
  <c r="S10" i="50"/>
  <c r="L97" i="53"/>
  <c r="R151" i="52"/>
  <c r="R150" i="52"/>
  <c r="R149" i="52"/>
  <c r="L98" i="53"/>
  <c r="R148" i="52"/>
  <c r="L99" i="53"/>
  <c r="R147" i="52"/>
  <c r="L100" i="53"/>
  <c r="R116" i="51"/>
  <c r="R146" i="52"/>
  <c r="R118" i="51"/>
  <c r="R117" i="51"/>
  <c r="R115" i="51"/>
  <c r="R81" i="52"/>
  <c r="L54" i="53"/>
  <c r="R80" i="52"/>
  <c r="L55" i="53"/>
  <c r="L56" i="53"/>
  <c r="L53" i="53"/>
  <c r="R85" i="52"/>
  <c r="R84" i="52"/>
  <c r="R83" i="52"/>
  <c r="R65" i="51"/>
  <c r="R82" i="52"/>
  <c r="R63" i="51"/>
  <c r="R64" i="51"/>
  <c r="R66" i="51"/>
  <c r="Q85" i="52"/>
  <c r="Q83" i="52"/>
  <c r="Q81" i="52"/>
  <c r="Q64" i="51"/>
  <c r="Q82" i="52"/>
  <c r="Q84" i="52"/>
  <c r="Q80" i="52"/>
  <c r="S31" i="50"/>
  <c r="S32" i="50"/>
  <c r="Q65" i="51"/>
  <c r="Q66" i="51"/>
  <c r="Q63" i="51"/>
  <c r="D4" i="6"/>
  <c r="E4" i="6" s="1"/>
  <c r="F4" i="6" s="1"/>
  <c r="R25" i="52"/>
  <c r="L15" i="53"/>
  <c r="L16" i="53"/>
  <c r="L14" i="53"/>
  <c r="R21" i="52"/>
  <c r="R20" i="52"/>
  <c r="R20" i="51"/>
  <c r="R24" i="52"/>
  <c r="R23" i="52"/>
  <c r="R22" i="52"/>
  <c r="R19" i="51"/>
  <c r="R18" i="51"/>
  <c r="R17" i="51"/>
  <c r="R16" i="51"/>
  <c r="Q169" i="52"/>
  <c r="Q173" i="52"/>
  <c r="Q174" i="52"/>
  <c r="Q134" i="51"/>
  <c r="Q170" i="52"/>
  <c r="Q171" i="52"/>
  <c r="Q172" i="52"/>
  <c r="Q136" i="51"/>
  <c r="Q137" i="51"/>
  <c r="Q133" i="51"/>
  <c r="S66" i="50"/>
  <c r="S67" i="50"/>
  <c r="Q135" i="51"/>
  <c r="Q138" i="51"/>
  <c r="Q127" i="52"/>
  <c r="Q123" i="52"/>
  <c r="Q99" i="51"/>
  <c r="Q124" i="52"/>
  <c r="Q125" i="52"/>
  <c r="Q126" i="52"/>
  <c r="Q122" i="52"/>
  <c r="Q97" i="51"/>
  <c r="S47" i="50"/>
  <c r="Q98" i="51"/>
  <c r="S48" i="50"/>
  <c r="Q100" i="51"/>
  <c r="S46" i="50"/>
  <c r="Q96" i="51"/>
  <c r="Q68" i="52"/>
  <c r="Q67" i="52"/>
  <c r="Q69" i="52"/>
  <c r="Q70" i="52"/>
  <c r="Q71" i="52"/>
  <c r="Q72" i="52"/>
  <c r="Q73" i="52"/>
  <c r="Q57" i="51"/>
  <c r="Q54" i="51"/>
  <c r="S27" i="50"/>
  <c r="S28" i="50"/>
  <c r="Q55" i="51"/>
  <c r="Q56" i="51"/>
  <c r="Q21" i="52"/>
  <c r="Q25" i="52"/>
  <c r="Q19" i="51"/>
  <c r="S9" i="50"/>
  <c r="Q20" i="52"/>
  <c r="Q22" i="52"/>
  <c r="Q23" i="52"/>
  <c r="Q17" i="51"/>
  <c r="Q24" i="52"/>
  <c r="Q18" i="51"/>
  <c r="S8" i="50"/>
  <c r="Q16" i="51"/>
  <c r="Q20" i="51"/>
  <c r="Q89" i="52"/>
  <c r="Q87" i="52"/>
  <c r="S33" i="50"/>
  <c r="Q88" i="52"/>
  <c r="Q90" i="52"/>
  <c r="Q91" i="52"/>
  <c r="Q70" i="51"/>
  <c r="Q86" i="52"/>
  <c r="Q67" i="51"/>
  <c r="Q68" i="51"/>
  <c r="Q69" i="51"/>
  <c r="S34" i="50"/>
  <c r="Q34" i="51"/>
  <c r="S17" i="50"/>
  <c r="Q45" i="52"/>
  <c r="Q46" i="52"/>
  <c r="Q47" i="52"/>
  <c r="Q48" i="52"/>
  <c r="Q38" i="51"/>
  <c r="Q44" i="52"/>
  <c r="Q39" i="51"/>
  <c r="Q35" i="51"/>
  <c r="Q36" i="51"/>
  <c r="S18" i="50"/>
  <c r="Q37" i="51"/>
  <c r="S19" i="50"/>
  <c r="L27" i="53"/>
  <c r="R41" i="52"/>
  <c r="L24" i="53"/>
  <c r="L25" i="53"/>
  <c r="R43" i="52"/>
  <c r="R42" i="52"/>
  <c r="L26" i="53"/>
  <c r="R40" i="52"/>
  <c r="R39" i="52"/>
  <c r="R38" i="52"/>
  <c r="R30" i="51"/>
  <c r="R33" i="51"/>
  <c r="R32" i="51"/>
  <c r="R31" i="51"/>
  <c r="Q185" i="52"/>
  <c r="Q183" i="52"/>
  <c r="Q145" i="51"/>
  <c r="Q184" i="52"/>
  <c r="Q186" i="52"/>
  <c r="Q187" i="52"/>
  <c r="S71" i="50"/>
  <c r="Q182" i="52"/>
  <c r="Q144" i="51"/>
  <c r="Q146" i="51"/>
  <c r="Q147" i="51"/>
  <c r="Q143" i="51"/>
  <c r="S70" i="50"/>
  <c r="L88" i="53"/>
  <c r="R129" i="52"/>
  <c r="L89" i="53"/>
  <c r="R128" i="52"/>
  <c r="L87" i="53"/>
  <c r="R133" i="52"/>
  <c r="R132" i="52"/>
  <c r="R131" i="52"/>
  <c r="R105" i="51"/>
  <c r="R104" i="51"/>
  <c r="R103" i="51"/>
  <c r="R130" i="52"/>
  <c r="R101" i="51"/>
  <c r="R102" i="51"/>
  <c r="L114" i="53"/>
  <c r="R169" i="52"/>
  <c r="L112" i="53"/>
  <c r="R174" i="52"/>
  <c r="R173" i="52"/>
  <c r="R172" i="52"/>
  <c r="R171" i="52"/>
  <c r="R137" i="51"/>
  <c r="R134" i="51"/>
  <c r="R133" i="51"/>
  <c r="R138" i="51"/>
  <c r="L113" i="53"/>
  <c r="R136" i="51"/>
  <c r="R170" i="52"/>
  <c r="R135" i="51"/>
  <c r="L79" i="53"/>
  <c r="R121" i="52"/>
  <c r="L80" i="53"/>
  <c r="R120" i="52"/>
  <c r="L81" i="53"/>
  <c r="R119" i="52"/>
  <c r="L78" i="53"/>
  <c r="R118" i="52"/>
  <c r="R117" i="52"/>
  <c r="R116" i="52"/>
  <c r="R95" i="51"/>
  <c r="R94" i="51"/>
  <c r="R91" i="51"/>
  <c r="R93" i="51"/>
  <c r="R92" i="51"/>
  <c r="R17" i="52"/>
  <c r="L11" i="53"/>
  <c r="L12" i="53"/>
  <c r="L13" i="53"/>
  <c r="R19" i="52"/>
  <c r="R12" i="51"/>
  <c r="L10" i="53"/>
  <c r="R18" i="52"/>
  <c r="R16" i="52"/>
  <c r="R15" i="52"/>
  <c r="R14" i="51"/>
  <c r="R14" i="52"/>
  <c r="R13" i="51"/>
  <c r="R11" i="51"/>
  <c r="R15" i="51"/>
  <c r="Q117" i="52"/>
  <c r="Q121" i="52"/>
  <c r="Q116" i="52"/>
  <c r="Q118" i="52"/>
  <c r="Q119" i="52"/>
  <c r="Q95" i="51"/>
  <c r="Q120" i="52"/>
  <c r="Q91" i="51"/>
  <c r="Q92" i="51"/>
  <c r="Q93" i="51"/>
  <c r="Q94" i="51"/>
  <c r="S44" i="50"/>
  <c r="S45" i="50"/>
  <c r="Q63" i="52"/>
  <c r="Q65" i="52"/>
  <c r="Q52" i="51"/>
  <c r="S25" i="50"/>
  <c r="Q66" i="52"/>
  <c r="Q61" i="52"/>
  <c r="Q62" i="52"/>
  <c r="Q50" i="51"/>
  <c r="Q64" i="52"/>
  <c r="Q51" i="51"/>
  <c r="Q49" i="51"/>
  <c r="Q53" i="51"/>
  <c r="Q48" i="51"/>
  <c r="S26" i="50"/>
  <c r="Q15" i="52"/>
  <c r="Q16" i="52"/>
  <c r="Q17" i="52"/>
  <c r="Q18" i="52"/>
  <c r="Q19" i="52"/>
  <c r="Q14" i="52"/>
  <c r="Q15" i="51"/>
  <c r="S7" i="50"/>
  <c r="Q11" i="51"/>
  <c r="Q12" i="51"/>
  <c r="Q13" i="51"/>
  <c r="Q14" i="51"/>
  <c r="S6" i="50"/>
  <c r="R145" i="52"/>
  <c r="L94" i="53"/>
  <c r="R144" i="52"/>
  <c r="L95" i="53"/>
  <c r="R143" i="52"/>
  <c r="L96" i="53"/>
  <c r="R142" i="52"/>
  <c r="L93" i="53"/>
  <c r="R141" i="52"/>
  <c r="R140" i="52"/>
  <c r="R113" i="51"/>
  <c r="R114" i="51"/>
  <c r="R112" i="51"/>
  <c r="R111" i="51"/>
  <c r="R137" i="52"/>
  <c r="R136" i="52"/>
  <c r="R135" i="52"/>
  <c r="R134" i="52"/>
  <c r="L91" i="53"/>
  <c r="L92" i="53"/>
  <c r="R139" i="52"/>
  <c r="R107" i="51"/>
  <c r="L90" i="53"/>
  <c r="R138" i="52"/>
  <c r="R110" i="51"/>
  <c r="R109" i="51"/>
  <c r="R108" i="51"/>
  <c r="R106" i="51"/>
  <c r="D4" i="7"/>
  <c r="R37" i="52"/>
  <c r="L21" i="53"/>
  <c r="L22" i="53"/>
  <c r="L23" i="53"/>
  <c r="R33" i="52"/>
  <c r="L20" i="53"/>
  <c r="R34" i="52"/>
  <c r="R35" i="52"/>
  <c r="R28" i="51"/>
  <c r="R36" i="52"/>
  <c r="R32" i="52"/>
  <c r="R29" i="51"/>
  <c r="R27" i="51"/>
  <c r="R26" i="51"/>
  <c r="R25" i="51"/>
  <c r="L52" i="53"/>
  <c r="L48" i="53"/>
  <c r="R75" i="52"/>
  <c r="R76" i="52"/>
  <c r="R77" i="52"/>
  <c r="L49" i="53"/>
  <c r="R78" i="52"/>
  <c r="L50" i="53"/>
  <c r="R79" i="52"/>
  <c r="R61" i="51"/>
  <c r="R74" i="52"/>
  <c r="L51" i="53"/>
  <c r="R62" i="51"/>
  <c r="R60" i="51"/>
  <c r="R59" i="51"/>
  <c r="R58" i="51"/>
  <c r="D4" i="20"/>
  <c r="R127" i="52"/>
  <c r="L83" i="53"/>
  <c r="R126" i="52"/>
  <c r="L84" i="53"/>
  <c r="R125" i="52"/>
  <c r="L85" i="53"/>
  <c r="R124" i="52"/>
  <c r="L86" i="53"/>
  <c r="R123" i="52"/>
  <c r="R97" i="51"/>
  <c r="R98" i="51"/>
  <c r="L82" i="53"/>
  <c r="R122" i="52"/>
  <c r="R100" i="51"/>
  <c r="R99" i="51"/>
  <c r="R96" i="51"/>
  <c r="R168" i="52"/>
  <c r="L109" i="53"/>
  <c r="R167" i="52"/>
  <c r="L110" i="53"/>
  <c r="R166" i="52"/>
  <c r="L111" i="53"/>
  <c r="R165" i="52"/>
  <c r="L108" i="53"/>
  <c r="R164" i="52"/>
  <c r="R163" i="52"/>
  <c r="R129" i="51"/>
  <c r="R132" i="51"/>
  <c r="R131" i="51"/>
  <c r="R128" i="51"/>
  <c r="R130" i="51"/>
  <c r="D4" i="27"/>
  <c r="L105" i="53"/>
  <c r="R161" i="52"/>
  <c r="R160" i="52"/>
  <c r="R159" i="52"/>
  <c r="R158" i="52"/>
  <c r="L106" i="53"/>
  <c r="R162" i="52"/>
  <c r="R125" i="51"/>
  <c r="R124" i="51"/>
  <c r="R123" i="51"/>
  <c r="R127" i="51"/>
  <c r="L107" i="53"/>
  <c r="R126" i="51"/>
  <c r="D4" i="11"/>
  <c r="R57" i="52"/>
  <c r="L36" i="53"/>
  <c r="L37" i="53"/>
  <c r="R60" i="52"/>
  <c r="L35" i="53"/>
  <c r="R59" i="52"/>
  <c r="R58" i="52"/>
  <c r="R56" i="52"/>
  <c r="R55" i="52"/>
  <c r="R46" i="51"/>
  <c r="R45" i="51"/>
  <c r="R47" i="51"/>
  <c r="L7" i="53"/>
  <c r="R9" i="52"/>
  <c r="L8" i="53"/>
  <c r="L9" i="53"/>
  <c r="L6" i="53"/>
  <c r="R12" i="52"/>
  <c r="R11" i="52"/>
  <c r="R13" i="52"/>
  <c r="R10" i="52"/>
  <c r="R8" i="52"/>
  <c r="R6" i="51"/>
  <c r="R10" i="51"/>
  <c r="R9" i="51"/>
  <c r="R8" i="51"/>
  <c r="R7" i="51"/>
  <c r="Q160" i="52"/>
  <c r="Q162" i="52"/>
  <c r="Q158" i="52"/>
  <c r="Q159" i="52"/>
  <c r="Q127" i="51"/>
  <c r="S63" i="50"/>
  <c r="Q161" i="52"/>
  <c r="Q123" i="51"/>
  <c r="S61" i="50"/>
  <c r="S62" i="50"/>
  <c r="Q124" i="51"/>
  <c r="Q125" i="51"/>
  <c r="Q126" i="51"/>
  <c r="Q113" i="52"/>
  <c r="Q111" i="52"/>
  <c r="Q86" i="51"/>
  <c r="S41" i="50"/>
  <c r="Q112" i="52"/>
  <c r="Q114" i="52"/>
  <c r="Q115" i="52"/>
  <c r="Q110" i="52"/>
  <c r="Q87" i="51"/>
  <c r="S42" i="50"/>
  <c r="Q88" i="51"/>
  <c r="S43" i="50"/>
  <c r="Q89" i="51"/>
  <c r="Q90" i="51"/>
  <c r="Q85" i="51"/>
  <c r="Q59" i="52"/>
  <c r="Q57" i="52"/>
  <c r="Q56" i="52"/>
  <c r="Q58" i="52"/>
  <c r="Q60" i="52"/>
  <c r="Q55" i="52"/>
  <c r="S23" i="50"/>
  <c r="S24" i="50"/>
  <c r="Q46" i="51"/>
  <c r="Q47" i="51"/>
  <c r="Q45" i="51"/>
  <c r="S22" i="50"/>
  <c r="Q11" i="52"/>
  <c r="Q10" i="52"/>
  <c r="Q7" i="51"/>
  <c r="Q12" i="52"/>
  <c r="Q13" i="52"/>
  <c r="Q8" i="52"/>
  <c r="Q9" i="52"/>
  <c r="S4" i="50"/>
  <c r="Q9" i="51"/>
  <c r="Q6" i="51"/>
  <c r="Q8" i="51"/>
  <c r="S5" i="50"/>
  <c r="Q10" i="51"/>
  <c r="R189" i="52"/>
  <c r="R190" i="52"/>
  <c r="L125" i="53"/>
  <c r="R191" i="52"/>
  <c r="L126" i="53"/>
  <c r="R192" i="52"/>
  <c r="L127" i="53"/>
  <c r="R193" i="52"/>
  <c r="L124" i="53"/>
  <c r="R188" i="52"/>
  <c r="R151" i="51"/>
  <c r="R150" i="51"/>
  <c r="R149" i="51"/>
  <c r="R148" i="51"/>
  <c r="L122" i="53"/>
  <c r="R185" i="52"/>
  <c r="L123" i="53"/>
  <c r="R184" i="52"/>
  <c r="L119" i="53"/>
  <c r="R183" i="52"/>
  <c r="R182" i="52"/>
  <c r="L120" i="53"/>
  <c r="R187" i="52"/>
  <c r="R145" i="51"/>
  <c r="R143" i="51"/>
  <c r="L121" i="53"/>
  <c r="R186" i="52"/>
  <c r="R147" i="51"/>
  <c r="R146" i="51"/>
  <c r="R144" i="51"/>
  <c r="Q137" i="52"/>
  <c r="Q135" i="52"/>
  <c r="Q136" i="52"/>
  <c r="Q106" i="51"/>
  <c r="Q138" i="52"/>
  <c r="Q139" i="52"/>
  <c r="Q134" i="52"/>
  <c r="Q109" i="51"/>
  <c r="Q110" i="51"/>
  <c r="Q107" i="51"/>
  <c r="Q108" i="51"/>
  <c r="S51" i="50"/>
  <c r="S52" i="50"/>
  <c r="S53" i="50"/>
  <c r="L17" i="53"/>
  <c r="R29" i="52"/>
  <c r="R28" i="52"/>
  <c r="L18" i="53"/>
  <c r="R27" i="52"/>
  <c r="R26" i="52"/>
  <c r="L19" i="53"/>
  <c r="R31" i="52"/>
  <c r="R22" i="51"/>
  <c r="R30" i="52"/>
  <c r="R21" i="51"/>
  <c r="R23" i="51"/>
  <c r="R24" i="51"/>
  <c r="D4" i="13"/>
  <c r="R73" i="52"/>
  <c r="L43" i="53"/>
  <c r="R71" i="52"/>
  <c r="L44" i="53"/>
  <c r="R70" i="52"/>
  <c r="L45" i="53"/>
  <c r="R69" i="52"/>
  <c r="L46" i="53"/>
  <c r="R68" i="52"/>
  <c r="L47" i="53"/>
  <c r="R67" i="52"/>
  <c r="R57" i="51"/>
  <c r="R72" i="52"/>
  <c r="R54" i="51"/>
  <c r="L42" i="53"/>
  <c r="R56" i="51"/>
  <c r="R55" i="51"/>
  <c r="L39" i="53"/>
  <c r="R65" i="52"/>
  <c r="L40" i="53"/>
  <c r="L41" i="53"/>
  <c r="L38" i="53"/>
  <c r="R62" i="52"/>
  <c r="R61" i="52"/>
  <c r="R52" i="51"/>
  <c r="R66" i="52"/>
  <c r="R64" i="52"/>
  <c r="R63" i="52"/>
  <c r="R53" i="51"/>
  <c r="R50" i="51"/>
  <c r="R48" i="51"/>
  <c r="R51" i="51"/>
  <c r="R49" i="51"/>
  <c r="Q163" i="52"/>
  <c r="Q131" i="51"/>
  <c r="S65" i="50"/>
  <c r="Q164" i="52"/>
  <c r="Q165" i="52"/>
  <c r="Q166" i="52"/>
  <c r="Q167" i="52"/>
  <c r="Q168" i="52"/>
  <c r="Q129" i="51"/>
  <c r="Q130" i="51"/>
  <c r="S64" i="50"/>
  <c r="Q132" i="51"/>
  <c r="Q128" i="51"/>
  <c r="R113" i="52"/>
  <c r="R112" i="52"/>
  <c r="R111" i="52"/>
  <c r="R110" i="52"/>
  <c r="L76" i="53"/>
  <c r="L77" i="53"/>
  <c r="L75" i="53"/>
  <c r="R115" i="52"/>
  <c r="R89" i="51"/>
  <c r="R88" i="51"/>
  <c r="R86" i="51"/>
  <c r="R85" i="51"/>
  <c r="R114" i="52"/>
  <c r="R90" i="51"/>
  <c r="R87" i="51"/>
  <c r="D4" i="26"/>
  <c r="R157" i="52"/>
  <c r="L102" i="53"/>
  <c r="R152" i="52"/>
  <c r="L103" i="53"/>
  <c r="L104" i="53"/>
  <c r="L101" i="53"/>
  <c r="R153" i="52"/>
  <c r="R154" i="52"/>
  <c r="R155" i="52"/>
  <c r="R121" i="51"/>
  <c r="R156" i="52"/>
  <c r="R122" i="51"/>
  <c r="R119" i="51"/>
  <c r="R120" i="51"/>
  <c r="L72" i="53"/>
  <c r="R105" i="52"/>
  <c r="L73" i="53"/>
  <c r="R104" i="52"/>
  <c r="L74" i="53"/>
  <c r="L70" i="53"/>
  <c r="R109" i="52"/>
  <c r="R108" i="52"/>
  <c r="R107" i="52"/>
  <c r="R81" i="51"/>
  <c r="L71" i="53"/>
  <c r="R82" i="51"/>
  <c r="R106" i="52"/>
  <c r="R84" i="51"/>
  <c r="R83" i="51"/>
  <c r="L33" i="53"/>
  <c r="R49" i="52"/>
  <c r="L34" i="53"/>
  <c r="L31" i="53"/>
  <c r="R53" i="52"/>
  <c r="R52" i="52"/>
  <c r="R51" i="52"/>
  <c r="L32" i="53"/>
  <c r="R44" i="51"/>
  <c r="R54" i="52"/>
  <c r="R50" i="52"/>
  <c r="R43" i="51"/>
  <c r="R42" i="51"/>
  <c r="R41" i="51"/>
  <c r="R40" i="51"/>
  <c r="L2" i="53"/>
  <c r="L3" i="53"/>
  <c r="R4" i="52"/>
  <c r="L4" i="53"/>
  <c r="R3" i="52"/>
  <c r="R4" i="51"/>
  <c r="R7" i="52"/>
  <c r="L5" i="53"/>
  <c r="R6" i="52"/>
  <c r="R5" i="52"/>
  <c r="R2" i="52"/>
  <c r="R5" i="51"/>
  <c r="R3" i="51"/>
  <c r="R2" i="51"/>
  <c r="Q157" i="52"/>
  <c r="Q155" i="52"/>
  <c r="Q120" i="51"/>
  <c r="Q153" i="52"/>
  <c r="Q154" i="52"/>
  <c r="Q156" i="52"/>
  <c r="Q152" i="52"/>
  <c r="S59" i="50"/>
  <c r="Q122" i="51"/>
  <c r="Q119" i="51"/>
  <c r="Q121" i="51"/>
  <c r="S60" i="50"/>
  <c r="Q109" i="52"/>
  <c r="Q107" i="52"/>
  <c r="Q108" i="52"/>
  <c r="Q84" i="51"/>
  <c r="Q104" i="52"/>
  <c r="Q105" i="52"/>
  <c r="Q82" i="51"/>
  <c r="S39" i="50"/>
  <c r="Q106" i="52"/>
  <c r="Q83" i="51"/>
  <c r="S40" i="50"/>
  <c r="Q81" i="51"/>
  <c r="Q49" i="52"/>
  <c r="Q53" i="52"/>
  <c r="Q51" i="52"/>
  <c r="Q43" i="51"/>
  <c r="Q52" i="52"/>
  <c r="Q54" i="52"/>
  <c r="Q41" i="51"/>
  <c r="Q50" i="52"/>
  <c r="Q42" i="51"/>
  <c r="S20" i="50"/>
  <c r="S21" i="50"/>
  <c r="Q44" i="51"/>
  <c r="Q40" i="51"/>
  <c r="Q7" i="52"/>
  <c r="Q2" i="52"/>
  <c r="Q2" i="51"/>
  <c r="Q3" i="52"/>
  <c r="Q4" i="52"/>
  <c r="Q5" i="52"/>
  <c r="Q4" i="51"/>
  <c r="Q6" i="52"/>
  <c r="Q5" i="51"/>
  <c r="Q3" i="51"/>
  <c r="S2" i="50"/>
  <c r="S3" i="50"/>
  <c r="D4" i="30"/>
  <c r="E4" i="30" s="1"/>
  <c r="F4" i="30" s="1"/>
  <c r="D4" i="21"/>
  <c r="D4" i="1"/>
  <c r="D4" i="4"/>
  <c r="D4" i="3"/>
  <c r="D4" i="9"/>
  <c r="E4" i="9" s="1"/>
  <c r="F4" i="9" s="1"/>
  <c r="D4" i="24"/>
  <c r="D4" i="22"/>
  <c r="D4" i="10"/>
  <c r="D4" i="18"/>
  <c r="D4" i="15"/>
  <c r="D4" i="2"/>
  <c r="E4" i="2" s="1"/>
  <c r="F4" i="2" s="1"/>
  <c r="D4" i="19"/>
  <c r="E4" i="19" s="1"/>
  <c r="F4" i="19" s="1"/>
  <c r="E89" i="36"/>
  <c r="T84" i="55" s="1"/>
  <c r="D4" i="23"/>
  <c r="E4" i="23" s="1"/>
  <c r="F4" i="23" s="1"/>
  <c r="D4" i="8"/>
  <c r="E4" i="8" s="1"/>
  <c r="F4" i="8" s="1"/>
  <c r="D4" i="17"/>
  <c r="D4" i="31"/>
  <c r="E4" i="31" s="1"/>
  <c r="F4" i="31" s="1"/>
  <c r="D4" i="29"/>
  <c r="D4" i="14"/>
  <c r="D2" i="14"/>
  <c r="D3" i="14"/>
  <c r="I2" i="14"/>
  <c r="E4" i="7"/>
  <c r="F4" i="7" s="1"/>
  <c r="E4" i="21"/>
  <c r="F4" i="21" s="1"/>
  <c r="E4" i="1"/>
  <c r="F4" i="1" s="1"/>
  <c r="E150" i="36"/>
  <c r="T92" i="55" s="1"/>
  <c r="E151" i="36"/>
  <c r="E65" i="36"/>
  <c r="E66" i="36"/>
  <c r="E26" i="36"/>
  <c r="E25" i="36"/>
  <c r="E80" i="36"/>
  <c r="E81" i="36"/>
  <c r="E61" i="36"/>
  <c r="E160" i="36"/>
  <c r="E4" i="20"/>
  <c r="F4" i="20" s="1"/>
  <c r="D4" i="28"/>
  <c r="D4" i="12"/>
  <c r="D4" i="5"/>
  <c r="E140" i="36"/>
  <c r="T114" i="55" s="1"/>
  <c r="E100" i="36"/>
  <c r="E56" i="36"/>
  <c r="E55" i="36"/>
  <c r="E16" i="36"/>
  <c r="E15" i="36"/>
  <c r="E4" i="17"/>
  <c r="F4" i="17" s="1"/>
  <c r="E156" i="36"/>
  <c r="E4" i="13"/>
  <c r="F4" i="13" s="1"/>
  <c r="E58" i="33"/>
  <c r="E4" i="27"/>
  <c r="F4" i="27" s="1"/>
  <c r="G58" i="33" s="1"/>
  <c r="D4" i="25"/>
  <c r="E4" i="11"/>
  <c r="F4" i="11" s="1"/>
  <c r="E4" i="4"/>
  <c r="F4" i="4" s="1"/>
  <c r="E96" i="36"/>
  <c r="E50" i="36"/>
  <c r="F37" i="4"/>
  <c r="E10" i="36"/>
  <c r="E11" i="36"/>
  <c r="E70" i="36"/>
  <c r="E4" i="26"/>
  <c r="F4" i="26" s="1"/>
  <c r="E130" i="36"/>
  <c r="E131" i="36"/>
  <c r="E121" i="36"/>
  <c r="E120" i="36"/>
  <c r="E35" i="36"/>
  <c r="E36" i="36"/>
  <c r="E116" i="36"/>
  <c r="E115" i="36"/>
  <c r="T111" i="55" s="1"/>
  <c r="E106" i="36"/>
  <c r="D4" i="16"/>
  <c r="E4" i="24"/>
  <c r="F4" i="24" s="1"/>
  <c r="E4" i="3"/>
  <c r="F4" i="3" s="1"/>
  <c r="E75" i="36"/>
  <c r="T124" i="55" s="1"/>
  <c r="E125" i="36"/>
  <c r="T107" i="55" s="1"/>
  <c r="E126" i="36"/>
  <c r="E85" i="36"/>
  <c r="E86" i="36"/>
  <c r="E40" i="36"/>
  <c r="E21" i="36"/>
  <c r="E20" i="36"/>
  <c r="D4" i="32"/>
  <c r="E37" i="32"/>
  <c r="E5" i="36"/>
  <c r="T81" i="55" s="1"/>
  <c r="E6" i="36"/>
  <c r="F37" i="29"/>
  <c r="F37" i="2"/>
  <c r="E37" i="13"/>
  <c r="E37" i="6"/>
  <c r="F37" i="28"/>
  <c r="F37" i="19"/>
  <c r="E37" i="12"/>
  <c r="E37" i="5"/>
  <c r="E37" i="27"/>
  <c r="E37" i="25"/>
  <c r="E37" i="11"/>
  <c r="F37" i="16"/>
  <c r="F37" i="24"/>
  <c r="E37" i="9"/>
  <c r="F37" i="31"/>
  <c r="F37" i="23"/>
  <c r="F37" i="17"/>
  <c r="E37" i="8"/>
  <c r="F37" i="21"/>
  <c r="E37" i="14"/>
  <c r="F37" i="20"/>
  <c r="F37" i="26"/>
  <c r="F37" i="18"/>
  <c r="E37" i="10"/>
  <c r="F37" i="3"/>
  <c r="F37" i="22"/>
  <c r="E37" i="15"/>
  <c r="E37" i="7"/>
  <c r="E37" i="1"/>
  <c r="F37" i="30"/>
  <c r="E37" i="30"/>
  <c r="D2" i="32"/>
  <c r="E37" i="16"/>
  <c r="E37" i="19"/>
  <c r="E37" i="18"/>
  <c r="E37" i="29"/>
  <c r="E37" i="28"/>
  <c r="E37" i="26"/>
  <c r="E37" i="21"/>
  <c r="F37" i="25"/>
  <c r="F37" i="10"/>
  <c r="F37" i="32"/>
  <c r="E37" i="4"/>
  <c r="E37" i="24"/>
  <c r="E37" i="3"/>
  <c r="F37" i="27"/>
  <c r="F37" i="11"/>
  <c r="F37" i="9"/>
  <c r="E37" i="31"/>
  <c r="E37" i="23"/>
  <c r="E37" i="17"/>
  <c r="F37" i="8"/>
  <c r="E37" i="22"/>
  <c r="F37" i="15"/>
  <c r="F37" i="7"/>
  <c r="F37" i="14"/>
  <c r="F37" i="1"/>
  <c r="E37" i="2"/>
  <c r="E37" i="20"/>
  <c r="F37" i="13"/>
  <c r="F37" i="6"/>
  <c r="F37" i="12"/>
  <c r="F37" i="5"/>
  <c r="E7" i="36"/>
  <c r="E9" i="36"/>
  <c r="E13" i="36"/>
  <c r="E14" i="36"/>
  <c r="E17" i="36"/>
  <c r="E18" i="36"/>
  <c r="E19" i="36"/>
  <c r="E22" i="36"/>
  <c r="E23" i="36"/>
  <c r="E24" i="36"/>
  <c r="E27" i="36"/>
  <c r="T23" i="55" s="1"/>
  <c r="E32" i="36"/>
  <c r="E33" i="36"/>
  <c r="E34" i="36"/>
  <c r="E37" i="36"/>
  <c r="E38" i="36"/>
  <c r="E39" i="36"/>
  <c r="E44" i="36"/>
  <c r="E47" i="36"/>
  <c r="E48" i="36"/>
  <c r="E49" i="36"/>
  <c r="E52" i="36"/>
  <c r="E53" i="36"/>
  <c r="E54" i="36"/>
  <c r="E57" i="36"/>
  <c r="E58" i="36"/>
  <c r="E59" i="36"/>
  <c r="E62" i="36"/>
  <c r="E63" i="36"/>
  <c r="E67" i="36"/>
  <c r="E68" i="36"/>
  <c r="E69" i="36"/>
  <c r="E72" i="36"/>
  <c r="T25" i="55" s="1"/>
  <c r="E73" i="36"/>
  <c r="T53" i="55" s="1"/>
  <c r="E74" i="36"/>
  <c r="T95" i="55" s="1"/>
  <c r="E77" i="36"/>
  <c r="T29" i="55" s="1"/>
  <c r="E78" i="36"/>
  <c r="E79" i="36"/>
  <c r="T83" i="55" s="1"/>
  <c r="E83" i="36"/>
  <c r="T48" i="55" s="1"/>
  <c r="E84" i="36"/>
  <c r="T91" i="55" s="1"/>
  <c r="E97" i="36"/>
  <c r="T30" i="55" s="1"/>
  <c r="E98" i="36"/>
  <c r="T56" i="55" s="1"/>
  <c r="E102" i="36"/>
  <c r="T10" i="55" s="1"/>
  <c r="E107" i="36"/>
  <c r="T26" i="55" s="1"/>
  <c r="E108" i="36"/>
  <c r="E109" i="36"/>
  <c r="T57" i="55" s="1"/>
  <c r="E112" i="36"/>
  <c r="E113" i="36"/>
  <c r="T52" i="55" s="1"/>
  <c r="E114" i="36"/>
  <c r="T76" i="55" s="1"/>
  <c r="E118" i="36"/>
  <c r="E123" i="36"/>
  <c r="T49" i="55" s="1"/>
  <c r="E124" i="36"/>
  <c r="T103" i="55" s="1"/>
  <c r="E127" i="36"/>
  <c r="E129" i="36"/>
  <c r="E132" i="36"/>
  <c r="T5" i="55" s="1"/>
  <c r="E133" i="36"/>
  <c r="E137" i="36"/>
  <c r="E138" i="36"/>
  <c r="T34" i="55" s="1"/>
  <c r="E139" i="36"/>
  <c r="T106" i="55" s="1"/>
  <c r="E148" i="36"/>
  <c r="E149" i="36"/>
  <c r="T72" i="55" s="1"/>
  <c r="E152" i="36"/>
  <c r="E153" i="36"/>
  <c r="E154" i="36"/>
  <c r="E158" i="36"/>
  <c r="E159" i="36"/>
  <c r="T70" i="55" s="1"/>
  <c r="E3" i="36"/>
  <c r="T60" i="55" s="1"/>
  <c r="E4" i="36"/>
  <c r="I2" i="4"/>
  <c r="I2" i="5"/>
  <c r="I2" i="1"/>
  <c r="I2" i="8"/>
  <c r="I2" i="10"/>
  <c r="I2" i="12"/>
  <c r="I2" i="16"/>
  <c r="I2" i="3"/>
  <c r="I2" i="25"/>
  <c r="I2" i="20"/>
  <c r="I2" i="22"/>
  <c r="I2" i="24"/>
  <c r="I2" i="27"/>
  <c r="I2" i="2"/>
  <c r="I2" i="30"/>
  <c r="T54" i="55" l="1"/>
  <c r="T93" i="55"/>
  <c r="T97" i="55"/>
  <c r="T121" i="55"/>
  <c r="T16" i="55"/>
  <c r="T18" i="55"/>
  <c r="T80" i="55"/>
  <c r="T85" i="55"/>
  <c r="T41" i="55"/>
  <c r="T40" i="55"/>
  <c r="T50" i="55"/>
  <c r="T96" i="55"/>
  <c r="T90" i="55"/>
  <c r="T65" i="55"/>
  <c r="T73" i="55"/>
  <c r="T51" i="55"/>
  <c r="T58" i="55"/>
  <c r="T82" i="55"/>
  <c r="T119" i="55"/>
  <c r="T63" i="55"/>
  <c r="T64" i="55"/>
  <c r="T69" i="55"/>
  <c r="T71" i="55"/>
  <c r="T42" i="55"/>
  <c r="T152" i="55"/>
  <c r="T142" i="55"/>
  <c r="T133" i="55"/>
  <c r="T164" i="55"/>
  <c r="T162" i="55"/>
  <c r="T139" i="55"/>
  <c r="T169" i="55"/>
  <c r="T144" i="55"/>
  <c r="T134" i="55"/>
  <c r="T125" i="55"/>
  <c r="T156" i="55"/>
  <c r="T171" i="55"/>
  <c r="T154" i="55"/>
  <c r="T161" i="55"/>
  <c r="T136" i="55"/>
  <c r="T167" i="55"/>
  <c r="T126" i="55"/>
  <c r="T148" i="55"/>
  <c r="T163" i="55"/>
  <c r="T146" i="55"/>
  <c r="T153" i="55"/>
  <c r="T128" i="55"/>
  <c r="T159" i="55"/>
  <c r="T140" i="55"/>
  <c r="T155" i="55"/>
  <c r="T138" i="55"/>
  <c r="T137" i="55"/>
  <c r="T145" i="55"/>
  <c r="T151" i="55"/>
  <c r="T165" i="55"/>
  <c r="T132" i="55"/>
  <c r="T147" i="55"/>
  <c r="T130" i="55"/>
  <c r="T129" i="55"/>
  <c r="T168" i="55"/>
  <c r="T135" i="55"/>
  <c r="T158" i="55"/>
  <c r="T149" i="55"/>
  <c r="T131" i="55"/>
  <c r="T143" i="55"/>
  <c r="T157" i="55"/>
  <c r="T160" i="55"/>
  <c r="T127" i="55"/>
  <c r="T150" i="55"/>
  <c r="T141" i="55"/>
  <c r="T170" i="55"/>
  <c r="T166" i="55"/>
  <c r="D40" i="3"/>
  <c r="D40" i="30"/>
  <c r="D40" i="16"/>
  <c r="D40" i="12"/>
  <c r="D40" i="27"/>
  <c r="D41" i="27" s="1"/>
  <c r="D40" i="10"/>
  <c r="D40" i="14"/>
  <c r="D41" i="14" s="1"/>
  <c r="D40" i="24"/>
  <c r="D40" i="8"/>
  <c r="D41" i="8" s="1"/>
  <c r="D40" i="32"/>
  <c r="K2" i="32"/>
  <c r="D40" i="22"/>
  <c r="D40" i="1"/>
  <c r="D40" i="20"/>
  <c r="D41" i="20" s="1"/>
  <c r="D40" i="5"/>
  <c r="D40" i="25"/>
  <c r="D41" i="25" s="1"/>
  <c r="D40" i="4"/>
  <c r="D41" i="4" s="1"/>
  <c r="D40" i="2"/>
  <c r="K21" i="30"/>
  <c r="F194" i="35" s="1"/>
  <c r="J21" i="30"/>
  <c r="E194" i="35" s="1"/>
  <c r="K21" i="6"/>
  <c r="F26" i="35" s="1"/>
  <c r="J21" i="6"/>
  <c r="E26" i="35" s="1"/>
  <c r="K19" i="8"/>
  <c r="J19" i="8"/>
  <c r="J15" i="32"/>
  <c r="K15" i="32"/>
  <c r="K19" i="10"/>
  <c r="J19" i="10"/>
  <c r="J17" i="18"/>
  <c r="K17" i="18"/>
  <c r="J17" i="26"/>
  <c r="K17" i="26"/>
  <c r="K22" i="28"/>
  <c r="J22" i="28"/>
  <c r="J21" i="22"/>
  <c r="K21" i="22"/>
  <c r="J17" i="4"/>
  <c r="K17" i="4"/>
  <c r="K22" i="11"/>
  <c r="J22" i="11"/>
  <c r="K20" i="25"/>
  <c r="J20" i="25"/>
  <c r="K16" i="27"/>
  <c r="J16" i="27"/>
  <c r="J20" i="5"/>
  <c r="K20" i="5"/>
  <c r="K16" i="12"/>
  <c r="J16" i="12"/>
  <c r="K16" i="19"/>
  <c r="J16" i="19"/>
  <c r="K18" i="30"/>
  <c r="J18" i="30"/>
  <c r="K19" i="9"/>
  <c r="J19" i="9"/>
  <c r="J20" i="16"/>
  <c r="K20" i="16"/>
  <c r="K19" i="6"/>
  <c r="J19" i="6"/>
  <c r="K20" i="13"/>
  <c r="J20" i="13"/>
  <c r="K20" i="20"/>
  <c r="J20" i="20"/>
  <c r="K19" i="2"/>
  <c r="J19" i="2"/>
  <c r="K18" i="15"/>
  <c r="J18" i="15"/>
  <c r="J15" i="1"/>
  <c r="K15" i="1"/>
  <c r="J16" i="14"/>
  <c r="K16" i="14"/>
  <c r="J17" i="21"/>
  <c r="K17" i="21"/>
  <c r="K21" i="29"/>
  <c r="J21" i="29"/>
  <c r="K19" i="31"/>
  <c r="J19" i="31"/>
  <c r="J15" i="7"/>
  <c r="K15" i="7"/>
  <c r="K22" i="3"/>
  <c r="J22" i="3"/>
  <c r="K21" i="8"/>
  <c r="J21" i="8"/>
  <c r="J19" i="17"/>
  <c r="K19" i="17"/>
  <c r="J15" i="23"/>
  <c r="K15" i="23"/>
  <c r="J21" i="24"/>
  <c r="E158" i="35" s="1"/>
  <c r="K21" i="24"/>
  <c r="F158" i="35" s="1"/>
  <c r="K18" i="32"/>
  <c r="J18" i="32"/>
  <c r="K20" i="10"/>
  <c r="J20" i="10"/>
  <c r="K19" i="26"/>
  <c r="J19" i="26"/>
  <c r="K22" i="22"/>
  <c r="J22" i="22"/>
  <c r="J18" i="11"/>
  <c r="K18" i="11"/>
  <c r="K19" i="25"/>
  <c r="J19" i="25"/>
  <c r="J15" i="27"/>
  <c r="K15" i="27"/>
  <c r="J15" i="19"/>
  <c r="K15" i="19"/>
  <c r="J17" i="9"/>
  <c r="K17" i="9"/>
  <c r="K19" i="16"/>
  <c r="J19" i="16"/>
  <c r="J16" i="20"/>
  <c r="K16" i="20"/>
  <c r="K22" i="2"/>
  <c r="J22" i="2"/>
  <c r="J21" i="7"/>
  <c r="E40" i="35" s="1"/>
  <c r="K21" i="7"/>
  <c r="F40" i="35" s="1"/>
  <c r="K16" i="3"/>
  <c r="J16" i="3"/>
  <c r="K16" i="17"/>
  <c r="J16" i="17"/>
  <c r="K16" i="23"/>
  <c r="J16" i="23"/>
  <c r="K22" i="32"/>
  <c r="J22" i="32"/>
  <c r="K22" i="10"/>
  <c r="J22" i="10"/>
  <c r="K18" i="18"/>
  <c r="J18" i="18"/>
  <c r="K20" i="26"/>
  <c r="J20" i="26"/>
  <c r="K19" i="28"/>
  <c r="J19" i="28"/>
  <c r="J15" i="22"/>
  <c r="K15" i="22"/>
  <c r="K19" i="4"/>
  <c r="J19" i="4"/>
  <c r="J19" i="11"/>
  <c r="K19" i="11"/>
  <c r="J17" i="25"/>
  <c r="K17" i="25"/>
  <c r="K19" i="27"/>
  <c r="J19" i="27"/>
  <c r="K16" i="5"/>
  <c r="J16" i="5"/>
  <c r="K22" i="12"/>
  <c r="J22" i="12"/>
  <c r="K19" i="19"/>
  <c r="J19" i="19"/>
  <c r="K17" i="30"/>
  <c r="J17" i="30"/>
  <c r="K15" i="9"/>
  <c r="J15" i="9"/>
  <c r="K17" i="16"/>
  <c r="J17" i="16"/>
  <c r="J17" i="6"/>
  <c r="K17" i="6"/>
  <c r="K22" i="13"/>
  <c r="J22" i="13"/>
  <c r="J21" i="20"/>
  <c r="K21" i="20"/>
  <c r="K20" i="2"/>
  <c r="J20" i="2"/>
  <c r="K21" i="15"/>
  <c r="J21" i="15"/>
  <c r="K18" i="1"/>
  <c r="J18" i="1"/>
  <c r="J15" i="14"/>
  <c r="K15" i="14"/>
  <c r="K20" i="21"/>
  <c r="J20" i="21"/>
  <c r="K18" i="29"/>
  <c r="J18" i="29"/>
  <c r="J17" i="31"/>
  <c r="K17" i="31"/>
  <c r="K16" i="7"/>
  <c r="J16" i="7"/>
  <c r="K19" i="3"/>
  <c r="J19" i="3"/>
  <c r="K18" i="8"/>
  <c r="J18" i="8"/>
  <c r="K17" i="17"/>
  <c r="J17" i="17"/>
  <c r="J20" i="23"/>
  <c r="K20" i="23"/>
  <c r="K18" i="24"/>
  <c r="J18" i="24"/>
  <c r="K22" i="18"/>
  <c r="J22" i="18"/>
  <c r="J21" i="28"/>
  <c r="K21" i="28"/>
  <c r="J16" i="4"/>
  <c r="K16" i="4"/>
  <c r="K18" i="12"/>
  <c r="J18" i="12"/>
  <c r="K16" i="13"/>
  <c r="J16" i="13"/>
  <c r="K20" i="15"/>
  <c r="J20" i="15"/>
  <c r="J21" i="1"/>
  <c r="E33" i="35" s="1"/>
  <c r="K21" i="1"/>
  <c r="F33" i="35" s="1"/>
  <c r="J17" i="14"/>
  <c r="K17" i="14"/>
  <c r="K19" i="21"/>
  <c r="J19" i="21"/>
  <c r="K19" i="29"/>
  <c r="J19" i="29"/>
  <c r="J18" i="31"/>
  <c r="K18" i="31"/>
  <c r="K22" i="24"/>
  <c r="J22" i="24"/>
  <c r="J16" i="32"/>
  <c r="K16" i="32"/>
  <c r="J15" i="10"/>
  <c r="K15" i="10"/>
  <c r="J21" i="18"/>
  <c r="K21" i="18"/>
  <c r="K16" i="26"/>
  <c r="J16" i="26"/>
  <c r="K18" i="28"/>
  <c r="J18" i="28"/>
  <c r="K19" i="22"/>
  <c r="J19" i="22"/>
  <c r="K22" i="4"/>
  <c r="J22" i="4"/>
  <c r="J17" i="11"/>
  <c r="K17" i="11"/>
  <c r="J18" i="25"/>
  <c r="K18" i="25"/>
  <c r="K22" i="27"/>
  <c r="J22" i="27"/>
  <c r="K21" i="5"/>
  <c r="J21" i="5"/>
  <c r="K19" i="12"/>
  <c r="J19" i="12"/>
  <c r="K20" i="19"/>
  <c r="J20" i="19"/>
  <c r="K20" i="30"/>
  <c r="J20" i="30"/>
  <c r="K22" i="9"/>
  <c r="J22" i="9"/>
  <c r="J15" i="16"/>
  <c r="K15" i="16"/>
  <c r="K22" i="6"/>
  <c r="J22" i="6"/>
  <c r="J21" i="13"/>
  <c r="E76" i="35" s="1"/>
  <c r="K21" i="13"/>
  <c r="F76" i="35" s="1"/>
  <c r="K15" i="20"/>
  <c r="J15" i="20"/>
  <c r="J15" i="2"/>
  <c r="K15" i="2"/>
  <c r="K22" i="15"/>
  <c r="J22" i="15"/>
  <c r="K20" i="1"/>
  <c r="J20" i="1"/>
  <c r="K21" i="14"/>
  <c r="F83" i="35" s="1"/>
  <c r="J21" i="14"/>
  <c r="E83" i="35" s="1"/>
  <c r="K16" i="21"/>
  <c r="J16" i="21"/>
  <c r="J15" i="29"/>
  <c r="K15" i="29"/>
  <c r="K20" i="31"/>
  <c r="J20" i="31"/>
  <c r="K22" i="7"/>
  <c r="J22" i="7"/>
  <c r="J15" i="3"/>
  <c r="K15" i="3"/>
  <c r="K16" i="8"/>
  <c r="J16" i="8"/>
  <c r="J21" i="17"/>
  <c r="K21" i="17"/>
  <c r="K22" i="23"/>
  <c r="J22" i="23"/>
  <c r="K16" i="24"/>
  <c r="J16" i="24"/>
  <c r="J15" i="5"/>
  <c r="K15" i="5"/>
  <c r="K20" i="32"/>
  <c r="J20" i="32"/>
  <c r="K21" i="10"/>
  <c r="J21" i="10"/>
  <c r="J15" i="18"/>
  <c r="K15" i="18"/>
  <c r="J18" i="26"/>
  <c r="K18" i="26"/>
  <c r="K17" i="28"/>
  <c r="J17" i="28"/>
  <c r="K20" i="22"/>
  <c r="J20" i="22"/>
  <c r="J15" i="4"/>
  <c r="K15" i="4"/>
  <c r="K16" i="11"/>
  <c r="J16" i="11"/>
  <c r="K16" i="25"/>
  <c r="J16" i="25"/>
  <c r="K18" i="27"/>
  <c r="J18" i="27"/>
  <c r="J18" i="5"/>
  <c r="K18" i="5"/>
  <c r="J15" i="12"/>
  <c r="K15" i="12"/>
  <c r="J17" i="19"/>
  <c r="K17" i="19"/>
  <c r="K22" i="30"/>
  <c r="J22" i="30"/>
  <c r="J16" i="9"/>
  <c r="K16" i="9"/>
  <c r="K22" i="16"/>
  <c r="J22" i="16"/>
  <c r="K16" i="6"/>
  <c r="J16" i="6"/>
  <c r="K18" i="13"/>
  <c r="J18" i="13"/>
  <c r="J18" i="20"/>
  <c r="K18" i="20"/>
  <c r="K18" i="2"/>
  <c r="J18" i="2"/>
  <c r="J15" i="15"/>
  <c r="K15" i="15"/>
  <c r="J17" i="1"/>
  <c r="K17" i="1"/>
  <c r="K20" i="14"/>
  <c r="J20" i="14"/>
  <c r="K22" i="21"/>
  <c r="J22" i="21"/>
  <c r="K22" i="29"/>
  <c r="J22" i="29"/>
  <c r="J15" i="31"/>
  <c r="K15" i="31"/>
  <c r="K19" i="7"/>
  <c r="J19" i="7"/>
  <c r="J17" i="3"/>
  <c r="K17" i="3"/>
  <c r="J17" i="8"/>
  <c r="K17" i="8"/>
  <c r="J18" i="17"/>
  <c r="K18" i="17"/>
  <c r="K21" i="23"/>
  <c r="F151" i="35" s="1"/>
  <c r="J21" i="23"/>
  <c r="E151" i="35" s="1"/>
  <c r="K15" i="24"/>
  <c r="J15" i="24"/>
  <c r="J21" i="32"/>
  <c r="K21" i="32"/>
  <c r="J18" i="10"/>
  <c r="K18" i="10"/>
  <c r="K20" i="18"/>
  <c r="J20" i="18"/>
  <c r="J15" i="26"/>
  <c r="K15" i="26"/>
  <c r="K16" i="28"/>
  <c r="J16" i="28"/>
  <c r="K16" i="22"/>
  <c r="J16" i="22"/>
  <c r="K18" i="4"/>
  <c r="J18" i="4"/>
  <c r="K20" i="11"/>
  <c r="J20" i="11"/>
  <c r="K22" i="25"/>
  <c r="J22" i="25"/>
  <c r="K21" i="27"/>
  <c r="J21" i="27"/>
  <c r="J17" i="5"/>
  <c r="K17" i="5"/>
  <c r="J17" i="12"/>
  <c r="K17" i="12"/>
  <c r="K22" i="19"/>
  <c r="J22" i="19"/>
  <c r="J15" i="30"/>
  <c r="K15" i="30"/>
  <c r="J21" i="9"/>
  <c r="K21" i="9"/>
  <c r="K16" i="16"/>
  <c r="J16" i="16"/>
  <c r="K18" i="6"/>
  <c r="J18" i="6"/>
  <c r="K19" i="13"/>
  <c r="J19" i="13"/>
  <c r="J17" i="20"/>
  <c r="K17" i="20"/>
  <c r="J21" i="2"/>
  <c r="K21" i="2"/>
  <c r="K19" i="15"/>
  <c r="J19" i="15"/>
  <c r="K22" i="1"/>
  <c r="J22" i="1"/>
  <c r="K22" i="14"/>
  <c r="J22" i="14"/>
  <c r="J15" i="21"/>
  <c r="K15" i="21"/>
  <c r="J17" i="29"/>
  <c r="K17" i="29"/>
  <c r="K22" i="31"/>
  <c r="J22" i="31"/>
  <c r="K20" i="7"/>
  <c r="J20" i="7"/>
  <c r="K21" i="3"/>
  <c r="F107" i="35" s="1"/>
  <c r="J21" i="3"/>
  <c r="E107" i="35" s="1"/>
  <c r="J15" i="8"/>
  <c r="K15" i="8"/>
  <c r="K22" i="17"/>
  <c r="J22" i="17"/>
  <c r="K19" i="23"/>
  <c r="J19" i="23"/>
  <c r="K19" i="24"/>
  <c r="J19" i="24"/>
  <c r="K19" i="32"/>
  <c r="J19" i="32"/>
  <c r="J17" i="10"/>
  <c r="K17" i="10"/>
  <c r="J16" i="18"/>
  <c r="K16" i="18"/>
  <c r="K22" i="26"/>
  <c r="J22" i="26"/>
  <c r="J15" i="28"/>
  <c r="K15" i="28"/>
  <c r="J17" i="22"/>
  <c r="K17" i="22"/>
  <c r="J21" i="4"/>
  <c r="K21" i="4"/>
  <c r="J15" i="11"/>
  <c r="K15" i="11"/>
  <c r="J21" i="25"/>
  <c r="K21" i="25"/>
  <c r="J17" i="27"/>
  <c r="K17" i="27"/>
  <c r="K19" i="5"/>
  <c r="J19" i="5"/>
  <c r="K20" i="12"/>
  <c r="J20" i="12"/>
  <c r="K21" i="19"/>
  <c r="F127" i="35" s="1"/>
  <c r="J21" i="19"/>
  <c r="E127" i="35" s="1"/>
  <c r="K16" i="30"/>
  <c r="J16" i="30"/>
  <c r="K20" i="9"/>
  <c r="J20" i="9"/>
  <c r="K18" i="16"/>
  <c r="J18" i="16"/>
  <c r="J15" i="6"/>
  <c r="K15" i="6"/>
  <c r="J15" i="13"/>
  <c r="K15" i="13"/>
  <c r="K19" i="20"/>
  <c r="J19" i="20"/>
  <c r="K16" i="2"/>
  <c r="J16" i="2"/>
  <c r="J17" i="15"/>
  <c r="K17" i="15"/>
  <c r="J19" i="1"/>
  <c r="K19" i="1"/>
  <c r="J18" i="14"/>
  <c r="K18" i="14"/>
  <c r="J18" i="21"/>
  <c r="K18" i="21"/>
  <c r="K16" i="29"/>
  <c r="J16" i="29"/>
  <c r="K21" i="31"/>
  <c r="F202" i="35" s="1"/>
  <c r="J21" i="31"/>
  <c r="E202" i="35" s="1"/>
  <c r="J17" i="7"/>
  <c r="K17" i="7"/>
  <c r="K20" i="3"/>
  <c r="J20" i="3"/>
  <c r="K20" i="8"/>
  <c r="J20" i="8"/>
  <c r="K20" i="17"/>
  <c r="J20" i="17"/>
  <c r="J17" i="23"/>
  <c r="K17" i="23"/>
  <c r="K20" i="24"/>
  <c r="J20" i="24"/>
  <c r="K17" i="32"/>
  <c r="J17" i="32"/>
  <c r="K16" i="10"/>
  <c r="J16" i="10"/>
  <c r="K19" i="18"/>
  <c r="J19" i="18"/>
  <c r="K21" i="26"/>
  <c r="J21" i="26"/>
  <c r="J20" i="28"/>
  <c r="K20" i="28"/>
  <c r="K18" i="22"/>
  <c r="J18" i="22"/>
  <c r="K20" i="4"/>
  <c r="J20" i="4"/>
  <c r="J21" i="11"/>
  <c r="K21" i="11"/>
  <c r="J15" i="25"/>
  <c r="K15" i="25"/>
  <c r="K20" i="27"/>
  <c r="J20" i="27"/>
  <c r="K22" i="5"/>
  <c r="J22" i="5"/>
  <c r="K21" i="12"/>
  <c r="J21" i="12"/>
  <c r="K18" i="19"/>
  <c r="J18" i="19"/>
  <c r="J19" i="30"/>
  <c r="K19" i="30"/>
  <c r="J18" i="9"/>
  <c r="K18" i="9"/>
  <c r="K21" i="16"/>
  <c r="F95" i="35" s="1"/>
  <c r="J21" i="16"/>
  <c r="E95" i="35" s="1"/>
  <c r="K20" i="6"/>
  <c r="J20" i="6"/>
  <c r="J17" i="13"/>
  <c r="K17" i="13"/>
  <c r="K22" i="20"/>
  <c r="J22" i="20"/>
  <c r="J17" i="2"/>
  <c r="K17" i="2"/>
  <c r="K16" i="15"/>
  <c r="J16" i="15"/>
  <c r="K16" i="1"/>
  <c r="J16" i="1"/>
  <c r="K19" i="14"/>
  <c r="J19" i="14"/>
  <c r="J21" i="21"/>
  <c r="K21" i="21"/>
  <c r="K20" i="29"/>
  <c r="J20" i="29"/>
  <c r="K16" i="31"/>
  <c r="J16" i="31"/>
  <c r="K18" i="7"/>
  <c r="J18" i="7"/>
  <c r="J18" i="3"/>
  <c r="K18" i="3"/>
  <c r="K22" i="8"/>
  <c r="J22" i="8"/>
  <c r="K15" i="17"/>
  <c r="J15" i="17"/>
  <c r="J18" i="23"/>
  <c r="K18" i="23"/>
  <c r="J17" i="24"/>
  <c r="K17" i="24"/>
  <c r="E4" i="18"/>
  <c r="F4" i="18" s="1"/>
  <c r="E4" i="22"/>
  <c r="E49" i="33"/>
  <c r="E4" i="15"/>
  <c r="F4" i="15" s="1"/>
  <c r="E4" i="29"/>
  <c r="F4" i="29" s="1"/>
  <c r="L24" i="14"/>
  <c r="M24" i="14" s="1"/>
  <c r="E4" i="10"/>
  <c r="E4" i="32"/>
  <c r="K3" i="14"/>
  <c r="J3" i="14"/>
  <c r="K4" i="14"/>
  <c r="L28" i="33" s="1"/>
  <c r="J4" i="14"/>
  <c r="K28" i="33" s="1"/>
  <c r="E3" i="14"/>
  <c r="F3" i="14" s="1"/>
  <c r="J8" i="18"/>
  <c r="F88" i="36" s="1"/>
  <c r="K8" i="18"/>
  <c r="G88" i="36" s="1"/>
  <c r="E4" i="14"/>
  <c r="K10" i="18"/>
  <c r="G90" i="36" s="1"/>
  <c r="J10" i="18"/>
  <c r="F90" i="36" s="1"/>
  <c r="E2" i="14"/>
  <c r="F2" i="14" s="1"/>
  <c r="J11" i="18"/>
  <c r="F91" i="36" s="1"/>
  <c r="K11" i="18"/>
  <c r="G91" i="36" s="1"/>
  <c r="K7" i="18"/>
  <c r="G87" i="36" s="1"/>
  <c r="V13" i="55" s="1"/>
  <c r="J7" i="18"/>
  <c r="F87" i="36" s="1"/>
  <c r="U13" i="55" s="1"/>
  <c r="E28" i="33"/>
  <c r="K9" i="18"/>
  <c r="G89" i="36" s="1"/>
  <c r="V84" i="55" s="1"/>
  <c r="J9" i="18"/>
  <c r="F89" i="36" s="1"/>
  <c r="U84" i="55" s="1"/>
  <c r="K2" i="14"/>
  <c r="J2" i="14"/>
  <c r="J12" i="20"/>
  <c r="K12" i="20"/>
  <c r="H4" i="30"/>
  <c r="G4" i="30"/>
  <c r="J12" i="12"/>
  <c r="K12" i="12"/>
  <c r="G4" i="24"/>
  <c r="H4" i="24"/>
  <c r="J4" i="18"/>
  <c r="K4" i="18"/>
  <c r="J58" i="33"/>
  <c r="J62" i="55" s="1"/>
  <c r="J4" i="27"/>
  <c r="K58" i="33" s="1"/>
  <c r="K62" i="55" s="1"/>
  <c r="K4" i="27"/>
  <c r="L58" i="33" s="1"/>
  <c r="L62" i="55" s="1"/>
  <c r="J10" i="12"/>
  <c r="F55" i="36" s="1"/>
  <c r="K10" i="12"/>
  <c r="G55" i="36" s="1"/>
  <c r="K11" i="28"/>
  <c r="G141" i="36" s="1"/>
  <c r="J11" i="28"/>
  <c r="F141" i="36" s="1"/>
  <c r="E4" i="28"/>
  <c r="F4" i="28" s="1"/>
  <c r="J11" i="31"/>
  <c r="F161" i="36" s="1"/>
  <c r="K11" i="31"/>
  <c r="G161" i="36" s="1"/>
  <c r="K4" i="7"/>
  <c r="J4" i="7"/>
  <c r="J4" i="17"/>
  <c r="K4" i="17"/>
  <c r="J4" i="3"/>
  <c r="K4" i="3"/>
  <c r="J12" i="16"/>
  <c r="K12" i="16"/>
  <c r="J12" i="22"/>
  <c r="K12" i="22"/>
  <c r="J4" i="23"/>
  <c r="K4" i="23"/>
  <c r="H4" i="18"/>
  <c r="G4" i="18"/>
  <c r="J4" i="4"/>
  <c r="K4" i="4"/>
  <c r="J11" i="11"/>
  <c r="F51" i="36" s="1"/>
  <c r="K11" i="11"/>
  <c r="G51" i="36" s="1"/>
  <c r="J12" i="27"/>
  <c r="K12" i="27"/>
  <c r="F58" i="33"/>
  <c r="G4" i="27"/>
  <c r="H58" i="33" s="1"/>
  <c r="H4" i="27"/>
  <c r="I58" i="33" s="1"/>
  <c r="G4" i="13"/>
  <c r="H4" i="13"/>
  <c r="H4" i="17"/>
  <c r="G4" i="17"/>
  <c r="J11" i="12"/>
  <c r="F56" i="36" s="1"/>
  <c r="K11" i="12"/>
  <c r="G56" i="36" s="1"/>
  <c r="J10" i="28"/>
  <c r="F140" i="36" s="1"/>
  <c r="K10" i="28"/>
  <c r="G140" i="36" s="1"/>
  <c r="V114" i="55" s="1"/>
  <c r="K10" i="31"/>
  <c r="G160" i="36" s="1"/>
  <c r="J10" i="31"/>
  <c r="F160" i="36" s="1"/>
  <c r="U119" i="55" s="1"/>
  <c r="J11" i="7"/>
  <c r="F31" i="36" s="1"/>
  <c r="K11" i="7"/>
  <c r="G31" i="36" s="1"/>
  <c r="K10" i="17"/>
  <c r="G80" i="36" s="1"/>
  <c r="J10" i="17"/>
  <c r="F80" i="36" s="1"/>
  <c r="J11" i="14"/>
  <c r="F66" i="36" s="1"/>
  <c r="K11" i="14"/>
  <c r="G66" i="36" s="1"/>
  <c r="K4" i="29"/>
  <c r="J4" i="29"/>
  <c r="J10" i="16"/>
  <c r="F75" i="36" s="1"/>
  <c r="U124" i="55" s="1"/>
  <c r="K10" i="16"/>
  <c r="G75" i="36" s="1"/>
  <c r="V124" i="55" s="1"/>
  <c r="J12" i="17"/>
  <c r="K12" i="17"/>
  <c r="J12" i="21"/>
  <c r="K12" i="21"/>
  <c r="J4" i="9"/>
  <c r="K4" i="9"/>
  <c r="J4" i="24"/>
  <c r="K4" i="24"/>
  <c r="K10" i="22"/>
  <c r="G115" i="36" s="1"/>
  <c r="V111" i="55" s="1"/>
  <c r="J10" i="22"/>
  <c r="F115" i="36" s="1"/>
  <c r="U111" i="55" s="1"/>
  <c r="J12" i="23"/>
  <c r="K12" i="23"/>
  <c r="J12" i="10"/>
  <c r="K12" i="10"/>
  <c r="J11" i="26"/>
  <c r="F131" i="36" s="1"/>
  <c r="K11" i="26"/>
  <c r="G131" i="36" s="1"/>
  <c r="K12" i="15"/>
  <c r="J12" i="15"/>
  <c r="J12" i="4"/>
  <c r="K12" i="4"/>
  <c r="J4" i="25"/>
  <c r="K4" i="25"/>
  <c r="H4" i="4"/>
  <c r="G4" i="4"/>
  <c r="J4" i="12"/>
  <c r="K4" i="12"/>
  <c r="J12" i="28"/>
  <c r="K12" i="28"/>
  <c r="G4" i="20"/>
  <c r="H4" i="20"/>
  <c r="J12" i="31"/>
  <c r="K12" i="31"/>
  <c r="J10" i="7"/>
  <c r="F30" i="36" s="1"/>
  <c r="U117" i="55" s="1"/>
  <c r="K10" i="7"/>
  <c r="G30" i="36" s="1"/>
  <c r="V117" i="55" s="1"/>
  <c r="J12" i="14"/>
  <c r="K12" i="14"/>
  <c r="J12" i="29"/>
  <c r="K12" i="29"/>
  <c r="G4" i="7"/>
  <c r="H4" i="7"/>
  <c r="J11" i="3"/>
  <c r="F86" i="36" s="1"/>
  <c r="K11" i="3"/>
  <c r="G86" i="36" s="1"/>
  <c r="K12" i="8"/>
  <c r="J12" i="8"/>
  <c r="K9" i="2"/>
  <c r="G144" i="36" s="1"/>
  <c r="V100" i="55" s="1"/>
  <c r="J9" i="2"/>
  <c r="F144" i="36" s="1"/>
  <c r="U100" i="55" s="1"/>
  <c r="J4" i="28"/>
  <c r="K4" i="28"/>
  <c r="J12" i="7"/>
  <c r="K12" i="7"/>
  <c r="J10" i="3"/>
  <c r="F85" i="36" s="1"/>
  <c r="K10" i="3"/>
  <c r="G85" i="36" s="1"/>
  <c r="K10" i="8"/>
  <c r="G35" i="36" s="1"/>
  <c r="J10" i="8"/>
  <c r="F35" i="36" s="1"/>
  <c r="J11" i="9"/>
  <c r="F41" i="36" s="1"/>
  <c r="K11" i="9"/>
  <c r="G41" i="36" s="1"/>
  <c r="K11" i="24"/>
  <c r="G126" i="36" s="1"/>
  <c r="J11" i="24"/>
  <c r="F126" i="36" s="1"/>
  <c r="G4" i="9"/>
  <c r="H4" i="9"/>
  <c r="E4" i="16"/>
  <c r="F4" i="16" s="1"/>
  <c r="K4" i="22"/>
  <c r="L49" i="33" s="1"/>
  <c r="L52" i="55" s="1"/>
  <c r="J49" i="33"/>
  <c r="J52" i="55" s="1"/>
  <c r="J4" i="22"/>
  <c r="K49" i="33" s="1"/>
  <c r="K52" i="55" s="1"/>
  <c r="K10" i="23"/>
  <c r="G120" i="36" s="1"/>
  <c r="J10" i="23"/>
  <c r="F120" i="36" s="1"/>
  <c r="J10" i="10"/>
  <c r="F45" i="36" s="1"/>
  <c r="K10" i="10"/>
  <c r="G45" i="36" s="1"/>
  <c r="J10" i="26"/>
  <c r="F130" i="36" s="1"/>
  <c r="K10" i="26"/>
  <c r="G130" i="36" s="1"/>
  <c r="J4" i="15"/>
  <c r="K4" i="15"/>
  <c r="J11" i="4"/>
  <c r="F11" i="36" s="1"/>
  <c r="K11" i="4"/>
  <c r="G11" i="36" s="1"/>
  <c r="J10" i="25"/>
  <c r="F95" i="36" s="1"/>
  <c r="K10" i="25"/>
  <c r="G95" i="36" s="1"/>
  <c r="J12" i="5"/>
  <c r="K12" i="5"/>
  <c r="K11" i="19"/>
  <c r="G101" i="36" s="1"/>
  <c r="J11" i="19"/>
  <c r="F101" i="36" s="1"/>
  <c r="E4" i="5"/>
  <c r="F4" i="5" s="1"/>
  <c r="J4" i="13"/>
  <c r="K4" i="13"/>
  <c r="G4" i="31"/>
  <c r="H4" i="31"/>
  <c r="J10" i="14"/>
  <c r="F65" i="36" s="1"/>
  <c r="K10" i="14"/>
  <c r="G65" i="36" s="1"/>
  <c r="J11" i="29"/>
  <c r="F151" i="36" s="1"/>
  <c r="K11" i="29"/>
  <c r="G151" i="36" s="1"/>
  <c r="J4" i="11"/>
  <c r="K4" i="11"/>
  <c r="J10" i="30"/>
  <c r="F155" i="36" s="1"/>
  <c r="K10" i="30"/>
  <c r="G155" i="36" s="1"/>
  <c r="J4" i="31"/>
  <c r="K4" i="31"/>
  <c r="G4" i="29"/>
  <c r="H4" i="29"/>
  <c r="J11" i="16"/>
  <c r="F76" i="36" s="1"/>
  <c r="K11" i="16"/>
  <c r="G76" i="36" s="1"/>
  <c r="E4" i="25"/>
  <c r="F4" i="25" s="1"/>
  <c r="K11" i="2"/>
  <c r="G146" i="36" s="1"/>
  <c r="V78" i="55" s="1"/>
  <c r="J11" i="2"/>
  <c r="F146" i="36" s="1"/>
  <c r="U78" i="55" s="1"/>
  <c r="J11" i="1"/>
  <c r="F26" i="36" s="1"/>
  <c r="K11" i="1"/>
  <c r="G26" i="36" s="1"/>
  <c r="K10" i="9"/>
  <c r="G40" i="36" s="1"/>
  <c r="J10" i="9"/>
  <c r="F40" i="36" s="1"/>
  <c r="J12" i="24"/>
  <c r="K12" i="24"/>
  <c r="J11" i="20"/>
  <c r="F106" i="36" s="1"/>
  <c r="K11" i="20"/>
  <c r="G106" i="36" s="1"/>
  <c r="J11" i="22"/>
  <c r="F116" i="36" s="1"/>
  <c r="K11" i="22"/>
  <c r="G116" i="36" s="1"/>
  <c r="J11" i="23"/>
  <c r="F121" i="36" s="1"/>
  <c r="K11" i="23"/>
  <c r="G121" i="36" s="1"/>
  <c r="K11" i="10"/>
  <c r="G46" i="36" s="1"/>
  <c r="J11" i="10"/>
  <c r="F46" i="36" s="1"/>
  <c r="J4" i="26"/>
  <c r="K4" i="26"/>
  <c r="K11" i="15"/>
  <c r="G71" i="36" s="1"/>
  <c r="J11" i="15"/>
  <c r="F71" i="36" s="1"/>
  <c r="K10" i="4"/>
  <c r="G10" i="36" s="1"/>
  <c r="J10" i="4"/>
  <c r="F10" i="36" s="1"/>
  <c r="J12" i="25"/>
  <c r="K12" i="25"/>
  <c r="J4" i="2"/>
  <c r="K4" i="2"/>
  <c r="K11" i="30"/>
  <c r="G156" i="36" s="1"/>
  <c r="J11" i="30"/>
  <c r="F156" i="36" s="1"/>
  <c r="J4" i="5"/>
  <c r="K4" i="5"/>
  <c r="J12" i="19"/>
  <c r="K12" i="19"/>
  <c r="E4" i="12"/>
  <c r="F4" i="12" s="1"/>
  <c r="J10" i="13"/>
  <c r="F60" i="36" s="1"/>
  <c r="K10" i="13"/>
  <c r="G60" i="36" s="1"/>
  <c r="H4" i="22"/>
  <c r="I49" i="33" s="1"/>
  <c r="J28" i="33"/>
  <c r="J10" i="29"/>
  <c r="F150" i="36" s="1"/>
  <c r="U92" i="55" s="1"/>
  <c r="K10" i="29"/>
  <c r="G150" i="36" s="1"/>
  <c r="V92" i="55" s="1"/>
  <c r="G4" i="21"/>
  <c r="H4" i="21"/>
  <c r="J11" i="21"/>
  <c r="F111" i="36" s="1"/>
  <c r="U109" i="55" s="1"/>
  <c r="K11" i="21"/>
  <c r="G111" i="36" s="1"/>
  <c r="V109" i="55" s="1"/>
  <c r="G4" i="2"/>
  <c r="H4" i="2"/>
  <c r="J12" i="9"/>
  <c r="K12" i="9"/>
  <c r="J10" i="24"/>
  <c r="F125" i="36" s="1"/>
  <c r="U107" i="55" s="1"/>
  <c r="K10" i="24"/>
  <c r="G125" i="36" s="1"/>
  <c r="V107" i="55" s="1"/>
  <c r="J4" i="20"/>
  <c r="K4" i="20"/>
  <c r="K4" i="8"/>
  <c r="J4" i="8"/>
  <c r="K4" i="10"/>
  <c r="J4" i="10"/>
  <c r="J12" i="26"/>
  <c r="K12" i="26"/>
  <c r="H4" i="26"/>
  <c r="G4" i="26"/>
  <c r="K10" i="15"/>
  <c r="G70" i="36" s="1"/>
  <c r="J10" i="15"/>
  <c r="F70" i="36" s="1"/>
  <c r="J11" i="25"/>
  <c r="F96" i="36" s="1"/>
  <c r="K11" i="25"/>
  <c r="G96" i="36" s="1"/>
  <c r="G4" i="11"/>
  <c r="H4" i="11"/>
  <c r="J12" i="2"/>
  <c r="K12" i="2"/>
  <c r="K4" i="30"/>
  <c r="J4" i="30"/>
  <c r="K10" i="5"/>
  <c r="G15" i="36" s="1"/>
  <c r="J10" i="5"/>
  <c r="F15" i="36" s="1"/>
  <c r="J10" i="19"/>
  <c r="F100" i="36" s="1"/>
  <c r="K10" i="19"/>
  <c r="G100" i="36" s="1"/>
  <c r="G4" i="19"/>
  <c r="H4" i="19"/>
  <c r="H4" i="15"/>
  <c r="J12" i="13"/>
  <c r="K12" i="13"/>
  <c r="J10" i="1"/>
  <c r="F25" i="36" s="1"/>
  <c r="K10" i="1"/>
  <c r="G25" i="36" s="1"/>
  <c r="K4" i="21"/>
  <c r="J4" i="21"/>
  <c r="G4" i="8"/>
  <c r="H4" i="8"/>
  <c r="J10" i="27"/>
  <c r="F135" i="36" s="1"/>
  <c r="K10" i="27"/>
  <c r="G135" i="36" s="1"/>
  <c r="J12" i="1"/>
  <c r="K12" i="1"/>
  <c r="K12" i="11"/>
  <c r="J12" i="11"/>
  <c r="J12" i="3"/>
  <c r="K12" i="3"/>
  <c r="K4" i="16"/>
  <c r="J4" i="16"/>
  <c r="G4" i="3"/>
  <c r="H4" i="3"/>
  <c r="J10" i="20"/>
  <c r="F105" i="36" s="1"/>
  <c r="U112" i="55" s="1"/>
  <c r="K10" i="20"/>
  <c r="G105" i="36" s="1"/>
  <c r="V112" i="55" s="1"/>
  <c r="J11" i="8"/>
  <c r="F36" i="36" s="1"/>
  <c r="K11" i="8"/>
  <c r="G36" i="36" s="1"/>
  <c r="G4" i="23"/>
  <c r="H4" i="23"/>
  <c r="K12" i="18"/>
  <c r="J12" i="18"/>
  <c r="K10" i="11"/>
  <c r="G50" i="36" s="1"/>
  <c r="J10" i="11"/>
  <c r="F50" i="36" s="1"/>
  <c r="J11" i="27"/>
  <c r="F136" i="36" s="1"/>
  <c r="K11" i="27"/>
  <c r="G136" i="36" s="1"/>
  <c r="K10" i="2"/>
  <c r="G145" i="36" s="1"/>
  <c r="V79" i="55" s="1"/>
  <c r="J10" i="2"/>
  <c r="F145" i="36" s="1"/>
  <c r="U79" i="55" s="1"/>
  <c r="J12" i="30"/>
  <c r="K12" i="30"/>
  <c r="K11" i="5"/>
  <c r="G16" i="36" s="1"/>
  <c r="J11" i="5"/>
  <c r="F16" i="36" s="1"/>
  <c r="J4" i="19"/>
  <c r="K4" i="19"/>
  <c r="J11" i="13"/>
  <c r="F61" i="36" s="1"/>
  <c r="K11" i="13"/>
  <c r="G61" i="36" s="1"/>
  <c r="J11" i="17"/>
  <c r="F81" i="36" s="1"/>
  <c r="K11" i="17"/>
  <c r="G81" i="36" s="1"/>
  <c r="J4" i="1"/>
  <c r="K4" i="1"/>
  <c r="J10" i="21"/>
  <c r="F110" i="36" s="1"/>
  <c r="K10" i="21"/>
  <c r="G110" i="36" s="1"/>
  <c r="G4" i="1"/>
  <c r="H4" i="1"/>
  <c r="G4" i="6"/>
  <c r="H4" i="6"/>
  <c r="J12" i="6"/>
  <c r="K12" i="6"/>
  <c r="J4" i="6"/>
  <c r="K4" i="6"/>
  <c r="J10" i="6"/>
  <c r="F20" i="36" s="1"/>
  <c r="K10" i="6"/>
  <c r="G20" i="36" s="1"/>
  <c r="K11" i="6"/>
  <c r="G21" i="36" s="1"/>
  <c r="J11" i="6"/>
  <c r="F21" i="36" s="1"/>
  <c r="J11" i="32"/>
  <c r="K11" i="32"/>
  <c r="G6" i="36" s="1"/>
  <c r="J4" i="32"/>
  <c r="K4" i="32"/>
  <c r="E2" i="32"/>
  <c r="J12" i="32"/>
  <c r="K12" i="32"/>
  <c r="J10" i="32"/>
  <c r="F5" i="36" s="1"/>
  <c r="U81" i="55" s="1"/>
  <c r="K10" i="32"/>
  <c r="G5" i="36" s="1"/>
  <c r="V81" i="55" s="1"/>
  <c r="AA30" i="32"/>
  <c r="I2" i="31"/>
  <c r="I2" i="29"/>
  <c r="I2" i="21"/>
  <c r="I2" i="15"/>
  <c r="I2" i="7"/>
  <c r="I2" i="13"/>
  <c r="I2" i="6"/>
  <c r="I2" i="26"/>
  <c r="I2" i="18"/>
  <c r="I2" i="11"/>
  <c r="I2" i="19"/>
  <c r="I2" i="23"/>
  <c r="I2" i="17"/>
  <c r="I2" i="9"/>
  <c r="I2" i="28"/>
  <c r="J2" i="32"/>
  <c r="D41" i="24"/>
  <c r="D41" i="3"/>
  <c r="D41" i="10"/>
  <c r="D41" i="2"/>
  <c r="D41" i="1"/>
  <c r="D41" i="12"/>
  <c r="D41" i="5"/>
  <c r="D41" i="30"/>
  <c r="D41" i="22"/>
  <c r="D41" i="16"/>
  <c r="K2" i="22"/>
  <c r="J2" i="22"/>
  <c r="J2" i="27"/>
  <c r="K2" i="27"/>
  <c r="K3" i="27"/>
  <c r="J3" i="27"/>
  <c r="J3" i="22"/>
  <c r="K3" i="22"/>
  <c r="K3" i="32"/>
  <c r="J3" i="32"/>
  <c r="K3" i="31"/>
  <c r="J3" i="31"/>
  <c r="K2" i="30"/>
  <c r="J2" i="30"/>
  <c r="K3" i="30"/>
  <c r="J3" i="30"/>
  <c r="K3" i="29"/>
  <c r="J3" i="29"/>
  <c r="J3" i="2"/>
  <c r="K3" i="2"/>
  <c r="J2" i="2"/>
  <c r="K2" i="2"/>
  <c r="K3" i="28"/>
  <c r="J3" i="28"/>
  <c r="K3" i="26"/>
  <c r="J3" i="26"/>
  <c r="J3" i="24"/>
  <c r="K3" i="24"/>
  <c r="J2" i="24"/>
  <c r="K2" i="24"/>
  <c r="K3" i="23"/>
  <c r="J3" i="23"/>
  <c r="J3" i="21"/>
  <c r="K3" i="21"/>
  <c r="K3" i="20"/>
  <c r="J3" i="20"/>
  <c r="K2" i="20"/>
  <c r="J2" i="20"/>
  <c r="K3" i="19"/>
  <c r="J3" i="19"/>
  <c r="J3" i="18"/>
  <c r="K3" i="18"/>
  <c r="K3" i="3"/>
  <c r="J3" i="3"/>
  <c r="K2" i="3"/>
  <c r="J2" i="3"/>
  <c r="J3" i="17"/>
  <c r="K3" i="17"/>
  <c r="J3" i="16"/>
  <c r="K3" i="16"/>
  <c r="J2" i="16"/>
  <c r="K2" i="16"/>
  <c r="K3" i="15"/>
  <c r="J3" i="15"/>
  <c r="J2" i="25"/>
  <c r="K2" i="25"/>
  <c r="K3" i="25"/>
  <c r="J3" i="25"/>
  <c r="J3" i="13"/>
  <c r="K3" i="13"/>
  <c r="K3" i="12"/>
  <c r="J3" i="12"/>
  <c r="K2" i="12"/>
  <c r="J2" i="12"/>
  <c r="J3" i="11"/>
  <c r="K3" i="11"/>
  <c r="K2" i="10"/>
  <c r="J2" i="10"/>
  <c r="K3" i="10"/>
  <c r="J3" i="10"/>
  <c r="K3" i="9"/>
  <c r="J3" i="9"/>
  <c r="K2" i="8"/>
  <c r="J2" i="8"/>
  <c r="J3" i="8"/>
  <c r="K3" i="8"/>
  <c r="K3" i="7"/>
  <c r="J3" i="7"/>
  <c r="J2" i="1"/>
  <c r="K2" i="1"/>
  <c r="J3" i="1"/>
  <c r="K3" i="1"/>
  <c r="K3" i="6"/>
  <c r="J3" i="6"/>
  <c r="J2" i="5"/>
  <c r="K2" i="5"/>
  <c r="K3" i="5"/>
  <c r="J3" i="5"/>
  <c r="J2" i="4"/>
  <c r="K2" i="4"/>
  <c r="J3" i="4"/>
  <c r="K3" i="4"/>
  <c r="K8" i="4"/>
  <c r="G8" i="36" s="1"/>
  <c r="K9" i="4"/>
  <c r="G9" i="36" s="1"/>
  <c r="K8" i="5"/>
  <c r="K9" i="5"/>
  <c r="G14" i="36" s="1"/>
  <c r="K8" i="6"/>
  <c r="G18" i="36" s="1"/>
  <c r="K9" i="6"/>
  <c r="G19" i="36" s="1"/>
  <c r="K8" i="1"/>
  <c r="G23" i="36" s="1"/>
  <c r="K9" i="1"/>
  <c r="G24" i="36" s="1"/>
  <c r="K8" i="7"/>
  <c r="G28" i="36" s="1"/>
  <c r="K9" i="7"/>
  <c r="G29" i="36" s="1"/>
  <c r="V86" i="55" s="1"/>
  <c r="K8" i="8"/>
  <c r="G33" i="36" s="1"/>
  <c r="K9" i="8"/>
  <c r="G34" i="36" s="1"/>
  <c r="K8" i="9"/>
  <c r="G38" i="36" s="1"/>
  <c r="K9" i="9"/>
  <c r="G39" i="36" s="1"/>
  <c r="K8" i="10"/>
  <c r="G43" i="36" s="1"/>
  <c r="K9" i="10"/>
  <c r="G44" i="36" s="1"/>
  <c r="K8" i="11"/>
  <c r="G48" i="36" s="1"/>
  <c r="K9" i="11"/>
  <c r="G49" i="36" s="1"/>
  <c r="K8" i="12"/>
  <c r="G53" i="36" s="1"/>
  <c r="K9" i="12"/>
  <c r="G54" i="36" s="1"/>
  <c r="K8" i="13"/>
  <c r="G58" i="36" s="1"/>
  <c r="K9" i="13"/>
  <c r="G59" i="36" s="1"/>
  <c r="K8" i="14"/>
  <c r="G63" i="36" s="1"/>
  <c r="K9" i="14"/>
  <c r="G64" i="36" s="1"/>
  <c r="K8" i="15"/>
  <c r="G68" i="36" s="1"/>
  <c r="K9" i="15"/>
  <c r="G69" i="36" s="1"/>
  <c r="K8" i="16"/>
  <c r="G73" i="36" s="1"/>
  <c r="V53" i="55" s="1"/>
  <c r="K9" i="16"/>
  <c r="G74" i="36" s="1"/>
  <c r="V95" i="55" s="1"/>
  <c r="K8" i="17"/>
  <c r="G78" i="36" s="1"/>
  <c r="K9" i="17"/>
  <c r="G79" i="36" s="1"/>
  <c r="V83" i="55" s="1"/>
  <c r="K8" i="3"/>
  <c r="G83" i="36" s="1"/>
  <c r="V48" i="55" s="1"/>
  <c r="K9" i="3"/>
  <c r="G84" i="36" s="1"/>
  <c r="V91" i="55" s="1"/>
  <c r="K8" i="25"/>
  <c r="G93" i="36" s="1"/>
  <c r="V62" i="55" s="1"/>
  <c r="K9" i="25"/>
  <c r="G94" i="36" s="1"/>
  <c r="K8" i="19"/>
  <c r="G98" i="36" s="1"/>
  <c r="V56" i="55" s="1"/>
  <c r="K9" i="19"/>
  <c r="G99" i="36" s="1"/>
  <c r="K8" i="20"/>
  <c r="G103" i="36" s="1"/>
  <c r="K9" i="20"/>
  <c r="G104" i="36" s="1"/>
  <c r="V116" i="55" s="1"/>
  <c r="K8" i="21"/>
  <c r="G108" i="36" s="1"/>
  <c r="K9" i="21"/>
  <c r="G109" i="36" s="1"/>
  <c r="V57" i="55" s="1"/>
  <c r="K8" i="22"/>
  <c r="G113" i="36" s="1"/>
  <c r="K9" i="22"/>
  <c r="G114" i="36" s="1"/>
  <c r="V76" i="55" s="1"/>
  <c r="K8" i="23"/>
  <c r="G118" i="36" s="1"/>
  <c r="K9" i="23"/>
  <c r="G119" i="36" s="1"/>
  <c r="K8" i="24"/>
  <c r="G123" i="36" s="1"/>
  <c r="V49" i="55" s="1"/>
  <c r="K9" i="24"/>
  <c r="G124" i="36" s="1"/>
  <c r="V103" i="55" s="1"/>
  <c r="K8" i="26"/>
  <c r="G128" i="36" s="1"/>
  <c r="K9" i="26"/>
  <c r="G129" i="36" s="1"/>
  <c r="K8" i="27"/>
  <c r="G133" i="36" s="1"/>
  <c r="K9" i="27"/>
  <c r="G134" i="36" s="1"/>
  <c r="V122" i="55" s="1"/>
  <c r="K8" i="28"/>
  <c r="G138" i="36" s="1"/>
  <c r="V34" i="55" s="1"/>
  <c r="K9" i="28"/>
  <c r="G139" i="36" s="1"/>
  <c r="V106" i="55" s="1"/>
  <c r="K8" i="2"/>
  <c r="G143" i="36" s="1"/>
  <c r="V87" i="55" s="1"/>
  <c r="K8" i="29"/>
  <c r="G148" i="36" s="1"/>
  <c r="K9" i="29"/>
  <c r="G149" i="36" s="1"/>
  <c r="V72" i="55" s="1"/>
  <c r="K8" i="30"/>
  <c r="G153" i="36" s="1"/>
  <c r="K9" i="30"/>
  <c r="G154" i="36" s="1"/>
  <c r="K8" i="31"/>
  <c r="G158" i="36" s="1"/>
  <c r="V42" i="55" s="1"/>
  <c r="K9" i="31"/>
  <c r="G159" i="36" s="1"/>
  <c r="V70" i="55" s="1"/>
  <c r="K8" i="32"/>
  <c r="G3" i="36" s="1"/>
  <c r="V60" i="55" s="1"/>
  <c r="K9" i="32"/>
  <c r="G4" i="36" s="1"/>
  <c r="V82" i="55" s="1"/>
  <c r="K7" i="4"/>
  <c r="G7" i="36" s="1"/>
  <c r="K7" i="5"/>
  <c r="G12" i="36" s="1"/>
  <c r="K7" i="6"/>
  <c r="G17" i="36" s="1"/>
  <c r="K7" i="1"/>
  <c r="G22" i="36" s="1"/>
  <c r="K7" i="7"/>
  <c r="G27" i="36" s="1"/>
  <c r="V23" i="55" s="1"/>
  <c r="K7" i="8"/>
  <c r="G32" i="36" s="1"/>
  <c r="K7" i="9"/>
  <c r="G37" i="36" s="1"/>
  <c r="K7" i="10"/>
  <c r="G42" i="36" s="1"/>
  <c r="K7" i="11"/>
  <c r="G47" i="36" s="1"/>
  <c r="K7" i="12"/>
  <c r="G52" i="36" s="1"/>
  <c r="K7" i="13"/>
  <c r="G57" i="36" s="1"/>
  <c r="K7" i="14"/>
  <c r="G62" i="36" s="1"/>
  <c r="K7" i="15"/>
  <c r="G67" i="36" s="1"/>
  <c r="K7" i="16"/>
  <c r="G72" i="36" s="1"/>
  <c r="V25" i="55" s="1"/>
  <c r="K7" i="17"/>
  <c r="G77" i="36" s="1"/>
  <c r="V29" i="55" s="1"/>
  <c r="K7" i="3"/>
  <c r="G82" i="36" s="1"/>
  <c r="V6" i="55" s="1"/>
  <c r="K7" i="25"/>
  <c r="G92" i="36" s="1"/>
  <c r="V21" i="55" s="1"/>
  <c r="K7" i="19"/>
  <c r="G97" i="36" s="1"/>
  <c r="V30" i="55" s="1"/>
  <c r="K7" i="20"/>
  <c r="G102" i="36" s="1"/>
  <c r="V10" i="55" s="1"/>
  <c r="K7" i="21"/>
  <c r="G107" i="36" s="1"/>
  <c r="V26" i="55" s="1"/>
  <c r="K7" i="22"/>
  <c r="G112" i="36" s="1"/>
  <c r="K7" i="23"/>
  <c r="G117" i="36" s="1"/>
  <c r="K7" i="24"/>
  <c r="G122" i="36" s="1"/>
  <c r="V20" i="55" s="1"/>
  <c r="K7" i="26"/>
  <c r="G127" i="36" s="1"/>
  <c r="K7" i="27"/>
  <c r="G132" i="36" s="1"/>
  <c r="V5" i="55" s="1"/>
  <c r="K7" i="28"/>
  <c r="G137" i="36" s="1"/>
  <c r="K7" i="2"/>
  <c r="G142" i="36" s="1"/>
  <c r="V24" i="55" s="1"/>
  <c r="K7" i="29"/>
  <c r="G147" i="36" s="1"/>
  <c r="V12" i="55" s="1"/>
  <c r="K7" i="30"/>
  <c r="G152" i="36" s="1"/>
  <c r="K7" i="31"/>
  <c r="G157" i="36" s="1"/>
  <c r="V17" i="55" s="1"/>
  <c r="J8" i="4"/>
  <c r="F8" i="36" s="1"/>
  <c r="J9" i="4"/>
  <c r="F9" i="36" s="1"/>
  <c r="J8" i="5"/>
  <c r="F13" i="36" s="1"/>
  <c r="J9" i="5"/>
  <c r="F14" i="36" s="1"/>
  <c r="J8" i="6"/>
  <c r="F18" i="36" s="1"/>
  <c r="J9" i="6"/>
  <c r="F19" i="36" s="1"/>
  <c r="J8" i="1"/>
  <c r="F23" i="36" s="1"/>
  <c r="U66" i="55" s="1"/>
  <c r="J9" i="1"/>
  <c r="F24" i="36" s="1"/>
  <c r="U73" i="55" s="1"/>
  <c r="J8" i="7"/>
  <c r="F28" i="36" s="1"/>
  <c r="J9" i="7"/>
  <c r="F29" i="36" s="1"/>
  <c r="U86" i="55" s="1"/>
  <c r="J8" i="8"/>
  <c r="F33" i="36" s="1"/>
  <c r="J9" i="8"/>
  <c r="F34" i="36" s="1"/>
  <c r="J8" i="9"/>
  <c r="F38" i="36" s="1"/>
  <c r="J9" i="9"/>
  <c r="F39" i="36" s="1"/>
  <c r="J8" i="10"/>
  <c r="F43" i="36" s="1"/>
  <c r="J9" i="10"/>
  <c r="F44" i="36" s="1"/>
  <c r="J8" i="11"/>
  <c r="F48" i="36" s="1"/>
  <c r="J9" i="11"/>
  <c r="F49" i="36" s="1"/>
  <c r="J8" i="12"/>
  <c r="F53" i="36" s="1"/>
  <c r="J9" i="12"/>
  <c r="F54" i="36" s="1"/>
  <c r="J8" i="13"/>
  <c r="F58" i="36" s="1"/>
  <c r="J9" i="13"/>
  <c r="F59" i="36" s="1"/>
  <c r="J8" i="14"/>
  <c r="F63" i="36" s="1"/>
  <c r="J9" i="14"/>
  <c r="F64" i="36" s="1"/>
  <c r="J8" i="15"/>
  <c r="F68" i="36" s="1"/>
  <c r="J9" i="15"/>
  <c r="F69" i="36" s="1"/>
  <c r="J8" i="16"/>
  <c r="F73" i="36" s="1"/>
  <c r="U53" i="55" s="1"/>
  <c r="J9" i="16"/>
  <c r="F74" i="36" s="1"/>
  <c r="U95" i="55" s="1"/>
  <c r="J8" i="17"/>
  <c r="F78" i="36" s="1"/>
  <c r="J9" i="17"/>
  <c r="F79" i="36" s="1"/>
  <c r="U83" i="55" s="1"/>
  <c r="J8" i="3"/>
  <c r="F83" i="36" s="1"/>
  <c r="U48" i="55" s="1"/>
  <c r="J9" i="3"/>
  <c r="F84" i="36" s="1"/>
  <c r="U91" i="55" s="1"/>
  <c r="J8" i="25"/>
  <c r="F93" i="36" s="1"/>
  <c r="U62" i="55" s="1"/>
  <c r="J9" i="25"/>
  <c r="F94" i="36" s="1"/>
  <c r="J8" i="19"/>
  <c r="F98" i="36" s="1"/>
  <c r="U56" i="55" s="1"/>
  <c r="J9" i="19"/>
  <c r="F99" i="36" s="1"/>
  <c r="U65" i="55" s="1"/>
  <c r="J8" i="20"/>
  <c r="F103" i="36" s="1"/>
  <c r="J9" i="20"/>
  <c r="F104" i="36" s="1"/>
  <c r="U116" i="55" s="1"/>
  <c r="J8" i="21"/>
  <c r="F108" i="36" s="1"/>
  <c r="J9" i="21"/>
  <c r="F109" i="36" s="1"/>
  <c r="U57" i="55" s="1"/>
  <c r="J8" i="22"/>
  <c r="F113" i="36" s="1"/>
  <c r="U52" i="55" s="1"/>
  <c r="J9" i="22"/>
  <c r="F114" i="36" s="1"/>
  <c r="U76" i="55" s="1"/>
  <c r="J8" i="23"/>
  <c r="F118" i="36" s="1"/>
  <c r="J9" i="23"/>
  <c r="F119" i="36" s="1"/>
  <c r="J8" i="24"/>
  <c r="F123" i="36" s="1"/>
  <c r="U49" i="55" s="1"/>
  <c r="J9" i="24"/>
  <c r="F124" i="36" s="1"/>
  <c r="J8" i="26"/>
  <c r="F128" i="36" s="1"/>
  <c r="J9" i="26"/>
  <c r="F129" i="36" s="1"/>
  <c r="J8" i="27"/>
  <c r="F133" i="36" s="1"/>
  <c r="J9" i="27"/>
  <c r="F134" i="36" s="1"/>
  <c r="U122" i="55" s="1"/>
  <c r="J8" i="28"/>
  <c r="F138" i="36" s="1"/>
  <c r="U34" i="55" s="1"/>
  <c r="J9" i="28"/>
  <c r="F139" i="36" s="1"/>
  <c r="U106" i="55" s="1"/>
  <c r="J8" i="2"/>
  <c r="F143" i="36" s="1"/>
  <c r="U87" i="55" s="1"/>
  <c r="J8" i="29"/>
  <c r="F148" i="36" s="1"/>
  <c r="J9" i="29"/>
  <c r="F149" i="36" s="1"/>
  <c r="U72" i="55" s="1"/>
  <c r="J8" i="30"/>
  <c r="F153" i="36" s="1"/>
  <c r="J9" i="30"/>
  <c r="F154" i="36" s="1"/>
  <c r="J8" i="31"/>
  <c r="F158" i="36" s="1"/>
  <c r="J9" i="31"/>
  <c r="F159" i="36" s="1"/>
  <c r="U70" i="55" s="1"/>
  <c r="J8" i="32"/>
  <c r="F3" i="36" s="1"/>
  <c r="U60" i="55" s="1"/>
  <c r="J9" i="32"/>
  <c r="F4" i="36" s="1"/>
  <c r="U82" i="55" s="1"/>
  <c r="J7" i="4"/>
  <c r="F7" i="36" s="1"/>
  <c r="J7" i="5"/>
  <c r="F12" i="36" s="1"/>
  <c r="J7" i="6"/>
  <c r="F17" i="36" s="1"/>
  <c r="J7" i="1"/>
  <c r="F22" i="36" s="1"/>
  <c r="J7" i="7"/>
  <c r="F27" i="36" s="1"/>
  <c r="U23" i="55" s="1"/>
  <c r="J7" i="8"/>
  <c r="F32" i="36" s="1"/>
  <c r="J7" i="9"/>
  <c r="F37" i="36" s="1"/>
  <c r="J7" i="10"/>
  <c r="F42" i="36" s="1"/>
  <c r="J7" i="11"/>
  <c r="F47" i="36" s="1"/>
  <c r="J7" i="12"/>
  <c r="F52" i="36" s="1"/>
  <c r="J7" i="13"/>
  <c r="F57" i="36" s="1"/>
  <c r="J7" i="14"/>
  <c r="F62" i="36" s="1"/>
  <c r="J7" i="15"/>
  <c r="F67" i="36" s="1"/>
  <c r="J7" i="16"/>
  <c r="F72" i="36" s="1"/>
  <c r="U25" i="55" s="1"/>
  <c r="J7" i="17"/>
  <c r="F77" i="36" s="1"/>
  <c r="U29" i="55" s="1"/>
  <c r="J7" i="3"/>
  <c r="F82" i="36" s="1"/>
  <c r="U6" i="55" s="1"/>
  <c r="J7" i="25"/>
  <c r="F92" i="36" s="1"/>
  <c r="U21" i="55" s="1"/>
  <c r="J7" i="19"/>
  <c r="F97" i="36" s="1"/>
  <c r="U30" i="55" s="1"/>
  <c r="J7" i="20"/>
  <c r="F102" i="36" s="1"/>
  <c r="U10" i="55" s="1"/>
  <c r="J7" i="21"/>
  <c r="F107" i="36" s="1"/>
  <c r="U26" i="55" s="1"/>
  <c r="J7" i="22"/>
  <c r="F112" i="36" s="1"/>
  <c r="J7" i="23"/>
  <c r="F117" i="36" s="1"/>
  <c r="J7" i="24"/>
  <c r="F122" i="36" s="1"/>
  <c r="U20" i="55" s="1"/>
  <c r="J7" i="26"/>
  <c r="F127" i="36" s="1"/>
  <c r="J7" i="27"/>
  <c r="F132" i="36" s="1"/>
  <c r="U5" i="55" s="1"/>
  <c r="J7" i="28"/>
  <c r="F137" i="36" s="1"/>
  <c r="J7" i="2"/>
  <c r="F142" i="36" s="1"/>
  <c r="U24" i="55" s="1"/>
  <c r="J7" i="29"/>
  <c r="F147" i="36" s="1"/>
  <c r="U12" i="55" s="1"/>
  <c r="J7" i="30"/>
  <c r="F152" i="36" s="1"/>
  <c r="J7" i="31"/>
  <c r="F157" i="36" s="1"/>
  <c r="U17" i="55" s="1"/>
  <c r="U54" i="55" l="1"/>
  <c r="V54" i="55"/>
  <c r="V93" i="55"/>
  <c r="V97" i="55"/>
  <c r="U93" i="55"/>
  <c r="U97" i="55"/>
  <c r="U121" i="55"/>
  <c r="V121" i="55"/>
  <c r="V16" i="55"/>
  <c r="V18" i="55"/>
  <c r="V50" i="55"/>
  <c r="V52" i="55"/>
  <c r="U16" i="55"/>
  <c r="U18" i="55"/>
  <c r="U41" i="55"/>
  <c r="U40" i="55"/>
  <c r="V80" i="55"/>
  <c r="V85" i="55"/>
  <c r="U80" i="55"/>
  <c r="U85" i="55"/>
  <c r="V41" i="55"/>
  <c r="V40" i="55"/>
  <c r="U114" i="55"/>
  <c r="U50" i="55"/>
  <c r="V96" i="55"/>
  <c r="V90" i="55"/>
  <c r="U96" i="55"/>
  <c r="U90" i="55"/>
  <c r="V65" i="55"/>
  <c r="V73" i="55"/>
  <c r="U51" i="55"/>
  <c r="U58" i="55"/>
  <c r="V51" i="55"/>
  <c r="V58" i="55"/>
  <c r="V119" i="55"/>
  <c r="V69" i="55"/>
  <c r="V71" i="55"/>
  <c r="V63" i="55"/>
  <c r="V64" i="55"/>
  <c r="U63" i="55"/>
  <c r="U64" i="55"/>
  <c r="U69" i="55"/>
  <c r="U71" i="55"/>
  <c r="U42" i="55"/>
  <c r="U103" i="55"/>
  <c r="L72" i="55"/>
  <c r="L74" i="55"/>
  <c r="L70" i="55"/>
  <c r="L78" i="55"/>
  <c r="L69" i="55"/>
  <c r="L80" i="55"/>
  <c r="L79" i="55"/>
  <c r="L73" i="55"/>
  <c r="L75" i="55"/>
  <c r="L71" i="55"/>
  <c r="L77" i="55"/>
  <c r="L76" i="55"/>
  <c r="L68" i="55"/>
  <c r="J74" i="55"/>
  <c r="J70" i="55"/>
  <c r="J80" i="55"/>
  <c r="J75" i="55"/>
  <c r="J72" i="55"/>
  <c r="J78" i="55"/>
  <c r="J68" i="55"/>
  <c r="J77" i="55"/>
  <c r="J73" i="55"/>
  <c r="J79" i="55"/>
  <c r="J69" i="55"/>
  <c r="J76" i="55"/>
  <c r="J71" i="55"/>
  <c r="K80" i="55"/>
  <c r="K78" i="55"/>
  <c r="K73" i="55"/>
  <c r="K68" i="55"/>
  <c r="K74" i="55"/>
  <c r="K77" i="55"/>
  <c r="K76" i="55"/>
  <c r="K69" i="55"/>
  <c r="K75" i="55"/>
  <c r="K71" i="55"/>
  <c r="K70" i="55"/>
  <c r="K72" i="55"/>
  <c r="K79" i="55"/>
  <c r="E73" i="55"/>
  <c r="E80" i="55"/>
  <c r="E72" i="55"/>
  <c r="E79" i="55"/>
  <c r="E71" i="55"/>
  <c r="E78" i="55"/>
  <c r="E77" i="55"/>
  <c r="E76" i="55"/>
  <c r="E70" i="55"/>
  <c r="E69" i="55"/>
  <c r="E68" i="55"/>
  <c r="E74" i="55"/>
  <c r="E75" i="55"/>
  <c r="V165" i="55"/>
  <c r="V136" i="55"/>
  <c r="V150" i="55"/>
  <c r="V138" i="55"/>
  <c r="V128" i="55"/>
  <c r="V164" i="55"/>
  <c r="V127" i="55"/>
  <c r="V145" i="55"/>
  <c r="V139" i="55"/>
  <c r="V144" i="55"/>
  <c r="V171" i="55"/>
  <c r="V131" i="55"/>
  <c r="V162" i="55"/>
  <c r="V169" i="55"/>
  <c r="V125" i="55"/>
  <c r="V140" i="55"/>
  <c r="V167" i="55"/>
  <c r="V143" i="55"/>
  <c r="V146" i="55"/>
  <c r="V130" i="55"/>
  <c r="V159" i="55"/>
  <c r="V158" i="55"/>
  <c r="V160" i="55"/>
  <c r="V148" i="55"/>
  <c r="V156" i="55"/>
  <c r="V151" i="55"/>
  <c r="V170" i="55"/>
  <c r="V154" i="55"/>
  <c r="V149" i="55"/>
  <c r="V147" i="55"/>
  <c r="V129" i="55"/>
  <c r="V133" i="55"/>
  <c r="V157" i="55"/>
  <c r="V126" i="55"/>
  <c r="V137" i="55"/>
  <c r="V155" i="55"/>
  <c r="V134" i="55"/>
  <c r="V152" i="55"/>
  <c r="V166" i="55"/>
  <c r="V168" i="55"/>
  <c r="V135" i="55"/>
  <c r="V141" i="55"/>
  <c r="V132" i="55"/>
  <c r="V161" i="55"/>
  <c r="V142" i="55"/>
  <c r="V163" i="55"/>
  <c r="V153" i="55"/>
  <c r="G13" i="36"/>
  <c r="F40" i="5"/>
  <c r="F41" i="5" s="1"/>
  <c r="J2" i="17"/>
  <c r="D40" i="17"/>
  <c r="K2" i="7"/>
  <c r="F40" i="7" s="1"/>
  <c r="F41" i="7" s="1"/>
  <c r="D40" i="7"/>
  <c r="D41" i="7" s="1"/>
  <c r="D40" i="15"/>
  <c r="D41" i="15" s="1"/>
  <c r="D40" i="19"/>
  <c r="D41" i="19" s="1"/>
  <c r="J2" i="9"/>
  <c r="D40" i="9"/>
  <c r="J2" i="11"/>
  <c r="D40" i="11"/>
  <c r="D40" i="18"/>
  <c r="D41" i="18" s="1"/>
  <c r="J2" i="13"/>
  <c r="D40" i="13"/>
  <c r="D41" i="13" s="1"/>
  <c r="K2" i="26"/>
  <c r="D40" i="26"/>
  <c r="D40" i="6"/>
  <c r="D41" i="6" s="1"/>
  <c r="D40" i="21"/>
  <c r="D41" i="21" s="1"/>
  <c r="J2" i="23"/>
  <c r="D40" i="23"/>
  <c r="K2" i="31"/>
  <c r="F40" i="31" s="1"/>
  <c r="F41" i="31" s="1"/>
  <c r="D40" i="31"/>
  <c r="D41" i="31" s="1"/>
  <c r="D40" i="29"/>
  <c r="D41" i="29" s="1"/>
  <c r="D40" i="28"/>
  <c r="D41" i="28" s="1"/>
  <c r="N24" i="14"/>
  <c r="O24" i="14"/>
  <c r="G4" i="15"/>
  <c r="F6" i="36"/>
  <c r="G4" i="10"/>
  <c r="F4" i="10"/>
  <c r="G4" i="22"/>
  <c r="H49" i="33" s="1"/>
  <c r="F4" i="22"/>
  <c r="G49" i="33" s="1"/>
  <c r="G4" i="32"/>
  <c r="F4" i="32"/>
  <c r="G2" i="32"/>
  <c r="F2" i="32"/>
  <c r="F28" i="33"/>
  <c r="F4" i="14"/>
  <c r="G28" i="33" s="1"/>
  <c r="F49" i="33"/>
  <c r="N49" i="33" s="1"/>
  <c r="M52" i="55" s="1"/>
  <c r="H4" i="10"/>
  <c r="H4" i="32"/>
  <c r="J7" i="32"/>
  <c r="F2" i="36" s="1"/>
  <c r="U15" i="55" s="1"/>
  <c r="E2" i="36"/>
  <c r="T15" i="55" s="1"/>
  <c r="N58" i="33"/>
  <c r="M62" i="55" s="1"/>
  <c r="H2" i="14"/>
  <c r="G2" i="14"/>
  <c r="G3" i="14"/>
  <c r="H3" i="14"/>
  <c r="H4" i="14"/>
  <c r="I28" i="33" s="1"/>
  <c r="G4" i="14"/>
  <c r="H28" i="33" s="1"/>
  <c r="M58" i="33"/>
  <c r="G4" i="16"/>
  <c r="H4" i="16"/>
  <c r="G4" i="25"/>
  <c r="H4" i="25"/>
  <c r="G4" i="12"/>
  <c r="H4" i="12"/>
  <c r="H4" i="5"/>
  <c r="G4" i="5"/>
  <c r="H4" i="28"/>
  <c r="G4" i="28"/>
  <c r="K2" i="29"/>
  <c r="F40" i="29" s="1"/>
  <c r="F41" i="29" s="1"/>
  <c r="K2" i="18"/>
  <c r="F40" i="18" s="1"/>
  <c r="F41" i="18" s="1"/>
  <c r="J2" i="18"/>
  <c r="E40" i="18" s="1"/>
  <c r="E41" i="18" s="1"/>
  <c r="J2" i="29"/>
  <c r="E40" i="29" s="1"/>
  <c r="E41" i="29" s="1"/>
  <c r="J2" i="6"/>
  <c r="E40" i="6" s="1"/>
  <c r="E41" i="6" s="1"/>
  <c r="K2" i="6"/>
  <c r="F40" i="6" s="1"/>
  <c r="F41" i="6" s="1"/>
  <c r="D41" i="23"/>
  <c r="J2" i="31"/>
  <c r="E40" i="31" s="1"/>
  <c r="E41" i="31" s="1"/>
  <c r="K2" i="23"/>
  <c r="F40" i="23" s="1"/>
  <c r="F41" i="23" s="1"/>
  <c r="D41" i="17"/>
  <c r="K2" i="13"/>
  <c r="F40" i="13" s="1"/>
  <c r="F41" i="13" s="1"/>
  <c r="K2" i="9"/>
  <c r="F40" i="9" s="1"/>
  <c r="F41" i="9" s="1"/>
  <c r="J2" i="15"/>
  <c r="E40" i="15" s="1"/>
  <c r="E41" i="15" s="1"/>
  <c r="K2" i="17"/>
  <c r="F40" i="17" s="1"/>
  <c r="F41" i="17" s="1"/>
  <c r="K2" i="15"/>
  <c r="F40" i="15" s="1"/>
  <c r="F41" i="15" s="1"/>
  <c r="D41" i="9"/>
  <c r="J2" i="19"/>
  <c r="E40" i="19" s="1"/>
  <c r="E41" i="19" s="1"/>
  <c r="K2" i="19"/>
  <c r="F40" i="19" s="1"/>
  <c r="F41" i="19" s="1"/>
  <c r="D41" i="11"/>
  <c r="K2" i="21"/>
  <c r="F40" i="21" s="1"/>
  <c r="F41" i="21" s="1"/>
  <c r="J2" i="28"/>
  <c r="E40" i="28" s="1"/>
  <c r="E41" i="28" s="1"/>
  <c r="J2" i="21"/>
  <c r="E40" i="21" s="1"/>
  <c r="E41" i="21" s="1"/>
  <c r="K2" i="28"/>
  <c r="F40" i="28" s="1"/>
  <c r="F41" i="28" s="1"/>
  <c r="D41" i="26"/>
  <c r="J2" i="26"/>
  <c r="J2" i="7"/>
  <c r="E40" i="7" s="1"/>
  <c r="E41" i="7" s="1"/>
  <c r="K2" i="11"/>
  <c r="F40" i="11" s="1"/>
  <c r="F41" i="11" s="1"/>
  <c r="D41" i="32"/>
  <c r="F40" i="1"/>
  <c r="F41" i="1" s="1"/>
  <c r="E40" i="8"/>
  <c r="E41" i="8" s="1"/>
  <c r="E40" i="10"/>
  <c r="E41" i="10" s="1"/>
  <c r="E40" i="1"/>
  <c r="E41" i="1" s="1"/>
  <c r="F40" i="8"/>
  <c r="F41" i="8" s="1"/>
  <c r="F40" i="4"/>
  <c r="F41" i="4" s="1"/>
  <c r="E40" i="14"/>
  <c r="E41" i="14" s="1"/>
  <c r="E40" i="4"/>
  <c r="E41" i="4" s="1"/>
  <c r="E40" i="11"/>
  <c r="E41" i="11" s="1"/>
  <c r="F40" i="26"/>
  <c r="F41" i="26" s="1"/>
  <c r="E40" i="12"/>
  <c r="E41" i="12" s="1"/>
  <c r="F40" i="16"/>
  <c r="F41" i="16" s="1"/>
  <c r="E40" i="3"/>
  <c r="E41" i="3" s="1"/>
  <c r="F40" i="24"/>
  <c r="F41" i="24" s="1"/>
  <c r="E40" i="22"/>
  <c r="E41" i="22" s="1"/>
  <c r="E40" i="5"/>
  <c r="E41" i="5" s="1"/>
  <c r="E40" i="30"/>
  <c r="E41" i="30" s="1"/>
  <c r="E40" i="13"/>
  <c r="E41" i="13" s="1"/>
  <c r="F40" i="30"/>
  <c r="F41" i="30" s="1"/>
  <c r="F40" i="14"/>
  <c r="F41" i="14" s="1"/>
  <c r="F40" i="12"/>
  <c r="F41" i="12" s="1"/>
  <c r="E40" i="16"/>
  <c r="E41" i="16" s="1"/>
  <c r="F40" i="3"/>
  <c r="F41" i="3" s="1"/>
  <c r="E40" i="24"/>
  <c r="E41" i="24" s="1"/>
  <c r="F40" i="22"/>
  <c r="F41" i="22" s="1"/>
  <c r="F40" i="25"/>
  <c r="F41" i="25" s="1"/>
  <c r="F40" i="10"/>
  <c r="F41" i="10" s="1"/>
  <c r="E40" i="25"/>
  <c r="E41" i="25" s="1"/>
  <c r="E40" i="20"/>
  <c r="E41" i="20" s="1"/>
  <c r="F40" i="2"/>
  <c r="F41" i="2" s="1"/>
  <c r="F40" i="27"/>
  <c r="F41" i="27" s="1"/>
  <c r="E40" i="9"/>
  <c r="E41" i="9" s="1"/>
  <c r="E40" i="17"/>
  <c r="E41" i="17" s="1"/>
  <c r="F40" i="20"/>
  <c r="F41" i="20" s="1"/>
  <c r="E40" i="23"/>
  <c r="E41" i="23" s="1"/>
  <c r="E40" i="2"/>
  <c r="E41" i="2" s="1"/>
  <c r="E40" i="27"/>
  <c r="E41" i="27" s="1"/>
  <c r="H70" i="55" l="1"/>
  <c r="H79" i="55"/>
  <c r="H75" i="55"/>
  <c r="H71" i="55"/>
  <c r="H73" i="55"/>
  <c r="H68" i="55"/>
  <c r="H69" i="55"/>
  <c r="H76" i="55"/>
  <c r="H80" i="55"/>
  <c r="H77" i="55"/>
  <c r="H74" i="55"/>
  <c r="H72" i="55"/>
  <c r="H78" i="55"/>
  <c r="G76" i="55"/>
  <c r="G70" i="55"/>
  <c r="G80" i="55"/>
  <c r="G73" i="55"/>
  <c r="G77" i="55"/>
  <c r="G72" i="55"/>
  <c r="G78" i="55"/>
  <c r="G79" i="55"/>
  <c r="G68" i="55"/>
  <c r="G75" i="55"/>
  <c r="G69" i="55"/>
  <c r="G74" i="55"/>
  <c r="G71" i="55"/>
  <c r="I73" i="55"/>
  <c r="I74" i="55"/>
  <c r="I75" i="55"/>
  <c r="I77" i="55"/>
  <c r="I80" i="55"/>
  <c r="I72" i="55"/>
  <c r="I76" i="55"/>
  <c r="I71" i="55"/>
  <c r="I70" i="55"/>
  <c r="I69" i="55"/>
  <c r="I68" i="55"/>
  <c r="I79" i="55"/>
  <c r="I78" i="55"/>
  <c r="F71" i="55"/>
  <c r="F78" i="55"/>
  <c r="F77" i="55"/>
  <c r="F76" i="55"/>
  <c r="F75" i="55"/>
  <c r="F70" i="55"/>
  <c r="F69" i="55"/>
  <c r="F68" i="55"/>
  <c r="F79" i="55"/>
  <c r="F73" i="55"/>
  <c r="F80" i="55"/>
  <c r="F74" i="55"/>
  <c r="F72" i="55"/>
  <c r="U135" i="55"/>
  <c r="U127" i="55"/>
  <c r="U151" i="55"/>
  <c r="U139" i="55"/>
  <c r="U157" i="55"/>
  <c r="U132" i="55"/>
  <c r="U129" i="55"/>
  <c r="U161" i="55"/>
  <c r="U143" i="55"/>
  <c r="U169" i="55"/>
  <c r="U156" i="55"/>
  <c r="U128" i="55"/>
  <c r="U154" i="55"/>
  <c r="U125" i="55"/>
  <c r="U149" i="55"/>
  <c r="U165" i="55"/>
  <c r="U131" i="55"/>
  <c r="U164" i="55"/>
  <c r="U134" i="55"/>
  <c r="U133" i="55"/>
  <c r="U145" i="55"/>
  <c r="U144" i="55"/>
  <c r="U140" i="55"/>
  <c r="U126" i="55"/>
  <c r="U138" i="55"/>
  <c r="U148" i="55"/>
  <c r="U166" i="55"/>
  <c r="U155" i="55"/>
  <c r="U141" i="55"/>
  <c r="U146" i="55"/>
  <c r="U163" i="55"/>
  <c r="U159" i="55"/>
  <c r="U162" i="55"/>
  <c r="U171" i="55"/>
  <c r="U158" i="55"/>
  <c r="U153" i="55"/>
  <c r="U142" i="55"/>
  <c r="U147" i="55"/>
  <c r="U167" i="55"/>
  <c r="U170" i="55"/>
  <c r="U160" i="55"/>
  <c r="U152" i="55"/>
  <c r="U130" i="55"/>
  <c r="U137" i="55"/>
  <c r="U168" i="55"/>
  <c r="U150" i="55"/>
  <c r="U136" i="55"/>
  <c r="E40" i="26"/>
  <c r="E41" i="26" s="1"/>
  <c r="E40" i="32"/>
  <c r="E41" i="32" s="1"/>
  <c r="N28" i="33"/>
  <c r="M49" i="33"/>
  <c r="M28" i="33"/>
  <c r="M74" i="55" l="1"/>
  <c r="M80" i="55"/>
  <c r="M72" i="55"/>
  <c r="M78" i="55"/>
  <c r="M73" i="55"/>
  <c r="M79" i="55"/>
  <c r="M75" i="55"/>
  <c r="M70" i="55"/>
  <c r="M71" i="55"/>
  <c r="M77" i="55"/>
  <c r="M76" i="55"/>
  <c r="M69" i="55"/>
  <c r="M68" i="55"/>
  <c r="F201" i="35"/>
  <c r="AI182" i="55" s="1"/>
  <c r="E201" i="35"/>
  <c r="AH182" i="55" s="1"/>
  <c r="B201" i="35"/>
  <c r="F195" i="35"/>
  <c r="E195" i="35"/>
  <c r="B195" i="35"/>
  <c r="F188" i="35"/>
  <c r="E188" i="35"/>
  <c r="B188" i="35"/>
  <c r="F182" i="35"/>
  <c r="AI130" i="55" s="1"/>
  <c r="E182" i="35"/>
  <c r="AH130" i="55" s="1"/>
  <c r="B182" i="35"/>
  <c r="F171" i="35"/>
  <c r="E171" i="35"/>
  <c r="B171" i="35"/>
  <c r="F165" i="35"/>
  <c r="E165" i="35"/>
  <c r="B165" i="35"/>
  <c r="F120" i="35"/>
  <c r="E120" i="35"/>
  <c r="B120" i="35"/>
  <c r="F159" i="35"/>
  <c r="E159" i="35"/>
  <c r="B159" i="35"/>
  <c r="F152" i="35"/>
  <c r="E152" i="35"/>
  <c r="B152" i="35"/>
  <c r="F145" i="35"/>
  <c r="E145" i="35"/>
  <c r="B145" i="35"/>
  <c r="F138" i="35"/>
  <c r="E138" i="35"/>
  <c r="B138" i="35"/>
  <c r="F133" i="35"/>
  <c r="E133" i="35"/>
  <c r="B133" i="35"/>
  <c r="F126" i="35"/>
  <c r="E126" i="35"/>
  <c r="B126" i="35"/>
  <c r="F114" i="35"/>
  <c r="E114" i="35"/>
  <c r="B114" i="35"/>
  <c r="F108" i="35"/>
  <c r="E108" i="35"/>
  <c r="B108" i="35"/>
  <c r="F96" i="35"/>
  <c r="E96" i="35"/>
  <c r="B96" i="35"/>
  <c r="F89" i="35"/>
  <c r="E89" i="35"/>
  <c r="B89" i="35"/>
  <c r="F81" i="35"/>
  <c r="E81" i="35"/>
  <c r="B81" i="35"/>
  <c r="F75" i="35"/>
  <c r="E75" i="35"/>
  <c r="B75" i="35"/>
  <c r="F68" i="35"/>
  <c r="E68" i="35"/>
  <c r="B68" i="35"/>
  <c r="F63" i="35"/>
  <c r="E63" i="35"/>
  <c r="B63" i="35"/>
  <c r="F57" i="35"/>
  <c r="E57" i="35"/>
  <c r="B57" i="35"/>
  <c r="F51" i="35"/>
  <c r="E51" i="35"/>
  <c r="B51" i="35"/>
  <c r="F39" i="35"/>
  <c r="E39" i="35"/>
  <c r="B39" i="35"/>
  <c r="F32" i="35"/>
  <c r="E32" i="35"/>
  <c r="F25" i="35"/>
  <c r="E25" i="35"/>
  <c r="B25" i="35"/>
  <c r="F18" i="35"/>
  <c r="E18" i="35"/>
  <c r="F13" i="35"/>
  <c r="E13" i="35"/>
  <c r="B13" i="35"/>
  <c r="F7" i="35"/>
  <c r="AI150" i="55" s="1"/>
  <c r="E7" i="35"/>
  <c r="AH150" i="55" s="1"/>
  <c r="B7" i="35"/>
  <c r="Z3" i="47" l="1"/>
  <c r="F189" i="35" l="1"/>
  <c r="F190" i="35"/>
  <c r="F191" i="35"/>
  <c r="F192" i="35"/>
  <c r="F193" i="35"/>
  <c r="B193" i="35"/>
  <c r="B192" i="35"/>
  <c r="B191" i="35"/>
  <c r="B190" i="35"/>
  <c r="F144" i="35" l="1"/>
  <c r="AI129" i="55" s="1"/>
  <c r="E144" i="35"/>
  <c r="AH129" i="55" s="1"/>
  <c r="F143" i="35"/>
  <c r="E143" i="35"/>
  <c r="F142" i="35"/>
  <c r="E142" i="35"/>
  <c r="F141" i="35"/>
  <c r="E141" i="35"/>
  <c r="F140" i="35"/>
  <c r="AI46" i="55" s="1"/>
  <c r="E140" i="35"/>
  <c r="AH46" i="55" s="1"/>
  <c r="B144" i="35"/>
  <c r="B142" i="35"/>
  <c r="B143" i="35"/>
  <c r="B68" i="33" l="1"/>
  <c r="B66" i="33"/>
  <c r="B64" i="33"/>
  <c r="B62" i="33"/>
  <c r="B60" i="33"/>
  <c r="B57" i="33"/>
  <c r="B55" i="33"/>
  <c r="B40" i="33"/>
  <c r="B53" i="33"/>
  <c r="B51" i="33"/>
  <c r="B48" i="33"/>
  <c r="B46" i="33"/>
  <c r="B44" i="33"/>
  <c r="B42" i="33"/>
  <c r="B38" i="33"/>
  <c r="B36" i="33"/>
  <c r="B34" i="33"/>
  <c r="B32" i="33"/>
  <c r="B30" i="33"/>
  <c r="B26" i="33"/>
  <c r="B25" i="33"/>
  <c r="B23" i="33"/>
  <c r="B21" i="33"/>
  <c r="B19" i="33"/>
  <c r="B17" i="33"/>
  <c r="B15" i="33"/>
  <c r="B13" i="33"/>
  <c r="B11" i="33"/>
  <c r="B9" i="33"/>
  <c r="B7" i="33"/>
  <c r="B5" i="33"/>
  <c r="B67" i="33"/>
  <c r="B65" i="33"/>
  <c r="B63" i="33"/>
  <c r="B61" i="33"/>
  <c r="B59" i="33"/>
  <c r="B56" i="33"/>
  <c r="B54" i="33"/>
  <c r="B39" i="33"/>
  <c r="B52" i="33"/>
  <c r="B50" i="33"/>
  <c r="B47" i="33"/>
  <c r="B45" i="33"/>
  <c r="B43" i="33"/>
  <c r="B41" i="33"/>
  <c r="B37" i="33"/>
  <c r="B35" i="33"/>
  <c r="B33" i="33"/>
  <c r="B31" i="33"/>
  <c r="B29" i="33"/>
  <c r="B27" i="33"/>
  <c r="B24" i="33"/>
  <c r="B22" i="33"/>
  <c r="B20" i="33"/>
  <c r="B18" i="33"/>
  <c r="B16" i="33"/>
  <c r="B14" i="33"/>
  <c r="B12" i="33"/>
  <c r="B10" i="33"/>
  <c r="B8" i="33"/>
  <c r="B6" i="33"/>
  <c r="B4" i="33"/>
  <c r="A4" i="33" s="1"/>
  <c r="A5" i="33" l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E73" i="47" s="1"/>
  <c r="D5" i="47"/>
  <c r="D7" i="47"/>
  <c r="E5" i="47"/>
  <c r="C5" i="47"/>
  <c r="E12" i="47"/>
  <c r="D15" i="47"/>
  <c r="E7" i="47"/>
  <c r="C11" i="47"/>
  <c r="B2" i="35"/>
  <c r="B3" i="35"/>
  <c r="A3" i="35" s="1"/>
  <c r="B4" i="35"/>
  <c r="B5" i="35"/>
  <c r="B6" i="35"/>
  <c r="B8" i="35"/>
  <c r="B9" i="35"/>
  <c r="B10" i="35"/>
  <c r="B11" i="35"/>
  <c r="B12" i="35"/>
  <c r="B14" i="35"/>
  <c r="B15" i="35"/>
  <c r="B16" i="35"/>
  <c r="B20" i="35"/>
  <c r="B21" i="35"/>
  <c r="B23" i="35"/>
  <c r="B22" i="35"/>
  <c r="B24" i="35"/>
  <c r="B27" i="35"/>
  <c r="B28" i="35"/>
  <c r="B29" i="35"/>
  <c r="B30" i="35"/>
  <c r="B31" i="35"/>
  <c r="B34" i="35"/>
  <c r="B35" i="35"/>
  <c r="B36" i="35"/>
  <c r="B37" i="35"/>
  <c r="B38" i="35"/>
  <c r="B41" i="35"/>
  <c r="B42" i="35"/>
  <c r="B43" i="35"/>
  <c r="B44" i="35"/>
  <c r="B45" i="35"/>
  <c r="B46" i="35"/>
  <c r="B47" i="35"/>
  <c r="B48" i="35"/>
  <c r="B49" i="35"/>
  <c r="B50" i="35"/>
  <c r="B52" i="35"/>
  <c r="B53" i="35"/>
  <c r="B54" i="35"/>
  <c r="B55" i="35"/>
  <c r="B56" i="35"/>
  <c r="B58" i="35"/>
  <c r="B59" i="35"/>
  <c r="B61" i="35"/>
  <c r="B60" i="35"/>
  <c r="B62" i="35"/>
  <c r="B65" i="35"/>
  <c r="B64" i="35"/>
  <c r="B66" i="35"/>
  <c r="B67" i="35"/>
  <c r="B69" i="35"/>
  <c r="B70" i="35"/>
  <c r="B72" i="35"/>
  <c r="B71" i="35"/>
  <c r="B73" i="35"/>
  <c r="B74" i="35"/>
  <c r="B77" i="35"/>
  <c r="B78" i="35"/>
  <c r="B80" i="35"/>
  <c r="B79" i="35"/>
  <c r="B82" i="35"/>
  <c r="B85" i="35"/>
  <c r="B84" i="35"/>
  <c r="B86" i="35"/>
  <c r="B87" i="35"/>
  <c r="B88" i="35"/>
  <c r="B90" i="35"/>
  <c r="B91" i="35"/>
  <c r="B92" i="35"/>
  <c r="B93" i="35"/>
  <c r="B94" i="35"/>
  <c r="B97" i="35"/>
  <c r="B98" i="35"/>
  <c r="B100" i="35"/>
  <c r="B99" i="35"/>
  <c r="B101" i="35"/>
  <c r="B102" i="35"/>
  <c r="B103" i="35"/>
  <c r="B105" i="35"/>
  <c r="B104" i="35"/>
  <c r="B106" i="35"/>
  <c r="B110" i="35"/>
  <c r="B109" i="35"/>
  <c r="B111" i="35"/>
  <c r="B112" i="35"/>
  <c r="B113" i="35"/>
  <c r="B121" i="35"/>
  <c r="B122" i="35"/>
  <c r="B123" i="35"/>
  <c r="B125" i="35"/>
  <c r="B124" i="35"/>
  <c r="B128" i="35"/>
  <c r="B129" i="35"/>
  <c r="B131" i="35"/>
  <c r="B132" i="35"/>
  <c r="B130" i="35"/>
  <c r="B134" i="35"/>
  <c r="B135" i="35"/>
  <c r="B136" i="35"/>
  <c r="B137" i="35"/>
  <c r="B139" i="35"/>
  <c r="B140" i="35"/>
  <c r="B141" i="35"/>
  <c r="B146" i="35"/>
  <c r="B147" i="35"/>
  <c r="B148" i="35"/>
  <c r="B149" i="35"/>
  <c r="B150" i="35"/>
  <c r="B153" i="35"/>
  <c r="B154" i="35"/>
  <c r="B155" i="35"/>
  <c r="B156" i="35"/>
  <c r="B157" i="35"/>
  <c r="B115" i="35"/>
  <c r="B116" i="35"/>
  <c r="B117" i="35"/>
  <c r="B118" i="35"/>
  <c r="B119" i="35"/>
  <c r="B160" i="35"/>
  <c r="B161" i="35"/>
  <c r="B162" i="35"/>
  <c r="B163" i="35"/>
  <c r="B164" i="35"/>
  <c r="B166" i="35"/>
  <c r="B167" i="35"/>
  <c r="B168" i="35"/>
  <c r="B169" i="35"/>
  <c r="B170" i="35"/>
  <c r="B172" i="35"/>
  <c r="B173" i="35"/>
  <c r="B174" i="35"/>
  <c r="B175" i="35"/>
  <c r="B176" i="35"/>
  <c r="B177" i="35"/>
  <c r="B178" i="35"/>
  <c r="B179" i="35"/>
  <c r="B181" i="35"/>
  <c r="B180" i="35"/>
  <c r="B183" i="35"/>
  <c r="B184" i="35"/>
  <c r="B185" i="35"/>
  <c r="B186" i="35"/>
  <c r="B187" i="35"/>
  <c r="B189" i="35"/>
  <c r="B196" i="35"/>
  <c r="B197" i="35"/>
  <c r="B198" i="35"/>
  <c r="B200" i="35"/>
  <c r="B199" i="35"/>
  <c r="AL183" i="55" l="1"/>
  <c r="AH170" i="55"/>
  <c r="AH167" i="55"/>
  <c r="AL142" i="55"/>
  <c r="AI113" i="55"/>
  <c r="AI86" i="55"/>
  <c r="AI78" i="55"/>
  <c r="AL63" i="55"/>
  <c r="AI58" i="55"/>
  <c r="AK183" i="55"/>
  <c r="AK142" i="55"/>
  <c r="AH118" i="55"/>
  <c r="AH113" i="55"/>
  <c r="AK63" i="55"/>
  <c r="AI54" i="55"/>
  <c r="AI131" i="55"/>
  <c r="AI183" i="55"/>
  <c r="AI142" i="55"/>
  <c r="AI103" i="55"/>
  <c r="AI77" i="55"/>
  <c r="AI49" i="55"/>
  <c r="AI167" i="55"/>
  <c r="AH183" i="55"/>
  <c r="AH142" i="55"/>
  <c r="AL134" i="55"/>
  <c r="AI123" i="55"/>
  <c r="AI112" i="55"/>
  <c r="AH103" i="55"/>
  <c r="AH77" i="55"/>
  <c r="AM53" i="55"/>
  <c r="AH49" i="55"/>
  <c r="AI36" i="55"/>
  <c r="AM183" i="55"/>
  <c r="AI175" i="55"/>
  <c r="AM142" i="55"/>
  <c r="AK134" i="55"/>
  <c r="AH123" i="55"/>
  <c r="AH112" i="55"/>
  <c r="AI91" i="55"/>
  <c r="AL53" i="55"/>
  <c r="AH48" i="55"/>
  <c r="AH36" i="55"/>
  <c r="AM63" i="55"/>
  <c r="AI185" i="55"/>
  <c r="AH175" i="55"/>
  <c r="AI145" i="55"/>
  <c r="AI139" i="55"/>
  <c r="AM134" i="55"/>
  <c r="AH122" i="55"/>
  <c r="AI114" i="55"/>
  <c r="AH91" i="55"/>
  <c r="AH53" i="55"/>
  <c r="AI170" i="55"/>
  <c r="AH121" i="55"/>
  <c r="AH185" i="55"/>
  <c r="AH178" i="55"/>
  <c r="AH139" i="55"/>
  <c r="AK131" i="55"/>
  <c r="AI8" i="55"/>
  <c r="AI80" i="55"/>
  <c r="AH8" i="55"/>
  <c r="AI164" i="55"/>
  <c r="AH41" i="55"/>
  <c r="AH13" i="55"/>
  <c r="AH56" i="55"/>
  <c r="AH94" i="55"/>
  <c r="AM131" i="55"/>
  <c r="AH164" i="55"/>
  <c r="AI181" i="55"/>
  <c r="AI56" i="55"/>
  <c r="AI68" i="55"/>
  <c r="AH114" i="55"/>
  <c r="AL131" i="55"/>
  <c r="AI173" i="55"/>
  <c r="AH181" i="55"/>
  <c r="AH44" i="55"/>
  <c r="AH140" i="55"/>
  <c r="AI84" i="55"/>
  <c r="AH68" i="55"/>
  <c r="AI53" i="55"/>
  <c r="AH58" i="55"/>
  <c r="AH131" i="55"/>
  <c r="AI121" i="55"/>
  <c r="AH173" i="55"/>
  <c r="AI178" i="55"/>
  <c r="AI52" i="55"/>
  <c r="AI21" i="55"/>
  <c r="AK53" i="55"/>
  <c r="AI70" i="55"/>
  <c r="AI118" i="55"/>
  <c r="AI172" i="55"/>
  <c r="AJ183" i="55"/>
  <c r="AJ53" i="55"/>
  <c r="AI140" i="55"/>
  <c r="AH21" i="55"/>
  <c r="AH54" i="55"/>
  <c r="AH78" i="55"/>
  <c r="AH86" i="55"/>
  <c r="AI152" i="55"/>
  <c r="AH145" i="55"/>
  <c r="AI44" i="55"/>
  <c r="AJ63" i="55"/>
  <c r="AH70" i="55"/>
  <c r="AH152" i="55"/>
  <c r="AI171" i="55"/>
  <c r="AN142" i="55"/>
  <c r="AH52" i="55"/>
  <c r="AJ142" i="55"/>
  <c r="AH15" i="55"/>
  <c r="AI15" i="55"/>
  <c r="AI48" i="55"/>
  <c r="AH80" i="55"/>
  <c r="AH84" i="55"/>
  <c r="AI122" i="55"/>
  <c r="AH171" i="55"/>
  <c r="AH172" i="55"/>
  <c r="AJ134" i="55"/>
  <c r="AI94" i="55"/>
  <c r="AI13" i="55"/>
  <c r="AI41" i="55"/>
  <c r="AJ131" i="55"/>
  <c r="AH100" i="55"/>
  <c r="AI174" i="55"/>
  <c r="AH104" i="55"/>
  <c r="AH161" i="55"/>
  <c r="AH174" i="55"/>
  <c r="AI147" i="55"/>
  <c r="AI104" i="55"/>
  <c r="AI161" i="55"/>
  <c r="AH147" i="55"/>
  <c r="AI100" i="55"/>
  <c r="AI50" i="55"/>
  <c r="AH111" i="55"/>
  <c r="AI111" i="55"/>
  <c r="AH50" i="55"/>
  <c r="D10" i="47"/>
  <c r="C8" i="47"/>
  <c r="D22" i="47"/>
  <c r="E22" i="47"/>
  <c r="D23" i="47"/>
  <c r="D11" i="47"/>
  <c r="A4" i="35"/>
  <c r="A5" i="35" s="1"/>
  <c r="A6" i="35" s="1"/>
  <c r="E30" i="47"/>
  <c r="S4" i="47"/>
  <c r="Q4" i="47"/>
  <c r="R4" i="47"/>
  <c r="E23" i="47"/>
  <c r="C34" i="47"/>
  <c r="C18" i="47"/>
  <c r="C19" i="47"/>
  <c r="D20" i="47"/>
  <c r="C24" i="47"/>
  <c r="D26" i="47"/>
  <c r="D36" i="47"/>
  <c r="D53" i="47"/>
  <c r="D44" i="47"/>
  <c r="D32" i="47"/>
  <c r="D71" i="47"/>
  <c r="D102" i="47"/>
  <c r="C79" i="47"/>
  <c r="D100" i="47"/>
  <c r="D80" i="47"/>
  <c r="C60" i="47"/>
  <c r="D99" i="47"/>
  <c r="C43" i="47"/>
  <c r="D86" i="47"/>
  <c r="F83" i="47"/>
  <c r="D52" i="47"/>
  <c r="D45" i="47"/>
  <c r="D92" i="47"/>
  <c r="E87" i="47"/>
  <c r="D77" i="47"/>
  <c r="E71" i="47"/>
  <c r="F84" i="47"/>
  <c r="F72" i="47"/>
  <c r="F99" i="47"/>
  <c r="E62" i="47"/>
  <c r="E93" i="47"/>
  <c r="C59" i="47"/>
  <c r="C48" i="47"/>
  <c r="E61" i="47"/>
  <c r="C75" i="47"/>
  <c r="E74" i="47"/>
  <c r="D35" i="47"/>
  <c r="C82" i="47"/>
  <c r="E86" i="47"/>
  <c r="E99" i="47"/>
  <c r="E81" i="47"/>
  <c r="C28" i="47"/>
  <c r="C29" i="47"/>
  <c r="E92" i="47"/>
  <c r="F97" i="47"/>
  <c r="E83" i="47"/>
  <c r="E66" i="47"/>
  <c r="D50" i="47"/>
  <c r="D13" i="47"/>
  <c r="E94" i="47"/>
  <c r="C32" i="47"/>
  <c r="E41" i="47"/>
  <c r="C15" i="47"/>
  <c r="D43" i="47"/>
  <c r="E19" i="47"/>
  <c r="D16" i="47"/>
  <c r="C36" i="47"/>
  <c r="C69" i="47"/>
  <c r="E25" i="47"/>
  <c r="C86" i="47"/>
  <c r="F78" i="47"/>
  <c r="D42" i="47"/>
  <c r="C50" i="47"/>
  <c r="D27" i="47"/>
  <c r="D94" i="47"/>
  <c r="E17" i="47"/>
  <c r="C78" i="47"/>
  <c r="C70" i="47"/>
  <c r="E100" i="47"/>
  <c r="F100" i="47"/>
  <c r="C13" i="47"/>
  <c r="E11" i="47"/>
  <c r="D87" i="47"/>
  <c r="E95" i="47"/>
  <c r="E78" i="47"/>
  <c r="C53" i="47"/>
  <c r="D85" i="47"/>
  <c r="F92" i="47"/>
  <c r="C72" i="47"/>
  <c r="C101" i="47"/>
  <c r="C67" i="47"/>
  <c r="E43" i="47"/>
  <c r="E49" i="47"/>
  <c r="F90" i="47"/>
  <c r="C12" i="47"/>
  <c r="C27" i="47"/>
  <c r="D38" i="47"/>
  <c r="C33" i="47"/>
  <c r="C91" i="47"/>
  <c r="E28" i="47"/>
  <c r="D61" i="47"/>
  <c r="F81" i="47"/>
  <c r="E68" i="47"/>
  <c r="E89" i="47"/>
  <c r="E79" i="47"/>
  <c r="E64" i="47"/>
  <c r="C74" i="47"/>
  <c r="E26" i="47"/>
  <c r="E54" i="47"/>
  <c r="D14" i="47"/>
  <c r="F71" i="47"/>
  <c r="C102" i="47"/>
  <c r="C81" i="47"/>
  <c r="C22" i="47"/>
  <c r="E72" i="47"/>
  <c r="C35" i="47"/>
  <c r="D58" i="47"/>
  <c r="F96" i="47"/>
  <c r="C94" i="47"/>
  <c r="C73" i="47"/>
  <c r="C14" i="47"/>
  <c r="C51" i="47"/>
  <c r="D75" i="47"/>
  <c r="E6" i="47"/>
  <c r="D88" i="47"/>
  <c r="E67" i="47"/>
  <c r="E34" i="47"/>
  <c r="D70" i="47"/>
  <c r="C77" i="47"/>
  <c r="D63" i="47"/>
  <c r="D21" i="47"/>
  <c r="F75" i="47"/>
  <c r="E35" i="47"/>
  <c r="C92" i="47"/>
  <c r="D79" i="47"/>
  <c r="C96" i="47"/>
  <c r="F85" i="47"/>
  <c r="C46" i="47"/>
  <c r="D6" i="47"/>
  <c r="C58" i="47"/>
  <c r="E20" i="47"/>
  <c r="E40" i="47"/>
  <c r="E9" i="47"/>
  <c r="E47" i="47"/>
  <c r="C89" i="47"/>
  <c r="F80" i="47"/>
  <c r="D83" i="47"/>
  <c r="D37" i="47"/>
  <c r="C39" i="47"/>
  <c r="D93" i="47"/>
  <c r="E56" i="47"/>
  <c r="D56" i="47"/>
  <c r="AL104" i="47"/>
  <c r="AN104" i="47"/>
  <c r="AO104" i="47"/>
  <c r="D98" i="47"/>
  <c r="D40" i="47"/>
  <c r="C20" i="47"/>
  <c r="C17" i="47"/>
  <c r="D57" i="47"/>
  <c r="C6" i="47"/>
  <c r="E27" i="47"/>
  <c r="E55" i="47"/>
  <c r="C23" i="47"/>
  <c r="C10" i="47"/>
  <c r="C9" i="47"/>
  <c r="D49" i="47"/>
  <c r="D72" i="47"/>
  <c r="E31" i="47"/>
  <c r="C62" i="47"/>
  <c r="E42" i="47"/>
  <c r="E102" i="47"/>
  <c r="D29" i="47"/>
  <c r="C100" i="47"/>
  <c r="D91" i="47"/>
  <c r="E60" i="47"/>
  <c r="E57" i="47"/>
  <c r="F98" i="47"/>
  <c r="C37" i="47"/>
  <c r="C7" i="47"/>
  <c r="E76" i="47"/>
  <c r="C52" i="47"/>
  <c r="C41" i="47"/>
  <c r="D81" i="47"/>
  <c r="F91" i="47"/>
  <c r="E51" i="47"/>
  <c r="C42" i="47"/>
  <c r="E46" i="47"/>
  <c r="E8" i="47"/>
  <c r="D51" i="47"/>
  <c r="D60" i="47"/>
  <c r="Q3" i="47"/>
  <c r="AL103" i="47"/>
  <c r="E85" i="47"/>
  <c r="E84" i="47"/>
  <c r="D97" i="47"/>
  <c r="D101" i="47"/>
  <c r="E65" i="47"/>
  <c r="E90" i="47"/>
  <c r="C97" i="47"/>
  <c r="F93" i="47"/>
  <c r="C54" i="47"/>
  <c r="E98" i="47"/>
  <c r="E52" i="47"/>
  <c r="D62" i="47"/>
  <c r="D76" i="47"/>
  <c r="D17" i="47"/>
  <c r="E13" i="47"/>
  <c r="C56" i="47"/>
  <c r="D48" i="47"/>
  <c r="F82" i="47"/>
  <c r="C83" i="47"/>
  <c r="C21" i="47"/>
  <c r="E15" i="47"/>
  <c r="D31" i="47"/>
  <c r="D39" i="47"/>
  <c r="F87" i="47"/>
  <c r="E88" i="47"/>
  <c r="E29" i="47"/>
  <c r="D47" i="47"/>
  <c r="C93" i="47"/>
  <c r="C26" i="47"/>
  <c r="F95" i="47"/>
  <c r="E50" i="47"/>
  <c r="E80" i="47"/>
  <c r="E21" i="47"/>
  <c r="C90" i="47"/>
  <c r="F70" i="47"/>
  <c r="D33" i="47"/>
  <c r="D41" i="47"/>
  <c r="D82" i="47"/>
  <c r="C57" i="47"/>
  <c r="D19" i="47"/>
  <c r="D18" i="47"/>
  <c r="C63" i="47"/>
  <c r="C49" i="47"/>
  <c r="D89" i="47"/>
  <c r="C65" i="47"/>
  <c r="C99" i="47"/>
  <c r="D78" i="47"/>
  <c r="E59" i="47"/>
  <c r="D12" i="47"/>
  <c r="E53" i="47"/>
  <c r="C80" i="47"/>
  <c r="D66" i="47"/>
  <c r="E39" i="47"/>
  <c r="C38" i="47"/>
  <c r="C16" i="47"/>
  <c r="D24" i="47"/>
  <c r="C30" i="47"/>
  <c r="E36" i="47"/>
  <c r="C44" i="47"/>
  <c r="F94" i="47"/>
  <c r="E24" i="47"/>
  <c r="D46" i="47"/>
  <c r="C40" i="47"/>
  <c r="D34" i="47"/>
  <c r="D30" i="47"/>
  <c r="C95" i="47"/>
  <c r="F86" i="47"/>
  <c r="E16" i="47"/>
  <c r="C98" i="47"/>
  <c r="E91" i="47"/>
  <c r="F101" i="47"/>
  <c r="E69" i="47"/>
  <c r="D8" i="47"/>
  <c r="C64" i="47"/>
  <c r="D28" i="47"/>
  <c r="F79" i="47"/>
  <c r="D90" i="47"/>
  <c r="D74" i="47"/>
  <c r="D84" i="47"/>
  <c r="D25" i="47"/>
  <c r="E14" i="47"/>
  <c r="C68" i="47"/>
  <c r="E75" i="47"/>
  <c r="E18" i="47"/>
  <c r="E48" i="47"/>
  <c r="F89" i="47"/>
  <c r="E70" i="47"/>
  <c r="C87" i="47"/>
  <c r="E10" i="47"/>
  <c r="D9" i="47"/>
  <c r="E58" i="47"/>
  <c r="C85" i="47"/>
  <c r="E101" i="47"/>
  <c r="C84" i="47"/>
  <c r="C61" i="47"/>
  <c r="C45" i="47"/>
  <c r="E97" i="47"/>
  <c r="E38" i="47"/>
  <c r="D95" i="47"/>
  <c r="E63" i="47"/>
  <c r="C66" i="47"/>
  <c r="F77" i="47"/>
  <c r="D73" i="47"/>
  <c r="C71" i="47"/>
  <c r="D54" i="47"/>
  <c r="F88" i="47"/>
  <c r="E33" i="47"/>
  <c r="F74" i="47"/>
  <c r="D64" i="47"/>
  <c r="D68" i="47"/>
  <c r="E45" i="47"/>
  <c r="E77" i="47"/>
  <c r="E82" i="47"/>
  <c r="C55" i="47"/>
  <c r="C31" i="47"/>
  <c r="C25" i="47"/>
  <c r="D65" i="47"/>
  <c r="D67" i="47"/>
  <c r="C88" i="47"/>
  <c r="F76" i="47"/>
  <c r="D96" i="47"/>
  <c r="C47" i="47"/>
  <c r="E44" i="47"/>
  <c r="E96" i="47"/>
  <c r="E37" i="47"/>
  <c r="D69" i="47"/>
  <c r="D59" i="47"/>
  <c r="D55" i="47"/>
  <c r="C76" i="47"/>
  <c r="F102" i="47"/>
  <c r="E32" i="47"/>
  <c r="F73" i="47"/>
  <c r="AF34" i="55" l="1"/>
  <c r="AF39" i="55"/>
  <c r="R6" i="47"/>
  <c r="A7" i="35"/>
  <c r="A8" i="35" s="1"/>
  <c r="A9" i="35" s="1"/>
  <c r="Q8" i="47"/>
  <c r="Q7" i="47"/>
  <c r="R7" i="47"/>
  <c r="Q6" i="47"/>
  <c r="S7" i="47"/>
  <c r="R5" i="47"/>
  <c r="S6" i="47"/>
  <c r="Q5" i="47"/>
  <c r="S5" i="47"/>
  <c r="S8" i="47"/>
  <c r="R8" i="47"/>
  <c r="R9" i="47"/>
  <c r="S9" i="47"/>
  <c r="A10" i="35"/>
  <c r="E35" i="35"/>
  <c r="AH69" i="55" s="1"/>
  <c r="F35" i="35"/>
  <c r="AI69" i="55" s="1"/>
  <c r="E37" i="35"/>
  <c r="AH96" i="55" s="1"/>
  <c r="F37" i="35"/>
  <c r="AI96" i="55" s="1"/>
  <c r="E38" i="35"/>
  <c r="AH149" i="55" s="1"/>
  <c r="F38" i="35"/>
  <c r="AI149" i="55" s="1"/>
  <c r="AF151" i="55" l="1"/>
  <c r="AF67" i="55"/>
  <c r="AF95" i="55"/>
  <c r="AF148" i="55"/>
  <c r="Q9" i="47"/>
  <c r="R10" i="47"/>
  <c r="A11" i="35"/>
  <c r="R11" i="47" s="1"/>
  <c r="Q11" i="47"/>
  <c r="S10" i="47"/>
  <c r="Q10" i="47"/>
  <c r="AO105" i="47"/>
  <c r="AN105" i="47"/>
  <c r="AL105" i="47"/>
  <c r="AL106" i="47"/>
  <c r="E36" i="35"/>
  <c r="F36" i="35"/>
  <c r="F106" i="35"/>
  <c r="AI159" i="55" s="1"/>
  <c r="E106" i="35"/>
  <c r="AH159" i="55" s="1"/>
  <c r="AF22" i="55" l="1"/>
  <c r="AF99" i="55"/>
  <c r="AF96" i="55"/>
  <c r="S11" i="47"/>
  <c r="A12" i="35"/>
  <c r="AO106" i="47"/>
  <c r="AN106" i="47"/>
  <c r="F9" i="35"/>
  <c r="F10" i="35"/>
  <c r="E11" i="35"/>
  <c r="E12" i="35"/>
  <c r="F12" i="35"/>
  <c r="F16" i="35"/>
  <c r="E19" i="35"/>
  <c r="F19" i="35"/>
  <c r="E17" i="35"/>
  <c r="F17" i="35"/>
  <c r="E21" i="35"/>
  <c r="E23" i="35"/>
  <c r="F23" i="35"/>
  <c r="E22" i="35"/>
  <c r="F22" i="35"/>
  <c r="E24" i="35"/>
  <c r="F24" i="35"/>
  <c r="E28" i="35"/>
  <c r="F28" i="35"/>
  <c r="F29" i="35"/>
  <c r="F30" i="35"/>
  <c r="E31" i="35"/>
  <c r="F42" i="35"/>
  <c r="E43" i="35"/>
  <c r="F43" i="35"/>
  <c r="E44" i="35"/>
  <c r="F44" i="35"/>
  <c r="E45" i="35"/>
  <c r="E47" i="35"/>
  <c r="F47" i="35"/>
  <c r="F48" i="35"/>
  <c r="F49" i="35"/>
  <c r="F50" i="35"/>
  <c r="E54" i="35"/>
  <c r="F54" i="35"/>
  <c r="F55" i="35"/>
  <c r="E56" i="35"/>
  <c r="E59" i="35"/>
  <c r="F59" i="35"/>
  <c r="E61" i="35"/>
  <c r="F61" i="35"/>
  <c r="E60" i="35"/>
  <c r="F62" i="35"/>
  <c r="F64" i="35"/>
  <c r="E66" i="35"/>
  <c r="F66" i="35"/>
  <c r="E67" i="35"/>
  <c r="F67" i="35"/>
  <c r="E69" i="35"/>
  <c r="F69" i="35"/>
  <c r="E72" i="35"/>
  <c r="F72" i="35"/>
  <c r="F71" i="35"/>
  <c r="E73" i="35"/>
  <c r="F73" i="35"/>
  <c r="E78" i="35"/>
  <c r="F78" i="35"/>
  <c r="E80" i="35"/>
  <c r="F80" i="35"/>
  <c r="F79" i="35"/>
  <c r="E82" i="35"/>
  <c r="F82" i="35"/>
  <c r="E84" i="35"/>
  <c r="F84" i="35"/>
  <c r="E86" i="35"/>
  <c r="F86" i="35"/>
  <c r="E87" i="35"/>
  <c r="F87" i="35"/>
  <c r="E88" i="35"/>
  <c r="F88" i="35"/>
  <c r="F91" i="35"/>
  <c r="E92" i="35"/>
  <c r="AH95" i="55" s="1"/>
  <c r="E93" i="35"/>
  <c r="AH102" i="55" s="1"/>
  <c r="F93" i="35"/>
  <c r="AI102" i="55" s="1"/>
  <c r="E94" i="35"/>
  <c r="AH165" i="55" s="1"/>
  <c r="F94" i="35"/>
  <c r="AI165" i="55" s="1"/>
  <c r="E100" i="35"/>
  <c r="AH74" i="55" s="1"/>
  <c r="F100" i="35"/>
  <c r="AI74" i="55" s="1"/>
  <c r="E99" i="35"/>
  <c r="AH57" i="55" s="1"/>
  <c r="F99" i="35"/>
  <c r="AI57" i="55" s="1"/>
  <c r="F101" i="35"/>
  <c r="AI169" i="55" s="1"/>
  <c r="E103" i="35"/>
  <c r="AH23" i="55" s="1"/>
  <c r="F103" i="35"/>
  <c r="AI23" i="55" s="1"/>
  <c r="E105" i="35"/>
  <c r="AH76" i="55" s="1"/>
  <c r="F105" i="35"/>
  <c r="AI76" i="55" s="1"/>
  <c r="E104" i="35"/>
  <c r="AH89" i="55" s="1"/>
  <c r="E109" i="35"/>
  <c r="AH19" i="55" s="1"/>
  <c r="F109" i="35"/>
  <c r="AI19" i="55" s="1"/>
  <c r="E111" i="35"/>
  <c r="AH63" i="55" s="1"/>
  <c r="F111" i="35"/>
  <c r="AI63" i="55" s="1"/>
  <c r="E112" i="35"/>
  <c r="F112" i="35"/>
  <c r="E113" i="35"/>
  <c r="F113" i="35"/>
  <c r="E122" i="35"/>
  <c r="F122" i="35"/>
  <c r="E123" i="35"/>
  <c r="AH75" i="55" s="1"/>
  <c r="F123" i="35"/>
  <c r="AI75" i="55" s="1"/>
  <c r="E125" i="35"/>
  <c r="F125" i="35"/>
  <c r="E124" i="35"/>
  <c r="AH166" i="55" s="1"/>
  <c r="F124" i="35"/>
  <c r="AI166" i="55" s="1"/>
  <c r="E129" i="35"/>
  <c r="F129" i="35"/>
  <c r="E132" i="35"/>
  <c r="AH176" i="55" s="1"/>
  <c r="F132" i="35"/>
  <c r="AI176" i="55" s="1"/>
  <c r="E130" i="35"/>
  <c r="AH158" i="55" s="1"/>
  <c r="F130" i="35"/>
  <c r="AI158" i="55" s="1"/>
  <c r="F135" i="35"/>
  <c r="E137" i="35"/>
  <c r="F137" i="35"/>
  <c r="E139" i="35"/>
  <c r="AH125" i="55" s="1"/>
  <c r="F139" i="35"/>
  <c r="AI125" i="55" s="1"/>
  <c r="E147" i="35"/>
  <c r="F147" i="35"/>
  <c r="E148" i="35"/>
  <c r="F148" i="35"/>
  <c r="E150" i="35"/>
  <c r="F150" i="35"/>
  <c r="F154" i="35"/>
  <c r="AI29" i="55" s="1"/>
  <c r="F155" i="35"/>
  <c r="AI90" i="55" s="1"/>
  <c r="E157" i="35"/>
  <c r="AH184" i="55" s="1"/>
  <c r="F157" i="35"/>
  <c r="AI184" i="55" s="1"/>
  <c r="E117" i="35"/>
  <c r="E118" i="35"/>
  <c r="F118" i="35"/>
  <c r="F119" i="35"/>
  <c r="AI137" i="55" s="1"/>
  <c r="E161" i="35"/>
  <c r="F161" i="35"/>
  <c r="E162" i="35"/>
  <c r="F162" i="35"/>
  <c r="E163" i="35"/>
  <c r="F163" i="35"/>
  <c r="F164" i="35"/>
  <c r="E167" i="35"/>
  <c r="AH61" i="55" s="1"/>
  <c r="F167" i="35"/>
  <c r="AI61" i="55" s="1"/>
  <c r="F168" i="35"/>
  <c r="AI59" i="55" s="1"/>
  <c r="F169" i="35"/>
  <c r="E173" i="35"/>
  <c r="AH37" i="55" s="1"/>
  <c r="F173" i="35"/>
  <c r="AI37" i="55" s="1"/>
  <c r="E175" i="35"/>
  <c r="AH98" i="55" s="1"/>
  <c r="F175" i="35"/>
  <c r="AI98" i="55" s="1"/>
  <c r="E176" i="35"/>
  <c r="F176" i="35"/>
  <c r="E178" i="35"/>
  <c r="F178" i="35"/>
  <c r="E181" i="35"/>
  <c r="AH135" i="55" s="1"/>
  <c r="F181" i="35"/>
  <c r="AI135" i="55" s="1"/>
  <c r="E180" i="35"/>
  <c r="AH138" i="55" s="1"/>
  <c r="F180" i="35"/>
  <c r="AI138" i="55" s="1"/>
  <c r="E184" i="35"/>
  <c r="AH33" i="55" s="1"/>
  <c r="F184" i="35"/>
  <c r="AI33" i="55" s="1"/>
  <c r="F185" i="35"/>
  <c r="AI45" i="55" s="1"/>
  <c r="E186" i="35"/>
  <c r="AH128" i="55" s="1"/>
  <c r="F186" i="35"/>
  <c r="AI128" i="55" s="1"/>
  <c r="E187" i="35"/>
  <c r="F187" i="35"/>
  <c r="E190" i="35"/>
  <c r="E191" i="35"/>
  <c r="E192" i="35"/>
  <c r="E193" i="35"/>
  <c r="E197" i="35"/>
  <c r="F197" i="35"/>
  <c r="E198" i="35"/>
  <c r="AH66" i="55" s="1"/>
  <c r="F198" i="35"/>
  <c r="AI66" i="55" s="1"/>
  <c r="E200" i="35"/>
  <c r="F199" i="35"/>
  <c r="AI153" i="55" s="1"/>
  <c r="E3" i="35"/>
  <c r="AH35" i="55" s="1"/>
  <c r="F3" i="35"/>
  <c r="AI35" i="55" s="1"/>
  <c r="E4" i="35"/>
  <c r="AH67" i="55" s="1"/>
  <c r="F4" i="35"/>
  <c r="AI67" i="55" s="1"/>
  <c r="E5" i="35"/>
  <c r="AH92" i="55" s="1"/>
  <c r="F5" i="35"/>
  <c r="AI92" i="55" s="1"/>
  <c r="E8" i="35"/>
  <c r="F8" i="35"/>
  <c r="E14" i="35"/>
  <c r="F14" i="35"/>
  <c r="E20" i="35"/>
  <c r="F20" i="35"/>
  <c r="E27" i="35"/>
  <c r="F27" i="35"/>
  <c r="E34" i="35"/>
  <c r="AH31" i="55" s="1"/>
  <c r="F34" i="35"/>
  <c r="AI31" i="55" s="1"/>
  <c r="E41" i="35"/>
  <c r="F41" i="35"/>
  <c r="E46" i="35"/>
  <c r="F46" i="35"/>
  <c r="E52" i="35"/>
  <c r="F52" i="35"/>
  <c r="E58" i="35"/>
  <c r="F58" i="35"/>
  <c r="E65" i="35"/>
  <c r="F65" i="35"/>
  <c r="E70" i="35"/>
  <c r="F70" i="35"/>
  <c r="E77" i="35"/>
  <c r="F77" i="35"/>
  <c r="E85" i="35"/>
  <c r="F85" i="35"/>
  <c r="E90" i="35"/>
  <c r="AH43" i="55" s="1"/>
  <c r="F90" i="35"/>
  <c r="AI43" i="55" s="1"/>
  <c r="E97" i="35"/>
  <c r="AH25" i="55" s="1"/>
  <c r="F97" i="35"/>
  <c r="AI25" i="55" s="1"/>
  <c r="E102" i="35"/>
  <c r="AH14" i="55" s="1"/>
  <c r="F102" i="35"/>
  <c r="AI14" i="55" s="1"/>
  <c r="E110" i="35"/>
  <c r="AH2" i="55" s="1"/>
  <c r="F110" i="35"/>
  <c r="AI2" i="55" s="1"/>
  <c r="E121" i="35"/>
  <c r="AH10" i="55" s="1"/>
  <c r="F121" i="35"/>
  <c r="AI10" i="55" s="1"/>
  <c r="E128" i="35"/>
  <c r="AH4" i="55" s="1"/>
  <c r="F128" i="35"/>
  <c r="AI4" i="55" s="1"/>
  <c r="E134" i="35"/>
  <c r="AH72" i="55" s="1"/>
  <c r="F134" i="35"/>
  <c r="AI72" i="55" s="1"/>
  <c r="E146" i="35"/>
  <c r="F146" i="35"/>
  <c r="E153" i="35"/>
  <c r="AH42" i="55" s="1"/>
  <c r="F153" i="35"/>
  <c r="AI42" i="55" s="1"/>
  <c r="E115" i="35"/>
  <c r="AH5" i="55" s="1"/>
  <c r="F115" i="35"/>
  <c r="AI5" i="55" s="1"/>
  <c r="E160" i="35"/>
  <c r="F160" i="35"/>
  <c r="E166" i="35"/>
  <c r="AH12" i="55" s="1"/>
  <c r="F166" i="35"/>
  <c r="AI12" i="55" s="1"/>
  <c r="F172" i="35"/>
  <c r="AI20" i="55" s="1"/>
  <c r="E177" i="35"/>
  <c r="AH7" i="55" s="1"/>
  <c r="F177" i="35"/>
  <c r="AI7" i="55" s="1"/>
  <c r="F183" i="35"/>
  <c r="AI9" i="55" s="1"/>
  <c r="E189" i="35"/>
  <c r="E196" i="35"/>
  <c r="AH26" i="55" s="1"/>
  <c r="F196" i="35"/>
  <c r="AI26" i="55" s="1"/>
  <c r="E2" i="35"/>
  <c r="F2" i="35"/>
  <c r="J5" i="33"/>
  <c r="J7" i="33"/>
  <c r="J9" i="33"/>
  <c r="J11" i="33"/>
  <c r="J13" i="33"/>
  <c r="J47" i="55" s="1"/>
  <c r="J15" i="33"/>
  <c r="J17" i="33"/>
  <c r="K17" i="33"/>
  <c r="J19" i="33"/>
  <c r="J21" i="33"/>
  <c r="J23" i="33"/>
  <c r="J25" i="33"/>
  <c r="L25" i="33"/>
  <c r="J26" i="33"/>
  <c r="L26" i="33"/>
  <c r="J30" i="33"/>
  <c r="L30" i="33"/>
  <c r="J32" i="33"/>
  <c r="J65" i="55" s="1"/>
  <c r="J34" i="33"/>
  <c r="J64" i="55" s="1"/>
  <c r="J36" i="33"/>
  <c r="J63" i="55" s="1"/>
  <c r="K36" i="33"/>
  <c r="K63" i="55" s="1"/>
  <c r="J38" i="33"/>
  <c r="J42" i="55" s="1"/>
  <c r="J42" i="33"/>
  <c r="J46" i="55" s="1"/>
  <c r="J44" i="33"/>
  <c r="J66" i="55" s="1"/>
  <c r="J46" i="33"/>
  <c r="J57" i="55" s="1"/>
  <c r="J48" i="33"/>
  <c r="J39" i="55" s="1"/>
  <c r="J51" i="33"/>
  <c r="J53" i="33"/>
  <c r="J49" i="55" s="1"/>
  <c r="J40" i="33"/>
  <c r="J56" i="55" s="1"/>
  <c r="J55" i="33"/>
  <c r="J57" i="33"/>
  <c r="J60" i="33"/>
  <c r="J35" i="55" s="1"/>
  <c r="J62" i="33"/>
  <c r="J48" i="55" s="1"/>
  <c r="J64" i="33"/>
  <c r="J60" i="55" s="1"/>
  <c r="J66" i="33"/>
  <c r="J68" i="33"/>
  <c r="J51" i="55" s="1"/>
  <c r="J3" i="33"/>
  <c r="J53" i="55" s="1"/>
  <c r="L14" i="33"/>
  <c r="L27" i="33"/>
  <c r="L54" i="33"/>
  <c r="K18" i="33"/>
  <c r="K54" i="33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A3" i="34" s="1"/>
  <c r="B2" i="34"/>
  <c r="AH180" i="55" l="1"/>
  <c r="AI180" i="55"/>
  <c r="J33" i="55"/>
  <c r="J37" i="55"/>
  <c r="AI107" i="55"/>
  <c r="AI108" i="55"/>
  <c r="AH124" i="55"/>
  <c r="AI71" i="55"/>
  <c r="AI115" i="55"/>
  <c r="AI117" i="55"/>
  <c r="AH115" i="55"/>
  <c r="AH117" i="55"/>
  <c r="AI65" i="55"/>
  <c r="AI64" i="55"/>
  <c r="AH71" i="55"/>
  <c r="AI47" i="55"/>
  <c r="AH47" i="55"/>
  <c r="AI156" i="55"/>
  <c r="AI155" i="55"/>
  <c r="AH156" i="55"/>
  <c r="AH155" i="55"/>
  <c r="AI17" i="55"/>
  <c r="AI18" i="55"/>
  <c r="AH17" i="55"/>
  <c r="AH18" i="55"/>
  <c r="AI143" i="55"/>
  <c r="AI144" i="55"/>
  <c r="AH132" i="55"/>
  <c r="AH143" i="55"/>
  <c r="AH144" i="55"/>
  <c r="AI134" i="55"/>
  <c r="AI132" i="55"/>
  <c r="AI136" i="55"/>
  <c r="AI162" i="55"/>
  <c r="AI141" i="55"/>
  <c r="AH162" i="55"/>
  <c r="AH141" i="55"/>
  <c r="AH110" i="55"/>
  <c r="AH109" i="55"/>
  <c r="A13" i="35"/>
  <c r="S13" i="47"/>
  <c r="S12" i="47"/>
  <c r="R12" i="47"/>
  <c r="Q13" i="47"/>
  <c r="Q12" i="47"/>
  <c r="R13" i="47"/>
  <c r="X3" i="47"/>
  <c r="AL3" i="47"/>
  <c r="AL4" i="47"/>
  <c r="AN4" i="47"/>
  <c r="AO4" i="47"/>
  <c r="A4" i="34"/>
  <c r="Z5" i="47" s="1"/>
  <c r="AN107" i="47"/>
  <c r="AL107" i="47"/>
  <c r="AO107" i="47"/>
  <c r="Y4" i="47"/>
  <c r="Z4" i="47"/>
  <c r="X4" i="47"/>
  <c r="E9" i="35"/>
  <c r="F11" i="35"/>
  <c r="E10" i="35"/>
  <c r="F15" i="35"/>
  <c r="E16" i="35"/>
  <c r="E15" i="35"/>
  <c r="F21" i="35"/>
  <c r="E29" i="35"/>
  <c r="F31" i="35"/>
  <c r="E30" i="35"/>
  <c r="E42" i="35"/>
  <c r="F45" i="35"/>
  <c r="E49" i="35"/>
  <c r="E48" i="35"/>
  <c r="E50" i="35"/>
  <c r="F53" i="35"/>
  <c r="F56" i="35"/>
  <c r="E53" i="35"/>
  <c r="E55" i="35"/>
  <c r="E62" i="35"/>
  <c r="F60" i="35"/>
  <c r="E64" i="35"/>
  <c r="E71" i="35"/>
  <c r="F74" i="35"/>
  <c r="E74" i="35"/>
  <c r="E79" i="35"/>
  <c r="F92" i="35"/>
  <c r="AI95" i="55" s="1"/>
  <c r="E91" i="35"/>
  <c r="E101" i="35"/>
  <c r="AH169" i="55" s="1"/>
  <c r="F98" i="35"/>
  <c r="AI60" i="55" s="1"/>
  <c r="E98" i="35"/>
  <c r="F104" i="35"/>
  <c r="AI89" i="55" s="1"/>
  <c r="F131" i="35"/>
  <c r="AI82" i="55" s="1"/>
  <c r="E131" i="35"/>
  <c r="AH82" i="55" s="1"/>
  <c r="F136" i="35"/>
  <c r="E136" i="35"/>
  <c r="E135" i="35"/>
  <c r="E149" i="35"/>
  <c r="F149" i="35"/>
  <c r="E155" i="35"/>
  <c r="AH90" i="55" s="1"/>
  <c r="E154" i="35"/>
  <c r="AH29" i="55" s="1"/>
  <c r="F156" i="35"/>
  <c r="AI163" i="55" s="1"/>
  <c r="E156" i="35"/>
  <c r="AH163" i="55" s="1"/>
  <c r="F117" i="35"/>
  <c r="E119" i="35"/>
  <c r="F116" i="35"/>
  <c r="AI40" i="55" s="1"/>
  <c r="E116" i="35"/>
  <c r="AH40" i="55" s="1"/>
  <c r="E164" i="35"/>
  <c r="E168" i="35"/>
  <c r="AH59" i="55" s="1"/>
  <c r="F170" i="35"/>
  <c r="AI133" i="55" s="1"/>
  <c r="E170" i="35"/>
  <c r="AH133" i="55" s="1"/>
  <c r="E169" i="35"/>
  <c r="E174" i="35"/>
  <c r="AH119" i="55" s="1"/>
  <c r="F174" i="35"/>
  <c r="AI119" i="55" s="1"/>
  <c r="E172" i="35"/>
  <c r="AH20" i="55" s="1"/>
  <c r="E179" i="35"/>
  <c r="AH106" i="55" s="1"/>
  <c r="F179" i="35"/>
  <c r="AI106" i="55" s="1"/>
  <c r="E183" i="35"/>
  <c r="AH9" i="55" s="1"/>
  <c r="E185" i="35"/>
  <c r="AH45" i="55" s="1"/>
  <c r="F200" i="35"/>
  <c r="AI124" i="55" s="1"/>
  <c r="E199" i="35"/>
  <c r="AH153" i="55" s="1"/>
  <c r="F6" i="35"/>
  <c r="AI146" i="55" s="1"/>
  <c r="E6" i="35"/>
  <c r="AH146" i="55" s="1"/>
  <c r="L7" i="33"/>
  <c r="K11" i="33"/>
  <c r="K61" i="33"/>
  <c r="K16" i="55" s="1"/>
  <c r="K45" i="33"/>
  <c r="K27" i="33"/>
  <c r="K10" i="33"/>
  <c r="L61" i="33"/>
  <c r="L16" i="55" s="1"/>
  <c r="L45" i="33"/>
  <c r="L10" i="33"/>
  <c r="K23" i="33"/>
  <c r="K9" i="33"/>
  <c r="K25" i="33"/>
  <c r="K59" i="33"/>
  <c r="K30" i="55" s="1"/>
  <c r="K43" i="33"/>
  <c r="K18" i="55" s="1"/>
  <c r="K24" i="33"/>
  <c r="K8" i="33"/>
  <c r="L59" i="33"/>
  <c r="L43" i="33"/>
  <c r="L18" i="55" s="1"/>
  <c r="L24" i="33"/>
  <c r="L8" i="33"/>
  <c r="L5" i="33"/>
  <c r="K21" i="33"/>
  <c r="K13" i="33"/>
  <c r="K47" i="55" s="1"/>
  <c r="L9" i="33"/>
  <c r="K63" i="33"/>
  <c r="K9" i="55" s="1"/>
  <c r="K47" i="33"/>
  <c r="K29" i="33"/>
  <c r="K12" i="33"/>
  <c r="K17" i="55" s="1"/>
  <c r="L63" i="33"/>
  <c r="L9" i="55" s="1"/>
  <c r="L47" i="33"/>
  <c r="L29" i="33"/>
  <c r="L12" i="33"/>
  <c r="L17" i="55" s="1"/>
  <c r="K44" i="33"/>
  <c r="K66" i="55" s="1"/>
  <c r="K42" i="33"/>
  <c r="K46" i="55" s="1"/>
  <c r="K38" i="33"/>
  <c r="K42" i="55" s="1"/>
  <c r="K32" i="33"/>
  <c r="K65" i="55" s="1"/>
  <c r="L13" i="33"/>
  <c r="L47" i="55" s="1"/>
  <c r="L11" i="33"/>
  <c r="K5" i="33"/>
  <c r="L23" i="33"/>
  <c r="K34" i="33"/>
  <c r="K64" i="55" s="1"/>
  <c r="K56" i="33"/>
  <c r="K31" i="55" s="1"/>
  <c r="K41" i="33"/>
  <c r="K19" i="55" s="1"/>
  <c r="K22" i="33"/>
  <c r="K6" i="33"/>
  <c r="L56" i="33"/>
  <c r="L31" i="55" s="1"/>
  <c r="L41" i="33"/>
  <c r="L19" i="55" s="1"/>
  <c r="L22" i="33"/>
  <c r="L6" i="33"/>
  <c r="K7" i="33"/>
  <c r="K19" i="33"/>
  <c r="K26" i="33"/>
  <c r="K37" i="33"/>
  <c r="K11" i="55" s="1"/>
  <c r="K20" i="33"/>
  <c r="K4" i="33"/>
  <c r="L37" i="33"/>
  <c r="L11" i="55" s="1"/>
  <c r="L20" i="33"/>
  <c r="L4" i="33"/>
  <c r="K2" i="33"/>
  <c r="K8" i="55" s="1"/>
  <c r="K39" i="33"/>
  <c r="K15" i="55" s="1"/>
  <c r="K35" i="33"/>
  <c r="K5" i="55" s="1"/>
  <c r="L2" i="33"/>
  <c r="L8" i="55" s="1"/>
  <c r="L39" i="33"/>
  <c r="L15" i="55" s="1"/>
  <c r="L35" i="33"/>
  <c r="L5" i="55" s="1"/>
  <c r="L18" i="33"/>
  <c r="L3" i="33"/>
  <c r="L53" i="55" s="1"/>
  <c r="L68" i="33"/>
  <c r="L51" i="55" s="1"/>
  <c r="L66" i="33"/>
  <c r="L64" i="33"/>
  <c r="L60" i="55" s="1"/>
  <c r="L62" i="33"/>
  <c r="L48" i="55" s="1"/>
  <c r="L60" i="33"/>
  <c r="L35" i="55" s="1"/>
  <c r="L57" i="33"/>
  <c r="L55" i="33"/>
  <c r="L40" i="33"/>
  <c r="L56" i="55" s="1"/>
  <c r="L53" i="33"/>
  <c r="L49" i="55" s="1"/>
  <c r="L51" i="33"/>
  <c r="K30" i="33"/>
  <c r="K67" i="33"/>
  <c r="K24" i="55" s="1"/>
  <c r="K52" i="33"/>
  <c r="K22" i="55" s="1"/>
  <c r="K33" i="33"/>
  <c r="K6" i="55" s="1"/>
  <c r="K16" i="33"/>
  <c r="L67" i="33"/>
  <c r="L24" i="55" s="1"/>
  <c r="L52" i="33"/>
  <c r="L22" i="55" s="1"/>
  <c r="L33" i="33"/>
  <c r="L6" i="55" s="1"/>
  <c r="L16" i="33"/>
  <c r="K3" i="33"/>
  <c r="K53" i="55" s="1"/>
  <c r="K68" i="33"/>
  <c r="K51" i="55" s="1"/>
  <c r="K66" i="33"/>
  <c r="K64" i="33"/>
  <c r="K60" i="55" s="1"/>
  <c r="K62" i="33"/>
  <c r="K48" i="55" s="1"/>
  <c r="K60" i="33"/>
  <c r="K35" i="55" s="1"/>
  <c r="K57" i="33"/>
  <c r="K55" i="33"/>
  <c r="K40" i="33"/>
  <c r="K56" i="55" s="1"/>
  <c r="K53" i="33"/>
  <c r="K49" i="55" s="1"/>
  <c r="K51" i="33"/>
  <c r="L48" i="33"/>
  <c r="L39" i="55" s="1"/>
  <c r="L46" i="33"/>
  <c r="L57" i="55" s="1"/>
  <c r="L21" i="33"/>
  <c r="K65" i="33"/>
  <c r="K50" i="33"/>
  <c r="K31" i="33"/>
  <c r="K14" i="55" s="1"/>
  <c r="K14" i="33"/>
  <c r="L65" i="33"/>
  <c r="L50" i="33"/>
  <c r="L31" i="33"/>
  <c r="L14" i="55" s="1"/>
  <c r="K48" i="33"/>
  <c r="K39" i="55" s="1"/>
  <c r="K46" i="33"/>
  <c r="K57" i="55" s="1"/>
  <c r="L44" i="33"/>
  <c r="L66" i="55" s="1"/>
  <c r="L42" i="33"/>
  <c r="L46" i="55" s="1"/>
  <c r="L38" i="33"/>
  <c r="L42" i="55" s="1"/>
  <c r="L36" i="33"/>
  <c r="L63" i="55" s="1"/>
  <c r="L34" i="33"/>
  <c r="L64" i="55" s="1"/>
  <c r="L32" i="33"/>
  <c r="L65" i="55" s="1"/>
  <c r="L19" i="33"/>
  <c r="L17" i="33"/>
  <c r="L15" i="33"/>
  <c r="K15" i="33"/>
  <c r="AH134" i="55" l="1"/>
  <c r="L30" i="55"/>
  <c r="L33" i="55"/>
  <c r="L37" i="55"/>
  <c r="AH107" i="55"/>
  <c r="AH108" i="55"/>
  <c r="K33" i="55"/>
  <c r="K37" i="55"/>
  <c r="L25" i="55"/>
  <c r="L26" i="55"/>
  <c r="K25" i="55"/>
  <c r="K26" i="55"/>
  <c r="AH85" i="55"/>
  <c r="AH87" i="55"/>
  <c r="K28" i="55"/>
  <c r="K27" i="55"/>
  <c r="AI85" i="55"/>
  <c r="AI87" i="55"/>
  <c r="L28" i="55"/>
  <c r="L27" i="55"/>
  <c r="AH65" i="55"/>
  <c r="AH64" i="55"/>
  <c r="AH137" i="55"/>
  <c r="AH136" i="55"/>
  <c r="AI110" i="55"/>
  <c r="AI109" i="55"/>
  <c r="AH38" i="55"/>
  <c r="AI38" i="55"/>
  <c r="AH60" i="55"/>
  <c r="AF126" i="55"/>
  <c r="AF129" i="55"/>
  <c r="AS10" i="55"/>
  <c r="AS41" i="55"/>
  <c r="A14" i="35"/>
  <c r="X5" i="47"/>
  <c r="Y5" i="47"/>
  <c r="A5" i="34"/>
  <c r="A6" i="34" s="1"/>
  <c r="AN5" i="47"/>
  <c r="AN6" i="47"/>
  <c r="AL5" i="47"/>
  <c r="AO5" i="47"/>
  <c r="F40" i="32"/>
  <c r="AS56" i="55" l="1"/>
  <c r="Z6" i="47"/>
  <c r="AO6" i="47"/>
  <c r="Y6" i="47"/>
  <c r="AL6" i="47"/>
  <c r="AO7" i="47"/>
  <c r="Z7" i="47"/>
  <c r="Y7" i="47"/>
  <c r="X7" i="47"/>
  <c r="AL7" i="47"/>
  <c r="A15" i="35"/>
  <c r="R15" i="47" s="1"/>
  <c r="Q15" i="47"/>
  <c r="S14" i="47"/>
  <c r="S15" i="47"/>
  <c r="X6" i="47"/>
  <c r="AN7" i="47"/>
  <c r="AL108" i="47"/>
  <c r="AO108" i="47"/>
  <c r="AN108" i="47"/>
  <c r="A7" i="34"/>
  <c r="F41" i="32"/>
  <c r="G2" i="36"/>
  <c r="V15" i="55" s="1"/>
  <c r="AN109" i="47"/>
  <c r="J4" i="33"/>
  <c r="J8" i="33"/>
  <c r="J14" i="33"/>
  <c r="J20" i="33"/>
  <c r="J24" i="33"/>
  <c r="J31" i="33"/>
  <c r="J14" i="55" s="1"/>
  <c r="J37" i="33"/>
  <c r="J11" i="55" s="1"/>
  <c r="J41" i="33"/>
  <c r="J19" i="55" s="1"/>
  <c r="J47" i="33"/>
  <c r="J54" i="33"/>
  <c r="J59" i="33"/>
  <c r="J65" i="33"/>
  <c r="J6" i="33"/>
  <c r="J10" i="33"/>
  <c r="J12" i="33"/>
  <c r="J17" i="55" s="1"/>
  <c r="J16" i="33"/>
  <c r="J18" i="33"/>
  <c r="J22" i="33"/>
  <c r="J27" i="33"/>
  <c r="J29" i="33"/>
  <c r="J33" i="33"/>
  <c r="J6" i="55" s="1"/>
  <c r="J35" i="33"/>
  <c r="J5" i="55" s="1"/>
  <c r="J39" i="33"/>
  <c r="J15" i="55" s="1"/>
  <c r="J43" i="33"/>
  <c r="J18" i="55" s="1"/>
  <c r="J45" i="33"/>
  <c r="J50" i="33"/>
  <c r="J52" i="33"/>
  <c r="J22" i="55" s="1"/>
  <c r="J56" i="33"/>
  <c r="J31" i="55" s="1"/>
  <c r="J61" i="33"/>
  <c r="J16" i="55" s="1"/>
  <c r="J63" i="33"/>
  <c r="J9" i="55" s="1"/>
  <c r="J67" i="33"/>
  <c r="J24" i="55" s="1"/>
  <c r="J2" i="33"/>
  <c r="J8" i="55" s="1"/>
  <c r="D3" i="31"/>
  <c r="E68" i="33" s="1"/>
  <c r="D3" i="18"/>
  <c r="D3" i="23"/>
  <c r="D3" i="20"/>
  <c r="D3" i="24"/>
  <c r="E53" i="33" s="1"/>
  <c r="E50" i="55" s="1"/>
  <c r="D3" i="16"/>
  <c r="E32" i="33" s="1"/>
  <c r="E67" i="55" s="1"/>
  <c r="D3" i="4"/>
  <c r="E5" i="33" s="1"/>
  <c r="E35" i="55" s="1"/>
  <c r="D3" i="12"/>
  <c r="D3" i="30"/>
  <c r="D3" i="28"/>
  <c r="E3" i="28" s="1"/>
  <c r="D3" i="5"/>
  <c r="D3" i="27"/>
  <c r="D3" i="8"/>
  <c r="E3" i="8" s="1"/>
  <c r="D3" i="2"/>
  <c r="D3" i="11"/>
  <c r="E21" i="33" s="1"/>
  <c r="E55" i="55" s="1"/>
  <c r="D3" i="25"/>
  <c r="D3" i="6"/>
  <c r="D3" i="22"/>
  <c r="E48" i="33" s="1"/>
  <c r="D3" i="9"/>
  <c r="D3" i="10"/>
  <c r="D3" i="17"/>
  <c r="E34" i="33" s="1"/>
  <c r="E64" i="55" s="1"/>
  <c r="D3" i="15"/>
  <c r="D3" i="7"/>
  <c r="D3" i="1"/>
  <c r="D3" i="13"/>
  <c r="D3" i="21"/>
  <c r="D3" i="29"/>
  <c r="D3" i="26"/>
  <c r="D3" i="3"/>
  <c r="D3" i="19"/>
  <c r="D2" i="22"/>
  <c r="D2" i="10"/>
  <c r="D2" i="21"/>
  <c r="D2" i="31"/>
  <c r="D2" i="3"/>
  <c r="D2" i="8"/>
  <c r="D2" i="20"/>
  <c r="D2" i="15"/>
  <c r="D2" i="11"/>
  <c r="D2" i="7"/>
  <c r="D2" i="18"/>
  <c r="D2" i="27"/>
  <c r="D2" i="6"/>
  <c r="D2" i="26"/>
  <c r="D2" i="28"/>
  <c r="D2" i="2"/>
  <c r="D2" i="17"/>
  <c r="D2" i="19"/>
  <c r="D2" i="16"/>
  <c r="D2" i="13"/>
  <c r="D2" i="9"/>
  <c r="D2" i="1"/>
  <c r="D2" i="25"/>
  <c r="D2" i="12"/>
  <c r="D2" i="24"/>
  <c r="D2" i="4"/>
  <c r="D2" i="5"/>
  <c r="D2" i="30"/>
  <c r="D2" i="23"/>
  <c r="D2" i="29"/>
  <c r="J30" i="55" l="1"/>
  <c r="J25" i="55"/>
  <c r="J26" i="55"/>
  <c r="J28" i="55"/>
  <c r="J27" i="55"/>
  <c r="AS43" i="55"/>
  <c r="AS4" i="55"/>
  <c r="H3" i="8"/>
  <c r="I15" i="33" s="1"/>
  <c r="I65" i="55" s="1"/>
  <c r="F3" i="8"/>
  <c r="H3" i="28"/>
  <c r="I60" i="33" s="1"/>
  <c r="F3" i="28"/>
  <c r="A16" i="35"/>
  <c r="AO109" i="47"/>
  <c r="L20" i="8"/>
  <c r="M20" i="8" s="1"/>
  <c r="L21" i="8"/>
  <c r="M21" i="8" s="1"/>
  <c r="L22" i="8"/>
  <c r="M22" i="8" s="1"/>
  <c r="A8" i="34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X101" i="47" s="1"/>
  <c r="AO8" i="47"/>
  <c r="L8" i="18"/>
  <c r="L10" i="18"/>
  <c r="L9" i="18"/>
  <c r="L11" i="18"/>
  <c r="L7" i="18"/>
  <c r="L10" i="26"/>
  <c r="L27" i="26"/>
  <c r="M27" i="26" s="1"/>
  <c r="L11" i="26"/>
  <c r="H131" i="36" s="1"/>
  <c r="L21" i="26"/>
  <c r="L12" i="26"/>
  <c r="M12" i="26" s="1"/>
  <c r="L22" i="26"/>
  <c r="M22" i="26" s="1"/>
  <c r="L12" i="12"/>
  <c r="M12" i="12" s="1"/>
  <c r="L10" i="12"/>
  <c r="L27" i="12"/>
  <c r="M27" i="12" s="1"/>
  <c r="L21" i="12"/>
  <c r="L22" i="12"/>
  <c r="M22" i="12" s="1"/>
  <c r="L11" i="12"/>
  <c r="H56" i="36" s="1"/>
  <c r="L9" i="2"/>
  <c r="L21" i="2"/>
  <c r="L22" i="2"/>
  <c r="M22" i="2" s="1"/>
  <c r="L27" i="2"/>
  <c r="M27" i="2" s="1"/>
  <c r="L10" i="2"/>
  <c r="L11" i="2"/>
  <c r="H146" i="36" s="1"/>
  <c r="W79" i="55" s="1"/>
  <c r="L12" i="2"/>
  <c r="M12" i="2" s="1"/>
  <c r="L12" i="15"/>
  <c r="M12" i="15" s="1"/>
  <c r="L21" i="15"/>
  <c r="L22" i="15"/>
  <c r="M22" i="15" s="1"/>
  <c r="L11" i="15"/>
  <c r="H71" i="36" s="1"/>
  <c r="L10" i="15"/>
  <c r="L27" i="15"/>
  <c r="M27" i="15" s="1"/>
  <c r="L10" i="8"/>
  <c r="L11" i="8"/>
  <c r="H36" i="36" s="1"/>
  <c r="L27" i="8"/>
  <c r="M27" i="8" s="1"/>
  <c r="L12" i="8"/>
  <c r="M12" i="8" s="1"/>
  <c r="L27" i="23"/>
  <c r="M27" i="23" s="1"/>
  <c r="L21" i="23"/>
  <c r="L22" i="23"/>
  <c r="M22" i="23" s="1"/>
  <c r="L11" i="23"/>
  <c r="H121" i="36" s="1"/>
  <c r="L12" i="23"/>
  <c r="M12" i="23" s="1"/>
  <c r="L10" i="23"/>
  <c r="L27" i="9"/>
  <c r="M27" i="9" s="1"/>
  <c r="L22" i="9"/>
  <c r="M22" i="9" s="1"/>
  <c r="L12" i="9"/>
  <c r="M12" i="9" s="1"/>
  <c r="L11" i="9"/>
  <c r="H41" i="36" s="1"/>
  <c r="W107" i="55" s="1"/>
  <c r="L10" i="9"/>
  <c r="L21" i="9"/>
  <c r="L27" i="3"/>
  <c r="M27" i="3" s="1"/>
  <c r="L12" i="3"/>
  <c r="M12" i="3" s="1"/>
  <c r="L21" i="3"/>
  <c r="L10" i="3"/>
  <c r="L11" i="3"/>
  <c r="H86" i="36" s="1"/>
  <c r="L22" i="3"/>
  <c r="M22" i="3" s="1"/>
  <c r="L27" i="28"/>
  <c r="M27" i="28" s="1"/>
  <c r="L11" i="28"/>
  <c r="H141" i="36" s="1"/>
  <c r="L12" i="28"/>
  <c r="M12" i="28" s="1"/>
  <c r="L10" i="28"/>
  <c r="L21" i="28"/>
  <c r="L22" i="28"/>
  <c r="M22" i="28" s="1"/>
  <c r="L11" i="29"/>
  <c r="H151" i="36" s="1"/>
  <c r="L10" i="29"/>
  <c r="L21" i="29"/>
  <c r="L22" i="29"/>
  <c r="M22" i="29" s="1"/>
  <c r="L12" i="29"/>
  <c r="M12" i="29" s="1"/>
  <c r="L27" i="29"/>
  <c r="M27" i="29" s="1"/>
  <c r="L21" i="30"/>
  <c r="L22" i="30"/>
  <c r="M22" i="30" s="1"/>
  <c r="L11" i="30"/>
  <c r="H156" i="36" s="1"/>
  <c r="L27" i="30"/>
  <c r="M27" i="30" s="1"/>
  <c r="L10" i="30"/>
  <c r="L12" i="30"/>
  <c r="M12" i="30" s="1"/>
  <c r="L11" i="13"/>
  <c r="L12" i="13"/>
  <c r="M12" i="13" s="1"/>
  <c r="L10" i="13"/>
  <c r="L21" i="13"/>
  <c r="L22" i="13"/>
  <c r="M22" i="13" s="1"/>
  <c r="L27" i="13"/>
  <c r="M27" i="13" s="1"/>
  <c r="L10" i="27"/>
  <c r="L12" i="27"/>
  <c r="M12" i="27" s="1"/>
  <c r="L11" i="27"/>
  <c r="H136" i="36" s="1"/>
  <c r="L27" i="27"/>
  <c r="M27" i="27" s="1"/>
  <c r="L21" i="27"/>
  <c r="L22" i="27"/>
  <c r="M22" i="27" s="1"/>
  <c r="L11" i="31"/>
  <c r="H161" i="36" s="1"/>
  <c r="L21" i="31"/>
  <c r="L22" i="31"/>
  <c r="M22" i="31" s="1"/>
  <c r="L10" i="31"/>
  <c r="L12" i="31"/>
  <c r="M12" i="31" s="1"/>
  <c r="L27" i="31"/>
  <c r="M27" i="31" s="1"/>
  <c r="L21" i="1"/>
  <c r="L22" i="1"/>
  <c r="M22" i="1" s="1"/>
  <c r="L27" i="1"/>
  <c r="M27" i="1" s="1"/>
  <c r="L12" i="1"/>
  <c r="M12" i="1" s="1"/>
  <c r="L10" i="1"/>
  <c r="L11" i="1"/>
  <c r="H26" i="36" s="1"/>
  <c r="L12" i="18"/>
  <c r="M12" i="18" s="1"/>
  <c r="L27" i="18"/>
  <c r="M27" i="18" s="1"/>
  <c r="L21" i="18"/>
  <c r="L22" i="18"/>
  <c r="M22" i="18" s="1"/>
  <c r="L21" i="21"/>
  <c r="L22" i="21"/>
  <c r="M22" i="21" s="1"/>
  <c r="L27" i="21"/>
  <c r="M27" i="21" s="1"/>
  <c r="L10" i="21"/>
  <c r="L11" i="21"/>
  <c r="H111" i="36" s="1"/>
  <c r="L12" i="21"/>
  <c r="M12" i="21" s="1"/>
  <c r="L10" i="16"/>
  <c r="L11" i="16"/>
  <c r="H76" i="36" s="1"/>
  <c r="L21" i="16"/>
  <c r="L22" i="16"/>
  <c r="M22" i="16" s="1"/>
  <c r="L12" i="16"/>
  <c r="M12" i="16" s="1"/>
  <c r="L27" i="16"/>
  <c r="M27" i="16" s="1"/>
  <c r="L27" i="4"/>
  <c r="M27" i="4" s="1"/>
  <c r="L21" i="4"/>
  <c r="L22" i="4"/>
  <c r="M22" i="4" s="1"/>
  <c r="L11" i="4"/>
  <c r="H11" i="36" s="1"/>
  <c r="L12" i="4"/>
  <c r="M12" i="4" s="1"/>
  <c r="L10" i="4"/>
  <c r="L27" i="19"/>
  <c r="M27" i="19" s="1"/>
  <c r="L12" i="19"/>
  <c r="M12" i="19" s="1"/>
  <c r="L21" i="19"/>
  <c r="L22" i="19"/>
  <c r="M22" i="19" s="1"/>
  <c r="L10" i="19"/>
  <c r="L11" i="19"/>
  <c r="H101" i="36" s="1"/>
  <c r="L21" i="7"/>
  <c r="L22" i="7"/>
  <c r="M22" i="7" s="1"/>
  <c r="L11" i="7"/>
  <c r="H31" i="36" s="1"/>
  <c r="L12" i="7"/>
  <c r="M12" i="7" s="1"/>
  <c r="L27" i="7"/>
  <c r="M27" i="7" s="1"/>
  <c r="L10" i="7"/>
  <c r="L10" i="10"/>
  <c r="L21" i="10"/>
  <c r="L12" i="10"/>
  <c r="M12" i="10" s="1"/>
  <c r="L22" i="10"/>
  <c r="M22" i="10" s="1"/>
  <c r="L11" i="10"/>
  <c r="H46" i="36" s="1"/>
  <c r="L27" i="10"/>
  <c r="M27" i="10" s="1"/>
  <c r="L27" i="14"/>
  <c r="M27" i="14" s="1"/>
  <c r="L21" i="14"/>
  <c r="L10" i="14"/>
  <c r="L12" i="14"/>
  <c r="M12" i="14" s="1"/>
  <c r="L11" i="14"/>
  <c r="H66" i="36" s="1"/>
  <c r="L22" i="14"/>
  <c r="M22" i="14" s="1"/>
  <c r="L27" i="25"/>
  <c r="M27" i="25" s="1"/>
  <c r="L11" i="25"/>
  <c r="H96" i="36" s="1"/>
  <c r="L12" i="25"/>
  <c r="M12" i="25" s="1"/>
  <c r="L21" i="25"/>
  <c r="L22" i="25"/>
  <c r="M22" i="25" s="1"/>
  <c r="L10" i="25"/>
  <c r="L12" i="20"/>
  <c r="M12" i="20" s="1"/>
  <c r="L21" i="20"/>
  <c r="L22" i="20"/>
  <c r="M22" i="20" s="1"/>
  <c r="L27" i="20"/>
  <c r="M27" i="20" s="1"/>
  <c r="L10" i="20"/>
  <c r="L11" i="20"/>
  <c r="H106" i="36" s="1"/>
  <c r="L27" i="5"/>
  <c r="M27" i="5" s="1"/>
  <c r="L12" i="5"/>
  <c r="M12" i="5" s="1"/>
  <c r="L21" i="5"/>
  <c r="L22" i="5"/>
  <c r="M22" i="5" s="1"/>
  <c r="L11" i="5"/>
  <c r="H16" i="36" s="1"/>
  <c r="L10" i="5"/>
  <c r="L21" i="24"/>
  <c r="L22" i="24"/>
  <c r="M22" i="24" s="1"/>
  <c r="L10" i="24"/>
  <c r="L12" i="24"/>
  <c r="M12" i="24" s="1"/>
  <c r="L11" i="24"/>
  <c r="H126" i="36" s="1"/>
  <c r="L27" i="24"/>
  <c r="M27" i="24" s="1"/>
  <c r="L12" i="17"/>
  <c r="M12" i="17" s="1"/>
  <c r="L21" i="17"/>
  <c r="L10" i="17"/>
  <c r="L11" i="17"/>
  <c r="H81" i="36" s="1"/>
  <c r="L22" i="17"/>
  <c r="M22" i="17" s="1"/>
  <c r="L27" i="17"/>
  <c r="M27" i="17" s="1"/>
  <c r="L10" i="11"/>
  <c r="L27" i="11"/>
  <c r="M27" i="11" s="1"/>
  <c r="L11" i="11"/>
  <c r="H51" i="36" s="1"/>
  <c r="L12" i="11"/>
  <c r="M12" i="11" s="1"/>
  <c r="L21" i="11"/>
  <c r="L22" i="11"/>
  <c r="M22" i="11" s="1"/>
  <c r="L21" i="22"/>
  <c r="L22" i="22"/>
  <c r="M22" i="22" s="1"/>
  <c r="L27" i="22"/>
  <c r="M27" i="22" s="1"/>
  <c r="L10" i="22"/>
  <c r="L11" i="22"/>
  <c r="H116" i="36" s="1"/>
  <c r="L12" i="22"/>
  <c r="M12" i="22" s="1"/>
  <c r="L21" i="6"/>
  <c r="L22" i="6"/>
  <c r="M22" i="6" s="1"/>
  <c r="L27" i="6"/>
  <c r="M27" i="6" s="1"/>
  <c r="L10" i="6"/>
  <c r="L11" i="6"/>
  <c r="H21" i="36" s="1"/>
  <c r="L12" i="6"/>
  <c r="M12" i="6" s="1"/>
  <c r="E26" i="33"/>
  <c r="E44" i="55" s="1"/>
  <c r="L20" i="30"/>
  <c r="L15" i="31"/>
  <c r="G196" i="35" s="1"/>
  <c r="AJ26" i="55" s="1"/>
  <c r="E2" i="12"/>
  <c r="L16" i="2"/>
  <c r="G178" i="35" s="1"/>
  <c r="L17" i="22"/>
  <c r="M17" i="22" s="1"/>
  <c r="O17" i="22" s="1"/>
  <c r="L26" i="28"/>
  <c r="E85" i="34" s="1"/>
  <c r="L7" i="8"/>
  <c r="H32" i="36" s="1"/>
  <c r="W7" i="55" s="1"/>
  <c r="L7" i="14"/>
  <c r="L7" i="27"/>
  <c r="H132" i="36" s="1"/>
  <c r="W5" i="55" s="1"/>
  <c r="L15" i="4"/>
  <c r="M15" i="4" s="1"/>
  <c r="O15" i="4" s="1"/>
  <c r="L17" i="17"/>
  <c r="G100" i="35" s="1"/>
  <c r="L20" i="18"/>
  <c r="M20" i="18" s="1"/>
  <c r="L18" i="1"/>
  <c r="G30" i="35" s="1"/>
  <c r="L8" i="7"/>
  <c r="H28" i="36" s="1"/>
  <c r="E3" i="11"/>
  <c r="L16" i="20"/>
  <c r="G129" i="35" s="1"/>
  <c r="AJ47" i="55" s="1"/>
  <c r="L20" i="6"/>
  <c r="L9" i="19"/>
  <c r="H99" i="36" s="1"/>
  <c r="L15" i="21"/>
  <c r="G134" i="35" s="1"/>
  <c r="L16" i="9"/>
  <c r="G47" i="35" s="1"/>
  <c r="L17" i="16"/>
  <c r="G92" i="35" s="1"/>
  <c r="AJ95" i="55" s="1"/>
  <c r="L7" i="4"/>
  <c r="H7" i="36" s="1"/>
  <c r="W37" i="55" s="1"/>
  <c r="L8" i="16"/>
  <c r="H73" i="36" s="1"/>
  <c r="L9" i="13"/>
  <c r="H59" i="36" s="1"/>
  <c r="L15" i="28"/>
  <c r="G172" i="35" s="1"/>
  <c r="AJ20" i="55" s="1"/>
  <c r="L7" i="3"/>
  <c r="L18" i="11"/>
  <c r="G60" i="35" s="1"/>
  <c r="AJ101" i="55" s="1"/>
  <c r="L16" i="29"/>
  <c r="M16" i="29" s="1"/>
  <c r="O16" i="29" s="1"/>
  <c r="L7" i="19"/>
  <c r="H97" i="36" s="1"/>
  <c r="W30" i="55" s="1"/>
  <c r="L7" i="23"/>
  <c r="H117" i="36" s="1"/>
  <c r="W8" i="55" s="1"/>
  <c r="L15" i="25"/>
  <c r="G115" i="35" s="1"/>
  <c r="AJ5" i="55" s="1"/>
  <c r="L16" i="10"/>
  <c r="G53" i="35" s="1"/>
  <c r="L8" i="1"/>
  <c r="H23" i="36" s="1"/>
  <c r="L20" i="19"/>
  <c r="L15" i="26"/>
  <c r="G160" i="35" s="1"/>
  <c r="L17" i="15"/>
  <c r="G86" i="35" s="1"/>
  <c r="L17" i="26"/>
  <c r="G162" i="35" s="1"/>
  <c r="AJ112" i="55" s="1"/>
  <c r="L16" i="23"/>
  <c r="G147" i="35" s="1"/>
  <c r="L9" i="29"/>
  <c r="H149" i="36" s="1"/>
  <c r="W72" i="55" s="1"/>
  <c r="L18" i="20"/>
  <c r="G132" i="35" s="1"/>
  <c r="AJ176" i="55" s="1"/>
  <c r="L15" i="23"/>
  <c r="M15" i="23" s="1"/>
  <c r="O15" i="23" s="1"/>
  <c r="L26" i="5"/>
  <c r="L26" i="23"/>
  <c r="E65" i="33"/>
  <c r="L9" i="30"/>
  <c r="H154" i="36" s="1"/>
  <c r="W68" i="55" s="1"/>
  <c r="L18" i="30"/>
  <c r="L16" i="30"/>
  <c r="L8" i="30"/>
  <c r="H153" i="36" s="1"/>
  <c r="E2" i="30"/>
  <c r="F2" i="30" s="1"/>
  <c r="L24" i="30"/>
  <c r="L17" i="30"/>
  <c r="L25" i="30"/>
  <c r="L19" i="30"/>
  <c r="E41" i="33"/>
  <c r="L26" i="19"/>
  <c r="L19" i="19"/>
  <c r="E2" i="19"/>
  <c r="F2" i="19" s="1"/>
  <c r="L16" i="19"/>
  <c r="L15" i="19"/>
  <c r="L17" i="19"/>
  <c r="L25" i="19"/>
  <c r="L8" i="19"/>
  <c r="H98" i="36" s="1"/>
  <c r="W56" i="55" s="1"/>
  <c r="E33" i="33"/>
  <c r="L20" i="17"/>
  <c r="L8" i="17"/>
  <c r="H78" i="36" s="1"/>
  <c r="L9" i="17"/>
  <c r="H79" i="36" s="1"/>
  <c r="W83" i="55" s="1"/>
  <c r="L25" i="17"/>
  <c r="L19" i="17"/>
  <c r="L24" i="17"/>
  <c r="E2" i="17"/>
  <c r="F2" i="17" s="1"/>
  <c r="L18" i="17"/>
  <c r="L26" i="17"/>
  <c r="L15" i="17"/>
  <c r="L19" i="29"/>
  <c r="E8" i="33"/>
  <c r="L19" i="6"/>
  <c r="E2" i="6"/>
  <c r="L8" i="6"/>
  <c r="H18" i="36" s="1"/>
  <c r="W43" i="55" s="1"/>
  <c r="L26" i="6"/>
  <c r="L24" i="6"/>
  <c r="L25" i="6"/>
  <c r="L17" i="6"/>
  <c r="L16" i="6"/>
  <c r="L18" i="6"/>
  <c r="L9" i="6"/>
  <c r="H19" i="36" s="1"/>
  <c r="L7" i="6"/>
  <c r="H17" i="36" s="1"/>
  <c r="W31" i="55" s="1"/>
  <c r="L9" i="25"/>
  <c r="H94" i="36" s="1"/>
  <c r="W69" i="55" s="1"/>
  <c r="L18" i="26"/>
  <c r="L15" i="6"/>
  <c r="E67" i="33"/>
  <c r="L9" i="31"/>
  <c r="H159" i="36" s="1"/>
  <c r="L26" i="31"/>
  <c r="L18" i="31"/>
  <c r="L16" i="31"/>
  <c r="L25" i="31"/>
  <c r="E2" i="31"/>
  <c r="F2" i="31" s="1"/>
  <c r="L8" i="31"/>
  <c r="H158" i="36" s="1"/>
  <c r="W42" i="55" s="1"/>
  <c r="L17" i="31"/>
  <c r="L20" i="31"/>
  <c r="M20" i="31" s="1"/>
  <c r="L24" i="31"/>
  <c r="L7" i="31"/>
  <c r="H157" i="36" s="1"/>
  <c r="L19" i="31"/>
  <c r="L26" i="10"/>
  <c r="E6" i="33"/>
  <c r="L18" i="5"/>
  <c r="L16" i="5"/>
  <c r="L24" i="5"/>
  <c r="L25" i="5"/>
  <c r="L9" i="5"/>
  <c r="H14" i="36" s="1"/>
  <c r="E2" i="5"/>
  <c r="E24" i="33"/>
  <c r="L18" i="13"/>
  <c r="L24" i="13"/>
  <c r="L20" i="13"/>
  <c r="M20" i="13" s="1"/>
  <c r="L8" i="13"/>
  <c r="H58" i="36" s="1"/>
  <c r="W28" i="55" s="1"/>
  <c r="L26" i="13"/>
  <c r="L16" i="13"/>
  <c r="L17" i="13"/>
  <c r="E2" i="13"/>
  <c r="F2" i="13" s="1"/>
  <c r="L25" i="13"/>
  <c r="L7" i="13"/>
  <c r="H57" i="36" s="1"/>
  <c r="W18" i="55" s="1"/>
  <c r="L15" i="13"/>
  <c r="L15" i="2"/>
  <c r="L25" i="28"/>
  <c r="L25" i="7"/>
  <c r="L9" i="4"/>
  <c r="H9" i="36" s="1"/>
  <c r="W44" i="55" s="1"/>
  <c r="L20" i="27"/>
  <c r="M20" i="27" s="1"/>
  <c r="L7" i="28"/>
  <c r="H137" i="36" s="1"/>
  <c r="W27" i="55" s="1"/>
  <c r="E47" i="33"/>
  <c r="L16" i="22"/>
  <c r="L19" i="22"/>
  <c r="L20" i="22"/>
  <c r="M20" i="22" s="1"/>
  <c r="L8" i="22"/>
  <c r="H113" i="36" s="1"/>
  <c r="W50" i="55" s="1"/>
  <c r="L25" i="22"/>
  <c r="L18" i="22"/>
  <c r="L7" i="22"/>
  <c r="H112" i="36" s="1"/>
  <c r="W16" i="55" s="1"/>
  <c r="L24" i="22"/>
  <c r="L26" i="22"/>
  <c r="E2" i="22"/>
  <c r="F2" i="22" s="1"/>
  <c r="L15" i="12"/>
  <c r="L20" i="10"/>
  <c r="M20" i="10" s="1"/>
  <c r="E50" i="33"/>
  <c r="L9" i="23"/>
  <c r="H119" i="36" s="1"/>
  <c r="W123" i="55" s="1"/>
  <c r="L19" i="23"/>
  <c r="L20" i="23"/>
  <c r="M20" i="23" s="1"/>
  <c r="L17" i="23"/>
  <c r="L25" i="23"/>
  <c r="E2" i="23"/>
  <c r="F2" i="23" s="1"/>
  <c r="L24" i="23"/>
  <c r="E63" i="33"/>
  <c r="L17" i="29"/>
  <c r="L24" i="29"/>
  <c r="E2" i="29"/>
  <c r="F2" i="29" s="1"/>
  <c r="L20" i="29"/>
  <c r="M20" i="29" s="1"/>
  <c r="L26" i="29"/>
  <c r="L18" i="29"/>
  <c r="L8" i="29"/>
  <c r="H148" i="36" s="1"/>
  <c r="L7" i="29"/>
  <c r="H147" i="36" s="1"/>
  <c r="W12" i="55" s="1"/>
  <c r="E27" i="33"/>
  <c r="L25" i="14"/>
  <c r="L18" i="14"/>
  <c r="L9" i="14"/>
  <c r="H64" i="36" s="1"/>
  <c r="L17" i="14"/>
  <c r="L26" i="14"/>
  <c r="L15" i="14"/>
  <c r="L8" i="14"/>
  <c r="H63" i="36" s="1"/>
  <c r="W59" i="55" s="1"/>
  <c r="L16" i="14"/>
  <c r="E31" i="33"/>
  <c r="L25" i="16"/>
  <c r="L24" i="16"/>
  <c r="L26" i="16"/>
  <c r="L18" i="16"/>
  <c r="L7" i="16"/>
  <c r="H72" i="36" s="1"/>
  <c r="W25" i="55" s="1"/>
  <c r="E2" i="16"/>
  <c r="F2" i="16" s="1"/>
  <c r="L20" i="16"/>
  <c r="M20" i="16" s="1"/>
  <c r="L15" i="16"/>
  <c r="E43" i="33"/>
  <c r="L8" i="20"/>
  <c r="H103" i="36" s="1"/>
  <c r="L9" i="20"/>
  <c r="H104" i="36" s="1"/>
  <c r="W116" i="55" s="1"/>
  <c r="L15" i="20"/>
  <c r="L26" i="20"/>
  <c r="E2" i="20"/>
  <c r="F2" i="20" s="1"/>
  <c r="L17" i="20"/>
  <c r="E14" i="33"/>
  <c r="L18" i="8"/>
  <c r="L26" i="8"/>
  <c r="L16" i="8"/>
  <c r="L9" i="8"/>
  <c r="H34" i="36" s="1"/>
  <c r="W74" i="55" s="1"/>
  <c r="L19" i="8"/>
  <c r="E2" i="8"/>
  <c r="F2" i="8" s="1"/>
  <c r="L17" i="8"/>
  <c r="L25" i="8"/>
  <c r="L8" i="8"/>
  <c r="H33" i="36" s="1"/>
  <c r="L17" i="4"/>
  <c r="L24" i="20"/>
  <c r="L18" i="9"/>
  <c r="L15" i="5"/>
  <c r="L18" i="19"/>
  <c r="L19" i="16"/>
  <c r="L15" i="15"/>
  <c r="L15" i="27"/>
  <c r="L19" i="26"/>
  <c r="L24" i="19"/>
  <c r="L20" i="14"/>
  <c r="M20" i="14" s="1"/>
  <c r="L19" i="1"/>
  <c r="L19" i="20"/>
  <c r="L7" i="12"/>
  <c r="H52" i="36" s="1"/>
  <c r="W9" i="55" s="1"/>
  <c r="E39" i="33"/>
  <c r="L20" i="25"/>
  <c r="M20" i="25" s="1"/>
  <c r="E2" i="25"/>
  <c r="F2" i="25" s="1"/>
  <c r="L24" i="25"/>
  <c r="L19" i="25"/>
  <c r="L8" i="25"/>
  <c r="H93" i="36" s="1"/>
  <c r="W62" i="55" s="1"/>
  <c r="L17" i="25"/>
  <c r="L18" i="25"/>
  <c r="L25" i="25"/>
  <c r="L16" i="25"/>
  <c r="L19" i="14"/>
  <c r="L18" i="15"/>
  <c r="L25" i="24"/>
  <c r="L25" i="20"/>
  <c r="E35" i="33"/>
  <c r="L19" i="3"/>
  <c r="L20" i="3"/>
  <c r="M20" i="3" s="1"/>
  <c r="L26" i="3"/>
  <c r="L17" i="3"/>
  <c r="L8" i="3"/>
  <c r="H83" i="36" s="1"/>
  <c r="E2" i="3"/>
  <c r="F2" i="3" s="1"/>
  <c r="L25" i="3"/>
  <c r="L16" i="3"/>
  <c r="L15" i="3"/>
  <c r="L18" i="3"/>
  <c r="L24" i="3"/>
  <c r="L9" i="3"/>
  <c r="H84" i="36" s="1"/>
  <c r="L7" i="11"/>
  <c r="H47" i="36" s="1"/>
  <c r="E18" i="33"/>
  <c r="L24" i="10"/>
  <c r="L9" i="10"/>
  <c r="H44" i="36" s="1"/>
  <c r="E2" i="10"/>
  <c r="L8" i="10"/>
  <c r="H43" i="36" s="1"/>
  <c r="W33" i="55" s="1"/>
  <c r="L18" i="10"/>
  <c r="L25" i="10"/>
  <c r="L7" i="10"/>
  <c r="H42" i="36" s="1"/>
  <c r="W22" i="55" s="1"/>
  <c r="L17" i="10"/>
  <c r="L15" i="8"/>
  <c r="L20" i="4"/>
  <c r="M20" i="4" s="1"/>
  <c r="L15" i="30"/>
  <c r="L20" i="21"/>
  <c r="M20" i="21" s="1"/>
  <c r="L19" i="10"/>
  <c r="L15" i="10"/>
  <c r="E56" i="33"/>
  <c r="L16" i="27"/>
  <c r="L9" i="27"/>
  <c r="H134" i="36" s="1"/>
  <c r="L26" i="27"/>
  <c r="L25" i="27"/>
  <c r="L19" i="27"/>
  <c r="L17" i="27"/>
  <c r="E2" i="27"/>
  <c r="F2" i="27" s="1"/>
  <c r="L8" i="27"/>
  <c r="H133" i="36" s="1"/>
  <c r="W93" i="55" s="1"/>
  <c r="L24" i="27"/>
  <c r="L24" i="21"/>
  <c r="L15" i="24"/>
  <c r="E22" i="33"/>
  <c r="L18" i="12"/>
  <c r="L8" i="12"/>
  <c r="H53" i="36" s="1"/>
  <c r="W52" i="55" s="1"/>
  <c r="L16" i="12"/>
  <c r="L20" i="12"/>
  <c r="M20" i="12" s="1"/>
  <c r="L9" i="12"/>
  <c r="H54" i="36" s="1"/>
  <c r="L19" i="12"/>
  <c r="L25" i="12"/>
  <c r="L17" i="12"/>
  <c r="L24" i="12"/>
  <c r="L26" i="12"/>
  <c r="L15" i="9"/>
  <c r="L26" i="25"/>
  <c r="L7" i="30"/>
  <c r="H152" i="36" s="1"/>
  <c r="W4" i="55" s="1"/>
  <c r="E29" i="33"/>
  <c r="L8" i="15"/>
  <c r="H68" i="36" s="1"/>
  <c r="W38" i="55" s="1"/>
  <c r="L25" i="15"/>
  <c r="E2" i="15"/>
  <c r="F2" i="15" s="1"/>
  <c r="L19" i="15"/>
  <c r="L26" i="15"/>
  <c r="L9" i="15"/>
  <c r="H69" i="36" s="1"/>
  <c r="W84" i="55" s="1"/>
  <c r="L16" i="15"/>
  <c r="L20" i="15"/>
  <c r="M20" i="15" s="1"/>
  <c r="L24" i="15"/>
  <c r="L17" i="5"/>
  <c r="L8" i="5"/>
  <c r="H13" i="36" s="1"/>
  <c r="W39" i="55" s="1"/>
  <c r="L20" i="20"/>
  <c r="M20" i="20" s="1"/>
  <c r="L7" i="15"/>
  <c r="H67" i="36" s="1"/>
  <c r="W2" i="55" s="1"/>
  <c r="L8" i="23"/>
  <c r="H118" i="36" s="1"/>
  <c r="W66" i="55" s="1"/>
  <c r="L18" i="23"/>
  <c r="L19" i="2"/>
  <c r="L19" i="5"/>
  <c r="L9" i="16"/>
  <c r="H74" i="36" s="1"/>
  <c r="L9" i="22"/>
  <c r="H114" i="36" s="1"/>
  <c r="W76" i="55" s="1"/>
  <c r="L18" i="18"/>
  <c r="E52" i="33"/>
  <c r="L18" i="24"/>
  <c r="L8" i="24"/>
  <c r="H123" i="36" s="1"/>
  <c r="W51" i="55" s="1"/>
  <c r="L26" i="24"/>
  <c r="L16" i="24"/>
  <c r="L17" i="24"/>
  <c r="L9" i="24"/>
  <c r="H124" i="36" s="1"/>
  <c r="W102" i="55" s="1"/>
  <c r="L19" i="24"/>
  <c r="L20" i="24"/>
  <c r="M20" i="24" s="1"/>
  <c r="E2" i="24"/>
  <c r="F2" i="24" s="1"/>
  <c r="E16" i="33"/>
  <c r="E27" i="55" s="1"/>
  <c r="E2" i="9"/>
  <c r="L19" i="9"/>
  <c r="L9" i="9"/>
  <c r="H39" i="36" s="1"/>
  <c r="L25" i="9"/>
  <c r="L17" i="9"/>
  <c r="L26" i="9"/>
  <c r="L24" i="9"/>
  <c r="L20" i="9"/>
  <c r="M20" i="9" s="1"/>
  <c r="L8" i="9"/>
  <c r="H38" i="36" s="1"/>
  <c r="W32" i="55" s="1"/>
  <c r="L19" i="13"/>
  <c r="E59" i="33"/>
  <c r="L20" i="28"/>
  <c r="L16" i="28"/>
  <c r="L19" i="28"/>
  <c r="L8" i="28"/>
  <c r="H138" i="36" s="1"/>
  <c r="E2" i="28"/>
  <c r="L18" i="28"/>
  <c r="L9" i="28"/>
  <c r="H139" i="36" s="1"/>
  <c r="W105" i="55" s="1"/>
  <c r="L24" i="28"/>
  <c r="L17" i="28"/>
  <c r="E54" i="33"/>
  <c r="E2" i="26"/>
  <c r="F2" i="26" s="1"/>
  <c r="L16" i="26"/>
  <c r="L25" i="26"/>
  <c r="L20" i="26"/>
  <c r="M20" i="26" s="1"/>
  <c r="L9" i="26"/>
  <c r="H129" i="36" s="1"/>
  <c r="W67" i="55" s="1"/>
  <c r="L7" i="26"/>
  <c r="H127" i="36" s="1"/>
  <c r="L8" i="26"/>
  <c r="H128" i="36" s="1"/>
  <c r="W47" i="55" s="1"/>
  <c r="L15" i="29"/>
  <c r="L25" i="29"/>
  <c r="L26" i="30"/>
  <c r="L7" i="20"/>
  <c r="H102" i="36" s="1"/>
  <c r="W10" i="55" s="1"/>
  <c r="L7" i="17"/>
  <c r="H77" i="36" s="1"/>
  <c r="W29" i="55" s="1"/>
  <c r="L15" i="22"/>
  <c r="L7" i="24"/>
  <c r="H122" i="36" s="1"/>
  <c r="W20" i="55" s="1"/>
  <c r="L24" i="24"/>
  <c r="L16" i="17"/>
  <c r="L7" i="9"/>
  <c r="H37" i="36" s="1"/>
  <c r="W11" i="55" s="1"/>
  <c r="E61" i="33"/>
  <c r="E2" i="2"/>
  <c r="F2" i="2" s="1"/>
  <c r="L18" i="2"/>
  <c r="L17" i="2"/>
  <c r="L25" i="2"/>
  <c r="L24" i="2"/>
  <c r="L26" i="2"/>
  <c r="L7" i="2"/>
  <c r="H142" i="36" s="1"/>
  <c r="L20" i="2"/>
  <c r="M20" i="2" s="1"/>
  <c r="E45" i="33"/>
  <c r="L26" i="21"/>
  <c r="L16" i="21"/>
  <c r="E2" i="21"/>
  <c r="F2" i="21" s="1"/>
  <c r="L8" i="21"/>
  <c r="H108" i="36" s="1"/>
  <c r="L9" i="21"/>
  <c r="H109" i="36" s="1"/>
  <c r="W57" i="55" s="1"/>
  <c r="L19" i="21"/>
  <c r="L18" i="21"/>
  <c r="L25" i="21"/>
  <c r="L7" i="21"/>
  <c r="H107" i="36" s="1"/>
  <c r="W26" i="55" s="1"/>
  <c r="L17" i="21"/>
  <c r="L20" i="5"/>
  <c r="M20" i="5" s="1"/>
  <c r="E4" i="33"/>
  <c r="L25" i="4"/>
  <c r="E2" i="4"/>
  <c r="F2" i="4" s="1"/>
  <c r="L18" i="4"/>
  <c r="L19" i="4"/>
  <c r="L8" i="4"/>
  <c r="H8" i="36" s="1"/>
  <c r="W61" i="55" s="1"/>
  <c r="L16" i="4"/>
  <c r="L24" i="4"/>
  <c r="L26" i="4"/>
  <c r="E10" i="33"/>
  <c r="L25" i="1"/>
  <c r="L17" i="1"/>
  <c r="E2" i="1"/>
  <c r="L20" i="1"/>
  <c r="M20" i="1" s="1"/>
  <c r="L9" i="1"/>
  <c r="H24" i="36" s="1"/>
  <c r="L16" i="1"/>
  <c r="L7" i="1"/>
  <c r="H22" i="36" s="1"/>
  <c r="W3" i="55" s="1"/>
  <c r="L15" i="1"/>
  <c r="L24" i="1"/>
  <c r="L26" i="1"/>
  <c r="L8" i="2"/>
  <c r="H143" i="36" s="1"/>
  <c r="W88" i="55" s="1"/>
  <c r="L18" i="27"/>
  <c r="E37" i="33"/>
  <c r="L24" i="18"/>
  <c r="L17" i="18"/>
  <c r="E2" i="18"/>
  <c r="F2" i="18" s="1"/>
  <c r="L16" i="18"/>
  <c r="L26" i="18"/>
  <c r="L25" i="18"/>
  <c r="L19" i="18"/>
  <c r="L15" i="18"/>
  <c r="E12" i="33"/>
  <c r="L26" i="7"/>
  <c r="L24" i="7"/>
  <c r="L16" i="7"/>
  <c r="L9" i="7"/>
  <c r="H29" i="36" s="1"/>
  <c r="L20" i="7"/>
  <c r="M20" i="7" s="1"/>
  <c r="L19" i="7"/>
  <c r="L7" i="7"/>
  <c r="H27" i="36" s="1"/>
  <c r="L18" i="7"/>
  <c r="E2" i="7"/>
  <c r="E20" i="33"/>
  <c r="L19" i="11"/>
  <c r="L9" i="11"/>
  <c r="H49" i="36" s="1"/>
  <c r="W115" i="55" s="1"/>
  <c r="L26" i="11"/>
  <c r="L25" i="11"/>
  <c r="L17" i="11"/>
  <c r="L16" i="11"/>
  <c r="L24" i="11"/>
  <c r="L15" i="11"/>
  <c r="L8" i="11"/>
  <c r="H48" i="36" s="1"/>
  <c r="W35" i="55" s="1"/>
  <c r="E2" i="11"/>
  <c r="L20" i="11"/>
  <c r="M20" i="11" s="1"/>
  <c r="L16" i="16"/>
  <c r="L24" i="26"/>
  <c r="L7" i="25"/>
  <c r="H92" i="36" s="1"/>
  <c r="W21" i="55" s="1"/>
  <c r="L17" i="7"/>
  <c r="L15" i="7"/>
  <c r="L7" i="5"/>
  <c r="H12" i="36" s="1"/>
  <c r="W19" i="55" s="1"/>
  <c r="L24" i="8"/>
  <c r="L26" i="26"/>
  <c r="E64" i="33"/>
  <c r="E60" i="55" s="1"/>
  <c r="E3" i="29"/>
  <c r="F3" i="29" s="1"/>
  <c r="G64" i="33" s="1"/>
  <c r="G60" i="55" s="1"/>
  <c r="E55" i="33"/>
  <c r="E41" i="55" s="1"/>
  <c r="E3" i="26"/>
  <c r="F3" i="26" s="1"/>
  <c r="G55" i="33" s="1"/>
  <c r="G41" i="55" s="1"/>
  <c r="E36" i="33"/>
  <c r="E63" i="55" s="1"/>
  <c r="E3" i="3"/>
  <c r="F3" i="3" s="1"/>
  <c r="G36" i="33" s="1"/>
  <c r="G63" i="55" s="1"/>
  <c r="E42" i="33"/>
  <c r="E46" i="55" s="1"/>
  <c r="E3" i="19"/>
  <c r="F3" i="19" s="1"/>
  <c r="G42" i="33" s="1"/>
  <c r="G46" i="55" s="1"/>
  <c r="E25" i="33"/>
  <c r="E59" i="55" s="1"/>
  <c r="E3" i="13"/>
  <c r="F3" i="13" s="1"/>
  <c r="E30" i="33"/>
  <c r="E58" i="55" s="1"/>
  <c r="E3" i="15"/>
  <c r="F3" i="15" s="1"/>
  <c r="F34" i="15" s="1"/>
  <c r="E3" i="7"/>
  <c r="F3" i="7" s="1"/>
  <c r="G13" i="33" s="1"/>
  <c r="G48" i="55" s="1"/>
  <c r="E13" i="33"/>
  <c r="E48" i="55" s="1"/>
  <c r="E3" i="17"/>
  <c r="F3" i="17" s="1"/>
  <c r="G34" i="33" s="1"/>
  <c r="G64" i="55" s="1"/>
  <c r="E46" i="33"/>
  <c r="E57" i="55" s="1"/>
  <c r="E3" i="21"/>
  <c r="F3" i="21" s="1"/>
  <c r="E11" i="33"/>
  <c r="E38" i="55" s="1"/>
  <c r="E3" i="1"/>
  <c r="F3" i="1" s="1"/>
  <c r="G11" i="33" s="1"/>
  <c r="G38" i="55" s="1"/>
  <c r="E62" i="33"/>
  <c r="E49" i="55" s="1"/>
  <c r="E3" i="2"/>
  <c r="F3" i="2" s="1"/>
  <c r="G62" i="33" s="1"/>
  <c r="G49" i="55" s="1"/>
  <c r="E3" i="27"/>
  <c r="F3" i="27" s="1"/>
  <c r="G57" i="33" s="1"/>
  <c r="E57" i="33"/>
  <c r="E19" i="33"/>
  <c r="E45" i="55" s="1"/>
  <c r="E3" i="10"/>
  <c r="F3" i="10" s="1"/>
  <c r="G19" i="33" s="1"/>
  <c r="G45" i="55" s="1"/>
  <c r="E66" i="33"/>
  <c r="E47" i="55" s="1"/>
  <c r="E3" i="30"/>
  <c r="F3" i="30" s="1"/>
  <c r="G66" i="33" s="1"/>
  <c r="G47" i="55" s="1"/>
  <c r="E3" i="22"/>
  <c r="F3" i="22" s="1"/>
  <c r="G48" i="33" s="1"/>
  <c r="F15" i="33"/>
  <c r="F65" i="55" s="1"/>
  <c r="G3" i="8"/>
  <c r="H15" i="33" s="1"/>
  <c r="H65" i="55" s="1"/>
  <c r="G15" i="33"/>
  <c r="G65" i="55" s="1"/>
  <c r="E15" i="33"/>
  <c r="E65" i="55" s="1"/>
  <c r="E3" i="5"/>
  <c r="F3" i="5" s="1"/>
  <c r="G7" i="33" s="1"/>
  <c r="G43" i="55" s="1"/>
  <c r="E7" i="33"/>
  <c r="E43" i="55" s="1"/>
  <c r="E40" i="33"/>
  <c r="E56" i="55" s="1"/>
  <c r="E3" i="25"/>
  <c r="F3" i="25" s="1"/>
  <c r="E3" i="9"/>
  <c r="F3" i="9" s="1"/>
  <c r="G17" i="33" s="1"/>
  <c r="E17" i="33"/>
  <c r="G3" i="28"/>
  <c r="H60" i="33" s="1"/>
  <c r="F60" i="33"/>
  <c r="E9" i="33"/>
  <c r="E61" i="55" s="1"/>
  <c r="E3" i="6"/>
  <c r="F3" i="6" s="1"/>
  <c r="G9" i="33" s="1"/>
  <c r="G61" i="55" s="1"/>
  <c r="E60" i="33"/>
  <c r="G60" i="33"/>
  <c r="E3" i="12"/>
  <c r="F3" i="12" s="1"/>
  <c r="G23" i="33" s="1"/>
  <c r="G54" i="55" s="1"/>
  <c r="E23" i="33"/>
  <c r="E54" i="55" s="1"/>
  <c r="E3" i="16"/>
  <c r="F3" i="16" s="1"/>
  <c r="G32" i="33" s="1"/>
  <c r="G67" i="55" s="1"/>
  <c r="E3" i="31"/>
  <c r="F3" i="31" s="1"/>
  <c r="G68" i="33" s="1"/>
  <c r="E3" i="24"/>
  <c r="F3" i="24" s="1"/>
  <c r="G53" i="33" s="1"/>
  <c r="G50" i="55" s="1"/>
  <c r="E3" i="20"/>
  <c r="F3" i="20" s="1"/>
  <c r="G44" i="33" s="1"/>
  <c r="G66" i="55" s="1"/>
  <c r="E44" i="33"/>
  <c r="E66" i="55" s="1"/>
  <c r="E51" i="33"/>
  <c r="E40" i="55" s="1"/>
  <c r="E3" i="23"/>
  <c r="F3" i="23" s="1"/>
  <c r="G51" i="33" s="1"/>
  <c r="G40" i="55" s="1"/>
  <c r="E3" i="4"/>
  <c r="F3" i="4" s="1"/>
  <c r="G5" i="33" s="1"/>
  <c r="G35" i="55" s="1"/>
  <c r="E3" i="18"/>
  <c r="F3" i="18" s="1"/>
  <c r="G38" i="33" s="1"/>
  <c r="G42" i="55" s="1"/>
  <c r="E38" i="33"/>
  <c r="E42" i="55" s="1"/>
  <c r="G26" i="33"/>
  <c r="G44" i="55" s="1"/>
  <c r="W70" i="55" l="1"/>
  <c r="W36" i="55"/>
  <c r="W34" i="55"/>
  <c r="W108" i="55"/>
  <c r="W41" i="55"/>
  <c r="W40" i="55"/>
  <c r="W109" i="55"/>
  <c r="W114" i="55"/>
  <c r="W65" i="55"/>
  <c r="W73" i="55"/>
  <c r="W45" i="55"/>
  <c r="W48" i="55"/>
  <c r="W71" i="55"/>
  <c r="AJ74" i="55"/>
  <c r="W95" i="55"/>
  <c r="W94" i="55"/>
  <c r="W17" i="55"/>
  <c r="W53" i="55"/>
  <c r="W99" i="55"/>
  <c r="W100" i="55"/>
  <c r="G36" i="55"/>
  <c r="G34" i="55"/>
  <c r="E36" i="55"/>
  <c r="E34" i="55"/>
  <c r="W87" i="55"/>
  <c r="W23" i="55"/>
  <c r="W24" i="55"/>
  <c r="W54" i="55"/>
  <c r="W46" i="55"/>
  <c r="W86" i="55"/>
  <c r="W98" i="55"/>
  <c r="F34" i="4"/>
  <c r="F34" i="13"/>
  <c r="F34" i="21"/>
  <c r="N22" i="14"/>
  <c r="O22" i="14"/>
  <c r="N22" i="31"/>
  <c r="O22" i="31"/>
  <c r="N20" i="31"/>
  <c r="O20" i="31"/>
  <c r="N27" i="31"/>
  <c r="O27" i="31"/>
  <c r="N12" i="31"/>
  <c r="O12" i="31"/>
  <c r="N27" i="30"/>
  <c r="O27" i="30"/>
  <c r="N22" i="30"/>
  <c r="O22" i="30"/>
  <c r="N12" i="30"/>
  <c r="O12" i="30"/>
  <c r="N27" i="29"/>
  <c r="O27" i="29"/>
  <c r="N20" i="29"/>
  <c r="O20" i="29"/>
  <c r="N12" i="29"/>
  <c r="O12" i="29"/>
  <c r="N22" i="29"/>
  <c r="O22" i="29"/>
  <c r="N12" i="28"/>
  <c r="O12" i="28"/>
  <c r="N27" i="28"/>
  <c r="O27" i="28"/>
  <c r="N22" i="28"/>
  <c r="O22" i="28"/>
  <c r="N20" i="2"/>
  <c r="O20" i="2"/>
  <c r="N12" i="2"/>
  <c r="O12" i="2"/>
  <c r="N27" i="2"/>
  <c r="O27" i="2"/>
  <c r="N22" i="2"/>
  <c r="O22" i="2"/>
  <c r="N20" i="27"/>
  <c r="O20" i="27"/>
  <c r="N22" i="27"/>
  <c r="O22" i="27"/>
  <c r="N27" i="27"/>
  <c r="O27" i="27"/>
  <c r="N12" i="27"/>
  <c r="O12" i="27"/>
  <c r="N22" i="26"/>
  <c r="O22" i="26"/>
  <c r="N20" i="26"/>
  <c r="O20" i="26"/>
  <c r="N12" i="26"/>
  <c r="O12" i="26"/>
  <c r="N27" i="26"/>
  <c r="O27" i="26"/>
  <c r="N12" i="24"/>
  <c r="O12" i="24"/>
  <c r="N27" i="24"/>
  <c r="O27" i="24"/>
  <c r="N22" i="24"/>
  <c r="O22" i="24"/>
  <c r="N20" i="24"/>
  <c r="O20" i="24"/>
  <c r="N27" i="23"/>
  <c r="O27" i="23"/>
  <c r="N22" i="23"/>
  <c r="O22" i="23"/>
  <c r="N12" i="23"/>
  <c r="O12" i="23"/>
  <c r="N20" i="23"/>
  <c r="O20" i="23"/>
  <c r="N27" i="22"/>
  <c r="O27" i="22"/>
  <c r="N22" i="22"/>
  <c r="O22" i="22"/>
  <c r="N20" i="22"/>
  <c r="O20" i="22"/>
  <c r="N12" i="22"/>
  <c r="O12" i="22"/>
  <c r="N12" i="21"/>
  <c r="O12" i="21"/>
  <c r="N27" i="21"/>
  <c r="O27" i="21"/>
  <c r="N20" i="21"/>
  <c r="O20" i="21"/>
  <c r="N22" i="21"/>
  <c r="O22" i="21"/>
  <c r="N12" i="20"/>
  <c r="O12" i="20"/>
  <c r="N22" i="20"/>
  <c r="O22" i="20"/>
  <c r="N20" i="20"/>
  <c r="O20" i="20"/>
  <c r="N27" i="20"/>
  <c r="O27" i="20"/>
  <c r="N22" i="19"/>
  <c r="O22" i="19"/>
  <c r="N27" i="19"/>
  <c r="O27" i="19"/>
  <c r="N12" i="19"/>
  <c r="O12" i="19"/>
  <c r="N22" i="18"/>
  <c r="O22" i="18"/>
  <c r="N20" i="18"/>
  <c r="O20" i="18"/>
  <c r="N27" i="18"/>
  <c r="O27" i="18"/>
  <c r="N12" i="18"/>
  <c r="O12" i="18"/>
  <c r="N22" i="3"/>
  <c r="O22" i="3"/>
  <c r="N20" i="3"/>
  <c r="O20" i="3"/>
  <c r="N12" i="3"/>
  <c r="O12" i="3"/>
  <c r="N27" i="3"/>
  <c r="O27" i="3"/>
  <c r="F34" i="25"/>
  <c r="N27" i="25"/>
  <c r="O27" i="25"/>
  <c r="N22" i="25"/>
  <c r="O22" i="25"/>
  <c r="N12" i="25"/>
  <c r="O12" i="25"/>
  <c r="N20" i="25"/>
  <c r="O20" i="25"/>
  <c r="N27" i="17"/>
  <c r="O27" i="17"/>
  <c r="N22" i="17"/>
  <c r="O22" i="17"/>
  <c r="N12" i="17"/>
  <c r="O12" i="17"/>
  <c r="N12" i="16"/>
  <c r="O12" i="16"/>
  <c r="N20" i="16"/>
  <c r="O20" i="16"/>
  <c r="N22" i="16"/>
  <c r="O22" i="16"/>
  <c r="N27" i="16"/>
  <c r="O27" i="16"/>
  <c r="N22" i="15"/>
  <c r="O22" i="15"/>
  <c r="N20" i="15"/>
  <c r="O20" i="15"/>
  <c r="N27" i="15"/>
  <c r="O27" i="15"/>
  <c r="N12" i="15"/>
  <c r="O12" i="15"/>
  <c r="N12" i="14"/>
  <c r="O12" i="14"/>
  <c r="N20" i="14"/>
  <c r="O20" i="14"/>
  <c r="N27" i="14"/>
  <c r="O27" i="14"/>
  <c r="N27" i="13"/>
  <c r="O27" i="13"/>
  <c r="N22" i="13"/>
  <c r="O22" i="13"/>
  <c r="N12" i="13"/>
  <c r="O12" i="13"/>
  <c r="N20" i="13"/>
  <c r="O20" i="13"/>
  <c r="N20" i="12"/>
  <c r="O20" i="12"/>
  <c r="N22" i="12"/>
  <c r="O22" i="12"/>
  <c r="N12" i="12"/>
  <c r="O12" i="12"/>
  <c r="N27" i="12"/>
  <c r="O27" i="12"/>
  <c r="N27" i="11"/>
  <c r="O27" i="11"/>
  <c r="N20" i="11"/>
  <c r="O20" i="11"/>
  <c r="N22" i="11"/>
  <c r="O22" i="11"/>
  <c r="N12" i="11"/>
  <c r="O12" i="11"/>
  <c r="N22" i="10"/>
  <c r="O22" i="10"/>
  <c r="N12" i="10"/>
  <c r="O12" i="10"/>
  <c r="N20" i="10"/>
  <c r="O20" i="10"/>
  <c r="N27" i="10"/>
  <c r="O27" i="10"/>
  <c r="N12" i="9"/>
  <c r="O12" i="9"/>
  <c r="N22" i="9"/>
  <c r="O22" i="9"/>
  <c r="N20" i="9"/>
  <c r="O20" i="9"/>
  <c r="N27" i="9"/>
  <c r="O27" i="9"/>
  <c r="N20" i="8"/>
  <c r="O20" i="8"/>
  <c r="N12" i="8"/>
  <c r="O12" i="8"/>
  <c r="N27" i="8"/>
  <c r="O27" i="8"/>
  <c r="N21" i="8"/>
  <c r="O21" i="8"/>
  <c r="N22" i="8"/>
  <c r="O22" i="8"/>
  <c r="N22" i="7"/>
  <c r="O22" i="7"/>
  <c r="N20" i="7"/>
  <c r="O20" i="7"/>
  <c r="N27" i="7"/>
  <c r="O27" i="7"/>
  <c r="N12" i="7"/>
  <c r="O12" i="7"/>
  <c r="N12" i="1"/>
  <c r="O12" i="1"/>
  <c r="N20" i="1"/>
  <c r="O20" i="1"/>
  <c r="N22" i="1"/>
  <c r="O22" i="1"/>
  <c r="N27" i="1"/>
  <c r="O27" i="1"/>
  <c r="N12" i="6"/>
  <c r="O12" i="6"/>
  <c r="N27" i="6"/>
  <c r="O27" i="6"/>
  <c r="N22" i="6"/>
  <c r="O22" i="6"/>
  <c r="N22" i="5"/>
  <c r="O22" i="5"/>
  <c r="N20" i="5"/>
  <c r="O20" i="5"/>
  <c r="N12" i="5"/>
  <c r="O12" i="5"/>
  <c r="N27" i="5"/>
  <c r="O27" i="5"/>
  <c r="N12" i="4"/>
  <c r="O12" i="4"/>
  <c r="N22" i="4"/>
  <c r="O22" i="4"/>
  <c r="N20" i="4"/>
  <c r="O20" i="4"/>
  <c r="N27" i="4"/>
  <c r="O27" i="4"/>
  <c r="F34" i="18"/>
  <c r="F34" i="3"/>
  <c r="G30" i="33"/>
  <c r="G58" i="55" s="1"/>
  <c r="G2" i="5"/>
  <c r="F2" i="5"/>
  <c r="F34" i="5" s="1"/>
  <c r="G2" i="9"/>
  <c r="F2" i="9"/>
  <c r="F34" i="9" s="1"/>
  <c r="G2" i="10"/>
  <c r="F2" i="10"/>
  <c r="F34" i="10" s="1"/>
  <c r="G2" i="6"/>
  <c r="F2" i="6"/>
  <c r="G8" i="33" s="1"/>
  <c r="G25" i="33"/>
  <c r="G59" i="55" s="1"/>
  <c r="G2" i="11"/>
  <c r="F2" i="11"/>
  <c r="G20" i="33" s="1"/>
  <c r="G2" i="1"/>
  <c r="F2" i="1"/>
  <c r="G10" i="33" s="1"/>
  <c r="E34" i="28"/>
  <c r="F2" i="28"/>
  <c r="G46" i="33"/>
  <c r="G57" i="55" s="1"/>
  <c r="G40" i="33"/>
  <c r="G56" i="55" s="1"/>
  <c r="G2" i="4"/>
  <c r="G2" i="7"/>
  <c r="F2" i="7"/>
  <c r="F34" i="7" s="1"/>
  <c r="F22" i="33"/>
  <c r="F2" i="12"/>
  <c r="F34" i="12" s="1"/>
  <c r="F34" i="30"/>
  <c r="F34" i="26"/>
  <c r="F34" i="23"/>
  <c r="H3" i="11"/>
  <c r="I21" i="33" s="1"/>
  <c r="I55" i="55" s="1"/>
  <c r="F3" i="11"/>
  <c r="G21" i="33" s="1"/>
  <c r="G55" i="55" s="1"/>
  <c r="Z8" i="47"/>
  <c r="AN8" i="47"/>
  <c r="Y8" i="47"/>
  <c r="X8" i="47"/>
  <c r="AL8" i="47"/>
  <c r="A17" i="35"/>
  <c r="Y26" i="47"/>
  <c r="X13" i="47"/>
  <c r="AO20" i="47"/>
  <c r="Z18" i="47"/>
  <c r="AN10" i="47"/>
  <c r="AO26" i="47"/>
  <c r="Z15" i="47"/>
  <c r="Y27" i="47"/>
  <c r="AO25" i="47"/>
  <c r="AO14" i="47"/>
  <c r="Z25" i="47"/>
  <c r="Z11" i="47"/>
  <c r="AL9" i="47"/>
  <c r="X31" i="47"/>
  <c r="AL13" i="47"/>
  <c r="X52" i="47"/>
  <c r="Z30" i="47"/>
  <c r="Z17" i="47"/>
  <c r="X18" i="47"/>
  <c r="Y24" i="47"/>
  <c r="X24" i="47"/>
  <c r="Y32" i="47"/>
  <c r="Y13" i="47"/>
  <c r="AO10" i="47"/>
  <c r="Z23" i="47"/>
  <c r="X27" i="47"/>
  <c r="X32" i="47"/>
  <c r="AL21" i="47"/>
  <c r="X34" i="47"/>
  <c r="AN33" i="47"/>
  <c r="AO27" i="47"/>
  <c r="AN9" i="47"/>
  <c r="AO12" i="47"/>
  <c r="AO49" i="47"/>
  <c r="X14" i="47"/>
  <c r="AL12" i="47"/>
  <c r="Z16" i="47"/>
  <c r="Y35" i="47"/>
  <c r="Y16" i="47"/>
  <c r="Y17" i="47"/>
  <c r="X33" i="47"/>
  <c r="AL34" i="47"/>
  <c r="Z24" i="47"/>
  <c r="Z10" i="47"/>
  <c r="AL18" i="47"/>
  <c r="AL10" i="47"/>
  <c r="Z29" i="47"/>
  <c r="AO24" i="47"/>
  <c r="AN19" i="47"/>
  <c r="Y14" i="47"/>
  <c r="AN18" i="47"/>
  <c r="AL15" i="47"/>
  <c r="AL35" i="47"/>
  <c r="Z19" i="47"/>
  <c r="X22" i="47"/>
  <c r="X25" i="47"/>
  <c r="Y47" i="47"/>
  <c r="AO9" i="47"/>
  <c r="X19" i="47"/>
  <c r="X35" i="47"/>
  <c r="Z21" i="47"/>
  <c r="AN30" i="47"/>
  <c r="Z36" i="47"/>
  <c r="X12" i="47"/>
  <c r="AL28" i="47"/>
  <c r="AO11" i="47"/>
  <c r="AL16" i="47"/>
  <c r="AN12" i="47"/>
  <c r="Y33" i="47"/>
  <c r="AN21" i="47"/>
  <c r="AL26" i="47"/>
  <c r="X36" i="47"/>
  <c r="Z27" i="47"/>
  <c r="AN34" i="47"/>
  <c r="Z13" i="47"/>
  <c r="AL17" i="47"/>
  <c r="Z32" i="47"/>
  <c r="X10" i="47"/>
  <c r="Y22" i="47"/>
  <c r="AN22" i="47"/>
  <c r="AO29" i="47"/>
  <c r="X20" i="47"/>
  <c r="AN13" i="47"/>
  <c r="AO17" i="47"/>
  <c r="Y15" i="47"/>
  <c r="Z33" i="47"/>
  <c r="AO31" i="47"/>
  <c r="Y19" i="47"/>
  <c r="AN11" i="47"/>
  <c r="Y18" i="47"/>
  <c r="Y21" i="47"/>
  <c r="AL20" i="47"/>
  <c r="X15" i="47"/>
  <c r="X16" i="47"/>
  <c r="Y12" i="47"/>
  <c r="Z22" i="47"/>
  <c r="X30" i="47"/>
  <c r="Y28" i="47"/>
  <c r="AN23" i="47"/>
  <c r="X28" i="47"/>
  <c r="AO28" i="47"/>
  <c r="AN14" i="47"/>
  <c r="Z14" i="47"/>
  <c r="AL11" i="47"/>
  <c r="AN20" i="47"/>
  <c r="AL32" i="47"/>
  <c r="X11" i="47"/>
  <c r="Z31" i="47"/>
  <c r="Z35" i="47"/>
  <c r="AO16" i="47"/>
  <c r="X29" i="47"/>
  <c r="Y30" i="47"/>
  <c r="Y10" i="47"/>
  <c r="Z9" i="47"/>
  <c r="X21" i="47"/>
  <c r="Z34" i="47"/>
  <c r="AO32" i="47"/>
  <c r="AL23" i="47"/>
  <c r="AO19" i="47"/>
  <c r="AO13" i="47"/>
  <c r="Y11" i="47"/>
  <c r="X9" i="47"/>
  <c r="Y94" i="47"/>
  <c r="AA99" i="47"/>
  <c r="X80" i="47"/>
  <c r="Z100" i="47"/>
  <c r="Y102" i="47"/>
  <c r="Z92" i="47"/>
  <c r="Z41" i="47"/>
  <c r="Z68" i="47"/>
  <c r="AO84" i="47"/>
  <c r="X100" i="47"/>
  <c r="X86" i="47"/>
  <c r="AN69" i="47"/>
  <c r="X88" i="47"/>
  <c r="X62" i="47"/>
  <c r="Y85" i="47"/>
  <c r="Y40" i="47"/>
  <c r="Z63" i="47"/>
  <c r="X49" i="47"/>
  <c r="X69" i="47"/>
  <c r="AL57" i="47"/>
  <c r="X90" i="47"/>
  <c r="Y73" i="47"/>
  <c r="Z66" i="47"/>
  <c r="X65" i="47"/>
  <c r="Y56" i="47"/>
  <c r="Y69" i="47"/>
  <c r="X48" i="47"/>
  <c r="Y60" i="47"/>
  <c r="Z65" i="47"/>
  <c r="AL76" i="47"/>
  <c r="Z93" i="47"/>
  <c r="Z79" i="47"/>
  <c r="AL85" i="47"/>
  <c r="X45" i="47"/>
  <c r="Y59" i="47"/>
  <c r="AO98" i="47"/>
  <c r="X96" i="47"/>
  <c r="Y65" i="47"/>
  <c r="Z99" i="47"/>
  <c r="Z81" i="47"/>
  <c r="Z71" i="47"/>
  <c r="Y41" i="47"/>
  <c r="Y63" i="47"/>
  <c r="X73" i="47"/>
  <c r="Z52" i="47"/>
  <c r="Y70" i="47"/>
  <c r="AA101" i="47"/>
  <c r="Z40" i="47"/>
  <c r="Z53" i="47"/>
  <c r="AO57" i="47"/>
  <c r="AO86" i="47"/>
  <c r="X97" i="47"/>
  <c r="AN88" i="47"/>
  <c r="AL37" i="47"/>
  <c r="Y81" i="47"/>
  <c r="AO66" i="47"/>
  <c r="Z57" i="47"/>
  <c r="Y79" i="47"/>
  <c r="AN72" i="47"/>
  <c r="Z59" i="47"/>
  <c r="AP101" i="47"/>
  <c r="X43" i="47"/>
  <c r="X71" i="47"/>
  <c r="Z45" i="47"/>
  <c r="X81" i="47"/>
  <c r="Z94" i="47"/>
  <c r="AL72" i="47"/>
  <c r="Z75" i="47"/>
  <c r="AL67" i="47"/>
  <c r="AL86" i="47"/>
  <c r="Y52" i="47"/>
  <c r="X59" i="47"/>
  <c r="Z46" i="47"/>
  <c r="Z56" i="47"/>
  <c r="AN71" i="47"/>
  <c r="X40" i="47"/>
  <c r="Y38" i="47"/>
  <c r="Z47" i="47"/>
  <c r="AN78" i="47"/>
  <c r="Y89" i="47"/>
  <c r="X66" i="47"/>
  <c r="Y75" i="47"/>
  <c r="AO37" i="47"/>
  <c r="AO81" i="47"/>
  <c r="X44" i="47"/>
  <c r="AN51" i="47"/>
  <c r="Y86" i="47"/>
  <c r="Y77" i="47"/>
  <c r="Y64" i="47"/>
  <c r="X41" i="47"/>
  <c r="Z86" i="47"/>
  <c r="AL95" i="47"/>
  <c r="Z88" i="47"/>
  <c r="Y76" i="47"/>
  <c r="AO75" i="47"/>
  <c r="AL43" i="47"/>
  <c r="Y68" i="47"/>
  <c r="AL51" i="47"/>
  <c r="AN54" i="47"/>
  <c r="X61" i="47"/>
  <c r="Y43" i="47"/>
  <c r="Y88" i="47"/>
  <c r="Z72" i="47"/>
  <c r="AO82" i="47"/>
  <c r="Y72" i="47"/>
  <c r="Y51" i="47"/>
  <c r="Z95" i="47"/>
  <c r="X102" i="47"/>
  <c r="X54" i="47"/>
  <c r="Z91" i="47"/>
  <c r="X87" i="47"/>
  <c r="AL90" i="47"/>
  <c r="Y99" i="47"/>
  <c r="Y55" i="47"/>
  <c r="X83" i="47"/>
  <c r="AN57" i="47"/>
  <c r="Z44" i="47"/>
  <c r="Z74" i="47"/>
  <c r="AN48" i="47"/>
  <c r="AN41" i="47"/>
  <c r="Y93" i="47"/>
  <c r="X79" i="47"/>
  <c r="Y74" i="47"/>
  <c r="AO47" i="47"/>
  <c r="AL101" i="47"/>
  <c r="X76" i="47"/>
  <c r="Z49" i="47"/>
  <c r="Z37" i="47"/>
  <c r="AO62" i="47"/>
  <c r="Z76" i="47"/>
  <c r="AL48" i="47"/>
  <c r="X63" i="47"/>
  <c r="Z82" i="47"/>
  <c r="Z60" i="47"/>
  <c r="Z83" i="47"/>
  <c r="X94" i="47"/>
  <c r="Y46" i="47"/>
  <c r="AO46" i="47"/>
  <c r="Z96" i="47"/>
  <c r="Z58" i="47"/>
  <c r="X70" i="47"/>
  <c r="AL59" i="47"/>
  <c r="AN46" i="47"/>
  <c r="Y80" i="47"/>
  <c r="X64" i="47"/>
  <c r="X50" i="47"/>
  <c r="Y90" i="47"/>
  <c r="Z78" i="47"/>
  <c r="X58" i="47"/>
  <c r="Z87" i="47"/>
  <c r="AL40" i="47"/>
  <c r="AL46" i="47"/>
  <c r="Y50" i="47"/>
  <c r="Z64" i="47"/>
  <c r="AL45" i="47"/>
  <c r="Y97" i="47"/>
  <c r="X53" i="47"/>
  <c r="Y54" i="47"/>
  <c r="X85" i="47"/>
  <c r="AN40" i="47"/>
  <c r="AL69" i="47"/>
  <c r="Y39" i="47"/>
  <c r="Y57" i="47"/>
  <c r="AN45" i="47"/>
  <c r="AL42" i="47"/>
  <c r="AN38" i="47"/>
  <c r="AA102" i="47"/>
  <c r="Y44" i="47"/>
  <c r="X74" i="47"/>
  <c r="Z85" i="47"/>
  <c r="AL50" i="47"/>
  <c r="X99" i="47"/>
  <c r="Y78" i="47"/>
  <c r="AN50" i="47"/>
  <c r="X91" i="47"/>
  <c r="AO53" i="47"/>
  <c r="AL53" i="47"/>
  <c r="Y96" i="47"/>
  <c r="X77" i="47"/>
  <c r="AL58" i="47"/>
  <c r="X46" i="47"/>
  <c r="Z69" i="47"/>
  <c r="Y95" i="47"/>
  <c r="Y67" i="47"/>
  <c r="AL61" i="47"/>
  <c r="AO30" i="47"/>
  <c r="AL79" i="47"/>
  <c r="Z73" i="47"/>
  <c r="Z50" i="47"/>
  <c r="AN52" i="47"/>
  <c r="Y37" i="47"/>
  <c r="AO34" i="47"/>
  <c r="X68" i="47"/>
  <c r="AO61" i="47"/>
  <c r="AO50" i="47"/>
  <c r="Y34" i="47"/>
  <c r="AN32" i="47"/>
  <c r="AN74" i="47"/>
  <c r="AO55" i="47"/>
  <c r="AO51" i="47"/>
  <c r="AO90" i="47"/>
  <c r="Z38" i="47"/>
  <c r="Z20" i="47"/>
  <c r="Z80" i="47"/>
  <c r="Y92" i="47"/>
  <c r="AN95" i="47"/>
  <c r="Z39" i="47"/>
  <c r="AL25" i="47"/>
  <c r="AN26" i="47"/>
  <c r="X17" i="47"/>
  <c r="Z84" i="47"/>
  <c r="X89" i="47"/>
  <c r="AL63" i="47"/>
  <c r="AO44" i="47"/>
  <c r="Y62" i="47"/>
  <c r="AL54" i="47"/>
  <c r="AL94" i="47"/>
  <c r="AN87" i="47"/>
  <c r="AL80" i="47"/>
  <c r="AO76" i="47"/>
  <c r="AN37" i="47"/>
  <c r="Y29" i="47"/>
  <c r="AN25" i="47"/>
  <c r="AN92" i="47"/>
  <c r="AO100" i="47"/>
  <c r="Y82" i="47"/>
  <c r="Z98" i="47"/>
  <c r="AO83" i="47"/>
  <c r="AL60" i="47"/>
  <c r="AO74" i="47"/>
  <c r="Y66" i="47"/>
  <c r="AO102" i="47"/>
  <c r="AO54" i="47"/>
  <c r="AL41" i="47"/>
  <c r="AL44" i="47"/>
  <c r="X37" i="47"/>
  <c r="AN17" i="47"/>
  <c r="X47" i="47"/>
  <c r="AN36" i="47"/>
  <c r="AN47" i="47"/>
  <c r="AO40" i="47"/>
  <c r="X26" i="47"/>
  <c r="AL78" i="47"/>
  <c r="AN35" i="47"/>
  <c r="Y20" i="47"/>
  <c r="AO23" i="47"/>
  <c r="AL97" i="47"/>
  <c r="AO95" i="47"/>
  <c r="Y83" i="47"/>
  <c r="AN82" i="47"/>
  <c r="AN91" i="47"/>
  <c r="AL73" i="47"/>
  <c r="AN62" i="47"/>
  <c r="Z51" i="47"/>
  <c r="Y53" i="47"/>
  <c r="AO71" i="47"/>
  <c r="AN49" i="47"/>
  <c r="X23" i="47"/>
  <c r="AN29" i="47"/>
  <c r="AO33" i="47"/>
  <c r="Z26" i="47"/>
  <c r="AL92" i="47"/>
  <c r="AN90" i="47"/>
  <c r="X82" i="47"/>
  <c r="Z89" i="47"/>
  <c r="AN77" i="47"/>
  <c r="AL96" i="47"/>
  <c r="AN85" i="47"/>
  <c r="Z67" i="47"/>
  <c r="AN15" i="47"/>
  <c r="X98" i="47"/>
  <c r="AO68" i="47"/>
  <c r="Y58" i="47"/>
  <c r="Z43" i="47"/>
  <c r="Y31" i="47"/>
  <c r="AL29" i="47"/>
  <c r="AO39" i="47"/>
  <c r="Y23" i="47"/>
  <c r="AN97" i="47"/>
  <c r="Z101" i="47"/>
  <c r="AN68" i="47"/>
  <c r="AP102" i="47"/>
  <c r="AN75" i="47"/>
  <c r="AL84" i="47"/>
  <c r="Y49" i="47"/>
  <c r="AL64" i="47"/>
  <c r="AO64" i="47"/>
  <c r="X42" i="47"/>
  <c r="AO22" i="47"/>
  <c r="AN27" i="47"/>
  <c r="AL19" i="47"/>
  <c r="AP100" i="47"/>
  <c r="AL100" i="47"/>
  <c r="X78" i="47"/>
  <c r="X60" i="47"/>
  <c r="X56" i="47"/>
  <c r="AL39" i="47"/>
  <c r="AO77" i="47"/>
  <c r="AL56" i="47"/>
  <c r="AO18" i="47"/>
  <c r="AL22" i="47"/>
  <c r="AL14" i="47"/>
  <c r="AL36" i="47"/>
  <c r="AO15" i="47"/>
  <c r="AN81" i="47"/>
  <c r="AL70" i="47"/>
  <c r="AL68" i="47"/>
  <c r="AN96" i="47"/>
  <c r="AN102" i="47"/>
  <c r="AN63" i="47"/>
  <c r="X84" i="47"/>
  <c r="AO70" i="47"/>
  <c r="Z55" i="47"/>
  <c r="AO43" i="47"/>
  <c r="AO96" i="47"/>
  <c r="Y42" i="47"/>
  <c r="AL93" i="47"/>
  <c r="Z77" i="47"/>
  <c r="AL82" i="47"/>
  <c r="Z54" i="47"/>
  <c r="AN89" i="47"/>
  <c r="AO91" i="47"/>
  <c r="Y101" i="47"/>
  <c r="AN70" i="47"/>
  <c r="AO60" i="47"/>
  <c r="AO89" i="47"/>
  <c r="AO99" i="47"/>
  <c r="AL77" i="47"/>
  <c r="AN53" i="47"/>
  <c r="X72" i="47"/>
  <c r="AN56" i="47"/>
  <c r="AO87" i="47"/>
  <c r="AN83" i="47"/>
  <c r="AO59" i="47"/>
  <c r="AN64" i="47"/>
  <c r="Z42" i="47"/>
  <c r="AN58" i="47"/>
  <c r="AN101" i="47"/>
  <c r="Z102" i="47"/>
  <c r="AL99" i="47"/>
  <c r="AN55" i="47"/>
  <c r="AO80" i="47"/>
  <c r="X51" i="47"/>
  <c r="AL89" i="47"/>
  <c r="AN44" i="47"/>
  <c r="AO67" i="47"/>
  <c r="AP99" i="47"/>
  <c r="AN80" i="47"/>
  <c r="X39" i="47"/>
  <c r="X55" i="47"/>
  <c r="AO88" i="47"/>
  <c r="X95" i="47"/>
  <c r="Z48" i="47"/>
  <c r="Y45" i="47"/>
  <c r="X67" i="47"/>
  <c r="AN76" i="47"/>
  <c r="Y48" i="47"/>
  <c r="Y61" i="47"/>
  <c r="AN84" i="47"/>
  <c r="AO97" i="47"/>
  <c r="AO78" i="47"/>
  <c r="AO73" i="47"/>
  <c r="AN93" i="47"/>
  <c r="X57" i="47"/>
  <c r="Z62" i="47"/>
  <c r="AN42" i="47"/>
  <c r="AO79" i="47"/>
  <c r="AN60" i="47"/>
  <c r="AO45" i="47"/>
  <c r="AA100" i="47"/>
  <c r="AL30" i="47"/>
  <c r="AN61" i="47"/>
  <c r="AO52" i="47"/>
  <c r="AL47" i="47"/>
  <c r="AN65" i="47"/>
  <c r="M8" i="1"/>
  <c r="AN94" i="47"/>
  <c r="AL83" i="47"/>
  <c r="Y71" i="47"/>
  <c r="Y91" i="47"/>
  <c r="AL71" i="47"/>
  <c r="AN67" i="47"/>
  <c r="AL49" i="47"/>
  <c r="AO38" i="47"/>
  <c r="AL55" i="47"/>
  <c r="AN39" i="47"/>
  <c r="AN99" i="47"/>
  <c r="Z97" i="47"/>
  <c r="AO101" i="47"/>
  <c r="AO93" i="47"/>
  <c r="AO63" i="47"/>
  <c r="Z61" i="47"/>
  <c r="Y87" i="47"/>
  <c r="AL75" i="47"/>
  <c r="AL87" i="47"/>
  <c r="AO35" i="47"/>
  <c r="AL62" i="47"/>
  <c r="AL66" i="47"/>
  <c r="AN86" i="47"/>
  <c r="AL98" i="47"/>
  <c r="AN43" i="47"/>
  <c r="Z70" i="47"/>
  <c r="X38" i="47"/>
  <c r="AL88" i="47"/>
  <c r="AO58" i="47"/>
  <c r="AL38" i="47"/>
  <c r="AN100" i="47"/>
  <c r="Y84" i="47"/>
  <c r="X92" i="47"/>
  <c r="AO48" i="47"/>
  <c r="AO85" i="47"/>
  <c r="AL65" i="47"/>
  <c r="AO72" i="47"/>
  <c r="AN79" i="47"/>
  <c r="AL52" i="47"/>
  <c r="AN73" i="47"/>
  <c r="X75" i="47"/>
  <c r="AO42" i="47"/>
  <c r="AO69" i="47"/>
  <c r="AO65" i="47"/>
  <c r="AL31" i="47"/>
  <c r="AL91" i="47"/>
  <c r="Z90" i="47"/>
  <c r="Y100" i="47"/>
  <c r="AO56" i="47"/>
  <c r="AL74" i="47"/>
  <c r="AL27" i="47"/>
  <c r="AO94" i="47"/>
  <c r="AO36" i="47"/>
  <c r="AN24" i="47"/>
  <c r="X93" i="47"/>
  <c r="Y98" i="47"/>
  <c r="AL81" i="47"/>
  <c r="AO92" i="47"/>
  <c r="Y36" i="47"/>
  <c r="AL102" i="47"/>
  <c r="AO41" i="47"/>
  <c r="AN31" i="47"/>
  <c r="AO21" i="47"/>
  <c r="AN59" i="47"/>
  <c r="Z12" i="47"/>
  <c r="Z28" i="47"/>
  <c r="AN98" i="47"/>
  <c r="AL24" i="47"/>
  <c r="AN16" i="47"/>
  <c r="AN28" i="47"/>
  <c r="AN66" i="47"/>
  <c r="AL33" i="47"/>
  <c r="Y9" i="47"/>
  <c r="Y25" i="47"/>
  <c r="M10" i="22"/>
  <c r="O10" i="22" s="1"/>
  <c r="H115" i="36"/>
  <c r="M10" i="4"/>
  <c r="O10" i="4" s="1"/>
  <c r="H10" i="36"/>
  <c r="W110" i="55" s="1"/>
  <c r="M10" i="29"/>
  <c r="O10" i="29" s="1"/>
  <c r="H150" i="36"/>
  <c r="W91" i="55" s="1"/>
  <c r="M11" i="18"/>
  <c r="O11" i="18" s="1"/>
  <c r="H91" i="36"/>
  <c r="M10" i="11"/>
  <c r="O10" i="11" s="1"/>
  <c r="H50" i="36"/>
  <c r="M9" i="18"/>
  <c r="O9" i="18" s="1"/>
  <c r="H89" i="36"/>
  <c r="M7" i="3"/>
  <c r="H82" i="36"/>
  <c r="W6" i="55" s="1"/>
  <c r="M10" i="6"/>
  <c r="O10" i="6" s="1"/>
  <c r="H20" i="36"/>
  <c r="W101" i="55" s="1"/>
  <c r="M10" i="25"/>
  <c r="O10" i="25" s="1"/>
  <c r="H95" i="36"/>
  <c r="W63" i="55" s="1"/>
  <c r="M10" i="3"/>
  <c r="O10" i="3" s="1"/>
  <c r="H85" i="36"/>
  <c r="W118" i="55" s="1"/>
  <c r="M9" i="2"/>
  <c r="O9" i="2" s="1"/>
  <c r="H144" i="36"/>
  <c r="W106" i="55" s="1"/>
  <c r="M10" i="18"/>
  <c r="O10" i="18" s="1"/>
  <c r="H90" i="36"/>
  <c r="M10" i="24"/>
  <c r="O10" i="24" s="1"/>
  <c r="H125" i="36"/>
  <c r="M10" i="14"/>
  <c r="O10" i="14" s="1"/>
  <c r="H65" i="36"/>
  <c r="M10" i="10"/>
  <c r="H45" i="36"/>
  <c r="M10" i="16"/>
  <c r="O10" i="16" s="1"/>
  <c r="H75" i="36"/>
  <c r="W124" i="55" s="1"/>
  <c r="M10" i="13"/>
  <c r="O10" i="13" s="1"/>
  <c r="H60" i="36"/>
  <c r="M8" i="18"/>
  <c r="O8" i="18" s="1"/>
  <c r="H88" i="36"/>
  <c r="W58" i="55" s="1"/>
  <c r="M10" i="7"/>
  <c r="O10" i="7" s="1"/>
  <c r="H30" i="36"/>
  <c r="W117" i="55" s="1"/>
  <c r="M10" i="23"/>
  <c r="O10" i="23" s="1"/>
  <c r="H120" i="36"/>
  <c r="W92" i="55" s="1"/>
  <c r="M10" i="17"/>
  <c r="O10" i="17" s="1"/>
  <c r="H80" i="36"/>
  <c r="W103" i="55" s="1"/>
  <c r="M10" i="20"/>
  <c r="O10" i="20" s="1"/>
  <c r="H105" i="36"/>
  <c r="M11" i="13"/>
  <c r="O11" i="13" s="1"/>
  <c r="H61" i="36"/>
  <c r="M10" i="8"/>
  <c r="O10" i="8" s="1"/>
  <c r="H35" i="36"/>
  <c r="M7" i="14"/>
  <c r="H62" i="36"/>
  <c r="W55" i="55" s="1"/>
  <c r="M10" i="5"/>
  <c r="O10" i="5" s="1"/>
  <c r="H15" i="36"/>
  <c r="W104" i="55" s="1"/>
  <c r="M10" i="21"/>
  <c r="O10" i="21" s="1"/>
  <c r="H110" i="36"/>
  <c r="M10" i="31"/>
  <c r="O10" i="31" s="1"/>
  <c r="H160" i="36"/>
  <c r="M10" i="2"/>
  <c r="O10" i="2" s="1"/>
  <c r="H145" i="36"/>
  <c r="W75" i="55" s="1"/>
  <c r="M10" i="26"/>
  <c r="O10" i="26" s="1"/>
  <c r="H130" i="36"/>
  <c r="W120" i="55" s="1"/>
  <c r="M10" i="1"/>
  <c r="O10" i="1" s="1"/>
  <c r="H25" i="36"/>
  <c r="M10" i="27"/>
  <c r="O10" i="27" s="1"/>
  <c r="H135" i="36"/>
  <c r="M10" i="30"/>
  <c r="O10" i="30" s="1"/>
  <c r="H155" i="36"/>
  <c r="M10" i="9"/>
  <c r="O10" i="9" s="1"/>
  <c r="H40" i="36"/>
  <c r="M10" i="15"/>
  <c r="O10" i="15" s="1"/>
  <c r="H70" i="36"/>
  <c r="M10" i="12"/>
  <c r="O10" i="12" s="1"/>
  <c r="H55" i="36"/>
  <c r="M7" i="18"/>
  <c r="O7" i="18" s="1"/>
  <c r="H87" i="36"/>
  <c r="W13" i="55" s="1"/>
  <c r="M10" i="19"/>
  <c r="O10" i="19" s="1"/>
  <c r="H100" i="36"/>
  <c r="W96" i="55" s="1"/>
  <c r="M10" i="28"/>
  <c r="O10" i="28" s="1"/>
  <c r="H140" i="36"/>
  <c r="W113" i="55" s="1"/>
  <c r="M15" i="31"/>
  <c r="N60" i="33"/>
  <c r="N15" i="33"/>
  <c r="F16" i="47" s="1"/>
  <c r="M9" i="13"/>
  <c r="M11" i="6"/>
  <c r="M21" i="17"/>
  <c r="O21" i="17" s="1"/>
  <c r="M11" i="20"/>
  <c r="M21" i="25"/>
  <c r="O21" i="25" s="1"/>
  <c r="M21" i="14"/>
  <c r="O21" i="14" s="1"/>
  <c r="G83" i="35"/>
  <c r="M21" i="7"/>
  <c r="O21" i="7" s="1"/>
  <c r="G40" i="35"/>
  <c r="M11" i="28"/>
  <c r="M21" i="3"/>
  <c r="O21" i="3" s="1"/>
  <c r="G107" i="35"/>
  <c r="M11" i="11"/>
  <c r="M21" i="10"/>
  <c r="O21" i="10" s="1"/>
  <c r="M11" i="24"/>
  <c r="M21" i="4"/>
  <c r="O21" i="4" s="1"/>
  <c r="M11" i="31"/>
  <c r="M11" i="30"/>
  <c r="M11" i="29"/>
  <c r="M21" i="9"/>
  <c r="O21" i="9" s="1"/>
  <c r="M11" i="23"/>
  <c r="M21" i="15"/>
  <c r="O21" i="15" s="1"/>
  <c r="M11" i="21"/>
  <c r="M11" i="15"/>
  <c r="M11" i="16"/>
  <c r="M21" i="31"/>
  <c r="O21" i="31" s="1"/>
  <c r="G202" i="35"/>
  <c r="M21" i="2"/>
  <c r="O21" i="2" s="1"/>
  <c r="M15" i="33"/>
  <c r="M21" i="6"/>
  <c r="O21" i="6" s="1"/>
  <c r="G26" i="35"/>
  <c r="M21" i="5"/>
  <c r="O21" i="5" s="1"/>
  <c r="M21" i="20"/>
  <c r="O21" i="20" s="1"/>
  <c r="M21" i="19"/>
  <c r="O21" i="19" s="1"/>
  <c r="G127" i="35"/>
  <c r="M11" i="1"/>
  <c r="M21" i="13"/>
  <c r="O21" i="13" s="1"/>
  <c r="G76" i="35"/>
  <c r="M11" i="12"/>
  <c r="M21" i="26"/>
  <c r="O21" i="26" s="1"/>
  <c r="M11" i="4"/>
  <c r="M21" i="1"/>
  <c r="O21" i="1" s="1"/>
  <c r="G33" i="35"/>
  <c r="M21" i="29"/>
  <c r="O21" i="29" s="1"/>
  <c r="M11" i="8"/>
  <c r="M21" i="22"/>
  <c r="O21" i="22" s="1"/>
  <c r="M11" i="14"/>
  <c r="M21" i="21"/>
  <c r="O21" i="21" s="1"/>
  <c r="M21" i="27"/>
  <c r="O21" i="27" s="1"/>
  <c r="M21" i="30"/>
  <c r="O21" i="30" s="1"/>
  <c r="G194" i="35"/>
  <c r="M21" i="28"/>
  <c r="O21" i="28" s="1"/>
  <c r="M11" i="9"/>
  <c r="M21" i="23"/>
  <c r="O21" i="23" s="1"/>
  <c r="G151" i="35"/>
  <c r="M11" i="26"/>
  <c r="M11" i="19"/>
  <c r="M11" i="5"/>
  <c r="M60" i="33"/>
  <c r="M11" i="17"/>
  <c r="M11" i="10"/>
  <c r="M11" i="7"/>
  <c r="M11" i="3"/>
  <c r="M11" i="2"/>
  <c r="M21" i="12"/>
  <c r="O21" i="12" s="1"/>
  <c r="M11" i="22"/>
  <c r="M21" i="16"/>
  <c r="O21" i="16" s="1"/>
  <c r="G95" i="35"/>
  <c r="M11" i="25"/>
  <c r="M21" i="11"/>
  <c r="O21" i="11" s="1"/>
  <c r="M21" i="24"/>
  <c r="O21" i="24" s="1"/>
  <c r="G158" i="35"/>
  <c r="M21" i="18"/>
  <c r="O21" i="18" s="1"/>
  <c r="M11" i="27"/>
  <c r="G8" i="35"/>
  <c r="AJ22" i="55" s="1"/>
  <c r="G126" i="35"/>
  <c r="M20" i="19"/>
  <c r="M20" i="28"/>
  <c r="O20" i="28" s="1"/>
  <c r="G25" i="35"/>
  <c r="AJ143" i="55" s="1"/>
  <c r="M20" i="6"/>
  <c r="G195" i="35"/>
  <c r="AJ148" i="55" s="1"/>
  <c r="M20" i="30"/>
  <c r="M17" i="17"/>
  <c r="M20" i="17"/>
  <c r="O20" i="17" s="1"/>
  <c r="H2" i="12"/>
  <c r="I22" i="33" s="1"/>
  <c r="G2" i="12"/>
  <c r="E34" i="8"/>
  <c r="G2" i="8"/>
  <c r="F34" i="16"/>
  <c r="M16" i="2"/>
  <c r="M7" i="8"/>
  <c r="M16" i="23"/>
  <c r="G114" i="35"/>
  <c r="M26" i="28"/>
  <c r="M9" i="19"/>
  <c r="G142" i="35"/>
  <c r="M15" i="28"/>
  <c r="M18" i="1"/>
  <c r="M8" i="7"/>
  <c r="G35" i="33"/>
  <c r="E34" i="18"/>
  <c r="G40" i="9"/>
  <c r="G41" i="9" s="1"/>
  <c r="E34" i="13"/>
  <c r="G40" i="31"/>
  <c r="G41" i="31" s="1"/>
  <c r="M7" i="27"/>
  <c r="O7" i="27" s="1"/>
  <c r="G3" i="11"/>
  <c r="H21" i="33" s="1"/>
  <c r="M17" i="16"/>
  <c r="E34" i="11"/>
  <c r="F21" i="33"/>
  <c r="M18" i="20"/>
  <c r="E34" i="2"/>
  <c r="E34" i="24"/>
  <c r="F34" i="24"/>
  <c r="E34" i="29"/>
  <c r="E34" i="7"/>
  <c r="E34" i="1"/>
  <c r="F34" i="31"/>
  <c r="E34" i="26"/>
  <c r="F34" i="28"/>
  <c r="E34" i="10"/>
  <c r="G40" i="8"/>
  <c r="G41" i="8" s="1"/>
  <c r="E34" i="30"/>
  <c r="M16" i="20"/>
  <c r="E34" i="23"/>
  <c r="E34" i="22"/>
  <c r="E34" i="5"/>
  <c r="F34" i="2"/>
  <c r="F34" i="20"/>
  <c r="F34" i="8"/>
  <c r="G40" i="18"/>
  <c r="G41" i="18" s="1"/>
  <c r="G40" i="24"/>
  <c r="G41" i="24" s="1"/>
  <c r="E34" i="9"/>
  <c r="F34" i="29"/>
  <c r="F27" i="33"/>
  <c r="E34" i="14"/>
  <c r="G27" i="33"/>
  <c r="F34" i="14"/>
  <c r="G40" i="5"/>
  <c r="G41" i="5" s="1"/>
  <c r="G40" i="25"/>
  <c r="G41" i="25" s="1"/>
  <c r="E34" i="31"/>
  <c r="E34" i="19"/>
  <c r="M16" i="10"/>
  <c r="G41" i="33"/>
  <c r="F34" i="19"/>
  <c r="E34" i="17"/>
  <c r="E34" i="15"/>
  <c r="G40" i="27"/>
  <c r="G41" i="27" s="1"/>
  <c r="E34" i="3"/>
  <c r="E34" i="20"/>
  <c r="E34" i="16"/>
  <c r="G40" i="14"/>
  <c r="G41" i="14" s="1"/>
  <c r="F34" i="22"/>
  <c r="E34" i="4"/>
  <c r="E34" i="21"/>
  <c r="G40" i="20"/>
  <c r="G41" i="20" s="1"/>
  <c r="E34" i="27"/>
  <c r="F34" i="27"/>
  <c r="E34" i="25"/>
  <c r="E34" i="6"/>
  <c r="F34" i="17"/>
  <c r="E34" i="12"/>
  <c r="G40" i="6"/>
  <c r="G41" i="6" s="1"/>
  <c r="G40" i="19"/>
  <c r="G41" i="19" s="1"/>
  <c r="G40" i="7"/>
  <c r="G41" i="7" s="1"/>
  <c r="G40" i="1"/>
  <c r="G41" i="1" s="1"/>
  <c r="G40" i="17"/>
  <c r="G41" i="17" s="1"/>
  <c r="G40" i="26"/>
  <c r="G41" i="26" s="1"/>
  <c r="G40" i="12"/>
  <c r="G41" i="12" s="1"/>
  <c r="G40" i="29"/>
  <c r="G41" i="29" s="1"/>
  <c r="G40" i="4"/>
  <c r="G41" i="4" s="1"/>
  <c r="G40" i="21"/>
  <c r="G41" i="21" s="1"/>
  <c r="G40" i="2"/>
  <c r="G41" i="2" s="1"/>
  <c r="G40" i="16"/>
  <c r="G41" i="16" s="1"/>
  <c r="G40" i="28"/>
  <c r="G41" i="28" s="1"/>
  <c r="G40" i="13"/>
  <c r="G41" i="13" s="1"/>
  <c r="G40" i="30"/>
  <c r="G41" i="30" s="1"/>
  <c r="G40" i="10"/>
  <c r="G41" i="10" s="1"/>
  <c r="G40" i="11"/>
  <c r="G41" i="11" s="1"/>
  <c r="G40" i="22"/>
  <c r="G41" i="22" s="1"/>
  <c r="G40" i="3"/>
  <c r="G41" i="3" s="1"/>
  <c r="G40" i="15"/>
  <c r="G41" i="15" s="1"/>
  <c r="G40" i="23"/>
  <c r="G41" i="23" s="1"/>
  <c r="G146" i="35"/>
  <c r="AJ54" i="55" s="1"/>
  <c r="M7" i="4"/>
  <c r="M18" i="11"/>
  <c r="M15" i="21"/>
  <c r="M16" i="9"/>
  <c r="M15" i="26"/>
  <c r="G184" i="35"/>
  <c r="AJ34" i="55" s="1"/>
  <c r="M9" i="29"/>
  <c r="M8" i="16"/>
  <c r="M15" i="25"/>
  <c r="M17" i="15"/>
  <c r="M7" i="19"/>
  <c r="M7" i="23"/>
  <c r="I27" i="33"/>
  <c r="M17" i="26"/>
  <c r="M7" i="25"/>
  <c r="M9" i="21"/>
  <c r="G161" i="35"/>
  <c r="AJ36" i="55" s="1"/>
  <c r="M16" i="26"/>
  <c r="O16" i="26" s="1"/>
  <c r="G153" i="35"/>
  <c r="M15" i="24"/>
  <c r="O15" i="24" s="1"/>
  <c r="H2" i="10"/>
  <c r="F18" i="33"/>
  <c r="G119" i="35"/>
  <c r="M19" i="25"/>
  <c r="O19" i="25" s="1"/>
  <c r="E59" i="34"/>
  <c r="AU11" i="55" s="1"/>
  <c r="M24" i="20"/>
  <c r="O24" i="20" s="1"/>
  <c r="H2" i="29"/>
  <c r="F63" i="33"/>
  <c r="G2" i="29"/>
  <c r="G141" i="35"/>
  <c r="M16" i="22"/>
  <c r="O16" i="22" s="1"/>
  <c r="G73" i="35"/>
  <c r="AJ49" i="55" s="1"/>
  <c r="M18" i="13"/>
  <c r="O18" i="13" s="1"/>
  <c r="M7" i="31"/>
  <c r="F8" i="33"/>
  <c r="H2" i="6"/>
  <c r="G3" i="5"/>
  <c r="H7" i="33" s="1"/>
  <c r="H43" i="55" s="1"/>
  <c r="F7" i="33"/>
  <c r="F43" i="55" s="1"/>
  <c r="H3" i="5"/>
  <c r="I7" i="33" s="1"/>
  <c r="I43" i="55" s="1"/>
  <c r="F46" i="33"/>
  <c r="F57" i="55" s="1"/>
  <c r="H3" i="21"/>
  <c r="I46" i="33" s="1"/>
  <c r="I57" i="55" s="1"/>
  <c r="G3" i="21"/>
  <c r="H46" i="33" s="1"/>
  <c r="H57" i="55" s="1"/>
  <c r="H3" i="13"/>
  <c r="I25" i="33" s="1"/>
  <c r="I59" i="55" s="1"/>
  <c r="F25" i="33"/>
  <c r="F59" i="55" s="1"/>
  <c r="G3" i="13"/>
  <c r="G3" i="26"/>
  <c r="H55" i="33" s="1"/>
  <c r="H41" i="55" s="1"/>
  <c r="H3" i="26"/>
  <c r="I55" i="33" s="1"/>
  <c r="I41" i="55" s="1"/>
  <c r="F55" i="33"/>
  <c r="F41" i="55" s="1"/>
  <c r="E79" i="34"/>
  <c r="AU81" i="55" s="1"/>
  <c r="M26" i="26"/>
  <c r="O26" i="26" s="1"/>
  <c r="G45" i="33"/>
  <c r="E77" i="34"/>
  <c r="AU9" i="55" s="1"/>
  <c r="M24" i="26"/>
  <c r="O24" i="26" s="1"/>
  <c r="G59" i="35"/>
  <c r="M16" i="11"/>
  <c r="O16" i="11" s="1"/>
  <c r="M7" i="7"/>
  <c r="E54" i="34"/>
  <c r="AU67" i="55" s="1"/>
  <c r="M25" i="18"/>
  <c r="O25" i="18" s="1"/>
  <c r="G32" i="35"/>
  <c r="E7" i="34"/>
  <c r="M26" i="4"/>
  <c r="O26" i="4" s="1"/>
  <c r="E6" i="34"/>
  <c r="AU45" i="55" s="1"/>
  <c r="M25" i="4"/>
  <c r="O25" i="4" s="1"/>
  <c r="M8" i="21"/>
  <c r="E87" i="34"/>
  <c r="AU77" i="55" s="1"/>
  <c r="M25" i="2"/>
  <c r="O25" i="2" s="1"/>
  <c r="M7" i="24"/>
  <c r="G183" i="35"/>
  <c r="AJ9" i="55" s="1"/>
  <c r="M15" i="29"/>
  <c r="O15" i="29" s="1"/>
  <c r="F54" i="33"/>
  <c r="F4" i="55" s="1"/>
  <c r="H2" i="26"/>
  <c r="G2" i="26"/>
  <c r="G59" i="33"/>
  <c r="G173" i="35"/>
  <c r="AJ37" i="55" s="1"/>
  <c r="M16" i="28"/>
  <c r="O16" i="28" s="1"/>
  <c r="G74" i="35"/>
  <c r="AJ170" i="55" s="1"/>
  <c r="M19" i="13"/>
  <c r="O19" i="13" s="1"/>
  <c r="G50" i="35"/>
  <c r="AJ108" i="55" s="1"/>
  <c r="M19" i="9"/>
  <c r="O19" i="9" s="1"/>
  <c r="F52" i="33"/>
  <c r="H2" i="24"/>
  <c r="G2" i="24"/>
  <c r="G52" i="33"/>
  <c r="G149" i="35"/>
  <c r="M18" i="23"/>
  <c r="O18" i="23" s="1"/>
  <c r="G16" i="35"/>
  <c r="M17" i="5"/>
  <c r="O17" i="5" s="1"/>
  <c r="G88" i="35"/>
  <c r="M19" i="15"/>
  <c r="O19" i="15" s="1"/>
  <c r="E32" i="34"/>
  <c r="AU8" i="55" s="1"/>
  <c r="M24" i="12"/>
  <c r="O24" i="12" s="1"/>
  <c r="G67" i="35"/>
  <c r="AJ116" i="55" s="1"/>
  <c r="M18" i="12"/>
  <c r="O18" i="12" s="1"/>
  <c r="E81" i="34"/>
  <c r="AU71" i="55" s="1"/>
  <c r="M25" i="27"/>
  <c r="O25" i="27" s="1"/>
  <c r="G41" i="35"/>
  <c r="AJ3" i="55" s="1"/>
  <c r="M15" i="8"/>
  <c r="O15" i="8" s="1"/>
  <c r="M9" i="10"/>
  <c r="G102" i="35"/>
  <c r="AJ13" i="55" s="1"/>
  <c r="M15" i="3"/>
  <c r="O15" i="3" s="1"/>
  <c r="G106" i="35"/>
  <c r="AJ158" i="55" s="1"/>
  <c r="M19" i="3"/>
  <c r="O19" i="3" s="1"/>
  <c r="G116" i="35"/>
  <c r="M16" i="25"/>
  <c r="O16" i="25" s="1"/>
  <c r="E74" i="34"/>
  <c r="AU6" i="55" s="1"/>
  <c r="M24" i="25"/>
  <c r="O24" i="25" s="1"/>
  <c r="G4" i="33"/>
  <c r="G164" i="35"/>
  <c r="AJ151" i="55" s="1"/>
  <c r="M19" i="26"/>
  <c r="O19" i="26" s="1"/>
  <c r="G10" i="35"/>
  <c r="M17" i="4"/>
  <c r="O17" i="4" s="1"/>
  <c r="G42" i="35"/>
  <c r="AJ11" i="55" s="1"/>
  <c r="M16" i="8"/>
  <c r="O16" i="8" s="1"/>
  <c r="G43" i="33"/>
  <c r="E45" i="34"/>
  <c r="AU31" i="55" s="1"/>
  <c r="M25" i="16"/>
  <c r="O25" i="16" s="1"/>
  <c r="G78" i="35"/>
  <c r="M16" i="14"/>
  <c r="O16" i="14" s="1"/>
  <c r="G79" i="35"/>
  <c r="AJ113" i="55" s="1"/>
  <c r="M18" i="14"/>
  <c r="O18" i="14" s="1"/>
  <c r="E89" i="34"/>
  <c r="AU12" i="55" s="1"/>
  <c r="M24" i="29"/>
  <c r="O24" i="29" s="1"/>
  <c r="E68" i="34"/>
  <c r="AU34" i="55" s="1"/>
  <c r="M24" i="23"/>
  <c r="O24" i="23" s="1"/>
  <c r="M7" i="22"/>
  <c r="G47" i="33"/>
  <c r="G171" i="35"/>
  <c r="G177" i="35"/>
  <c r="AJ8" i="55" s="1"/>
  <c r="M15" i="2"/>
  <c r="O15" i="2" s="1"/>
  <c r="E95" i="34"/>
  <c r="M24" i="31"/>
  <c r="O24" i="31" s="1"/>
  <c r="G22" i="35"/>
  <c r="AJ177" i="55" s="1"/>
  <c r="M18" i="6"/>
  <c r="O18" i="6" s="1"/>
  <c r="G24" i="35"/>
  <c r="AJ105" i="55" s="1"/>
  <c r="M19" i="6"/>
  <c r="O19" i="6" s="1"/>
  <c r="E49" i="34"/>
  <c r="AU72" i="55" s="1"/>
  <c r="M26" i="17"/>
  <c r="O26" i="17" s="1"/>
  <c r="G124" i="35"/>
  <c r="AJ166" i="55" s="1"/>
  <c r="M19" i="19"/>
  <c r="O19" i="19" s="1"/>
  <c r="G190" i="35"/>
  <c r="AJ51" i="55" s="1"/>
  <c r="M16" i="30"/>
  <c r="O16" i="30" s="1"/>
  <c r="E86" i="34"/>
  <c r="AU5" i="55" s="1"/>
  <c r="M24" i="2"/>
  <c r="O24" i="2" s="1"/>
  <c r="G176" i="35"/>
  <c r="AJ181" i="55" s="1"/>
  <c r="M19" i="28"/>
  <c r="O19" i="28" s="1"/>
  <c r="M8" i="5"/>
  <c r="G170" i="35"/>
  <c r="M19" i="27"/>
  <c r="O19" i="27" s="1"/>
  <c r="G104" i="35"/>
  <c r="AJ89" i="55" s="1"/>
  <c r="M18" i="3"/>
  <c r="O18" i="3" s="1"/>
  <c r="G130" i="35"/>
  <c r="M19" i="20"/>
  <c r="O19" i="20" s="1"/>
  <c r="G31" i="33"/>
  <c r="G50" i="33"/>
  <c r="G97" i="35"/>
  <c r="AJ25" i="55" s="1"/>
  <c r="M15" i="17"/>
  <c r="O15" i="17" s="1"/>
  <c r="M8" i="17"/>
  <c r="F41" i="33"/>
  <c r="H2" i="19"/>
  <c r="G2" i="19"/>
  <c r="M8" i="30"/>
  <c r="F17" i="33"/>
  <c r="G3" i="9"/>
  <c r="H17" i="33" s="1"/>
  <c r="H3" i="9"/>
  <c r="I17" i="33" s="1"/>
  <c r="F48" i="33"/>
  <c r="G3" i="22"/>
  <c r="H48" i="33" s="1"/>
  <c r="H3" i="22"/>
  <c r="I48" i="33" s="1"/>
  <c r="E20" i="34"/>
  <c r="AU29" i="55" s="1"/>
  <c r="M24" i="8"/>
  <c r="O24" i="8" s="1"/>
  <c r="G61" i="35"/>
  <c r="M17" i="11"/>
  <c r="O17" i="11" s="1"/>
  <c r="G38" i="35"/>
  <c r="AJ149" i="55" s="1"/>
  <c r="M19" i="7"/>
  <c r="O19" i="7" s="1"/>
  <c r="E55" i="34"/>
  <c r="AU63" i="55" s="1"/>
  <c r="M26" i="18"/>
  <c r="O26" i="18" s="1"/>
  <c r="F10" i="33"/>
  <c r="H2" i="1"/>
  <c r="G136" i="35"/>
  <c r="AJ87" i="55" s="1"/>
  <c r="M17" i="21"/>
  <c r="O17" i="21" s="1"/>
  <c r="F45" i="33"/>
  <c r="H2" i="21"/>
  <c r="G2" i="21"/>
  <c r="G179" i="35"/>
  <c r="AJ106" i="55" s="1"/>
  <c r="M17" i="2"/>
  <c r="O17" i="2" s="1"/>
  <c r="G140" i="35"/>
  <c r="AJ46" i="55" s="1"/>
  <c r="M15" i="22"/>
  <c r="O15" i="22" s="1"/>
  <c r="G174" i="35"/>
  <c r="M17" i="28"/>
  <c r="O17" i="28" s="1"/>
  <c r="M8" i="9"/>
  <c r="G159" i="35"/>
  <c r="AJ104" i="55" s="1"/>
  <c r="G156" i="35"/>
  <c r="AJ164" i="55" s="1"/>
  <c r="M18" i="24"/>
  <c r="O18" i="24" s="1"/>
  <c r="E41" i="34"/>
  <c r="AU27" i="55" s="1"/>
  <c r="M24" i="15"/>
  <c r="O24" i="15" s="1"/>
  <c r="F29" i="33"/>
  <c r="H2" i="15"/>
  <c r="G2" i="15"/>
  <c r="G66" i="35"/>
  <c r="AJ39" i="55" s="1"/>
  <c r="M17" i="12"/>
  <c r="O17" i="12" s="1"/>
  <c r="E62" i="34"/>
  <c r="AU18" i="55" s="1"/>
  <c r="M24" i="21"/>
  <c r="O24" i="21" s="1"/>
  <c r="E82" i="34"/>
  <c r="M26" i="27"/>
  <c r="O26" i="27" s="1"/>
  <c r="G18" i="33"/>
  <c r="E26" i="34"/>
  <c r="AU7" i="55" s="1"/>
  <c r="M24" i="10"/>
  <c r="O24" i="10" s="1"/>
  <c r="G54" i="33"/>
  <c r="G4" i="55" s="1"/>
  <c r="G103" i="35"/>
  <c r="AJ23" i="55" s="1"/>
  <c r="M16" i="3"/>
  <c r="O16" i="3" s="1"/>
  <c r="E75" i="34"/>
  <c r="M25" i="25"/>
  <c r="O25" i="25" s="1"/>
  <c r="F39" i="33"/>
  <c r="H2" i="25"/>
  <c r="G2" i="25"/>
  <c r="M7" i="12"/>
  <c r="G31" i="35"/>
  <c r="AJ154" i="55" s="1"/>
  <c r="M19" i="1"/>
  <c r="O19" i="1" s="1"/>
  <c r="G166" i="35"/>
  <c r="AJ12" i="55" s="1"/>
  <c r="M15" i="27"/>
  <c r="O15" i="27" s="1"/>
  <c r="E22" i="34"/>
  <c r="M26" i="8"/>
  <c r="O26" i="8" s="1"/>
  <c r="G128" i="35"/>
  <c r="AJ4" i="55" s="1"/>
  <c r="M15" i="20"/>
  <c r="O15" i="20" s="1"/>
  <c r="G96" i="35"/>
  <c r="AJ100" i="55" s="1"/>
  <c r="E39" i="34"/>
  <c r="M25" i="14"/>
  <c r="O25" i="14" s="1"/>
  <c r="M7" i="29"/>
  <c r="F50" i="33"/>
  <c r="H2" i="23"/>
  <c r="G2" i="23"/>
  <c r="G143" i="35"/>
  <c r="AJ111" i="55" s="1"/>
  <c r="M18" i="22"/>
  <c r="O18" i="22" s="1"/>
  <c r="M9" i="4"/>
  <c r="G71" i="35"/>
  <c r="M17" i="13"/>
  <c r="O17" i="13" s="1"/>
  <c r="F6" i="33"/>
  <c r="H2" i="5"/>
  <c r="G201" i="35"/>
  <c r="E97" i="34"/>
  <c r="AU89" i="55" s="1"/>
  <c r="M26" i="31"/>
  <c r="O26" i="31" s="1"/>
  <c r="G20" i="35"/>
  <c r="AJ6" i="55" s="1"/>
  <c r="M15" i="6"/>
  <c r="O15" i="6" s="1"/>
  <c r="G21" i="35"/>
  <c r="AJ28" i="55" s="1"/>
  <c r="M16" i="6"/>
  <c r="O16" i="6" s="1"/>
  <c r="G99" i="35"/>
  <c r="M18" i="17"/>
  <c r="O18" i="17" s="1"/>
  <c r="G33" i="33"/>
  <c r="M8" i="19"/>
  <c r="E58" i="34"/>
  <c r="AU84" i="55" s="1"/>
  <c r="M26" i="19"/>
  <c r="O26" i="19" s="1"/>
  <c r="H8" i="35"/>
  <c r="AK22" i="55" s="1"/>
  <c r="N15" i="4"/>
  <c r="G37" i="35"/>
  <c r="M18" i="7"/>
  <c r="O18" i="7" s="1"/>
  <c r="F4" i="33"/>
  <c r="H2" i="4"/>
  <c r="M8" i="24"/>
  <c r="M8" i="12"/>
  <c r="G108" i="35"/>
  <c r="AJ172" i="55" s="1"/>
  <c r="E61" i="34"/>
  <c r="AU83" i="55" s="1"/>
  <c r="M26" i="20"/>
  <c r="O26" i="20" s="1"/>
  <c r="F24" i="33"/>
  <c r="H2" i="13"/>
  <c r="G2" i="13"/>
  <c r="M9" i="6"/>
  <c r="H184" i="35"/>
  <c r="AK34" i="55" s="1"/>
  <c r="N16" i="29"/>
  <c r="I184" i="35" s="1"/>
  <c r="AL34" i="55" s="1"/>
  <c r="G3" i="18"/>
  <c r="H38" i="33" s="1"/>
  <c r="H42" i="55" s="1"/>
  <c r="H3" i="18"/>
  <c r="I38" i="33" s="1"/>
  <c r="I42" i="55" s="1"/>
  <c r="F38" i="33"/>
  <c r="F42" i="55" s="1"/>
  <c r="H3" i="25"/>
  <c r="I40" i="33" s="1"/>
  <c r="I56" i="55" s="1"/>
  <c r="G3" i="25"/>
  <c r="H40" i="33" s="1"/>
  <c r="H56" i="55" s="1"/>
  <c r="F40" i="33"/>
  <c r="F56" i="55" s="1"/>
  <c r="F66" i="33"/>
  <c r="F47" i="55" s="1"/>
  <c r="H3" i="30"/>
  <c r="I66" i="33" s="1"/>
  <c r="I47" i="55" s="1"/>
  <c r="G3" i="30"/>
  <c r="H66" i="33" s="1"/>
  <c r="H47" i="55" s="1"/>
  <c r="H3" i="17"/>
  <c r="I34" i="33" s="1"/>
  <c r="I64" i="55" s="1"/>
  <c r="F34" i="33"/>
  <c r="F64" i="55" s="1"/>
  <c r="G3" i="17"/>
  <c r="H34" i="33" s="1"/>
  <c r="H64" i="55" s="1"/>
  <c r="G91" i="35"/>
  <c r="M16" i="16"/>
  <c r="O16" i="16" s="1"/>
  <c r="E30" i="34"/>
  <c r="AU43" i="55" s="1"/>
  <c r="M25" i="11"/>
  <c r="O25" i="11" s="1"/>
  <c r="G39" i="35"/>
  <c r="G109" i="35"/>
  <c r="AJ19" i="55" s="1"/>
  <c r="M16" i="18"/>
  <c r="O16" i="18" s="1"/>
  <c r="E16" i="34"/>
  <c r="M26" i="1"/>
  <c r="O26" i="1" s="1"/>
  <c r="G29" i="35"/>
  <c r="AJ83" i="55" s="1"/>
  <c r="M17" i="1"/>
  <c r="O17" i="1" s="1"/>
  <c r="E5" i="34"/>
  <c r="AU4" i="55" s="1"/>
  <c r="M24" i="4"/>
  <c r="O24" i="4" s="1"/>
  <c r="G135" i="35"/>
  <c r="M16" i="21"/>
  <c r="O16" i="21" s="1"/>
  <c r="G181" i="35"/>
  <c r="M18" i="2"/>
  <c r="O18" i="2" s="1"/>
  <c r="M8" i="26"/>
  <c r="E83" i="34"/>
  <c r="AU19" i="55" s="1"/>
  <c r="M24" i="28"/>
  <c r="O24" i="28" s="1"/>
  <c r="G51" i="35"/>
  <c r="F16" i="33"/>
  <c r="F27" i="55" s="1"/>
  <c r="H2" i="9"/>
  <c r="G157" i="35"/>
  <c r="AJ185" i="55" s="1"/>
  <c r="M19" i="24"/>
  <c r="O19" i="24" s="1"/>
  <c r="G112" i="35"/>
  <c r="AJ132" i="55" s="1"/>
  <c r="M18" i="18"/>
  <c r="O18" i="18" s="1"/>
  <c r="M8" i="23"/>
  <c r="G29" i="33"/>
  <c r="E42" i="34"/>
  <c r="AU50" i="55" s="1"/>
  <c r="M25" i="15"/>
  <c r="O25" i="15" s="1"/>
  <c r="M7" i="30"/>
  <c r="E33" i="34"/>
  <c r="AU57" i="55" s="1"/>
  <c r="M25" i="12"/>
  <c r="O25" i="12" s="1"/>
  <c r="E80" i="34"/>
  <c r="AU13" i="55" s="1"/>
  <c r="M24" i="27"/>
  <c r="O24" i="27" s="1"/>
  <c r="M9" i="27"/>
  <c r="G54" i="35"/>
  <c r="AJ81" i="55" s="1"/>
  <c r="M17" i="10"/>
  <c r="O17" i="10" s="1"/>
  <c r="E51" i="34"/>
  <c r="M25" i="3"/>
  <c r="O25" i="3" s="1"/>
  <c r="E72" i="34"/>
  <c r="M25" i="24"/>
  <c r="O25" i="24" s="1"/>
  <c r="G118" i="35"/>
  <c r="M18" i="25"/>
  <c r="O18" i="25" s="1"/>
  <c r="G120" i="35"/>
  <c r="G85" i="35"/>
  <c r="AJ15" i="55" s="1"/>
  <c r="M15" i="15"/>
  <c r="O15" i="15" s="1"/>
  <c r="M8" i="8"/>
  <c r="G44" i="35"/>
  <c r="M18" i="8"/>
  <c r="O18" i="8" s="1"/>
  <c r="M9" i="20"/>
  <c r="F31" i="33"/>
  <c r="H2" i="16"/>
  <c r="G2" i="16"/>
  <c r="E38" i="34"/>
  <c r="AU20" i="55" s="1"/>
  <c r="G63" i="33"/>
  <c r="G185" i="35"/>
  <c r="M17" i="29"/>
  <c r="O17" i="29" s="1"/>
  <c r="E69" i="34"/>
  <c r="AU42" i="55" s="1"/>
  <c r="M25" i="23"/>
  <c r="O25" i="23" s="1"/>
  <c r="E66" i="34"/>
  <c r="AU64" i="55" s="1"/>
  <c r="M25" i="22"/>
  <c r="O25" i="22" s="1"/>
  <c r="G72" i="35"/>
  <c r="M16" i="13"/>
  <c r="O16" i="13" s="1"/>
  <c r="M9" i="5"/>
  <c r="G198" i="35"/>
  <c r="M17" i="31"/>
  <c r="O17" i="31" s="1"/>
  <c r="M9" i="31"/>
  <c r="G163" i="35"/>
  <c r="M18" i="26"/>
  <c r="O18" i="26" s="1"/>
  <c r="G23" i="35"/>
  <c r="M17" i="6"/>
  <c r="O17" i="6" s="1"/>
  <c r="F33" i="33"/>
  <c r="H2" i="17"/>
  <c r="G2" i="17"/>
  <c r="E57" i="34"/>
  <c r="AU60" i="55" s="1"/>
  <c r="M25" i="19"/>
  <c r="O25" i="19" s="1"/>
  <c r="G193" i="35"/>
  <c r="M19" i="30"/>
  <c r="O19" i="30" s="1"/>
  <c r="G192" i="35"/>
  <c r="AJ145" i="55" s="1"/>
  <c r="M18" i="30"/>
  <c r="O18" i="30" s="1"/>
  <c r="G13" i="35"/>
  <c r="G19" i="35"/>
  <c r="AJ127" i="55" s="1"/>
  <c r="M18" i="5"/>
  <c r="O18" i="5" s="1"/>
  <c r="H3" i="4"/>
  <c r="I5" i="33" s="1"/>
  <c r="I35" i="55" s="1"/>
  <c r="G3" i="4"/>
  <c r="H5" i="33" s="1"/>
  <c r="H35" i="55" s="1"/>
  <c r="F5" i="33"/>
  <c r="F35" i="55" s="1"/>
  <c r="F53" i="33"/>
  <c r="F50" i="55" s="1"/>
  <c r="G3" i="24"/>
  <c r="H53" i="33" s="1"/>
  <c r="H50" i="55" s="1"/>
  <c r="H3" i="24"/>
  <c r="I53" i="33" s="1"/>
  <c r="I50" i="55" s="1"/>
  <c r="H3" i="6"/>
  <c r="I9" i="33" s="1"/>
  <c r="I61" i="55" s="1"/>
  <c r="G3" i="6"/>
  <c r="H9" i="33" s="1"/>
  <c r="H61" i="55" s="1"/>
  <c r="F9" i="33"/>
  <c r="F61" i="55" s="1"/>
  <c r="G3" i="19"/>
  <c r="H42" i="33" s="1"/>
  <c r="H46" i="55" s="1"/>
  <c r="F42" i="33"/>
  <c r="F46" i="55" s="1"/>
  <c r="H3" i="19"/>
  <c r="I42" i="33" s="1"/>
  <c r="I46" i="55" s="1"/>
  <c r="M7" i="5"/>
  <c r="G63" i="35"/>
  <c r="AJ184" i="55" s="1"/>
  <c r="E31" i="34"/>
  <c r="AU91" i="55" s="1"/>
  <c r="M26" i="11"/>
  <c r="O26" i="11" s="1"/>
  <c r="M9" i="7"/>
  <c r="F37" i="33"/>
  <c r="H2" i="18"/>
  <c r="G2" i="18"/>
  <c r="M8" i="2"/>
  <c r="E14" i="34"/>
  <c r="AU32" i="55" s="1"/>
  <c r="M24" i="1"/>
  <c r="O24" i="1" s="1"/>
  <c r="E15" i="34"/>
  <c r="M25" i="1"/>
  <c r="O25" i="1" s="1"/>
  <c r="G9" i="35"/>
  <c r="AJ99" i="55" s="1"/>
  <c r="M16" i="4"/>
  <c r="O16" i="4" s="1"/>
  <c r="M7" i="21"/>
  <c r="E64" i="34"/>
  <c r="AU90" i="55" s="1"/>
  <c r="M26" i="21"/>
  <c r="O26" i="21" s="1"/>
  <c r="G182" i="35"/>
  <c r="G61" i="33"/>
  <c r="M7" i="17"/>
  <c r="M7" i="26"/>
  <c r="M9" i="28"/>
  <c r="E23" i="34"/>
  <c r="AU15" i="55" s="1"/>
  <c r="M24" i="9"/>
  <c r="O24" i="9" s="1"/>
  <c r="M9" i="24"/>
  <c r="M7" i="15"/>
  <c r="G89" i="35"/>
  <c r="M8" i="15"/>
  <c r="E76" i="34"/>
  <c r="AU79" i="55" s="1"/>
  <c r="M26" i="25"/>
  <c r="O26" i="25" s="1"/>
  <c r="G69" i="35"/>
  <c r="AJ152" i="55" s="1"/>
  <c r="M19" i="12"/>
  <c r="O19" i="12" s="1"/>
  <c r="M8" i="27"/>
  <c r="G167" i="35"/>
  <c r="AJ61" i="55" s="1"/>
  <c r="M16" i="27"/>
  <c r="O16" i="27" s="1"/>
  <c r="G52" i="35"/>
  <c r="AJ7" i="55" s="1"/>
  <c r="M15" i="10"/>
  <c r="O15" i="10" s="1"/>
  <c r="M7" i="10"/>
  <c r="M7" i="11"/>
  <c r="F35" i="33"/>
  <c r="H2" i="3"/>
  <c r="G2" i="3"/>
  <c r="G87" i="35"/>
  <c r="AJ123" i="55" s="1"/>
  <c r="M18" i="15"/>
  <c r="O18" i="15" s="1"/>
  <c r="G117" i="35"/>
  <c r="M17" i="25"/>
  <c r="O17" i="25" s="1"/>
  <c r="G94" i="35"/>
  <c r="AJ167" i="55" s="1"/>
  <c r="M19" i="16"/>
  <c r="O19" i="16" s="1"/>
  <c r="E21" i="34"/>
  <c r="AU59" i="55" s="1"/>
  <c r="M25" i="8"/>
  <c r="O25" i="8" s="1"/>
  <c r="M8" i="20"/>
  <c r="G90" i="35"/>
  <c r="AJ42" i="55" s="1"/>
  <c r="M15" i="16"/>
  <c r="O15" i="16" s="1"/>
  <c r="M7" i="16"/>
  <c r="M8" i="14"/>
  <c r="M8" i="29"/>
  <c r="G148" i="35"/>
  <c r="AJ52" i="55" s="1"/>
  <c r="M17" i="23"/>
  <c r="O17" i="23" s="1"/>
  <c r="G57" i="35"/>
  <c r="M8" i="22"/>
  <c r="E18" i="34"/>
  <c r="AU62" i="55" s="1"/>
  <c r="M25" i="7"/>
  <c r="O25" i="7" s="1"/>
  <c r="G70" i="35"/>
  <c r="M15" i="13"/>
  <c r="O15" i="13" s="1"/>
  <c r="E37" i="34"/>
  <c r="AU58" i="55" s="1"/>
  <c r="M26" i="13"/>
  <c r="O26" i="13" s="1"/>
  <c r="E9" i="34"/>
  <c r="AU54" i="55" s="1"/>
  <c r="M25" i="5"/>
  <c r="O25" i="5" s="1"/>
  <c r="E28" i="34"/>
  <c r="AU82" i="55" s="1"/>
  <c r="M26" i="10"/>
  <c r="O26" i="10" s="1"/>
  <c r="M8" i="31"/>
  <c r="M9" i="25"/>
  <c r="E12" i="34"/>
  <c r="M25" i="6"/>
  <c r="O25" i="6" s="1"/>
  <c r="E47" i="34"/>
  <c r="AU2" i="55" s="1"/>
  <c r="M24" i="17"/>
  <c r="O24" i="17" s="1"/>
  <c r="G123" i="35"/>
  <c r="AJ72" i="55" s="1"/>
  <c r="M17" i="19"/>
  <c r="O17" i="19" s="1"/>
  <c r="E93" i="34"/>
  <c r="AU36" i="55" s="1"/>
  <c r="M25" i="30"/>
  <c r="O25" i="30" s="1"/>
  <c r="M9" i="30"/>
  <c r="E70" i="34"/>
  <c r="AU44" i="55" s="1"/>
  <c r="M26" i="23"/>
  <c r="O26" i="23" s="1"/>
  <c r="E10" i="34"/>
  <c r="AU73" i="55" s="1"/>
  <c r="M26" i="5"/>
  <c r="O26" i="5" s="1"/>
  <c r="H114" i="35"/>
  <c r="I114" i="35"/>
  <c r="E29" i="34"/>
  <c r="M24" i="11"/>
  <c r="O24" i="11" s="1"/>
  <c r="G37" i="33"/>
  <c r="E71" i="34"/>
  <c r="AU30" i="55" s="1"/>
  <c r="M24" i="24"/>
  <c r="O24" i="24" s="1"/>
  <c r="M9" i="9"/>
  <c r="F57" i="33"/>
  <c r="H3" i="27"/>
  <c r="I57" i="33" s="1"/>
  <c r="G3" i="27"/>
  <c r="H57" i="33" s="1"/>
  <c r="G3" i="7"/>
  <c r="H13" i="33" s="1"/>
  <c r="H48" i="55" s="1"/>
  <c r="F13" i="33"/>
  <c r="F48" i="55" s="1"/>
  <c r="H3" i="7"/>
  <c r="I13" i="33" s="1"/>
  <c r="I48" i="55" s="1"/>
  <c r="G34" i="35"/>
  <c r="AJ31" i="55" s="1"/>
  <c r="M15" i="7"/>
  <c r="O15" i="7" s="1"/>
  <c r="F20" i="33"/>
  <c r="H2" i="11"/>
  <c r="M9" i="11"/>
  <c r="G35" i="35"/>
  <c r="AJ69" i="55" s="1"/>
  <c r="M16" i="7"/>
  <c r="O16" i="7" s="1"/>
  <c r="G110" i="35"/>
  <c r="AJ2" i="55" s="1"/>
  <c r="M15" i="18"/>
  <c r="O15" i="18" s="1"/>
  <c r="G111" i="35"/>
  <c r="M17" i="18"/>
  <c r="O17" i="18" s="1"/>
  <c r="G27" i="35"/>
  <c r="M15" i="1"/>
  <c r="O15" i="1" s="1"/>
  <c r="M8" i="4"/>
  <c r="G18" i="35"/>
  <c r="AJ186" i="55" s="1"/>
  <c r="E63" i="34"/>
  <c r="AU35" i="55" s="1"/>
  <c r="M25" i="21"/>
  <c r="O25" i="21" s="1"/>
  <c r="M7" i="2"/>
  <c r="F61" i="33"/>
  <c r="H2" i="2"/>
  <c r="G2" i="2"/>
  <c r="M7" i="9"/>
  <c r="M7" i="20"/>
  <c r="M9" i="26"/>
  <c r="G175" i="35"/>
  <c r="AJ98" i="55" s="1"/>
  <c r="M18" i="28"/>
  <c r="O18" i="28" s="1"/>
  <c r="E25" i="34"/>
  <c r="M26" i="9"/>
  <c r="O26" i="9" s="1"/>
  <c r="G155" i="35"/>
  <c r="AJ90" i="55" s="1"/>
  <c r="M17" i="24"/>
  <c r="O17" i="24" s="1"/>
  <c r="M9" i="22"/>
  <c r="G133" i="35"/>
  <c r="G84" i="35"/>
  <c r="AJ94" i="55" s="1"/>
  <c r="M16" i="15"/>
  <c r="O16" i="15" s="1"/>
  <c r="G46" i="35"/>
  <c r="AJ16" i="55" s="1"/>
  <c r="M15" i="9"/>
  <c r="O15" i="9" s="1"/>
  <c r="M9" i="12"/>
  <c r="F56" i="33"/>
  <c r="H2" i="27"/>
  <c r="G2" i="27"/>
  <c r="G56" i="33"/>
  <c r="G56" i="35"/>
  <c r="AJ130" i="55" s="1"/>
  <c r="M19" i="10"/>
  <c r="O19" i="10" s="1"/>
  <c r="E27" i="34"/>
  <c r="AU75" i="55" s="1"/>
  <c r="M25" i="10"/>
  <c r="O25" i="10" s="1"/>
  <c r="M8" i="3"/>
  <c r="G82" i="35"/>
  <c r="AJ175" i="55" s="1"/>
  <c r="M19" i="14"/>
  <c r="O19" i="14" s="1"/>
  <c r="M8" i="25"/>
  <c r="G81" i="35"/>
  <c r="G125" i="35"/>
  <c r="AJ156" i="55" s="1"/>
  <c r="M18" i="19"/>
  <c r="O18" i="19" s="1"/>
  <c r="G43" i="35"/>
  <c r="M17" i="8"/>
  <c r="O17" i="8" s="1"/>
  <c r="G93" i="35"/>
  <c r="M18" i="16"/>
  <c r="O18" i="16" s="1"/>
  <c r="G77" i="35"/>
  <c r="AJ21" i="55" s="1"/>
  <c r="M15" i="14"/>
  <c r="O15" i="14" s="1"/>
  <c r="G186" i="35"/>
  <c r="AJ128" i="55" s="1"/>
  <c r="M18" i="29"/>
  <c r="O18" i="29" s="1"/>
  <c r="G152" i="35"/>
  <c r="AJ140" i="55" s="1"/>
  <c r="G65" i="35"/>
  <c r="AJ70" i="55" s="1"/>
  <c r="M15" i="12"/>
  <c r="O15" i="12" s="1"/>
  <c r="G145" i="35"/>
  <c r="AJ147" i="55" s="1"/>
  <c r="M7" i="13"/>
  <c r="M8" i="13"/>
  <c r="E8" i="34"/>
  <c r="AU3" i="55" s="1"/>
  <c r="M24" i="5"/>
  <c r="O24" i="5" s="1"/>
  <c r="G199" i="35"/>
  <c r="AJ153" i="55" s="1"/>
  <c r="M19" i="31"/>
  <c r="O19" i="31" s="1"/>
  <c r="F67" i="33"/>
  <c r="H2" i="31"/>
  <c r="G2" i="31"/>
  <c r="E11" i="34"/>
  <c r="AU14" i="55" s="1"/>
  <c r="M24" i="6"/>
  <c r="O24" i="6" s="1"/>
  <c r="G187" i="35"/>
  <c r="M19" i="29"/>
  <c r="O19" i="29" s="1"/>
  <c r="G101" i="35"/>
  <c r="AJ169" i="55" s="1"/>
  <c r="M19" i="17"/>
  <c r="O19" i="17" s="1"/>
  <c r="G121" i="35"/>
  <c r="AJ10" i="55" s="1"/>
  <c r="M15" i="19"/>
  <c r="O15" i="19" s="1"/>
  <c r="G191" i="35"/>
  <c r="AJ84" i="55" s="1"/>
  <c r="M17" i="30"/>
  <c r="O17" i="30" s="1"/>
  <c r="G65" i="33"/>
  <c r="E34" i="34"/>
  <c r="AU92" i="55" s="1"/>
  <c r="M26" i="12"/>
  <c r="O26" i="12" s="1"/>
  <c r="E60" i="34"/>
  <c r="AU76" i="55" s="1"/>
  <c r="M25" i="20"/>
  <c r="O25" i="20" s="1"/>
  <c r="M7" i="28"/>
  <c r="F36" i="33"/>
  <c r="F63" i="55" s="1"/>
  <c r="H3" i="3"/>
  <c r="I36" i="33" s="1"/>
  <c r="I63" i="55" s="1"/>
  <c r="G3" i="3"/>
  <c r="H36" i="33" s="1"/>
  <c r="H63" i="55" s="1"/>
  <c r="H146" i="35"/>
  <c r="AK54" i="55" s="1"/>
  <c r="N15" i="23"/>
  <c r="G36" i="35"/>
  <c r="M17" i="7"/>
  <c r="O17" i="7" s="1"/>
  <c r="M8" i="11"/>
  <c r="F12" i="33"/>
  <c r="H2" i="7"/>
  <c r="E17" i="34"/>
  <c r="AU16" i="55" s="1"/>
  <c r="M24" i="7"/>
  <c r="O24" i="7" s="1"/>
  <c r="G113" i="35"/>
  <c r="M19" i="18"/>
  <c r="O19" i="18" s="1"/>
  <c r="M7" i="1"/>
  <c r="G12" i="35"/>
  <c r="AJ126" i="55" s="1"/>
  <c r="M19" i="4"/>
  <c r="O19" i="4" s="1"/>
  <c r="G137" i="35"/>
  <c r="AJ117" i="55" s="1"/>
  <c r="M18" i="21"/>
  <c r="O18" i="21" s="1"/>
  <c r="E88" i="34"/>
  <c r="AU85" i="55" s="1"/>
  <c r="M26" i="2"/>
  <c r="O26" i="2" s="1"/>
  <c r="G98" i="35"/>
  <c r="M16" i="17"/>
  <c r="O16" i="17" s="1"/>
  <c r="E94" i="34"/>
  <c r="AU78" i="55" s="1"/>
  <c r="M26" i="30"/>
  <c r="O26" i="30" s="1"/>
  <c r="G165" i="35"/>
  <c r="AJ118" i="55" s="1"/>
  <c r="F59" i="33"/>
  <c r="H2" i="28"/>
  <c r="G2" i="28"/>
  <c r="G48" i="35"/>
  <c r="AJ73" i="55" s="1"/>
  <c r="M17" i="9"/>
  <c r="O17" i="9" s="1"/>
  <c r="G154" i="35"/>
  <c r="AJ29" i="55" s="1"/>
  <c r="M16" i="24"/>
  <c r="O16" i="24" s="1"/>
  <c r="M9" i="16"/>
  <c r="M9" i="15"/>
  <c r="G68" i="35"/>
  <c r="G168" i="35"/>
  <c r="AJ59" i="55" s="1"/>
  <c r="M17" i="27"/>
  <c r="O17" i="27" s="1"/>
  <c r="G138" i="35"/>
  <c r="G55" i="35"/>
  <c r="AJ97" i="55" s="1"/>
  <c r="M18" i="10"/>
  <c r="O18" i="10" s="1"/>
  <c r="M9" i="3"/>
  <c r="G105" i="35"/>
  <c r="M17" i="3"/>
  <c r="O17" i="3" s="1"/>
  <c r="G14" i="35"/>
  <c r="AJ24" i="55" s="1"/>
  <c r="M15" i="5"/>
  <c r="O15" i="5" s="1"/>
  <c r="F14" i="33"/>
  <c r="H2" i="8"/>
  <c r="G131" i="35"/>
  <c r="AJ82" i="55" s="1"/>
  <c r="M17" i="20"/>
  <c r="O17" i="20" s="1"/>
  <c r="E46" i="34"/>
  <c r="M26" i="16"/>
  <c r="O26" i="16" s="1"/>
  <c r="E40" i="34"/>
  <c r="AU88" i="55" s="1"/>
  <c r="M26" i="14"/>
  <c r="O26" i="14" s="1"/>
  <c r="E91" i="34"/>
  <c r="AU86" i="55" s="1"/>
  <c r="M26" i="29"/>
  <c r="O26" i="29" s="1"/>
  <c r="G150" i="35"/>
  <c r="AJ91" i="55" s="1"/>
  <c r="M19" i="23"/>
  <c r="O19" i="23" s="1"/>
  <c r="F47" i="33"/>
  <c r="H2" i="22"/>
  <c r="G2" i="22"/>
  <c r="G144" i="35"/>
  <c r="M19" i="22"/>
  <c r="O19" i="22" s="1"/>
  <c r="G24" i="33"/>
  <c r="G75" i="35"/>
  <c r="AJ114" i="55" s="1"/>
  <c r="E96" i="34"/>
  <c r="AU48" i="55" s="1"/>
  <c r="M25" i="31"/>
  <c r="O25" i="31" s="1"/>
  <c r="E13" i="34"/>
  <c r="AU87" i="55" s="1"/>
  <c r="M26" i="6"/>
  <c r="O26" i="6" s="1"/>
  <c r="E48" i="34"/>
  <c r="AU65" i="55" s="1"/>
  <c r="M25" i="17"/>
  <c r="O25" i="17" s="1"/>
  <c r="G122" i="35"/>
  <c r="AJ18" i="55" s="1"/>
  <c r="M16" i="19"/>
  <c r="O16" i="19" s="1"/>
  <c r="E92" i="34"/>
  <c r="M24" i="30"/>
  <c r="O24" i="30" s="1"/>
  <c r="H3" i="20"/>
  <c r="I44" i="33" s="1"/>
  <c r="I66" i="55" s="1"/>
  <c r="F44" i="33"/>
  <c r="F66" i="55" s="1"/>
  <c r="G3" i="20"/>
  <c r="H44" i="33" s="1"/>
  <c r="H66" i="55" s="1"/>
  <c r="M9" i="1"/>
  <c r="G180" i="35"/>
  <c r="M19" i="2"/>
  <c r="O19" i="2" s="1"/>
  <c r="M9" i="8"/>
  <c r="M9" i="14"/>
  <c r="E65" i="34"/>
  <c r="AU33" i="55" s="1"/>
  <c r="M24" i="22"/>
  <c r="O24" i="22" s="1"/>
  <c r="G200" i="35"/>
  <c r="M18" i="31"/>
  <c r="O18" i="31" s="1"/>
  <c r="G3" i="12"/>
  <c r="H23" i="33" s="1"/>
  <c r="H54" i="55" s="1"/>
  <c r="F23" i="33"/>
  <c r="F54" i="55" s="1"/>
  <c r="H3" i="12"/>
  <c r="I23" i="33" s="1"/>
  <c r="I54" i="55" s="1"/>
  <c r="F51" i="33"/>
  <c r="F40" i="55" s="1"/>
  <c r="G3" i="23"/>
  <c r="H51" i="33" s="1"/>
  <c r="H40" i="55" s="1"/>
  <c r="H3" i="23"/>
  <c r="I51" i="33" s="1"/>
  <c r="I40" i="55" s="1"/>
  <c r="H3" i="31"/>
  <c r="I68" i="33" s="1"/>
  <c r="F68" i="33"/>
  <c r="G3" i="31"/>
  <c r="H68" i="33" s="1"/>
  <c r="F26" i="33"/>
  <c r="F44" i="55" s="1"/>
  <c r="I26" i="33"/>
  <c r="I44" i="55" s="1"/>
  <c r="F32" i="33"/>
  <c r="F67" i="55" s="1"/>
  <c r="H3" i="16"/>
  <c r="I32" i="33" s="1"/>
  <c r="I67" i="55" s="1"/>
  <c r="G3" i="16"/>
  <c r="H32" i="33" s="1"/>
  <c r="H67" i="55" s="1"/>
  <c r="F19" i="33"/>
  <c r="F45" i="55" s="1"/>
  <c r="G3" i="10"/>
  <c r="H19" i="33" s="1"/>
  <c r="H45" i="55" s="1"/>
  <c r="H3" i="10"/>
  <c r="I19" i="33" s="1"/>
  <c r="I45" i="55" s="1"/>
  <c r="F62" i="33"/>
  <c r="F49" i="55" s="1"/>
  <c r="G3" i="2"/>
  <c r="H62" i="33" s="1"/>
  <c r="H49" i="55" s="1"/>
  <c r="H3" i="2"/>
  <c r="I62" i="33" s="1"/>
  <c r="I49" i="55" s="1"/>
  <c r="G3" i="1"/>
  <c r="H11" i="33" s="1"/>
  <c r="H38" i="55" s="1"/>
  <c r="H3" i="1"/>
  <c r="I11" i="33" s="1"/>
  <c r="I38" i="55" s="1"/>
  <c r="F11" i="33"/>
  <c r="F38" i="55" s="1"/>
  <c r="G3" i="15"/>
  <c r="H30" i="33" s="1"/>
  <c r="H58" i="55" s="1"/>
  <c r="F30" i="33"/>
  <c r="F58" i="55" s="1"/>
  <c r="H3" i="15"/>
  <c r="I30" i="33" s="1"/>
  <c r="I58" i="55" s="1"/>
  <c r="G3" i="29"/>
  <c r="H64" i="33" s="1"/>
  <c r="H60" i="55" s="1"/>
  <c r="F64" i="33"/>
  <c r="F60" i="55" s="1"/>
  <c r="H3" i="29"/>
  <c r="I64" i="33" s="1"/>
  <c r="I60" i="55" s="1"/>
  <c r="G14" i="33"/>
  <c r="G58" i="35"/>
  <c r="AJ27" i="55" s="1"/>
  <c r="M15" i="11"/>
  <c r="O15" i="11" s="1"/>
  <c r="G62" i="35"/>
  <c r="AJ168" i="55" s="1"/>
  <c r="M19" i="11"/>
  <c r="O19" i="11" s="1"/>
  <c r="E19" i="34"/>
  <c r="AU55" i="55" s="1"/>
  <c r="M26" i="7"/>
  <c r="O26" i="7" s="1"/>
  <c r="E53" i="34"/>
  <c r="AU25" i="55" s="1"/>
  <c r="M24" i="18"/>
  <c r="O24" i="18" s="1"/>
  <c r="G169" i="35"/>
  <c r="AJ107" i="55" s="1"/>
  <c r="M18" i="27"/>
  <c r="O18" i="27" s="1"/>
  <c r="G28" i="35"/>
  <c r="AJ62" i="55" s="1"/>
  <c r="M16" i="1"/>
  <c r="O16" i="1" s="1"/>
  <c r="G11" i="35"/>
  <c r="M18" i="4"/>
  <c r="O18" i="4" s="1"/>
  <c r="G139" i="35"/>
  <c r="AJ125" i="55" s="1"/>
  <c r="M19" i="21"/>
  <c r="O19" i="21" s="1"/>
  <c r="G67" i="33"/>
  <c r="E90" i="34"/>
  <c r="AU39" i="55" s="1"/>
  <c r="M25" i="29"/>
  <c r="O25" i="29" s="1"/>
  <c r="E78" i="34"/>
  <c r="AU68" i="55" s="1"/>
  <c r="M25" i="26"/>
  <c r="O25" i="26" s="1"/>
  <c r="M8" i="28"/>
  <c r="E24" i="34"/>
  <c r="AU38" i="55" s="1"/>
  <c r="M25" i="9"/>
  <c r="O25" i="9" s="1"/>
  <c r="E73" i="34"/>
  <c r="AU74" i="55" s="1"/>
  <c r="M26" i="24"/>
  <c r="O26" i="24" s="1"/>
  <c r="G17" i="35"/>
  <c r="M19" i="5"/>
  <c r="O19" i="5" s="1"/>
  <c r="E43" i="34"/>
  <c r="AU52" i="55" s="1"/>
  <c r="M26" i="15"/>
  <c r="O26" i="15" s="1"/>
  <c r="G64" i="35"/>
  <c r="M16" i="12"/>
  <c r="O16" i="12" s="1"/>
  <c r="G189" i="35"/>
  <c r="M15" i="30"/>
  <c r="O15" i="30" s="1"/>
  <c r="M8" i="10"/>
  <c r="E50" i="34"/>
  <c r="AU21" i="55" s="1"/>
  <c r="M24" i="3"/>
  <c r="O24" i="3" s="1"/>
  <c r="E52" i="34"/>
  <c r="AU66" i="55" s="1"/>
  <c r="M26" i="3"/>
  <c r="O26" i="3" s="1"/>
  <c r="G39" i="33"/>
  <c r="E56" i="34"/>
  <c r="AU17" i="55" s="1"/>
  <c r="M24" i="19"/>
  <c r="O24" i="19" s="1"/>
  <c r="G49" i="35"/>
  <c r="M18" i="9"/>
  <c r="O18" i="9" s="1"/>
  <c r="G45" i="35"/>
  <c r="M19" i="8"/>
  <c r="O19" i="8" s="1"/>
  <c r="F43" i="33"/>
  <c r="H2" i="20"/>
  <c r="G2" i="20"/>
  <c r="E44" i="34"/>
  <c r="AU23" i="55" s="1"/>
  <c r="M24" i="16"/>
  <c r="O24" i="16" s="1"/>
  <c r="G80" i="35"/>
  <c r="AJ68" i="55" s="1"/>
  <c r="M17" i="14"/>
  <c r="O17" i="14" s="1"/>
  <c r="G188" i="35"/>
  <c r="AJ109" i="55" s="1"/>
  <c r="M9" i="23"/>
  <c r="E67" i="34"/>
  <c r="AU80" i="55" s="1"/>
  <c r="M26" i="22"/>
  <c r="O26" i="22" s="1"/>
  <c r="E84" i="34"/>
  <c r="AU53" i="55" s="1"/>
  <c r="M25" i="28"/>
  <c r="O25" i="28" s="1"/>
  <c r="E36" i="34"/>
  <c r="AU61" i="55" s="1"/>
  <c r="M25" i="13"/>
  <c r="O25" i="13" s="1"/>
  <c r="E35" i="34"/>
  <c r="AU24" i="55" s="1"/>
  <c r="M24" i="13"/>
  <c r="O24" i="13" s="1"/>
  <c r="G15" i="35"/>
  <c r="AJ79" i="55" s="1"/>
  <c r="M16" i="5"/>
  <c r="O16" i="5" s="1"/>
  <c r="G197" i="35"/>
  <c r="AJ71" i="55" s="1"/>
  <c r="M16" i="31"/>
  <c r="O16" i="31" s="1"/>
  <c r="M7" i="6"/>
  <c r="M8" i="6"/>
  <c r="M9" i="17"/>
  <c r="F65" i="33"/>
  <c r="H2" i="30"/>
  <c r="G2" i="30"/>
  <c r="H142" i="35"/>
  <c r="N17" i="22"/>
  <c r="I142" i="35" s="1"/>
  <c r="AJ30" i="55" l="1"/>
  <c r="AJ44" i="55"/>
  <c r="AJ179" i="55"/>
  <c r="AJ180" i="55"/>
  <c r="AJ110" i="55"/>
  <c r="AJ48" i="55"/>
  <c r="AJ45" i="55"/>
  <c r="AJ133" i="55"/>
  <c r="AJ137" i="55"/>
  <c r="AJ120" i="55"/>
  <c r="AJ119" i="55"/>
  <c r="W122" i="55"/>
  <c r="AJ41" i="55"/>
  <c r="W89" i="55"/>
  <c r="AJ122" i="55"/>
  <c r="AJ121" i="55"/>
  <c r="AJ56" i="55"/>
  <c r="W80" i="55"/>
  <c r="W85" i="55"/>
  <c r="AJ65" i="55"/>
  <c r="AJ64" i="55"/>
  <c r="AJ124" i="55"/>
  <c r="W112" i="55"/>
  <c r="W90" i="55"/>
  <c r="AJ66" i="55"/>
  <c r="AJ144" i="55"/>
  <c r="AJ174" i="55"/>
  <c r="AJ78" i="55"/>
  <c r="AJ76" i="55"/>
  <c r="W119" i="55"/>
  <c r="AJ14" i="55"/>
  <c r="AU37" i="55"/>
  <c r="AU40" i="55"/>
  <c r="AJ162" i="55"/>
  <c r="AJ141" i="55"/>
  <c r="AU46" i="55"/>
  <c r="AU47" i="55"/>
  <c r="W64" i="55"/>
  <c r="AJ57" i="55"/>
  <c r="AJ60" i="55"/>
  <c r="AJ58" i="55"/>
  <c r="AU69" i="55"/>
  <c r="AJ102" i="55"/>
  <c r="AJ103" i="55"/>
  <c r="AJ178" i="55"/>
  <c r="AJ77" i="55"/>
  <c r="AJ80" i="55"/>
  <c r="AU28" i="55"/>
  <c r="AJ88" i="55"/>
  <c r="AJ86" i="55"/>
  <c r="AJ40" i="55"/>
  <c r="AJ139" i="55"/>
  <c r="AJ138" i="55"/>
  <c r="AJ50" i="55"/>
  <c r="AJ33" i="55"/>
  <c r="AJ32" i="55"/>
  <c r="AJ75" i="55"/>
  <c r="AJ43" i="55"/>
  <c r="W111" i="55"/>
  <c r="AJ171" i="55"/>
  <c r="AJ173" i="55"/>
  <c r="AJ115" i="55"/>
  <c r="N21" i="33"/>
  <c r="F55" i="55"/>
  <c r="M21" i="33"/>
  <c r="H55" i="55"/>
  <c r="AU22" i="55"/>
  <c r="AJ165" i="55"/>
  <c r="W77" i="55"/>
  <c r="W78" i="55"/>
  <c r="AJ155" i="55"/>
  <c r="AJ157" i="55"/>
  <c r="H36" i="55"/>
  <c r="H34" i="55"/>
  <c r="I36" i="55"/>
  <c r="I34" i="55"/>
  <c r="F36" i="55"/>
  <c r="F34" i="55"/>
  <c r="AU70" i="55"/>
  <c r="AJ159" i="55"/>
  <c r="AJ160" i="55"/>
  <c r="AU26" i="55"/>
  <c r="AJ55" i="55"/>
  <c r="AJ96" i="55"/>
  <c r="AJ93" i="55"/>
  <c r="AJ136" i="55"/>
  <c r="AJ135" i="55"/>
  <c r="AJ161" i="55"/>
  <c r="AJ163" i="55"/>
  <c r="AU51" i="55"/>
  <c r="AJ17" i="55"/>
  <c r="AJ85" i="55"/>
  <c r="AJ182" i="55"/>
  <c r="AJ129" i="55"/>
  <c r="AU95" i="55"/>
  <c r="AU96" i="55"/>
  <c r="AU98" i="55"/>
  <c r="AU97" i="55"/>
  <c r="AU99" i="55"/>
  <c r="AU101" i="55"/>
  <c r="AU100" i="55"/>
  <c r="AU93" i="55"/>
  <c r="AU94" i="55"/>
  <c r="AS15" i="55"/>
  <c r="AS101" i="55"/>
  <c r="AS92" i="55"/>
  <c r="AS6" i="55"/>
  <c r="AS27" i="55"/>
  <c r="AS42" i="55"/>
  <c r="AS61" i="55"/>
  <c r="AS65" i="55"/>
  <c r="AS93" i="55"/>
  <c r="AS47" i="55"/>
  <c r="AS29" i="55"/>
  <c r="AS23" i="55"/>
  <c r="AS8" i="55"/>
  <c r="AS9" i="55"/>
  <c r="AS95" i="55"/>
  <c r="AS40" i="55"/>
  <c r="AS7" i="55"/>
  <c r="AS44" i="55"/>
  <c r="AS67" i="55"/>
  <c r="AS21" i="55"/>
  <c r="AS94" i="55"/>
  <c r="AS54" i="55"/>
  <c r="AS33" i="55"/>
  <c r="AS64" i="55"/>
  <c r="AS62" i="55"/>
  <c r="AS99" i="55"/>
  <c r="AS59" i="55"/>
  <c r="AS69" i="55"/>
  <c r="AS79" i="55"/>
  <c r="AS66" i="55"/>
  <c r="AS88" i="55"/>
  <c r="AS81" i="55"/>
  <c r="AS30" i="55"/>
  <c r="AS22" i="55"/>
  <c r="AS83" i="55"/>
  <c r="AS13" i="55"/>
  <c r="AS86" i="55"/>
  <c r="AS82" i="55"/>
  <c r="AS12" i="55"/>
  <c r="AS16" i="55"/>
  <c r="AS49" i="55"/>
  <c r="AS45" i="55"/>
  <c r="AS14" i="55"/>
  <c r="AS58" i="55"/>
  <c r="AS38" i="55"/>
  <c r="AS35" i="55"/>
  <c r="AS84" i="55"/>
  <c r="AS32" i="55"/>
  <c r="AS63" i="55"/>
  <c r="AS75" i="55"/>
  <c r="AS3" i="55"/>
  <c r="AS96" i="55"/>
  <c r="AS11" i="55"/>
  <c r="AS77" i="55"/>
  <c r="AS87" i="55"/>
  <c r="AS97" i="55"/>
  <c r="AS76" i="55"/>
  <c r="AS36" i="55"/>
  <c r="AS5" i="55"/>
  <c r="AS48" i="55"/>
  <c r="AS20" i="55"/>
  <c r="AS24" i="55"/>
  <c r="AS57" i="55"/>
  <c r="AS55" i="55"/>
  <c r="AS71" i="55"/>
  <c r="AS53" i="55"/>
  <c r="AS80" i="55"/>
  <c r="AS98" i="55"/>
  <c r="AS28" i="55"/>
  <c r="AS85" i="55"/>
  <c r="AS51" i="55"/>
  <c r="AS90" i="55"/>
  <c r="AS100" i="55"/>
  <c r="AS52" i="55"/>
  <c r="AS31" i="55"/>
  <c r="AS89" i="55"/>
  <c r="AS39" i="55"/>
  <c r="AS91" i="55"/>
  <c r="AS73" i="55"/>
  <c r="AS34" i="55"/>
  <c r="AS46" i="55"/>
  <c r="AS25" i="55"/>
  <c r="AS74" i="55"/>
  <c r="AS17" i="55"/>
  <c r="AS68" i="55"/>
  <c r="AS70" i="55"/>
  <c r="AS60" i="55"/>
  <c r="AS19" i="55"/>
  <c r="AS2" i="55"/>
  <c r="AS37" i="55"/>
  <c r="AS18" i="55"/>
  <c r="AS50" i="55"/>
  <c r="AS26" i="55"/>
  <c r="AS78" i="55"/>
  <c r="AS72" i="55"/>
  <c r="G6" i="33"/>
  <c r="F34" i="11"/>
  <c r="F34" i="6"/>
  <c r="I159" i="36"/>
  <c r="O9" i="31"/>
  <c r="I157" i="36"/>
  <c r="O7" i="31"/>
  <c r="I158" i="36"/>
  <c r="O8" i="31"/>
  <c r="K158" i="36" s="1"/>
  <c r="H196" i="35"/>
  <c r="AK26" i="55" s="1"/>
  <c r="O15" i="31"/>
  <c r="I161" i="36"/>
  <c r="O11" i="31"/>
  <c r="I153" i="36"/>
  <c r="O8" i="30"/>
  <c r="K153" i="36" s="1"/>
  <c r="I154" i="36"/>
  <c r="X68" i="55" s="1"/>
  <c r="O9" i="30"/>
  <c r="I152" i="36"/>
  <c r="X4" i="55" s="1"/>
  <c r="O7" i="30"/>
  <c r="K152" i="36" s="1"/>
  <c r="Z4" i="55" s="1"/>
  <c r="N20" i="30"/>
  <c r="I195" i="35" s="1"/>
  <c r="AL148" i="55" s="1"/>
  <c r="O20" i="30"/>
  <c r="J195" i="35" s="1"/>
  <c r="AM148" i="55" s="1"/>
  <c r="I156" i="36"/>
  <c r="O11" i="30"/>
  <c r="K156" i="36" s="1"/>
  <c r="I147" i="36"/>
  <c r="X12" i="55" s="1"/>
  <c r="O7" i="29"/>
  <c r="I151" i="36"/>
  <c r="O11" i="29"/>
  <c r="I148" i="36"/>
  <c r="O8" i="29"/>
  <c r="K148" i="36" s="1"/>
  <c r="I149" i="36"/>
  <c r="X72" i="55" s="1"/>
  <c r="O9" i="29"/>
  <c r="K149" i="36" s="1"/>
  <c r="Z72" i="55" s="1"/>
  <c r="I138" i="36"/>
  <c r="O8" i="28"/>
  <c r="F85" i="34"/>
  <c r="O26" i="28"/>
  <c r="I139" i="36"/>
  <c r="X105" i="55" s="1"/>
  <c r="O9" i="28"/>
  <c r="K139" i="36" s="1"/>
  <c r="Z105" i="55" s="1"/>
  <c r="I141" i="36"/>
  <c r="O11" i="28"/>
  <c r="K141" i="36" s="1"/>
  <c r="I137" i="36"/>
  <c r="X27" i="55" s="1"/>
  <c r="O7" i="28"/>
  <c r="H172" i="35"/>
  <c r="AK20" i="55" s="1"/>
  <c r="O15" i="28"/>
  <c r="I143" i="36"/>
  <c r="X88" i="55" s="1"/>
  <c r="O8" i="2"/>
  <c r="K143" i="36" s="1"/>
  <c r="Z88" i="55" s="1"/>
  <c r="I142" i="36"/>
  <c r="O7" i="2"/>
  <c r="H178" i="35"/>
  <c r="O16" i="2"/>
  <c r="J178" i="35" s="1"/>
  <c r="I146" i="36"/>
  <c r="X79" i="55" s="1"/>
  <c r="O11" i="2"/>
  <c r="K146" i="36" s="1"/>
  <c r="Z79" i="55" s="1"/>
  <c r="I136" i="36"/>
  <c r="O11" i="27"/>
  <c r="K136" i="36" s="1"/>
  <c r="I134" i="36"/>
  <c r="X122" i="55" s="1"/>
  <c r="O9" i="27"/>
  <c r="K134" i="36" s="1"/>
  <c r="I133" i="36"/>
  <c r="O8" i="27"/>
  <c r="K133" i="36" s="1"/>
  <c r="I128" i="36"/>
  <c r="O8" i="26"/>
  <c r="K128" i="36" s="1"/>
  <c r="I127" i="36"/>
  <c r="O7" i="26"/>
  <c r="I129" i="36"/>
  <c r="X67" i="55" s="1"/>
  <c r="O9" i="26"/>
  <c r="H162" i="35"/>
  <c r="AK112" i="55" s="1"/>
  <c r="O17" i="26"/>
  <c r="J162" i="35" s="1"/>
  <c r="AM112" i="55" s="1"/>
  <c r="I131" i="36"/>
  <c r="O11" i="26"/>
  <c r="K131" i="36" s="1"/>
  <c r="H160" i="35"/>
  <c r="O15" i="26"/>
  <c r="I123" i="36"/>
  <c r="X51" i="55" s="1"/>
  <c r="O8" i="24"/>
  <c r="K123" i="36" s="1"/>
  <c r="Z51" i="55" s="1"/>
  <c r="I126" i="36"/>
  <c r="O11" i="24"/>
  <c r="I124" i="36"/>
  <c r="X102" i="55" s="1"/>
  <c r="O9" i="24"/>
  <c r="K124" i="36" s="1"/>
  <c r="Z102" i="55" s="1"/>
  <c r="I122" i="36"/>
  <c r="X20" i="55" s="1"/>
  <c r="O7" i="24"/>
  <c r="K122" i="36" s="1"/>
  <c r="Z20" i="55" s="1"/>
  <c r="H147" i="35"/>
  <c r="O16" i="23"/>
  <c r="J147" i="35" s="1"/>
  <c r="I118" i="36"/>
  <c r="X66" i="55" s="1"/>
  <c r="O8" i="23"/>
  <c r="K118" i="36" s="1"/>
  <c r="Z66" i="55" s="1"/>
  <c r="I117" i="36"/>
  <c r="X8" i="55" s="1"/>
  <c r="O7" i="23"/>
  <c r="K117" i="36" s="1"/>
  <c r="Z8" i="55" s="1"/>
  <c r="I119" i="36"/>
  <c r="X123" i="55" s="1"/>
  <c r="O9" i="23"/>
  <c r="K119" i="36" s="1"/>
  <c r="Z123" i="55" s="1"/>
  <c r="I121" i="36"/>
  <c r="O11" i="23"/>
  <c r="K121" i="36" s="1"/>
  <c r="I116" i="36"/>
  <c r="O11" i="22"/>
  <c r="I113" i="36"/>
  <c r="O8" i="22"/>
  <c r="K113" i="36" s="1"/>
  <c r="I114" i="36"/>
  <c r="O9" i="22"/>
  <c r="K114" i="36" s="1"/>
  <c r="I112" i="36"/>
  <c r="X16" i="55" s="1"/>
  <c r="O7" i="22"/>
  <c r="K112" i="36" s="1"/>
  <c r="Z16" i="55" s="1"/>
  <c r="I107" i="36"/>
  <c r="X26" i="55" s="1"/>
  <c r="O7" i="21"/>
  <c r="I108" i="36"/>
  <c r="X40" i="55" s="1"/>
  <c r="O8" i="21"/>
  <c r="I109" i="36"/>
  <c r="X57" i="55" s="1"/>
  <c r="O9" i="21"/>
  <c r="K109" i="36" s="1"/>
  <c r="Z57" i="55" s="1"/>
  <c r="I111" i="36"/>
  <c r="X114" i="55" s="1"/>
  <c r="O11" i="21"/>
  <c r="K111" i="36" s="1"/>
  <c r="Z114" i="55" s="1"/>
  <c r="H134" i="35"/>
  <c r="O15" i="21"/>
  <c r="I106" i="36"/>
  <c r="O11" i="20"/>
  <c r="K106" i="36" s="1"/>
  <c r="H129" i="35"/>
  <c r="AK47" i="55" s="1"/>
  <c r="O16" i="20"/>
  <c r="I102" i="36"/>
  <c r="X10" i="55" s="1"/>
  <c r="O7" i="20"/>
  <c r="K102" i="36" s="1"/>
  <c r="Z10" i="55" s="1"/>
  <c r="I104" i="36"/>
  <c r="X116" i="55" s="1"/>
  <c r="O9" i="20"/>
  <c r="K104" i="36" s="1"/>
  <c r="Z116" i="55" s="1"/>
  <c r="H132" i="35"/>
  <c r="AK176" i="55" s="1"/>
  <c r="O18" i="20"/>
  <c r="I103" i="36"/>
  <c r="O8" i="20"/>
  <c r="I98" i="36"/>
  <c r="X56" i="55" s="1"/>
  <c r="O8" i="19"/>
  <c r="K98" i="36" s="1"/>
  <c r="Z56" i="55" s="1"/>
  <c r="I101" i="36"/>
  <c r="O11" i="19"/>
  <c r="K101" i="36" s="1"/>
  <c r="I99" i="36"/>
  <c r="X73" i="55" s="1"/>
  <c r="O9" i="19"/>
  <c r="K99" i="36" s="1"/>
  <c r="Z73" i="55" s="1"/>
  <c r="I97" i="36"/>
  <c r="X30" i="55" s="1"/>
  <c r="O7" i="19"/>
  <c r="K97" i="36" s="1"/>
  <c r="Z30" i="55" s="1"/>
  <c r="N20" i="19"/>
  <c r="I126" i="35" s="1"/>
  <c r="O20" i="19"/>
  <c r="J126" i="35" s="1"/>
  <c r="I86" i="36"/>
  <c r="O11" i="3"/>
  <c r="I83" i="36"/>
  <c r="O8" i="3"/>
  <c r="K83" i="36" s="1"/>
  <c r="I82" i="36"/>
  <c r="X6" i="55" s="1"/>
  <c r="O7" i="3"/>
  <c r="K82" i="36" s="1"/>
  <c r="Z6" i="55" s="1"/>
  <c r="I84" i="36"/>
  <c r="O9" i="3"/>
  <c r="K84" i="36" s="1"/>
  <c r="H115" i="35"/>
  <c r="AK5" i="55" s="1"/>
  <c r="O15" i="25"/>
  <c r="I93" i="36"/>
  <c r="O8" i="25"/>
  <c r="I92" i="36"/>
  <c r="X21" i="55" s="1"/>
  <c r="O7" i="25"/>
  <c r="K92" i="36" s="1"/>
  <c r="Z21" i="55" s="1"/>
  <c r="I96" i="36"/>
  <c r="O11" i="25"/>
  <c r="K96" i="36" s="1"/>
  <c r="I94" i="36"/>
  <c r="X69" i="55" s="1"/>
  <c r="O9" i="25"/>
  <c r="K94" i="36" s="1"/>
  <c r="Z69" i="55" s="1"/>
  <c r="I77" i="36"/>
  <c r="X29" i="55" s="1"/>
  <c r="O7" i="17"/>
  <c r="I78" i="36"/>
  <c r="O8" i="17"/>
  <c r="N17" i="17"/>
  <c r="I100" i="35" s="1"/>
  <c r="O17" i="17"/>
  <c r="J100" i="35" s="1"/>
  <c r="I79" i="36"/>
  <c r="X83" i="55" s="1"/>
  <c r="O9" i="17"/>
  <c r="K79" i="36" s="1"/>
  <c r="Z83" i="55" s="1"/>
  <c r="I81" i="36"/>
  <c r="O11" i="17"/>
  <c r="K81" i="36" s="1"/>
  <c r="I76" i="36"/>
  <c r="O11" i="16"/>
  <c r="K76" i="36" s="1"/>
  <c r="I74" i="36"/>
  <c r="O9" i="16"/>
  <c r="K74" i="36" s="1"/>
  <c r="H92" i="35"/>
  <c r="AK95" i="55" s="1"/>
  <c r="O17" i="16"/>
  <c r="J92" i="35" s="1"/>
  <c r="AM95" i="55" s="1"/>
  <c r="I72" i="36"/>
  <c r="O7" i="16"/>
  <c r="K72" i="36" s="1"/>
  <c r="I73" i="36"/>
  <c r="X53" i="55" s="1"/>
  <c r="O8" i="16"/>
  <c r="K73" i="36" s="1"/>
  <c r="I68" i="36"/>
  <c r="X38" i="55" s="1"/>
  <c r="O8" i="15"/>
  <c r="I71" i="36"/>
  <c r="O11" i="15"/>
  <c r="I67" i="36"/>
  <c r="X2" i="55" s="1"/>
  <c r="O7" i="15"/>
  <c r="K67" i="36" s="1"/>
  <c r="Z2" i="55" s="1"/>
  <c r="H86" i="35"/>
  <c r="O17" i="15"/>
  <c r="J86" i="35" s="1"/>
  <c r="I69" i="36"/>
  <c r="X84" i="55" s="1"/>
  <c r="O9" i="15"/>
  <c r="I66" i="36"/>
  <c r="O11" i="14"/>
  <c r="K66" i="36" s="1"/>
  <c r="I62" i="36"/>
  <c r="X55" i="55" s="1"/>
  <c r="O7" i="14"/>
  <c r="K62" i="36" s="1"/>
  <c r="Z55" i="55" s="1"/>
  <c r="I64" i="36"/>
  <c r="O9" i="14"/>
  <c r="K64" i="36" s="1"/>
  <c r="I63" i="36"/>
  <c r="X59" i="55" s="1"/>
  <c r="O8" i="14"/>
  <c r="K63" i="36" s="1"/>
  <c r="Z59" i="55" s="1"/>
  <c r="I58" i="36"/>
  <c r="X28" i="55" s="1"/>
  <c r="O8" i="13"/>
  <c r="K58" i="36" s="1"/>
  <c r="Z28" i="55" s="1"/>
  <c r="I57" i="36"/>
  <c r="X18" i="55" s="1"/>
  <c r="O7" i="13"/>
  <c r="K57" i="36" s="1"/>
  <c r="Z18" i="55" s="1"/>
  <c r="I59" i="36"/>
  <c r="X108" i="55" s="1"/>
  <c r="O9" i="13"/>
  <c r="K59" i="36" s="1"/>
  <c r="I54" i="36"/>
  <c r="X100" i="55" s="1"/>
  <c r="O9" i="12"/>
  <c r="K54" i="36" s="1"/>
  <c r="Z100" i="55" s="1"/>
  <c r="I53" i="36"/>
  <c r="X52" i="55" s="1"/>
  <c r="O8" i="12"/>
  <c r="K53" i="36" s="1"/>
  <c r="Z52" i="55" s="1"/>
  <c r="I52" i="36"/>
  <c r="X9" i="55" s="1"/>
  <c r="O7" i="12"/>
  <c r="K52" i="36" s="1"/>
  <c r="Z9" i="55" s="1"/>
  <c r="I56" i="36"/>
  <c r="O11" i="12"/>
  <c r="K56" i="36" s="1"/>
  <c r="I49" i="36"/>
  <c r="X115" i="55" s="1"/>
  <c r="O9" i="11"/>
  <c r="K49" i="36" s="1"/>
  <c r="Z115" i="55" s="1"/>
  <c r="I51" i="36"/>
  <c r="O11" i="11"/>
  <c r="K51" i="36" s="1"/>
  <c r="H60" i="35"/>
  <c r="AK101" i="55" s="1"/>
  <c r="O18" i="11"/>
  <c r="J60" i="35" s="1"/>
  <c r="AM101" i="55" s="1"/>
  <c r="I47" i="36"/>
  <c r="O7" i="11"/>
  <c r="K47" i="36" s="1"/>
  <c r="I48" i="36"/>
  <c r="X35" i="55" s="1"/>
  <c r="O8" i="11"/>
  <c r="K48" i="36" s="1"/>
  <c r="Z35" i="55" s="1"/>
  <c r="I44" i="36"/>
  <c r="O9" i="10"/>
  <c r="K44" i="36" s="1"/>
  <c r="I45" i="36"/>
  <c r="O10" i="10"/>
  <c r="I46" i="36"/>
  <c r="O11" i="10"/>
  <c r="K46" i="36" s="1"/>
  <c r="I42" i="36"/>
  <c r="X22" i="55" s="1"/>
  <c r="O7" i="10"/>
  <c r="K42" i="36" s="1"/>
  <c r="Z22" i="55" s="1"/>
  <c r="I43" i="36"/>
  <c r="X33" i="55" s="1"/>
  <c r="O8" i="10"/>
  <c r="K43" i="36" s="1"/>
  <c r="Z33" i="55" s="1"/>
  <c r="H53" i="35"/>
  <c r="O16" i="10"/>
  <c r="J53" i="35" s="1"/>
  <c r="I37" i="36"/>
  <c r="X11" i="55" s="1"/>
  <c r="O7" i="9"/>
  <c r="H47" i="35"/>
  <c r="O16" i="9"/>
  <c r="J47" i="35" s="1"/>
  <c r="I41" i="36"/>
  <c r="X107" i="55" s="1"/>
  <c r="O11" i="9"/>
  <c r="K41" i="36" s="1"/>
  <c r="Z107" i="55" s="1"/>
  <c r="I39" i="36"/>
  <c r="O9" i="9"/>
  <c r="K39" i="36" s="1"/>
  <c r="I38" i="36"/>
  <c r="X32" i="55" s="1"/>
  <c r="O8" i="9"/>
  <c r="I36" i="36"/>
  <c r="O11" i="8"/>
  <c r="I34" i="36"/>
  <c r="X74" i="55" s="1"/>
  <c r="O9" i="8"/>
  <c r="K34" i="36" s="1"/>
  <c r="Z74" i="55" s="1"/>
  <c r="I33" i="36"/>
  <c r="X64" i="55" s="1"/>
  <c r="O8" i="8"/>
  <c r="K33" i="36" s="1"/>
  <c r="I32" i="36"/>
  <c r="X7" i="55" s="1"/>
  <c r="O7" i="8"/>
  <c r="K32" i="36" s="1"/>
  <c r="Z7" i="55" s="1"/>
  <c r="I29" i="36"/>
  <c r="X98" i="55" s="1"/>
  <c r="O9" i="7"/>
  <c r="K29" i="36" s="1"/>
  <c r="Z98" i="55" s="1"/>
  <c r="I31" i="36"/>
  <c r="O11" i="7"/>
  <c r="K31" i="36" s="1"/>
  <c r="I28" i="36"/>
  <c r="O8" i="7"/>
  <c r="K28" i="36" s="1"/>
  <c r="I27" i="36"/>
  <c r="O7" i="7"/>
  <c r="K27" i="36" s="1"/>
  <c r="F34" i="1"/>
  <c r="I23" i="36"/>
  <c r="O8" i="1"/>
  <c r="K23" i="36" s="1"/>
  <c r="I22" i="36"/>
  <c r="X3" i="55" s="1"/>
  <c r="O7" i="1"/>
  <c r="K22" i="36" s="1"/>
  <c r="Z3" i="55" s="1"/>
  <c r="I26" i="36"/>
  <c r="O11" i="1"/>
  <c r="K26" i="36" s="1"/>
  <c r="H30" i="35"/>
  <c r="O18" i="1"/>
  <c r="J30" i="35" s="1"/>
  <c r="I24" i="36"/>
  <c r="O9" i="1"/>
  <c r="K24" i="36" s="1"/>
  <c r="N20" i="6"/>
  <c r="I25" i="35" s="1"/>
  <c r="AL143" i="55" s="1"/>
  <c r="O20" i="6"/>
  <c r="J25" i="35" s="1"/>
  <c r="I21" i="36"/>
  <c r="O11" i="6"/>
  <c r="K21" i="36" s="1"/>
  <c r="I17" i="36"/>
  <c r="X31" i="55" s="1"/>
  <c r="O7" i="6"/>
  <c r="K17" i="36" s="1"/>
  <c r="Z31" i="55" s="1"/>
  <c r="I19" i="36"/>
  <c r="O9" i="6"/>
  <c r="K19" i="36" s="1"/>
  <c r="I18" i="36"/>
  <c r="X43" i="55" s="1"/>
  <c r="O8" i="6"/>
  <c r="K18" i="36" s="1"/>
  <c r="Z43" i="55" s="1"/>
  <c r="I12" i="36"/>
  <c r="X19" i="55" s="1"/>
  <c r="O7" i="5"/>
  <c r="K12" i="36" s="1"/>
  <c r="Z19" i="55" s="1"/>
  <c r="I14" i="36"/>
  <c r="O9" i="5"/>
  <c r="K14" i="36" s="1"/>
  <c r="I13" i="36"/>
  <c r="X39" i="55" s="1"/>
  <c r="O8" i="5"/>
  <c r="K13" i="36" s="1"/>
  <c r="Z39" i="55" s="1"/>
  <c r="I16" i="36"/>
  <c r="O11" i="5"/>
  <c r="I9" i="36"/>
  <c r="X44" i="55" s="1"/>
  <c r="O9" i="4"/>
  <c r="K9" i="36" s="1"/>
  <c r="Z44" i="55" s="1"/>
  <c r="I7" i="36"/>
  <c r="X37" i="55" s="1"/>
  <c r="O7" i="4"/>
  <c r="K7" i="36" s="1"/>
  <c r="Z37" i="55" s="1"/>
  <c r="I11" i="36"/>
  <c r="O11" i="4"/>
  <c r="I8" i="36"/>
  <c r="X61" i="55" s="1"/>
  <c r="O8" i="4"/>
  <c r="K8" i="36" s="1"/>
  <c r="Z61" i="55" s="1"/>
  <c r="G22" i="33"/>
  <c r="G16" i="33"/>
  <c r="G27" i="55" s="1"/>
  <c r="G12" i="33"/>
  <c r="N8" i="1"/>
  <c r="J23" i="36" s="1"/>
  <c r="A18" i="35"/>
  <c r="H100" i="35"/>
  <c r="N9" i="13"/>
  <c r="J59" i="36" s="1"/>
  <c r="N55" i="33"/>
  <c r="M41" i="55" s="1"/>
  <c r="N7" i="3"/>
  <c r="J82" i="36" s="1"/>
  <c r="Y6" i="55" s="1"/>
  <c r="N15" i="31"/>
  <c r="I196" i="35" s="1"/>
  <c r="AL26" i="55" s="1"/>
  <c r="N10" i="10"/>
  <c r="J45" i="36" s="1"/>
  <c r="N7" i="14"/>
  <c r="J62" i="36" s="1"/>
  <c r="Y55" i="55" s="1"/>
  <c r="N32" i="33"/>
  <c r="N51" i="33"/>
  <c r="M40" i="55" s="1"/>
  <c r="N13" i="33"/>
  <c r="N42" i="33"/>
  <c r="M46" i="55" s="1"/>
  <c r="N11" i="13"/>
  <c r="J61" i="36" s="1"/>
  <c r="I61" i="36"/>
  <c r="N10" i="3"/>
  <c r="J85" i="36" s="1"/>
  <c r="Y118" i="55" s="1"/>
  <c r="I85" i="36"/>
  <c r="X118" i="55" s="1"/>
  <c r="N7" i="18"/>
  <c r="J87" i="36" s="1"/>
  <c r="Y13" i="55" s="1"/>
  <c r="I87" i="36"/>
  <c r="X13" i="55" s="1"/>
  <c r="N10" i="30"/>
  <c r="J155" i="36" s="1"/>
  <c r="I155" i="36"/>
  <c r="N10" i="26"/>
  <c r="J130" i="36" s="1"/>
  <c r="Y120" i="55" s="1"/>
  <c r="I130" i="36"/>
  <c r="X120" i="55" s="1"/>
  <c r="N10" i="21"/>
  <c r="J110" i="36" s="1"/>
  <c r="I110" i="36"/>
  <c r="N10" i="13"/>
  <c r="J60" i="36" s="1"/>
  <c r="I60" i="36"/>
  <c r="N10" i="24"/>
  <c r="J125" i="36" s="1"/>
  <c r="I125" i="36"/>
  <c r="N11" i="18"/>
  <c r="J91" i="36" s="1"/>
  <c r="I91" i="36"/>
  <c r="N10" i="22"/>
  <c r="J115" i="36" s="1"/>
  <c r="I115" i="36"/>
  <c r="N10" i="9"/>
  <c r="J40" i="36" s="1"/>
  <c r="I40" i="36"/>
  <c r="N10" i="4"/>
  <c r="J10" i="36" s="1"/>
  <c r="Y110" i="55" s="1"/>
  <c r="I10" i="36"/>
  <c r="X110" i="55" s="1"/>
  <c r="N10" i="23"/>
  <c r="J120" i="36" s="1"/>
  <c r="Y92" i="55" s="1"/>
  <c r="I120" i="36"/>
  <c r="N10" i="14"/>
  <c r="J65" i="36" s="1"/>
  <c r="I65" i="36"/>
  <c r="N7" i="27"/>
  <c r="J132" i="36" s="1"/>
  <c r="Y5" i="55" s="1"/>
  <c r="I132" i="36"/>
  <c r="X5" i="55" s="1"/>
  <c r="N10" i="12"/>
  <c r="J55" i="36" s="1"/>
  <c r="I55" i="36"/>
  <c r="N10" i="27"/>
  <c r="J135" i="36" s="1"/>
  <c r="I135" i="36"/>
  <c r="N10" i="2"/>
  <c r="J145" i="36" s="1"/>
  <c r="I145" i="36"/>
  <c r="N10" i="16"/>
  <c r="J75" i="36" s="1"/>
  <c r="Y124" i="55" s="1"/>
  <c r="I75" i="36"/>
  <c r="X124" i="55" s="1"/>
  <c r="N10" i="11"/>
  <c r="J50" i="36" s="1"/>
  <c r="I50" i="36"/>
  <c r="N64" i="33"/>
  <c r="M60" i="55" s="1"/>
  <c r="N10" i="5"/>
  <c r="J15" i="36" s="1"/>
  <c r="Y104" i="55" s="1"/>
  <c r="I15" i="36"/>
  <c r="X104" i="55" s="1"/>
  <c r="N10" i="20"/>
  <c r="J105" i="36" s="1"/>
  <c r="I105" i="36"/>
  <c r="N10" i="7"/>
  <c r="J30" i="36" s="1"/>
  <c r="Y117" i="55" s="1"/>
  <c r="I30" i="36"/>
  <c r="X117" i="55" s="1"/>
  <c r="N10" i="18"/>
  <c r="J90" i="36" s="1"/>
  <c r="I90" i="36"/>
  <c r="N10" i="25"/>
  <c r="J95" i="36" s="1"/>
  <c r="I95" i="36"/>
  <c r="X63" i="55" s="1"/>
  <c r="N9" i="18"/>
  <c r="J89" i="36" s="1"/>
  <c r="I89" i="36"/>
  <c r="N10" i="15"/>
  <c r="J70" i="36" s="1"/>
  <c r="I70" i="36"/>
  <c r="N10" i="1"/>
  <c r="J25" i="36" s="1"/>
  <c r="I25" i="36"/>
  <c r="N10" i="29"/>
  <c r="J150" i="36" s="1"/>
  <c r="I150" i="36"/>
  <c r="X91" i="55" s="1"/>
  <c r="N40" i="33"/>
  <c r="M56" i="55" s="1"/>
  <c r="N10" i="31"/>
  <c r="J160" i="36" s="1"/>
  <c r="Y119" i="55" s="1"/>
  <c r="I160" i="36"/>
  <c r="X119" i="55" s="1"/>
  <c r="N10" i="8"/>
  <c r="J35" i="36" s="1"/>
  <c r="I35" i="36"/>
  <c r="N10" i="17"/>
  <c r="J80" i="36" s="1"/>
  <c r="Y103" i="55" s="1"/>
  <c r="I80" i="36"/>
  <c r="X103" i="55" s="1"/>
  <c r="N8" i="18"/>
  <c r="J88" i="36" s="1"/>
  <c r="I88" i="36"/>
  <c r="N9" i="2"/>
  <c r="J144" i="36" s="1"/>
  <c r="Y106" i="55" s="1"/>
  <c r="I144" i="36"/>
  <c r="X106" i="55" s="1"/>
  <c r="N10" i="6"/>
  <c r="J20" i="36" s="1"/>
  <c r="I20" i="36"/>
  <c r="N10" i="19"/>
  <c r="J100" i="36" s="1"/>
  <c r="I100" i="36"/>
  <c r="N10" i="28"/>
  <c r="J140" i="36" s="1"/>
  <c r="Y113" i="55" s="1"/>
  <c r="I140" i="36"/>
  <c r="X113" i="55" s="1"/>
  <c r="N57" i="33"/>
  <c r="M37" i="55" s="1"/>
  <c r="N66" i="33"/>
  <c r="N7" i="33"/>
  <c r="N23" i="33"/>
  <c r="N9" i="33"/>
  <c r="N19" i="33"/>
  <c r="N11" i="33"/>
  <c r="N53" i="33"/>
  <c r="H195" i="35"/>
  <c r="AK148" i="55" s="1"/>
  <c r="N38" i="33"/>
  <c r="M42" i="55" s="1"/>
  <c r="N62" i="33"/>
  <c r="M48" i="55" s="1"/>
  <c r="N44" i="33"/>
  <c r="M66" i="55" s="1"/>
  <c r="N36" i="33"/>
  <c r="M63" i="55" s="1"/>
  <c r="K91" i="36"/>
  <c r="K89" i="36"/>
  <c r="K87" i="36"/>
  <c r="Z13" i="55" s="1"/>
  <c r="K90" i="36"/>
  <c r="K88" i="36"/>
  <c r="N30" i="33"/>
  <c r="M58" i="55" s="1"/>
  <c r="N17" i="33"/>
  <c r="M34" i="55" s="1"/>
  <c r="N46" i="33"/>
  <c r="M57" i="55" s="1"/>
  <c r="N5" i="33"/>
  <c r="F6" i="47" s="1"/>
  <c r="N34" i="33"/>
  <c r="M64" i="55" s="1"/>
  <c r="N48" i="33"/>
  <c r="N68" i="33"/>
  <c r="M5" i="33"/>
  <c r="M38" i="33"/>
  <c r="M17" i="33"/>
  <c r="M32" i="33"/>
  <c r="M64" i="33"/>
  <c r="M40" i="33"/>
  <c r="M7" i="33"/>
  <c r="M44" i="33"/>
  <c r="M36" i="33"/>
  <c r="M34" i="33"/>
  <c r="M11" i="33"/>
  <c r="M53" i="33"/>
  <c r="M62" i="33"/>
  <c r="M48" i="33"/>
  <c r="M42" i="33"/>
  <c r="M68" i="33"/>
  <c r="M57" i="33"/>
  <c r="M66" i="33"/>
  <c r="N11" i="4"/>
  <c r="J11" i="36" s="1"/>
  <c r="K160" i="36"/>
  <c r="K161" i="36"/>
  <c r="K144" i="36"/>
  <c r="Z106" i="55" s="1"/>
  <c r="K145" i="36"/>
  <c r="K80" i="36"/>
  <c r="Z103" i="55" s="1"/>
  <c r="M51" i="33"/>
  <c r="K75" i="36"/>
  <c r="Z124" i="55" s="1"/>
  <c r="K110" i="36"/>
  <c r="M55" i="33"/>
  <c r="N21" i="16"/>
  <c r="I95" i="35" s="1"/>
  <c r="H95" i="35"/>
  <c r="N11" i="19"/>
  <c r="J101" i="36" s="1"/>
  <c r="N11" i="12"/>
  <c r="J56" i="36" s="1"/>
  <c r="N21" i="20"/>
  <c r="K15" i="36"/>
  <c r="Z104" i="55" s="1"/>
  <c r="N11" i="15"/>
  <c r="J71" i="36" s="1"/>
  <c r="N11" i="23"/>
  <c r="J121" i="36" s="1"/>
  <c r="N11" i="31"/>
  <c r="J161" i="36" s="1"/>
  <c r="N21" i="10"/>
  <c r="N11" i="28"/>
  <c r="J141" i="36" s="1"/>
  <c r="N11" i="20"/>
  <c r="J106" i="36" s="1"/>
  <c r="K25" i="36"/>
  <c r="N21" i="13"/>
  <c r="I76" i="35" s="1"/>
  <c r="H76" i="35"/>
  <c r="N21" i="7"/>
  <c r="I40" i="35" s="1"/>
  <c r="H40" i="35"/>
  <c r="K155" i="36"/>
  <c r="M13" i="33"/>
  <c r="K100" i="36"/>
  <c r="K130" i="36"/>
  <c r="Z120" i="55" s="1"/>
  <c r="K150" i="36"/>
  <c r="Z91" i="55" s="1"/>
  <c r="K151" i="36"/>
  <c r="N21" i="18"/>
  <c r="N11" i="3"/>
  <c r="J86" i="36" s="1"/>
  <c r="N11" i="9"/>
  <c r="J41" i="36" s="1"/>
  <c r="N21" i="21"/>
  <c r="N11" i="8"/>
  <c r="J36" i="36" s="1"/>
  <c r="K50" i="36"/>
  <c r="K55" i="36"/>
  <c r="N21" i="9"/>
  <c r="N11" i="11"/>
  <c r="J51" i="36" s="1"/>
  <c r="N21" i="17"/>
  <c r="M30" i="33"/>
  <c r="M19" i="33"/>
  <c r="M23" i="33"/>
  <c r="M9" i="33"/>
  <c r="M46" i="33"/>
  <c r="N11" i="25"/>
  <c r="J96" i="36" s="1"/>
  <c r="N11" i="5"/>
  <c r="J16" i="36" s="1"/>
  <c r="N11" i="1"/>
  <c r="J26" i="36" s="1"/>
  <c r="N21" i="6"/>
  <c r="I26" i="35" s="1"/>
  <c r="H26" i="35"/>
  <c r="N21" i="31"/>
  <c r="I202" i="35" s="1"/>
  <c r="H202" i="35"/>
  <c r="N11" i="29"/>
  <c r="J151" i="36" s="1"/>
  <c r="N21" i="4"/>
  <c r="N21" i="14"/>
  <c r="I83" i="35" s="1"/>
  <c r="H83" i="35"/>
  <c r="N11" i="6"/>
  <c r="J21" i="36" s="1"/>
  <c r="N11" i="27"/>
  <c r="J136" i="36" s="1"/>
  <c r="N11" i="2"/>
  <c r="J146" i="36" s="1"/>
  <c r="Y79" i="55" s="1"/>
  <c r="N21" i="27"/>
  <c r="H22" i="33"/>
  <c r="M22" i="33" s="1"/>
  <c r="N11" i="21"/>
  <c r="J111" i="36" s="1"/>
  <c r="Y114" i="55" s="1"/>
  <c r="K85" i="36"/>
  <c r="Z118" i="55" s="1"/>
  <c r="K86" i="36"/>
  <c r="N21" i="24"/>
  <c r="I158" i="35" s="1"/>
  <c r="H158" i="35"/>
  <c r="N11" i="7"/>
  <c r="J31" i="36" s="1"/>
  <c r="N21" i="28"/>
  <c r="N11" i="14"/>
  <c r="J66" i="36" s="1"/>
  <c r="N21" i="29"/>
  <c r="K45" i="36"/>
  <c r="K11" i="36"/>
  <c r="N11" i="17"/>
  <c r="J81" i="36" s="1"/>
  <c r="N21" i="23"/>
  <c r="I151" i="35" s="1"/>
  <c r="H151" i="35"/>
  <c r="N11" i="22"/>
  <c r="J116" i="36" s="1"/>
  <c r="N21" i="5"/>
  <c r="N21" i="2"/>
  <c r="G34" i="28"/>
  <c r="K140" i="36"/>
  <c r="Z113" i="55" s="1"/>
  <c r="K115" i="36"/>
  <c r="K116" i="36"/>
  <c r="K70" i="36"/>
  <c r="K71" i="36"/>
  <c r="N21" i="26"/>
  <c r="N21" i="19"/>
  <c r="I127" i="35" s="1"/>
  <c r="H127" i="35"/>
  <c r="N11" i="16"/>
  <c r="J76" i="36" s="1"/>
  <c r="N21" i="15"/>
  <c r="N11" i="30"/>
  <c r="J156" i="36" s="1"/>
  <c r="N11" i="24"/>
  <c r="J126" i="36" s="1"/>
  <c r="K10" i="36"/>
  <c r="Z110" i="55" s="1"/>
  <c r="N21" i="3"/>
  <c r="I107" i="35" s="1"/>
  <c r="H107" i="35"/>
  <c r="N21" i="25"/>
  <c r="K135" i="36"/>
  <c r="G34" i="8"/>
  <c r="K35" i="36"/>
  <c r="K36" i="36"/>
  <c r="N21" i="11"/>
  <c r="K30" i="36"/>
  <c r="Z117" i="55" s="1"/>
  <c r="N21" i="12"/>
  <c r="N11" i="10"/>
  <c r="J46" i="36" s="1"/>
  <c r="N11" i="26"/>
  <c r="J131" i="36" s="1"/>
  <c r="N21" i="30"/>
  <c r="I194" i="35" s="1"/>
  <c r="H194" i="35"/>
  <c r="N21" i="22"/>
  <c r="K40" i="36"/>
  <c r="N21" i="1"/>
  <c r="I33" i="35" s="1"/>
  <c r="H33" i="35"/>
  <c r="K16" i="36"/>
  <c r="K20" i="36"/>
  <c r="K126" i="36"/>
  <c r="K125" i="36"/>
  <c r="K95" i="36"/>
  <c r="K105" i="36"/>
  <c r="N9" i="19"/>
  <c r="J99" i="36" s="1"/>
  <c r="K120" i="36"/>
  <c r="Z92" i="55" s="1"/>
  <c r="H26" i="33"/>
  <c r="K65" i="36"/>
  <c r="N20" i="28"/>
  <c r="N20" i="17"/>
  <c r="H25" i="33"/>
  <c r="K60" i="36"/>
  <c r="K61" i="36"/>
  <c r="H25" i="35"/>
  <c r="AK143" i="55" s="1"/>
  <c r="N16" i="23"/>
  <c r="I147" i="35" s="1"/>
  <c r="AL74" i="55" s="1"/>
  <c r="N16" i="2"/>
  <c r="I178" i="35" s="1"/>
  <c r="N7" i="8"/>
  <c r="J32" i="36" s="1"/>
  <c r="Y7" i="55" s="1"/>
  <c r="G34" i="30"/>
  <c r="H126" i="35"/>
  <c r="N18" i="1"/>
  <c r="I30" i="35" s="1"/>
  <c r="N16" i="9"/>
  <c r="I47" i="35" s="1"/>
  <c r="N8" i="7"/>
  <c r="J28" i="36" s="1"/>
  <c r="N9" i="29"/>
  <c r="J149" i="36" s="1"/>
  <c r="Y72" i="55" s="1"/>
  <c r="N16" i="20"/>
  <c r="I129" i="35" s="1"/>
  <c r="AL47" i="55" s="1"/>
  <c r="N26" i="28"/>
  <c r="G85" i="34" s="1"/>
  <c r="N17" i="16"/>
  <c r="I92" i="35" s="1"/>
  <c r="AL95" i="55" s="1"/>
  <c r="G34" i="20"/>
  <c r="N15" i="21"/>
  <c r="I134" i="35" s="1"/>
  <c r="AL72" i="55" s="1"/>
  <c r="N7" i="19"/>
  <c r="J97" i="36" s="1"/>
  <c r="Y30" i="55" s="1"/>
  <c r="N15" i="28"/>
  <c r="I172" i="35" s="1"/>
  <c r="AL20" i="55" s="1"/>
  <c r="N15" i="25"/>
  <c r="I115" i="35" s="1"/>
  <c r="AL5" i="55" s="1"/>
  <c r="G34" i="7"/>
  <c r="N18" i="11"/>
  <c r="I60" i="35" s="1"/>
  <c r="AL101" i="55" s="1"/>
  <c r="N18" i="20"/>
  <c r="I132" i="35" s="1"/>
  <c r="AL176" i="55" s="1"/>
  <c r="G34" i="18"/>
  <c r="G34" i="22"/>
  <c r="N15" i="26"/>
  <c r="I160" i="35" s="1"/>
  <c r="N7" i="23"/>
  <c r="J117" i="36" s="1"/>
  <c r="Y8" i="55" s="1"/>
  <c r="G34" i="21"/>
  <c r="G34" i="26"/>
  <c r="G34" i="9"/>
  <c r="G34" i="27"/>
  <c r="G34" i="11"/>
  <c r="N16" i="10"/>
  <c r="I53" i="35" s="1"/>
  <c r="J82" i="35"/>
  <c r="AM175" i="55" s="1"/>
  <c r="H40" i="3"/>
  <c r="H41" i="3" s="1"/>
  <c r="G34" i="13"/>
  <c r="G34" i="2"/>
  <c r="G34" i="6"/>
  <c r="G34" i="10"/>
  <c r="G34" i="14"/>
  <c r="G34" i="17"/>
  <c r="G34" i="1"/>
  <c r="N8" i="16"/>
  <c r="J73" i="36" s="1"/>
  <c r="G34" i="29"/>
  <c r="H40" i="27"/>
  <c r="H41" i="27" s="1"/>
  <c r="G34" i="31"/>
  <c r="H40" i="14"/>
  <c r="H41" i="14" s="1"/>
  <c r="N7" i="4"/>
  <c r="J7" i="36" s="1"/>
  <c r="Y37" i="55" s="1"/>
  <c r="G34" i="4"/>
  <c r="H40" i="8"/>
  <c r="H41" i="8" s="1"/>
  <c r="G34" i="12"/>
  <c r="G34" i="3"/>
  <c r="G34" i="16"/>
  <c r="G34" i="5"/>
  <c r="G34" i="25"/>
  <c r="G34" i="19"/>
  <c r="G34" i="23"/>
  <c r="G34" i="15"/>
  <c r="G34" i="24"/>
  <c r="H40" i="5"/>
  <c r="H41" i="5" s="1"/>
  <c r="H40" i="22"/>
  <c r="H41" i="22" s="1"/>
  <c r="H40" i="7"/>
  <c r="H41" i="7" s="1"/>
  <c r="H40" i="20"/>
  <c r="H41" i="20" s="1"/>
  <c r="H40" i="2"/>
  <c r="H41" i="2" s="1"/>
  <c r="H40" i="17"/>
  <c r="H41" i="17" s="1"/>
  <c r="H40" i="1"/>
  <c r="H41" i="1" s="1"/>
  <c r="H40" i="11"/>
  <c r="H41" i="11" s="1"/>
  <c r="H40" i="21"/>
  <c r="H41" i="21" s="1"/>
  <c r="H40" i="18"/>
  <c r="H41" i="18" s="1"/>
  <c r="H40" i="24"/>
  <c r="H41" i="24" s="1"/>
  <c r="H40" i="4"/>
  <c r="H41" i="4" s="1"/>
  <c r="H40" i="9"/>
  <c r="H41" i="9" s="1"/>
  <c r="H40" i="31"/>
  <c r="H41" i="31" s="1"/>
  <c r="H40" i="10"/>
  <c r="H41" i="10" s="1"/>
  <c r="H40" i="15"/>
  <c r="H41" i="15" s="1"/>
  <c r="H40" i="29"/>
  <c r="H41" i="29" s="1"/>
  <c r="H40" i="23"/>
  <c r="H41" i="23" s="1"/>
  <c r="H40" i="28"/>
  <c r="H41" i="28" s="1"/>
  <c r="H40" i="13"/>
  <c r="H41" i="13" s="1"/>
  <c r="H40" i="25"/>
  <c r="H41" i="25" s="1"/>
  <c r="H40" i="6"/>
  <c r="H41" i="6" s="1"/>
  <c r="H40" i="16"/>
  <c r="H41" i="16" s="1"/>
  <c r="H40" i="30"/>
  <c r="H41" i="30" s="1"/>
  <c r="H40" i="12"/>
  <c r="H41" i="12" s="1"/>
  <c r="H40" i="19"/>
  <c r="H41" i="19" s="1"/>
  <c r="H40" i="26"/>
  <c r="H41" i="26" s="1"/>
  <c r="J83" i="35"/>
  <c r="J80" i="35"/>
  <c r="AM68" i="55" s="1"/>
  <c r="J78" i="35"/>
  <c r="H27" i="33"/>
  <c r="N27" i="33" s="1"/>
  <c r="F28" i="47" s="1"/>
  <c r="H38" i="34"/>
  <c r="AX20" i="55" s="1"/>
  <c r="H39" i="34"/>
  <c r="J79" i="35"/>
  <c r="AM113" i="55" s="1"/>
  <c r="J77" i="35"/>
  <c r="AM21" i="55" s="1"/>
  <c r="J81" i="35"/>
  <c r="H40" i="34"/>
  <c r="AX88" i="55" s="1"/>
  <c r="N17" i="15"/>
  <c r="I86" i="35" s="1"/>
  <c r="J66" i="35"/>
  <c r="AM39" i="55" s="1"/>
  <c r="N17" i="26"/>
  <c r="I162" i="35" s="1"/>
  <c r="AL112" i="55" s="1"/>
  <c r="H14" i="35"/>
  <c r="AK24" i="55" s="1"/>
  <c r="N15" i="5"/>
  <c r="N8" i="31"/>
  <c r="J158" i="36" s="1"/>
  <c r="Y42" i="55" s="1"/>
  <c r="I35" i="33"/>
  <c r="H192" i="35"/>
  <c r="N18" i="30"/>
  <c r="I192" i="35" s="1"/>
  <c r="H118" i="35"/>
  <c r="N18" i="25"/>
  <c r="I118" i="35" s="1"/>
  <c r="N8" i="17"/>
  <c r="J78" i="36" s="1"/>
  <c r="H164" i="35"/>
  <c r="AK151" i="55" s="1"/>
  <c r="N19" i="26"/>
  <c r="I164" i="35" s="1"/>
  <c r="AL151" i="55" s="1"/>
  <c r="F77" i="34"/>
  <c r="AV9" i="55" s="1"/>
  <c r="N24" i="26"/>
  <c r="G77" i="34" s="1"/>
  <c r="AW9" i="55" s="1"/>
  <c r="N9" i="21"/>
  <c r="J109" i="36" s="1"/>
  <c r="Y57" i="55" s="1"/>
  <c r="N8" i="6"/>
  <c r="J18" i="36" s="1"/>
  <c r="Y43" i="55" s="1"/>
  <c r="F52" i="34"/>
  <c r="AV66" i="55" s="1"/>
  <c r="N26" i="3"/>
  <c r="G52" i="34" s="1"/>
  <c r="AW66" i="55" s="1"/>
  <c r="N8" i="28"/>
  <c r="J138" i="36" s="1"/>
  <c r="H28" i="35"/>
  <c r="AK62" i="55" s="1"/>
  <c r="N16" i="1"/>
  <c r="I28" i="35" s="1"/>
  <c r="AL62" i="55" s="1"/>
  <c r="H58" i="35"/>
  <c r="AK27" i="55" s="1"/>
  <c r="N15" i="11"/>
  <c r="F92" i="34"/>
  <c r="N24" i="30"/>
  <c r="G92" i="34" s="1"/>
  <c r="AW28" i="55" s="1"/>
  <c r="F13" i="34"/>
  <c r="AV87" i="55" s="1"/>
  <c r="N26" i="6"/>
  <c r="G13" i="34" s="1"/>
  <c r="AW87" i="55" s="1"/>
  <c r="H75" i="35"/>
  <c r="AK114" i="55" s="1"/>
  <c r="I75" i="35"/>
  <c r="AL114" i="55" s="1"/>
  <c r="F46" i="34"/>
  <c r="N26" i="16"/>
  <c r="G46" i="34" s="1"/>
  <c r="AW70" i="55" s="1"/>
  <c r="N9" i="3"/>
  <c r="J84" i="36" s="1"/>
  <c r="Y90" i="55" s="1"/>
  <c r="H68" i="35"/>
  <c r="I68" i="35"/>
  <c r="F17" i="34"/>
  <c r="AV16" i="55" s="1"/>
  <c r="N24" i="7"/>
  <c r="G17" i="34" s="1"/>
  <c r="AW16" i="55" s="1"/>
  <c r="N8" i="11"/>
  <c r="J48" i="36" s="1"/>
  <c r="Y35" i="55" s="1"/>
  <c r="H101" i="35"/>
  <c r="AK169" i="55" s="1"/>
  <c r="N19" i="17"/>
  <c r="I101" i="35" s="1"/>
  <c r="AL169" i="55" s="1"/>
  <c r="J202" i="35"/>
  <c r="J198" i="35"/>
  <c r="AM66" i="55" s="1"/>
  <c r="H67" i="33"/>
  <c r="H96" i="34"/>
  <c r="J199" i="35"/>
  <c r="AM153" i="55" s="1"/>
  <c r="J197" i="35"/>
  <c r="J200" i="35"/>
  <c r="K159" i="36"/>
  <c r="Z70" i="55" s="1"/>
  <c r="H95" i="34"/>
  <c r="AX22" i="55" s="1"/>
  <c r="H97" i="34"/>
  <c r="AX89" i="55" s="1"/>
  <c r="J201" i="35"/>
  <c r="K157" i="36"/>
  <c r="Z17" i="55" s="1"/>
  <c r="H77" i="35"/>
  <c r="AK21" i="55" s="1"/>
  <c r="N15" i="14"/>
  <c r="H56" i="33"/>
  <c r="J171" i="35"/>
  <c r="J169" i="35"/>
  <c r="J167" i="35"/>
  <c r="AM61" i="55" s="1"/>
  <c r="H81" i="34"/>
  <c r="AX71" i="55" s="1"/>
  <c r="J168" i="35"/>
  <c r="AM59" i="55" s="1"/>
  <c r="H80" i="34"/>
  <c r="AX13" i="55" s="1"/>
  <c r="J170" i="35"/>
  <c r="K132" i="36"/>
  <c r="Z5" i="55" s="1"/>
  <c r="H82" i="34"/>
  <c r="N8" i="4"/>
  <c r="J8" i="36" s="1"/>
  <c r="Y61" i="55" s="1"/>
  <c r="J59" i="35"/>
  <c r="H29" i="34"/>
  <c r="H20" i="33"/>
  <c r="H30" i="34"/>
  <c r="AX43" i="55" s="1"/>
  <c r="J62" i="35"/>
  <c r="AM168" i="55" s="1"/>
  <c r="J63" i="35"/>
  <c r="AM184" i="55" s="1"/>
  <c r="H31" i="34"/>
  <c r="AX91" i="55" s="1"/>
  <c r="J61" i="35"/>
  <c r="H148" i="35"/>
  <c r="AK52" i="55" s="1"/>
  <c r="N17" i="23"/>
  <c r="I148" i="35" s="1"/>
  <c r="AL52" i="55" s="1"/>
  <c r="F76" i="34"/>
  <c r="AV79" i="55" s="1"/>
  <c r="N26" i="25"/>
  <c r="G76" i="34" s="1"/>
  <c r="AW79" i="55" s="1"/>
  <c r="H9" i="35"/>
  <c r="AK99" i="55" s="1"/>
  <c r="N16" i="4"/>
  <c r="I9" i="35" s="1"/>
  <c r="AL99" i="55" s="1"/>
  <c r="J111" i="35"/>
  <c r="J114" i="35"/>
  <c r="K114" i="35" s="1"/>
  <c r="H54" i="34"/>
  <c r="AX67" i="55" s="1"/>
  <c r="H55" i="34"/>
  <c r="AX63" i="55" s="1"/>
  <c r="J113" i="35"/>
  <c r="H37" i="33"/>
  <c r="H53" i="34"/>
  <c r="AX25" i="55" s="1"/>
  <c r="J109" i="35"/>
  <c r="AM19" i="55" s="1"/>
  <c r="J112" i="35"/>
  <c r="AM132" i="55" s="1"/>
  <c r="H63" i="35"/>
  <c r="AK184" i="55" s="1"/>
  <c r="I63" i="35"/>
  <c r="AL184" i="55" s="1"/>
  <c r="H13" i="35"/>
  <c r="I13" i="35"/>
  <c r="H112" i="35"/>
  <c r="AK132" i="55" s="1"/>
  <c r="N18" i="18"/>
  <c r="I112" i="35" s="1"/>
  <c r="AL132" i="55" s="1"/>
  <c r="H51" i="35"/>
  <c r="I51" i="35"/>
  <c r="H181" i="35"/>
  <c r="N18" i="2"/>
  <c r="I181" i="35" s="1"/>
  <c r="N17" i="1"/>
  <c r="I29" i="35" s="1"/>
  <c r="AL83" i="55" s="1"/>
  <c r="H29" i="35"/>
  <c r="AK83" i="55" s="1"/>
  <c r="F30" i="34"/>
  <c r="AV43" i="55" s="1"/>
  <c r="N25" i="11"/>
  <c r="G30" i="34" s="1"/>
  <c r="AW43" i="55" s="1"/>
  <c r="I24" i="33"/>
  <c r="H37" i="35"/>
  <c r="AK93" i="55" s="1"/>
  <c r="N18" i="7"/>
  <c r="I37" i="35" s="1"/>
  <c r="AL93" i="55" s="1"/>
  <c r="F97" i="34"/>
  <c r="AV89" i="55" s="1"/>
  <c r="N26" i="31"/>
  <c r="G97" i="34" s="1"/>
  <c r="AW89" i="55" s="1"/>
  <c r="H71" i="35"/>
  <c r="N17" i="13"/>
  <c r="I71" i="35" s="1"/>
  <c r="H31" i="35"/>
  <c r="AK154" i="55" s="1"/>
  <c r="N19" i="1"/>
  <c r="I31" i="35" s="1"/>
  <c r="AL154" i="55" s="1"/>
  <c r="F26" i="34"/>
  <c r="AV7" i="55" s="1"/>
  <c r="N24" i="10"/>
  <c r="G26" i="34" s="1"/>
  <c r="AW7" i="55" s="1"/>
  <c r="H66" i="35"/>
  <c r="AK39" i="55" s="1"/>
  <c r="N17" i="12"/>
  <c r="I66" i="35" s="1"/>
  <c r="AL39" i="55" s="1"/>
  <c r="H179" i="35"/>
  <c r="AK106" i="55" s="1"/>
  <c r="N17" i="2"/>
  <c r="I179" i="35" s="1"/>
  <c r="AL106" i="55" s="1"/>
  <c r="H130" i="35"/>
  <c r="N19" i="20"/>
  <c r="I130" i="35" s="1"/>
  <c r="H176" i="35"/>
  <c r="AK181" i="55" s="1"/>
  <c r="N19" i="28"/>
  <c r="I176" i="35" s="1"/>
  <c r="AL181" i="55" s="1"/>
  <c r="N19" i="6"/>
  <c r="I24" i="35" s="1"/>
  <c r="AL105" i="55" s="1"/>
  <c r="H24" i="35"/>
  <c r="AK105" i="55" s="1"/>
  <c r="H106" i="35"/>
  <c r="N19" i="3"/>
  <c r="I106" i="35" s="1"/>
  <c r="AL158" i="55" s="1"/>
  <c r="H88" i="35"/>
  <c r="N19" i="15"/>
  <c r="I88" i="35" s="1"/>
  <c r="H71" i="34"/>
  <c r="AX30" i="55" s="1"/>
  <c r="H52" i="33"/>
  <c r="J154" i="35"/>
  <c r="AM29" i="55" s="1"/>
  <c r="J158" i="35"/>
  <c r="J159" i="35"/>
  <c r="AM104" i="55" s="1"/>
  <c r="H72" i="34"/>
  <c r="J155" i="35"/>
  <c r="AM90" i="55" s="1"/>
  <c r="H73" i="34"/>
  <c r="AX74" i="55" s="1"/>
  <c r="J157" i="35"/>
  <c r="AM185" i="55" s="1"/>
  <c r="J156" i="35"/>
  <c r="AM164" i="55" s="1"/>
  <c r="H173" i="35"/>
  <c r="AK37" i="55" s="1"/>
  <c r="N16" i="28"/>
  <c r="I173" i="35" s="1"/>
  <c r="AL37" i="55" s="1"/>
  <c r="H183" i="35"/>
  <c r="AK9" i="55" s="1"/>
  <c r="N15" i="29"/>
  <c r="N8" i="21"/>
  <c r="J108" i="36" s="1"/>
  <c r="Y40" i="55" s="1"/>
  <c r="F54" i="34"/>
  <c r="AV67" i="55" s="1"/>
  <c r="N25" i="18"/>
  <c r="G54" i="34" s="1"/>
  <c r="AW67" i="55" s="1"/>
  <c r="H33" i="34"/>
  <c r="J68" i="35"/>
  <c r="H141" i="35"/>
  <c r="N16" i="22"/>
  <c r="I141" i="35" s="1"/>
  <c r="AL50" i="55" s="1"/>
  <c r="F59" i="34"/>
  <c r="AV11" i="55" s="1"/>
  <c r="N24" i="20"/>
  <c r="G59" i="34" s="1"/>
  <c r="AW11" i="55" s="1"/>
  <c r="H153" i="35"/>
  <c r="N15" i="24"/>
  <c r="J190" i="35"/>
  <c r="AM51" i="55" s="1"/>
  <c r="J194" i="35"/>
  <c r="J193" i="35"/>
  <c r="AM144" i="55" s="1"/>
  <c r="K154" i="36"/>
  <c r="Z68" i="55" s="1"/>
  <c r="H94" i="34"/>
  <c r="AX78" i="55" s="1"/>
  <c r="J192" i="35"/>
  <c r="H92" i="34"/>
  <c r="H65" i="33"/>
  <c r="J191" i="35"/>
  <c r="AM84" i="55" s="1"/>
  <c r="H93" i="34"/>
  <c r="AX36" i="55" s="1"/>
  <c r="N9" i="23"/>
  <c r="J119" i="36" s="1"/>
  <c r="Y123" i="55" s="1"/>
  <c r="F43" i="34"/>
  <c r="AV52" i="55" s="1"/>
  <c r="N26" i="15"/>
  <c r="G43" i="34" s="1"/>
  <c r="AW52" i="55" s="1"/>
  <c r="N7" i="1"/>
  <c r="J22" i="36" s="1"/>
  <c r="Y3" i="55" s="1"/>
  <c r="H70" i="35"/>
  <c r="N15" i="13"/>
  <c r="N7" i="30"/>
  <c r="J152" i="36" s="1"/>
  <c r="Y4" i="55" s="1"/>
  <c r="N8" i="12"/>
  <c r="J53" i="36" s="1"/>
  <c r="Y52" i="55" s="1"/>
  <c r="I65" i="33"/>
  <c r="H15" i="35"/>
  <c r="N16" i="5"/>
  <c r="I15" i="35" s="1"/>
  <c r="H188" i="35"/>
  <c r="I188" i="35"/>
  <c r="H49" i="35"/>
  <c r="N18" i="9"/>
  <c r="I49" i="35" s="1"/>
  <c r="H200" i="35"/>
  <c r="N18" i="31"/>
  <c r="I200" i="35" s="1"/>
  <c r="AL124" i="55" s="1"/>
  <c r="H131" i="35"/>
  <c r="AK82" i="55" s="1"/>
  <c r="N17" i="20"/>
  <c r="I131" i="35" s="1"/>
  <c r="AL82" i="55" s="1"/>
  <c r="H154" i="35"/>
  <c r="AK29" i="55" s="1"/>
  <c r="N16" i="24"/>
  <c r="I154" i="35" s="1"/>
  <c r="AL29" i="55" s="1"/>
  <c r="H165" i="35"/>
  <c r="AK118" i="55" s="1"/>
  <c r="I165" i="35"/>
  <c r="H137" i="35"/>
  <c r="N18" i="21"/>
  <c r="I137" i="35" s="1"/>
  <c r="I67" i="33"/>
  <c r="N8" i="13"/>
  <c r="J58" i="36" s="1"/>
  <c r="Y28" i="55" s="1"/>
  <c r="H65" i="35"/>
  <c r="AK70" i="55" s="1"/>
  <c r="N15" i="12"/>
  <c r="H84" i="35"/>
  <c r="AK94" i="55" s="1"/>
  <c r="N16" i="15"/>
  <c r="I84" i="35" s="1"/>
  <c r="AL94" i="55" s="1"/>
  <c r="F25" i="34"/>
  <c r="N26" i="9"/>
  <c r="G25" i="34" s="1"/>
  <c r="N7" i="2"/>
  <c r="J142" i="36" s="1"/>
  <c r="H110" i="35"/>
  <c r="AK2" i="55" s="1"/>
  <c r="N15" i="18"/>
  <c r="F71" i="34"/>
  <c r="AV30" i="55" s="1"/>
  <c r="N24" i="24"/>
  <c r="G71" i="34" s="1"/>
  <c r="AW30" i="55" s="1"/>
  <c r="F70" i="34"/>
  <c r="N26" i="23"/>
  <c r="G70" i="34" s="1"/>
  <c r="AW44" i="55" s="1"/>
  <c r="F47" i="34"/>
  <c r="AV2" i="55" s="1"/>
  <c r="N24" i="17"/>
  <c r="G47" i="34" s="1"/>
  <c r="AW2" i="55" s="1"/>
  <c r="F28" i="34"/>
  <c r="AV82" i="55" s="1"/>
  <c r="N26" i="10"/>
  <c r="G28" i="34" s="1"/>
  <c r="AW82" i="55" s="1"/>
  <c r="F21" i="34"/>
  <c r="AV59" i="55" s="1"/>
  <c r="N25" i="8"/>
  <c r="G21" i="34" s="1"/>
  <c r="AW59" i="55" s="1"/>
  <c r="H117" i="35"/>
  <c r="N17" i="25"/>
  <c r="I117" i="35" s="1"/>
  <c r="AL110" i="55" s="1"/>
  <c r="N7" i="11"/>
  <c r="J47" i="36" s="1"/>
  <c r="N7" i="26"/>
  <c r="J127" i="36" s="1"/>
  <c r="H182" i="35"/>
  <c r="I182" i="35"/>
  <c r="H193" i="35"/>
  <c r="N19" i="30"/>
  <c r="I193" i="35" s="1"/>
  <c r="H23" i="35"/>
  <c r="N17" i="6"/>
  <c r="I23" i="35" s="1"/>
  <c r="N9" i="5"/>
  <c r="J14" i="36" s="1"/>
  <c r="F38" i="34"/>
  <c r="AV20" i="55" s="1"/>
  <c r="G38" i="34"/>
  <c r="AW20" i="55" s="1"/>
  <c r="N9" i="20"/>
  <c r="J104" i="36" s="1"/>
  <c r="Y116" i="55" s="1"/>
  <c r="F72" i="34"/>
  <c r="N25" i="24"/>
  <c r="G72" i="34" s="1"/>
  <c r="N9" i="27"/>
  <c r="J134" i="36" s="1"/>
  <c r="Y122" i="55" s="1"/>
  <c r="N8" i="24"/>
  <c r="J123" i="36" s="1"/>
  <c r="Y51" i="55" s="1"/>
  <c r="H99" i="35"/>
  <c r="AK57" i="55" s="1"/>
  <c r="N18" i="17"/>
  <c r="I99" i="35" s="1"/>
  <c r="AL57" i="55" s="1"/>
  <c r="I50" i="33"/>
  <c r="F22" i="34"/>
  <c r="AV69" i="55" s="1"/>
  <c r="N26" i="8"/>
  <c r="G22" i="34" s="1"/>
  <c r="F75" i="34"/>
  <c r="N25" i="25"/>
  <c r="G75" i="34" s="1"/>
  <c r="H156" i="35"/>
  <c r="AK164" i="55" s="1"/>
  <c r="N18" i="24"/>
  <c r="I156" i="35" s="1"/>
  <c r="AL164" i="55" s="1"/>
  <c r="H174" i="35"/>
  <c r="N17" i="28"/>
  <c r="I174" i="35" s="1"/>
  <c r="N8" i="30"/>
  <c r="J153" i="36" s="1"/>
  <c r="Y75" i="55" s="1"/>
  <c r="H97" i="35"/>
  <c r="AK25" i="55" s="1"/>
  <c r="N15" i="17"/>
  <c r="N7" i="22"/>
  <c r="J112" i="36" s="1"/>
  <c r="Y16" i="55" s="1"/>
  <c r="H79" i="35"/>
  <c r="AK113" i="55" s="1"/>
  <c r="N18" i="14"/>
  <c r="I79" i="35" s="1"/>
  <c r="AL113" i="55" s="1"/>
  <c r="J67" i="35"/>
  <c r="AM116" i="55" s="1"/>
  <c r="I8" i="33"/>
  <c r="N9" i="16"/>
  <c r="J74" i="36" s="1"/>
  <c r="H81" i="35"/>
  <c r="I81" i="35"/>
  <c r="H155" i="35"/>
  <c r="AK90" i="55" s="1"/>
  <c r="N17" i="24"/>
  <c r="I155" i="35" s="1"/>
  <c r="AL90" i="55" s="1"/>
  <c r="H111" i="35"/>
  <c r="N17" i="18"/>
  <c r="I111" i="35" s="1"/>
  <c r="H123" i="35"/>
  <c r="AK75" i="55" s="1"/>
  <c r="N17" i="19"/>
  <c r="I123" i="35" s="1"/>
  <c r="N8" i="20"/>
  <c r="J103" i="36" s="1"/>
  <c r="H85" i="35"/>
  <c r="AK15" i="55" s="1"/>
  <c r="N15" i="15"/>
  <c r="N7" i="6"/>
  <c r="J17" i="36" s="1"/>
  <c r="Y31" i="55" s="1"/>
  <c r="F50" i="34"/>
  <c r="AV21" i="55" s="1"/>
  <c r="N24" i="3"/>
  <c r="G50" i="34" s="1"/>
  <c r="H17" i="35"/>
  <c r="N19" i="5"/>
  <c r="I17" i="35" s="1"/>
  <c r="F78" i="34"/>
  <c r="AV68" i="55" s="1"/>
  <c r="N25" i="26"/>
  <c r="G78" i="34" s="1"/>
  <c r="AW68" i="55" s="1"/>
  <c r="H139" i="35"/>
  <c r="AK125" i="55" s="1"/>
  <c r="N19" i="21"/>
  <c r="I139" i="35" s="1"/>
  <c r="AL125" i="55" s="1"/>
  <c r="F19" i="34"/>
  <c r="AV55" i="55" s="1"/>
  <c r="N26" i="7"/>
  <c r="G19" i="34" s="1"/>
  <c r="AW55" i="55" s="1"/>
  <c r="H180" i="35"/>
  <c r="N19" i="2"/>
  <c r="I180" i="35" s="1"/>
  <c r="H122" i="35"/>
  <c r="N16" i="19"/>
  <c r="I122" i="35" s="1"/>
  <c r="AL18" i="55" s="1"/>
  <c r="H150" i="35"/>
  <c r="AK91" i="55" s="1"/>
  <c r="N19" i="23"/>
  <c r="I150" i="35" s="1"/>
  <c r="AL91" i="55" s="1"/>
  <c r="H55" i="35"/>
  <c r="AK97" i="55" s="1"/>
  <c r="N18" i="10"/>
  <c r="I55" i="35" s="1"/>
  <c r="AL97" i="55" s="1"/>
  <c r="J38" i="35"/>
  <c r="AM149" i="55" s="1"/>
  <c r="J40" i="35"/>
  <c r="H12" i="33"/>
  <c r="H18" i="34"/>
  <c r="AX62" i="55" s="1"/>
  <c r="J39" i="35"/>
  <c r="H19" i="34"/>
  <c r="AX55" i="55" s="1"/>
  <c r="J36" i="35"/>
  <c r="H17" i="34"/>
  <c r="AX16" i="55" s="1"/>
  <c r="J35" i="35"/>
  <c r="AM69" i="55" s="1"/>
  <c r="J37" i="35"/>
  <c r="H36" i="35"/>
  <c r="N17" i="7"/>
  <c r="I36" i="35" s="1"/>
  <c r="F60" i="34"/>
  <c r="AV76" i="55" s="1"/>
  <c r="N25" i="20"/>
  <c r="G60" i="34" s="1"/>
  <c r="AW76" i="55" s="1"/>
  <c r="H187" i="35"/>
  <c r="N19" i="29"/>
  <c r="I187" i="35" s="1"/>
  <c r="N8" i="25"/>
  <c r="J93" i="36" s="1"/>
  <c r="F27" i="34"/>
  <c r="AV75" i="55" s="1"/>
  <c r="N25" i="10"/>
  <c r="G27" i="34" s="1"/>
  <c r="AW75" i="55" s="1"/>
  <c r="I56" i="33"/>
  <c r="N7" i="9"/>
  <c r="J37" i="36" s="1"/>
  <c r="Y11" i="55" s="1"/>
  <c r="H27" i="35"/>
  <c r="N15" i="1"/>
  <c r="I20" i="33"/>
  <c r="F18" i="34"/>
  <c r="AV62" i="55" s="1"/>
  <c r="N25" i="7"/>
  <c r="G18" i="34" s="1"/>
  <c r="AW62" i="55" s="1"/>
  <c r="N8" i="29"/>
  <c r="J148" i="36" s="1"/>
  <c r="Y58" i="55" s="1"/>
  <c r="H167" i="35"/>
  <c r="AK61" i="55" s="1"/>
  <c r="N16" i="27"/>
  <c r="I167" i="35" s="1"/>
  <c r="AL61" i="55" s="1"/>
  <c r="N8" i="15"/>
  <c r="J68" i="36" s="1"/>
  <c r="Y38" i="55" s="1"/>
  <c r="F15" i="34"/>
  <c r="N25" i="1"/>
  <c r="G15" i="34" s="1"/>
  <c r="I37" i="33"/>
  <c r="F42" i="34"/>
  <c r="AV50" i="55" s="1"/>
  <c r="N25" i="15"/>
  <c r="G42" i="34" s="1"/>
  <c r="AW50" i="55" s="1"/>
  <c r="H157" i="35"/>
  <c r="AK185" i="55" s="1"/>
  <c r="N19" i="24"/>
  <c r="I157" i="35" s="1"/>
  <c r="AL185" i="55" s="1"/>
  <c r="F83" i="34"/>
  <c r="AV19" i="55" s="1"/>
  <c r="N24" i="28"/>
  <c r="G83" i="34" s="1"/>
  <c r="AW19" i="55" s="1"/>
  <c r="H135" i="35"/>
  <c r="N16" i="21"/>
  <c r="I135" i="35" s="1"/>
  <c r="F16" i="34"/>
  <c r="N26" i="1"/>
  <c r="G16" i="34" s="1"/>
  <c r="H91" i="35"/>
  <c r="N16" i="16"/>
  <c r="I91" i="35" s="1"/>
  <c r="I8" i="35"/>
  <c r="AL22" i="55" s="1"/>
  <c r="H201" i="35"/>
  <c r="I201" i="35"/>
  <c r="AL182" i="55" s="1"/>
  <c r="N9" i="4"/>
  <c r="J9" i="36" s="1"/>
  <c r="Y44" i="55" s="1"/>
  <c r="H96" i="35"/>
  <c r="AK100" i="55" s="1"/>
  <c r="I96" i="35"/>
  <c r="AL100" i="55" s="1"/>
  <c r="N7" i="12"/>
  <c r="J52" i="36" s="1"/>
  <c r="Y9" i="55" s="1"/>
  <c r="J87" i="35"/>
  <c r="AM123" i="55" s="1"/>
  <c r="K69" i="36"/>
  <c r="Z84" i="55" s="1"/>
  <c r="H29" i="33"/>
  <c r="J88" i="35"/>
  <c r="J89" i="35"/>
  <c r="J84" i="35"/>
  <c r="AM94" i="55" s="1"/>
  <c r="H42" i="34"/>
  <c r="AX50" i="55" s="1"/>
  <c r="H43" i="34"/>
  <c r="AX52" i="55" s="1"/>
  <c r="H41" i="34"/>
  <c r="AX27" i="55" s="1"/>
  <c r="K68" i="36"/>
  <c r="Z38" i="55" s="1"/>
  <c r="H45" i="33"/>
  <c r="J138" i="35"/>
  <c r="H62" i="34"/>
  <c r="AX18" i="55" s="1"/>
  <c r="J139" i="35"/>
  <c r="AM125" i="55" s="1"/>
  <c r="J137" i="35"/>
  <c r="K108" i="36"/>
  <c r="J136" i="35"/>
  <c r="AM87" i="55" s="1"/>
  <c r="H63" i="34"/>
  <c r="AX35" i="55" s="1"/>
  <c r="H64" i="34"/>
  <c r="AX90" i="55" s="1"/>
  <c r="J135" i="35"/>
  <c r="K107" i="36"/>
  <c r="Z26" i="55" s="1"/>
  <c r="H10" i="33"/>
  <c r="J28" i="35"/>
  <c r="AM62" i="55" s="1"/>
  <c r="H16" i="34"/>
  <c r="J32" i="35"/>
  <c r="H15" i="34"/>
  <c r="J29" i="35"/>
  <c r="AM83" i="55" s="1"/>
  <c r="J31" i="35"/>
  <c r="AM154" i="55" s="1"/>
  <c r="J33" i="35"/>
  <c r="H14" i="34"/>
  <c r="AX32" i="55" s="1"/>
  <c r="H104" i="35"/>
  <c r="AK89" i="55" s="1"/>
  <c r="N18" i="3"/>
  <c r="I104" i="35" s="1"/>
  <c r="AL89" i="55" s="1"/>
  <c r="F86" i="34"/>
  <c r="AV5" i="55" s="1"/>
  <c r="N24" i="2"/>
  <c r="G86" i="34" s="1"/>
  <c r="AW5" i="55" s="1"/>
  <c r="H124" i="35"/>
  <c r="AK166" i="55" s="1"/>
  <c r="N19" i="19"/>
  <c r="I124" i="35" s="1"/>
  <c r="AL166" i="55" s="1"/>
  <c r="H22" i="35"/>
  <c r="AK177" i="55" s="1"/>
  <c r="N18" i="6"/>
  <c r="I22" i="35" s="1"/>
  <c r="AL177" i="55" s="1"/>
  <c r="H177" i="35"/>
  <c r="AK8" i="55" s="1"/>
  <c r="N15" i="2"/>
  <c r="H102" i="35"/>
  <c r="AK13" i="55" s="1"/>
  <c r="N15" i="3"/>
  <c r="F81" i="34"/>
  <c r="AV71" i="55" s="1"/>
  <c r="N25" i="27"/>
  <c r="G81" i="34" s="1"/>
  <c r="AW71" i="55" s="1"/>
  <c r="H16" i="35"/>
  <c r="N17" i="5"/>
  <c r="I16" i="35" s="1"/>
  <c r="I52" i="33"/>
  <c r="F6" i="34"/>
  <c r="AV45" i="55" s="1"/>
  <c r="N25" i="4"/>
  <c r="G6" i="34" s="1"/>
  <c r="AW45" i="55" s="1"/>
  <c r="N7" i="7"/>
  <c r="J27" i="36" s="1"/>
  <c r="J69" i="35"/>
  <c r="AM152" i="55" s="1"/>
  <c r="H91" i="34"/>
  <c r="AX86" i="55" s="1"/>
  <c r="H63" i="33"/>
  <c r="H9" i="55" s="1"/>
  <c r="H89" i="34"/>
  <c r="AX12" i="55" s="1"/>
  <c r="H90" i="34"/>
  <c r="J187" i="35"/>
  <c r="AM180" i="55" s="1"/>
  <c r="J186" i="35"/>
  <c r="AM128" i="55" s="1"/>
  <c r="J188" i="35"/>
  <c r="AM109" i="55" s="1"/>
  <c r="K147" i="36"/>
  <c r="Z12" i="55" s="1"/>
  <c r="J185" i="35"/>
  <c r="J184" i="35"/>
  <c r="H119" i="35"/>
  <c r="AK137" i="55" s="1"/>
  <c r="N19" i="25"/>
  <c r="I119" i="35" s="1"/>
  <c r="N7" i="25"/>
  <c r="J92" i="36" s="1"/>
  <c r="Y21" i="55" s="1"/>
  <c r="I59" i="33"/>
  <c r="H54" i="35"/>
  <c r="AK81" i="55" s="1"/>
  <c r="N17" i="10"/>
  <c r="I54" i="35" s="1"/>
  <c r="AL81" i="55" s="1"/>
  <c r="H50" i="33"/>
  <c r="H70" i="34"/>
  <c r="J149" i="35"/>
  <c r="H69" i="34"/>
  <c r="AX42" i="55" s="1"/>
  <c r="J151" i="35"/>
  <c r="J152" i="35"/>
  <c r="H68" i="34"/>
  <c r="AX34" i="55" s="1"/>
  <c r="J148" i="35"/>
  <c r="J150" i="35"/>
  <c r="AM91" i="55" s="1"/>
  <c r="I18" i="33"/>
  <c r="F35" i="34"/>
  <c r="AV24" i="55" s="1"/>
  <c r="N24" i="13"/>
  <c r="G35" i="34" s="1"/>
  <c r="AW24" i="55" s="1"/>
  <c r="F67" i="34"/>
  <c r="AV80" i="55" s="1"/>
  <c r="N26" i="22"/>
  <c r="G67" i="34" s="1"/>
  <c r="AW80" i="55" s="1"/>
  <c r="H80" i="35"/>
  <c r="AK68" i="55" s="1"/>
  <c r="N17" i="14"/>
  <c r="I80" i="35" s="1"/>
  <c r="AL68" i="55" s="1"/>
  <c r="H61" i="34"/>
  <c r="AX83" i="55" s="1"/>
  <c r="K103" i="36"/>
  <c r="H43" i="33"/>
  <c r="J133" i="35"/>
  <c r="H59" i="34"/>
  <c r="AX11" i="55" s="1"/>
  <c r="H60" i="34"/>
  <c r="AX76" i="55" s="1"/>
  <c r="J129" i="35"/>
  <c r="AM47" i="55" s="1"/>
  <c r="J132" i="35"/>
  <c r="AM176" i="55" s="1"/>
  <c r="J130" i="35"/>
  <c r="J131" i="35"/>
  <c r="AM82" i="55" s="1"/>
  <c r="F56" i="34"/>
  <c r="AV17" i="55" s="1"/>
  <c r="N24" i="19"/>
  <c r="G56" i="34" s="1"/>
  <c r="AW17" i="55" s="1"/>
  <c r="H64" i="35"/>
  <c r="N16" i="12"/>
  <c r="I64" i="35" s="1"/>
  <c r="F65" i="34"/>
  <c r="AV33" i="55" s="1"/>
  <c r="N24" i="22"/>
  <c r="G65" i="34" s="1"/>
  <c r="AW33" i="55" s="1"/>
  <c r="F96" i="34"/>
  <c r="N25" i="31"/>
  <c r="G96" i="34" s="1"/>
  <c r="H14" i="33"/>
  <c r="H21" i="34"/>
  <c r="AX59" i="55" s="1"/>
  <c r="J42" i="35"/>
  <c r="AM11" i="55" s="1"/>
  <c r="J45" i="35"/>
  <c r="J43" i="35"/>
  <c r="H20" i="34"/>
  <c r="AX29" i="55" s="1"/>
  <c r="J44" i="35"/>
  <c r="H22" i="34"/>
  <c r="AX69" i="55" s="1"/>
  <c r="N9" i="15"/>
  <c r="J69" i="36" s="1"/>
  <c r="Y84" i="55" s="1"/>
  <c r="H48" i="35"/>
  <c r="AK73" i="55" s="1"/>
  <c r="N17" i="9"/>
  <c r="I48" i="35" s="1"/>
  <c r="AL73" i="55" s="1"/>
  <c r="F94" i="34"/>
  <c r="AV78" i="55" s="1"/>
  <c r="N26" i="30"/>
  <c r="G94" i="34" s="1"/>
  <c r="AW78" i="55" s="1"/>
  <c r="H191" i="35"/>
  <c r="N17" i="30"/>
  <c r="I191" i="35" s="1"/>
  <c r="N7" i="13"/>
  <c r="J57" i="36" s="1"/>
  <c r="Y18" i="55" s="1"/>
  <c r="H93" i="35"/>
  <c r="AK103" i="55" s="1"/>
  <c r="N18" i="16"/>
  <c r="I93" i="35" s="1"/>
  <c r="H43" i="35"/>
  <c r="AK56" i="55" s="1"/>
  <c r="N17" i="8"/>
  <c r="I43" i="35" s="1"/>
  <c r="H133" i="35"/>
  <c r="I133" i="35"/>
  <c r="H175" i="35"/>
  <c r="AK98" i="55" s="1"/>
  <c r="N18" i="28"/>
  <c r="I175" i="35" s="1"/>
  <c r="AL98" i="55" s="1"/>
  <c r="N9" i="30"/>
  <c r="J154" i="36" s="1"/>
  <c r="Y68" i="55" s="1"/>
  <c r="F12" i="34"/>
  <c r="N25" i="6"/>
  <c r="G12" i="34" s="1"/>
  <c r="F9" i="34"/>
  <c r="AV54" i="55" s="1"/>
  <c r="N25" i="5"/>
  <c r="G9" i="34" s="1"/>
  <c r="AW54" i="55" s="1"/>
  <c r="H94" i="35"/>
  <c r="AK167" i="55" s="1"/>
  <c r="N19" i="16"/>
  <c r="I94" i="35" s="1"/>
  <c r="H87" i="35"/>
  <c r="AK123" i="55" s="1"/>
  <c r="N18" i="15"/>
  <c r="I87" i="35" s="1"/>
  <c r="AL123" i="55" s="1"/>
  <c r="N9" i="24"/>
  <c r="J124" i="36" s="1"/>
  <c r="Y102" i="55" s="1"/>
  <c r="F64" i="34"/>
  <c r="AV90" i="55" s="1"/>
  <c r="N26" i="21"/>
  <c r="G64" i="34" s="1"/>
  <c r="AW90" i="55" s="1"/>
  <c r="F57" i="34"/>
  <c r="AV60" i="55" s="1"/>
  <c r="N25" i="19"/>
  <c r="G57" i="34" s="1"/>
  <c r="AW60" i="55" s="1"/>
  <c r="H163" i="35"/>
  <c r="N18" i="26"/>
  <c r="I163" i="35" s="1"/>
  <c r="F69" i="34"/>
  <c r="AV42" i="55" s="1"/>
  <c r="N25" i="23"/>
  <c r="G69" i="34" s="1"/>
  <c r="AW42" i="55" s="1"/>
  <c r="J95" i="35"/>
  <c r="H45" i="34"/>
  <c r="AX31" i="55" s="1"/>
  <c r="H44" i="34"/>
  <c r="AX23" i="55" s="1"/>
  <c r="J93" i="35"/>
  <c r="H31" i="33"/>
  <c r="J96" i="35"/>
  <c r="AM100" i="55" s="1"/>
  <c r="J94" i="35"/>
  <c r="AM167" i="55" s="1"/>
  <c r="J91" i="35"/>
  <c r="H46" i="34"/>
  <c r="AX70" i="55" s="1"/>
  <c r="H44" i="35"/>
  <c r="N18" i="8"/>
  <c r="I44" i="35" s="1"/>
  <c r="AL178" i="55" s="1"/>
  <c r="F51" i="34"/>
  <c r="N25" i="3"/>
  <c r="G51" i="34" s="1"/>
  <c r="F80" i="34"/>
  <c r="AV13" i="55" s="1"/>
  <c r="N24" i="27"/>
  <c r="G80" i="34" s="1"/>
  <c r="AW13" i="55" s="1"/>
  <c r="F61" i="34"/>
  <c r="AV83" i="55" s="1"/>
  <c r="N26" i="20"/>
  <c r="G61" i="34" s="1"/>
  <c r="AW83" i="55" s="1"/>
  <c r="F58" i="34"/>
  <c r="AV84" i="55" s="1"/>
  <c r="N26" i="19"/>
  <c r="G58" i="34" s="1"/>
  <c r="AW84" i="55" s="1"/>
  <c r="H21" i="35"/>
  <c r="AK28" i="55" s="1"/>
  <c r="N16" i="6"/>
  <c r="I21" i="35" s="1"/>
  <c r="AL28" i="55" s="1"/>
  <c r="N7" i="29"/>
  <c r="J147" i="36" s="1"/>
  <c r="Y12" i="55" s="1"/>
  <c r="H159" i="35"/>
  <c r="AK104" i="55" s="1"/>
  <c r="I159" i="35"/>
  <c r="AL104" i="55" s="1"/>
  <c r="F55" i="34"/>
  <c r="AV63" i="55" s="1"/>
  <c r="N26" i="18"/>
  <c r="G55" i="34" s="1"/>
  <c r="AW63" i="55" s="1"/>
  <c r="H41" i="33"/>
  <c r="J127" i="35"/>
  <c r="J125" i="35"/>
  <c r="AM156" i="55" s="1"/>
  <c r="J123" i="35"/>
  <c r="J122" i="35"/>
  <c r="AM18" i="55" s="1"/>
  <c r="J124" i="35"/>
  <c r="AM166" i="55" s="1"/>
  <c r="H57" i="34"/>
  <c r="AX60" i="55" s="1"/>
  <c r="H56" i="34"/>
  <c r="AX17" i="55" s="1"/>
  <c r="H58" i="34"/>
  <c r="AX84" i="55" s="1"/>
  <c r="H78" i="35"/>
  <c r="N16" i="14"/>
  <c r="I78" i="35" s="1"/>
  <c r="H42" i="35"/>
  <c r="AK11" i="55" s="1"/>
  <c r="N16" i="8"/>
  <c r="I42" i="35" s="1"/>
  <c r="AL11" i="55" s="1"/>
  <c r="F74" i="34"/>
  <c r="AV6" i="55" s="1"/>
  <c r="N24" i="25"/>
  <c r="G74" i="34" s="1"/>
  <c r="AW6" i="55" s="1"/>
  <c r="N7" i="24"/>
  <c r="J122" i="36" s="1"/>
  <c r="Y20" i="55" s="1"/>
  <c r="F79" i="34"/>
  <c r="AV81" i="55" s="1"/>
  <c r="N26" i="26"/>
  <c r="G79" i="34" s="1"/>
  <c r="AW81" i="55" s="1"/>
  <c r="N7" i="31"/>
  <c r="J157" i="36" s="1"/>
  <c r="Y17" i="55" s="1"/>
  <c r="F84" i="34"/>
  <c r="AV53" i="55" s="1"/>
  <c r="N25" i="28"/>
  <c r="G84" i="34" s="1"/>
  <c r="AW53" i="55" s="1"/>
  <c r="I47" i="33"/>
  <c r="F88" i="34"/>
  <c r="AV85" i="55" s="1"/>
  <c r="N26" i="2"/>
  <c r="G88" i="34" s="1"/>
  <c r="AW85" i="55" s="1"/>
  <c r="F10" i="34"/>
  <c r="AV73" i="55" s="1"/>
  <c r="N26" i="5"/>
  <c r="G10" i="34" s="1"/>
  <c r="AW73" i="55" s="1"/>
  <c r="H52" i="35"/>
  <c r="AK7" i="55" s="1"/>
  <c r="N15" i="10"/>
  <c r="F66" i="34"/>
  <c r="AV64" i="55" s="1"/>
  <c r="N25" i="22"/>
  <c r="G66" i="34" s="1"/>
  <c r="AW64" i="55" s="1"/>
  <c r="H37" i="34"/>
  <c r="AX58" i="55" s="1"/>
  <c r="J76" i="35"/>
  <c r="H36" i="34"/>
  <c r="AX61" i="55" s="1"/>
  <c r="J74" i="35"/>
  <c r="AM170" i="55" s="1"/>
  <c r="H24" i="33"/>
  <c r="J71" i="35"/>
  <c r="J73" i="35"/>
  <c r="AM49" i="55" s="1"/>
  <c r="J75" i="35"/>
  <c r="AM114" i="55" s="1"/>
  <c r="J72" i="35"/>
  <c r="H35" i="34"/>
  <c r="AX24" i="55" s="1"/>
  <c r="N8" i="10"/>
  <c r="J43" i="36" s="1"/>
  <c r="Y33" i="55" s="1"/>
  <c r="F73" i="34"/>
  <c r="AV74" i="55" s="1"/>
  <c r="N26" i="24"/>
  <c r="G73" i="34" s="1"/>
  <c r="AW74" i="55" s="1"/>
  <c r="F90" i="34"/>
  <c r="N25" i="29"/>
  <c r="G90" i="34" s="1"/>
  <c r="H169" i="35"/>
  <c r="N18" i="27"/>
  <c r="I169" i="35" s="1"/>
  <c r="F48" i="34"/>
  <c r="AV65" i="55" s="1"/>
  <c r="N25" i="17"/>
  <c r="G48" i="34" s="1"/>
  <c r="AW65" i="55" s="1"/>
  <c r="H144" i="35"/>
  <c r="N19" i="22"/>
  <c r="I144" i="35" s="1"/>
  <c r="AL129" i="55" s="1"/>
  <c r="F91" i="34"/>
  <c r="AV86" i="55" s="1"/>
  <c r="N26" i="29"/>
  <c r="G91" i="34" s="1"/>
  <c r="AW86" i="55" s="1"/>
  <c r="H138" i="35"/>
  <c r="I138" i="35"/>
  <c r="I12" i="33"/>
  <c r="I146" i="35"/>
  <c r="AL54" i="55" s="1"/>
  <c r="F34" i="34"/>
  <c r="AV92" i="55" s="1"/>
  <c r="N26" i="12"/>
  <c r="G34" i="34" s="1"/>
  <c r="AW92" i="55" s="1"/>
  <c r="F11" i="34"/>
  <c r="AV14" i="55" s="1"/>
  <c r="N24" i="6"/>
  <c r="G11" i="34" s="1"/>
  <c r="AW14" i="55" s="1"/>
  <c r="H199" i="35"/>
  <c r="AK153" i="55" s="1"/>
  <c r="N19" i="31"/>
  <c r="I199" i="35" s="1"/>
  <c r="AL153" i="55" s="1"/>
  <c r="H152" i="35"/>
  <c r="I152" i="35"/>
  <c r="H82" i="35"/>
  <c r="AK175" i="55" s="1"/>
  <c r="N19" i="14"/>
  <c r="I82" i="35" s="1"/>
  <c r="AL175" i="55" s="1"/>
  <c r="H56" i="35"/>
  <c r="AK130" i="55" s="1"/>
  <c r="N19" i="10"/>
  <c r="I56" i="35" s="1"/>
  <c r="AL130" i="55" s="1"/>
  <c r="N9" i="12"/>
  <c r="J54" i="36" s="1"/>
  <c r="F63" i="34"/>
  <c r="AV35" i="55" s="1"/>
  <c r="N25" i="21"/>
  <c r="G63" i="34" s="1"/>
  <c r="AW35" i="55" s="1"/>
  <c r="H35" i="35"/>
  <c r="AK69" i="55" s="1"/>
  <c r="N16" i="7"/>
  <c r="I35" i="35" s="1"/>
  <c r="AL69" i="55" s="1"/>
  <c r="N8" i="22"/>
  <c r="J113" i="36" s="1"/>
  <c r="Y50" i="55" s="1"/>
  <c r="N8" i="14"/>
  <c r="J63" i="36" s="1"/>
  <c r="Y59" i="55" s="1"/>
  <c r="H90" i="35"/>
  <c r="N15" i="16"/>
  <c r="N7" i="10"/>
  <c r="J42" i="36" s="1"/>
  <c r="Y22" i="55" s="1"/>
  <c r="N8" i="27"/>
  <c r="J133" i="36" s="1"/>
  <c r="Y93" i="55" s="1"/>
  <c r="H89" i="35"/>
  <c r="I89" i="35"/>
  <c r="N7" i="17"/>
  <c r="J77" i="36" s="1"/>
  <c r="Y29" i="55" s="1"/>
  <c r="F14" i="34"/>
  <c r="AV32" i="55" s="1"/>
  <c r="N24" i="1"/>
  <c r="G14" i="34" s="1"/>
  <c r="AW32" i="55" s="1"/>
  <c r="N9" i="7"/>
  <c r="J29" i="36" s="1"/>
  <c r="Y98" i="55" s="1"/>
  <c r="I31" i="33"/>
  <c r="J49" i="35"/>
  <c r="H16" i="33"/>
  <c r="H27" i="55" s="1"/>
  <c r="J50" i="35"/>
  <c r="AM108" i="55" s="1"/>
  <c r="H25" i="34"/>
  <c r="H24" i="34"/>
  <c r="AX38" i="55" s="1"/>
  <c r="J51" i="35"/>
  <c r="H23" i="34"/>
  <c r="AX15" i="55" s="1"/>
  <c r="J48" i="35"/>
  <c r="AM73" i="55" s="1"/>
  <c r="K37" i="36"/>
  <c r="Z11" i="55" s="1"/>
  <c r="K38" i="36"/>
  <c r="Z32" i="55" s="1"/>
  <c r="N8" i="26"/>
  <c r="J128" i="36" s="1"/>
  <c r="Y47" i="55" s="1"/>
  <c r="H109" i="35"/>
  <c r="AK19" i="55" s="1"/>
  <c r="N16" i="18"/>
  <c r="I109" i="35" s="1"/>
  <c r="AL19" i="55" s="1"/>
  <c r="H4" i="33"/>
  <c r="J11" i="35"/>
  <c r="J12" i="35"/>
  <c r="AM126" i="55" s="1"/>
  <c r="H5" i="34"/>
  <c r="AX4" i="55" s="1"/>
  <c r="J13" i="35"/>
  <c r="H6" i="34"/>
  <c r="AX45" i="55" s="1"/>
  <c r="J9" i="35"/>
  <c r="AM99" i="55" s="1"/>
  <c r="J10" i="35"/>
  <c r="H7" i="34"/>
  <c r="H9" i="34"/>
  <c r="AX54" i="55" s="1"/>
  <c r="J17" i="35"/>
  <c r="H6" i="33"/>
  <c r="H10" i="34"/>
  <c r="AX73" i="55" s="1"/>
  <c r="H8" i="34"/>
  <c r="AX3" i="55" s="1"/>
  <c r="J15" i="35"/>
  <c r="J19" i="35"/>
  <c r="AM127" i="55" s="1"/>
  <c r="J16" i="35"/>
  <c r="J18" i="35"/>
  <c r="AM186" i="55" s="1"/>
  <c r="H143" i="35"/>
  <c r="AK111" i="55" s="1"/>
  <c r="N18" i="22"/>
  <c r="I143" i="35" s="1"/>
  <c r="AL111" i="55" s="1"/>
  <c r="H103" i="35"/>
  <c r="AK23" i="55" s="1"/>
  <c r="N16" i="3"/>
  <c r="I103" i="35" s="1"/>
  <c r="AL23" i="55" s="1"/>
  <c r="F82" i="34"/>
  <c r="N26" i="27"/>
  <c r="G82" i="34" s="1"/>
  <c r="I29" i="33"/>
  <c r="I45" i="33"/>
  <c r="I10" i="33"/>
  <c r="F20" i="34"/>
  <c r="AV29" i="55" s="1"/>
  <c r="N24" i="8"/>
  <c r="G20" i="34" s="1"/>
  <c r="AW29" i="55" s="1"/>
  <c r="H170" i="35"/>
  <c r="AK133" i="55" s="1"/>
  <c r="N19" i="27"/>
  <c r="I170" i="35" s="1"/>
  <c r="AL133" i="55" s="1"/>
  <c r="F68" i="34"/>
  <c r="AV34" i="55" s="1"/>
  <c r="N24" i="23"/>
  <c r="G68" i="34" s="1"/>
  <c r="AW34" i="55" s="1"/>
  <c r="H67" i="35"/>
  <c r="AK116" i="55" s="1"/>
  <c r="N18" i="12"/>
  <c r="I67" i="35" s="1"/>
  <c r="H149" i="35"/>
  <c r="N18" i="23"/>
  <c r="I149" i="35" s="1"/>
  <c r="N19" i="9"/>
  <c r="I50" i="35" s="1"/>
  <c r="AL108" i="55" s="1"/>
  <c r="H50" i="35"/>
  <c r="AK108" i="55" s="1"/>
  <c r="H78" i="34"/>
  <c r="AX68" i="55" s="1"/>
  <c r="K129" i="36"/>
  <c r="Z67" i="55" s="1"/>
  <c r="J165" i="35"/>
  <c r="H54" i="33"/>
  <c r="H4" i="55" s="1"/>
  <c r="H79" i="34"/>
  <c r="AX81" i="55" s="1"/>
  <c r="J164" i="35"/>
  <c r="AM151" i="55" s="1"/>
  <c r="J163" i="35"/>
  <c r="K127" i="36"/>
  <c r="J161" i="35"/>
  <c r="AM36" i="55" s="1"/>
  <c r="H77" i="34"/>
  <c r="AX9" i="55" s="1"/>
  <c r="F7" i="34"/>
  <c r="N26" i="4"/>
  <c r="G7" i="34" s="1"/>
  <c r="H18" i="33"/>
  <c r="J56" i="35"/>
  <c r="AM130" i="55" s="1"/>
  <c r="J55" i="35"/>
  <c r="AM97" i="55" s="1"/>
  <c r="H28" i="34"/>
  <c r="AX82" i="55" s="1"/>
  <c r="H26" i="34"/>
  <c r="AX7" i="55" s="1"/>
  <c r="J54" i="35"/>
  <c r="AM81" i="55" s="1"/>
  <c r="H27" i="34"/>
  <c r="AX75" i="55" s="1"/>
  <c r="J57" i="35"/>
  <c r="H45" i="35"/>
  <c r="N19" i="8"/>
  <c r="I45" i="35" s="1"/>
  <c r="N9" i="9"/>
  <c r="J39" i="36" s="1"/>
  <c r="N9" i="28"/>
  <c r="J139" i="36" s="1"/>
  <c r="Y105" i="55" s="1"/>
  <c r="H61" i="35"/>
  <c r="N17" i="11"/>
  <c r="I61" i="35" s="1"/>
  <c r="H41" i="35"/>
  <c r="AK3" i="55" s="1"/>
  <c r="N15" i="8"/>
  <c r="H13" i="34"/>
  <c r="AX87" i="55" s="1"/>
  <c r="J24" i="35"/>
  <c r="AM105" i="55" s="1"/>
  <c r="J26" i="35"/>
  <c r="H12" i="34"/>
  <c r="J21" i="35"/>
  <c r="AM28" i="55" s="1"/>
  <c r="J22" i="35"/>
  <c r="AM177" i="55" s="1"/>
  <c r="H8" i="33"/>
  <c r="H11" i="34"/>
  <c r="AX14" i="55" s="1"/>
  <c r="J23" i="35"/>
  <c r="F36" i="34"/>
  <c r="AV61" i="55" s="1"/>
  <c r="N25" i="13"/>
  <c r="G36" i="34" s="1"/>
  <c r="AW61" i="55" s="1"/>
  <c r="N9" i="14"/>
  <c r="J64" i="36" s="1"/>
  <c r="I14" i="33"/>
  <c r="H84" i="34"/>
  <c r="AX53" i="55" s="1"/>
  <c r="H83" i="34"/>
  <c r="AX19" i="55" s="1"/>
  <c r="J175" i="35"/>
  <c r="AM98" i="55" s="1"/>
  <c r="H59" i="33"/>
  <c r="J174" i="35"/>
  <c r="J176" i="35"/>
  <c r="AM181" i="55" s="1"/>
  <c r="K138" i="36"/>
  <c r="J173" i="35"/>
  <c r="AM37" i="55" s="1"/>
  <c r="H85" i="34"/>
  <c r="K137" i="36"/>
  <c r="Z27" i="55" s="1"/>
  <c r="H98" i="35"/>
  <c r="N16" i="17"/>
  <c r="I98" i="35" s="1"/>
  <c r="H12" i="35"/>
  <c r="AK126" i="55" s="1"/>
  <c r="N19" i="4"/>
  <c r="I12" i="35" s="1"/>
  <c r="AL126" i="55" s="1"/>
  <c r="N7" i="28"/>
  <c r="J137" i="36" s="1"/>
  <c r="Y27" i="55" s="1"/>
  <c r="H121" i="35"/>
  <c r="AK10" i="55" s="1"/>
  <c r="N15" i="19"/>
  <c r="H125" i="35"/>
  <c r="AK156" i="55" s="1"/>
  <c r="N18" i="19"/>
  <c r="I125" i="35" s="1"/>
  <c r="AL156" i="55" s="1"/>
  <c r="N9" i="22"/>
  <c r="J114" i="36" s="1"/>
  <c r="N9" i="26"/>
  <c r="J129" i="36" s="1"/>
  <c r="Y67" i="55" s="1"/>
  <c r="H87" i="34"/>
  <c r="AX77" i="55" s="1"/>
  <c r="H61" i="33"/>
  <c r="J179" i="35"/>
  <c r="AM106" i="55" s="1"/>
  <c r="J181" i="35"/>
  <c r="H88" i="34"/>
  <c r="AX85" i="55" s="1"/>
  <c r="H86" i="34"/>
  <c r="AX5" i="55" s="1"/>
  <c r="J182" i="35"/>
  <c r="J180" i="35"/>
  <c r="K142" i="36"/>
  <c r="F29" i="34"/>
  <c r="N24" i="11"/>
  <c r="G29" i="34" s="1"/>
  <c r="F93" i="34"/>
  <c r="AV36" i="55" s="1"/>
  <c r="N25" i="30"/>
  <c r="G93" i="34" s="1"/>
  <c r="AW36" i="55" s="1"/>
  <c r="N9" i="25"/>
  <c r="J94" i="36" s="1"/>
  <c r="F37" i="34"/>
  <c r="AV58" i="55" s="1"/>
  <c r="N26" i="13"/>
  <c r="G37" i="34" s="1"/>
  <c r="J107" i="35"/>
  <c r="J103" i="35"/>
  <c r="AM23" i="55" s="1"/>
  <c r="H35" i="33"/>
  <c r="N35" i="33" s="1"/>
  <c r="M5" i="55" s="1"/>
  <c r="J108" i="35"/>
  <c r="AM172" i="55" s="1"/>
  <c r="H51" i="34"/>
  <c r="J106" i="35"/>
  <c r="J105" i="35"/>
  <c r="H52" i="34"/>
  <c r="AX66" i="55" s="1"/>
  <c r="H50" i="34"/>
  <c r="J104" i="35"/>
  <c r="AM89" i="55" s="1"/>
  <c r="F23" i="34"/>
  <c r="AV15" i="55" s="1"/>
  <c r="N24" i="9"/>
  <c r="G23" i="34" s="1"/>
  <c r="AW15" i="55" s="1"/>
  <c r="N7" i="21"/>
  <c r="J107" i="36" s="1"/>
  <c r="Y26" i="55" s="1"/>
  <c r="N7" i="5"/>
  <c r="J12" i="36" s="1"/>
  <c r="Y19" i="55" s="1"/>
  <c r="H19" i="35"/>
  <c r="AK127" i="55" s="1"/>
  <c r="N18" i="5"/>
  <c r="I19" i="35" s="1"/>
  <c r="AL127" i="55" s="1"/>
  <c r="H33" i="33"/>
  <c r="J99" i="35"/>
  <c r="K78" i="36"/>
  <c r="H48" i="34"/>
  <c r="AX65" i="55" s="1"/>
  <c r="J98" i="35"/>
  <c r="J101" i="35"/>
  <c r="AM169" i="55" s="1"/>
  <c r="H47" i="34"/>
  <c r="AX2" i="55" s="1"/>
  <c r="H49" i="34"/>
  <c r="AX72" i="55" s="1"/>
  <c r="K77" i="36"/>
  <c r="Z29" i="55" s="1"/>
  <c r="N9" i="31"/>
  <c r="J159" i="36" s="1"/>
  <c r="H72" i="35"/>
  <c r="N16" i="13"/>
  <c r="I72" i="35" s="1"/>
  <c r="H185" i="35"/>
  <c r="N17" i="29"/>
  <c r="I185" i="35" s="1"/>
  <c r="N8" i="8"/>
  <c r="J33" i="36" s="1"/>
  <c r="Y64" i="55" s="1"/>
  <c r="H120" i="35"/>
  <c r="I120" i="35"/>
  <c r="F33" i="34"/>
  <c r="AV57" i="55" s="1"/>
  <c r="N25" i="12"/>
  <c r="G33" i="34" s="1"/>
  <c r="I16" i="33"/>
  <c r="I27" i="55" s="1"/>
  <c r="N9" i="6"/>
  <c r="J19" i="36" s="1"/>
  <c r="H108" i="35"/>
  <c r="AK172" i="55" s="1"/>
  <c r="I108" i="35"/>
  <c r="AL172" i="55" s="1"/>
  <c r="N8" i="19"/>
  <c r="J98" i="36" s="1"/>
  <c r="Y56" i="55" s="1"/>
  <c r="H20" i="35"/>
  <c r="AK6" i="55" s="1"/>
  <c r="N15" i="6"/>
  <c r="I6" i="33"/>
  <c r="H166" i="35"/>
  <c r="AK12" i="55" s="1"/>
  <c r="N15" i="27"/>
  <c r="H75" i="34"/>
  <c r="H74" i="34"/>
  <c r="AX6" i="55" s="1"/>
  <c r="J116" i="35"/>
  <c r="AM40" i="55" s="1"/>
  <c r="H76" i="34"/>
  <c r="AX79" i="55" s="1"/>
  <c r="H39" i="33"/>
  <c r="K93" i="36"/>
  <c r="Z62" i="55" s="1"/>
  <c r="J120" i="35"/>
  <c r="J119" i="35"/>
  <c r="AM137" i="55" s="1"/>
  <c r="J117" i="35"/>
  <c r="AM110" i="55" s="1"/>
  <c r="J118" i="35"/>
  <c r="H140" i="35"/>
  <c r="AK46" i="55" s="1"/>
  <c r="N15" i="22"/>
  <c r="H38" i="35"/>
  <c r="AK149" i="55" s="1"/>
  <c r="N19" i="7"/>
  <c r="I38" i="35" s="1"/>
  <c r="AL149" i="55" s="1"/>
  <c r="I41" i="33"/>
  <c r="H171" i="35"/>
  <c r="I171" i="35"/>
  <c r="F45" i="34"/>
  <c r="AV31" i="55" s="1"/>
  <c r="N25" i="16"/>
  <c r="G45" i="34" s="1"/>
  <c r="AW31" i="55" s="1"/>
  <c r="H10" i="35"/>
  <c r="N17" i="4"/>
  <c r="I10" i="35" s="1"/>
  <c r="H116" i="35"/>
  <c r="N16" i="25"/>
  <c r="I116" i="35" s="1"/>
  <c r="AL40" i="55" s="1"/>
  <c r="N9" i="10"/>
  <c r="J44" i="36" s="1"/>
  <c r="I54" i="33"/>
  <c r="I4" i="55" s="1"/>
  <c r="H59" i="35"/>
  <c r="N16" i="11"/>
  <c r="I59" i="35" s="1"/>
  <c r="H32" i="34"/>
  <c r="AX8" i="55" s="1"/>
  <c r="H34" i="34"/>
  <c r="AX92" i="55" s="1"/>
  <c r="I63" i="33"/>
  <c r="H161" i="35"/>
  <c r="AK36" i="55" s="1"/>
  <c r="N16" i="26"/>
  <c r="I161" i="35" s="1"/>
  <c r="AL36" i="55" s="1"/>
  <c r="N9" i="8"/>
  <c r="J34" i="36" s="1"/>
  <c r="Y74" i="55" s="1"/>
  <c r="H145" i="35"/>
  <c r="AK147" i="55" s="1"/>
  <c r="I145" i="35"/>
  <c r="AL147" i="55" s="1"/>
  <c r="N7" i="20"/>
  <c r="J102" i="36" s="1"/>
  <c r="Y10" i="55" s="1"/>
  <c r="H198" i="35"/>
  <c r="AK66" i="55" s="1"/>
  <c r="N17" i="31"/>
  <c r="I198" i="35" s="1"/>
  <c r="AL66" i="55" s="1"/>
  <c r="N8" i="9"/>
  <c r="J38" i="36" s="1"/>
  <c r="Y32" i="55" s="1"/>
  <c r="N9" i="17"/>
  <c r="J79" i="36" s="1"/>
  <c r="Y83" i="55" s="1"/>
  <c r="H197" i="35"/>
  <c r="AK71" i="55" s="1"/>
  <c r="N16" i="31"/>
  <c r="I197" i="35" s="1"/>
  <c r="AL71" i="55" s="1"/>
  <c r="F44" i="34"/>
  <c r="AV23" i="55" s="1"/>
  <c r="N24" i="16"/>
  <c r="G44" i="34" s="1"/>
  <c r="AW23" i="55" s="1"/>
  <c r="I43" i="33"/>
  <c r="H189" i="35"/>
  <c r="N15" i="30"/>
  <c r="F24" i="34"/>
  <c r="AV38" i="55" s="1"/>
  <c r="N25" i="9"/>
  <c r="G24" i="34" s="1"/>
  <c r="AW38" i="55" s="1"/>
  <c r="H11" i="35"/>
  <c r="N18" i="4"/>
  <c r="I11" i="35" s="1"/>
  <c r="F53" i="34"/>
  <c r="AV25" i="55" s="1"/>
  <c r="N24" i="18"/>
  <c r="G53" i="34" s="1"/>
  <c r="AW25" i="55" s="1"/>
  <c r="H62" i="35"/>
  <c r="AK168" i="55" s="1"/>
  <c r="N19" i="11"/>
  <c r="I62" i="35" s="1"/>
  <c r="AL168" i="55" s="1"/>
  <c r="N9" i="1"/>
  <c r="J24" i="36" s="1"/>
  <c r="H47" i="33"/>
  <c r="J141" i="35"/>
  <c r="AM50" i="55" s="1"/>
  <c r="H66" i="34"/>
  <c r="AX64" i="55" s="1"/>
  <c r="J142" i="35"/>
  <c r="J143" i="35"/>
  <c r="AM111" i="55" s="1"/>
  <c r="J145" i="35"/>
  <c r="AM147" i="55" s="1"/>
  <c r="J144" i="35"/>
  <c r="AM129" i="55" s="1"/>
  <c r="H67" i="34"/>
  <c r="AX80" i="55" s="1"/>
  <c r="H65" i="34"/>
  <c r="AX33" i="55" s="1"/>
  <c r="F40" i="34"/>
  <c r="AV88" i="55" s="1"/>
  <c r="N26" i="14"/>
  <c r="G40" i="34" s="1"/>
  <c r="AW88" i="55" s="1"/>
  <c r="H105" i="35"/>
  <c r="N17" i="3"/>
  <c r="I105" i="35" s="1"/>
  <c r="H168" i="35"/>
  <c r="AK59" i="55" s="1"/>
  <c r="N17" i="27"/>
  <c r="I168" i="35" s="1"/>
  <c r="AL59" i="55" s="1"/>
  <c r="H113" i="35"/>
  <c r="N19" i="18"/>
  <c r="I113" i="35" s="1"/>
  <c r="F8" i="34"/>
  <c r="AV3" i="55" s="1"/>
  <c r="N24" i="5"/>
  <c r="G8" i="34" s="1"/>
  <c r="AW3" i="55" s="1"/>
  <c r="H186" i="35"/>
  <c r="AK128" i="55" s="1"/>
  <c r="N18" i="29"/>
  <c r="I186" i="35" s="1"/>
  <c r="AL128" i="55" s="1"/>
  <c r="N8" i="3"/>
  <c r="J83" i="36" s="1"/>
  <c r="H46" i="35"/>
  <c r="AK16" i="55" s="1"/>
  <c r="N15" i="9"/>
  <c r="I61" i="33"/>
  <c r="H18" i="35"/>
  <c r="AK186" i="55" s="1"/>
  <c r="I18" i="35"/>
  <c r="AL186" i="55" s="1"/>
  <c r="N9" i="11"/>
  <c r="J49" i="36" s="1"/>
  <c r="Y115" i="55" s="1"/>
  <c r="H34" i="35"/>
  <c r="N15" i="7"/>
  <c r="H57" i="35"/>
  <c r="I57" i="35"/>
  <c r="N7" i="16"/>
  <c r="J72" i="36" s="1"/>
  <c r="Y25" i="55" s="1"/>
  <c r="H69" i="35"/>
  <c r="AK152" i="55" s="1"/>
  <c r="N19" i="12"/>
  <c r="I69" i="35" s="1"/>
  <c r="AL152" i="55" s="1"/>
  <c r="N7" i="15"/>
  <c r="J67" i="36" s="1"/>
  <c r="Y2" i="55" s="1"/>
  <c r="N8" i="2"/>
  <c r="J143" i="36" s="1"/>
  <c r="Y88" i="55" s="1"/>
  <c r="F31" i="34"/>
  <c r="AV91" i="55" s="1"/>
  <c r="N26" i="11"/>
  <c r="G31" i="34" s="1"/>
  <c r="AW91" i="55" s="1"/>
  <c r="I33" i="33"/>
  <c r="N8" i="23"/>
  <c r="J118" i="36" s="1"/>
  <c r="F5" i="34"/>
  <c r="AV4" i="55" s="1"/>
  <c r="N24" i="4"/>
  <c r="G5" i="34" s="1"/>
  <c r="AW4" i="55" s="1"/>
  <c r="H39" i="35"/>
  <c r="I39" i="35"/>
  <c r="I4" i="33"/>
  <c r="F39" i="34"/>
  <c r="N25" i="14"/>
  <c r="G39" i="34" s="1"/>
  <c r="H128" i="35"/>
  <c r="AK4" i="55" s="1"/>
  <c r="N15" i="20"/>
  <c r="I39" i="33"/>
  <c r="F62" i="34"/>
  <c r="AV18" i="55" s="1"/>
  <c r="N24" i="21"/>
  <c r="G62" i="34" s="1"/>
  <c r="AW18" i="55" s="1"/>
  <c r="F41" i="34"/>
  <c r="AV27" i="55" s="1"/>
  <c r="N24" i="15"/>
  <c r="G41" i="34" s="1"/>
  <c r="AW27" i="55" s="1"/>
  <c r="H136" i="35"/>
  <c r="N17" i="21"/>
  <c r="I136" i="35" s="1"/>
  <c r="AL87" i="55" s="1"/>
  <c r="N8" i="5"/>
  <c r="J13" i="36" s="1"/>
  <c r="Y39" i="55" s="1"/>
  <c r="H190" i="35"/>
  <c r="AK51" i="55" s="1"/>
  <c r="N16" i="30"/>
  <c r="I190" i="35" s="1"/>
  <c r="F49" i="34"/>
  <c r="AV72" i="55" s="1"/>
  <c r="N26" i="17"/>
  <c r="G49" i="34" s="1"/>
  <c r="AW72" i="55" s="1"/>
  <c r="F95" i="34"/>
  <c r="AV22" i="55" s="1"/>
  <c r="N24" i="31"/>
  <c r="G95" i="34" s="1"/>
  <c r="F89" i="34"/>
  <c r="AV12" i="55" s="1"/>
  <c r="N24" i="29"/>
  <c r="G89" i="34" s="1"/>
  <c r="AW12" i="55" s="1"/>
  <c r="F32" i="34"/>
  <c r="AV8" i="55" s="1"/>
  <c r="N24" i="12"/>
  <c r="G32" i="34" s="1"/>
  <c r="AW8" i="55" s="1"/>
  <c r="H74" i="35"/>
  <c r="AK170" i="55" s="1"/>
  <c r="N19" i="13"/>
  <c r="I74" i="35" s="1"/>
  <c r="AL170" i="55" s="1"/>
  <c r="F87" i="34"/>
  <c r="AV77" i="55" s="1"/>
  <c r="N25" i="2"/>
  <c r="G87" i="34" s="1"/>
  <c r="AW77" i="55" s="1"/>
  <c r="H32" i="35"/>
  <c r="I32" i="35"/>
  <c r="J64" i="35"/>
  <c r="N18" i="13"/>
  <c r="I73" i="35" s="1"/>
  <c r="AL49" i="55" s="1"/>
  <c r="H73" i="35"/>
  <c r="AK49" i="55" s="1"/>
  <c r="AL145" i="55" l="1"/>
  <c r="Y69" i="55"/>
  <c r="AK145" i="55"/>
  <c r="AK30" i="55"/>
  <c r="AK44" i="55"/>
  <c r="AM145" i="55"/>
  <c r="Y70" i="55"/>
  <c r="X70" i="55"/>
  <c r="AM48" i="55"/>
  <c r="AM45" i="55"/>
  <c r="AL179" i="55"/>
  <c r="AL180" i="55"/>
  <c r="X92" i="55"/>
  <c r="AK179" i="55"/>
  <c r="AK180" i="55"/>
  <c r="AK110" i="55"/>
  <c r="AL48" i="55"/>
  <c r="AL45" i="55"/>
  <c r="AK48" i="55"/>
  <c r="AK45" i="55"/>
  <c r="AL118" i="55"/>
  <c r="AM118" i="55"/>
  <c r="AL140" i="55"/>
  <c r="AK140" i="55"/>
  <c r="AM140" i="55"/>
  <c r="AL137" i="55"/>
  <c r="Z75" i="55"/>
  <c r="X75" i="55"/>
  <c r="Z25" i="55"/>
  <c r="AM133" i="55"/>
  <c r="X25" i="55"/>
  <c r="Z122" i="55"/>
  <c r="AL120" i="55"/>
  <c r="AL119" i="55"/>
  <c r="AM120" i="55"/>
  <c r="AM119" i="55"/>
  <c r="Z36" i="55"/>
  <c r="Z34" i="55"/>
  <c r="AK120" i="55"/>
  <c r="AK119" i="55"/>
  <c r="Y36" i="55"/>
  <c r="Y34" i="55"/>
  <c r="X36" i="55"/>
  <c r="X34" i="55"/>
  <c r="M49" i="55"/>
  <c r="M50" i="55"/>
  <c r="Z108" i="55"/>
  <c r="AK41" i="55"/>
  <c r="Y108" i="55"/>
  <c r="AL56" i="55"/>
  <c r="Y71" i="55"/>
  <c r="Y66" i="55"/>
  <c r="AX51" i="55"/>
  <c r="AX44" i="55"/>
  <c r="AM55" i="55"/>
  <c r="AM52" i="55"/>
  <c r="AL122" i="55"/>
  <c r="AL121" i="55"/>
  <c r="AV51" i="55"/>
  <c r="AV44" i="55"/>
  <c r="AM122" i="55"/>
  <c r="AM121" i="55"/>
  <c r="AK122" i="55"/>
  <c r="AK121" i="55"/>
  <c r="AK115" i="55"/>
  <c r="AK117" i="55"/>
  <c r="AK124" i="55"/>
  <c r="Z80" i="55"/>
  <c r="Z85" i="55"/>
  <c r="AL115" i="55"/>
  <c r="AL117" i="55"/>
  <c r="Z41" i="55"/>
  <c r="Z40" i="55"/>
  <c r="AM115" i="55"/>
  <c r="AM117" i="55"/>
  <c r="AM124" i="55"/>
  <c r="AK85" i="55"/>
  <c r="AK87" i="55"/>
  <c r="X80" i="55"/>
  <c r="X85" i="55"/>
  <c r="AL65" i="55"/>
  <c r="AL64" i="55"/>
  <c r="Y80" i="55"/>
  <c r="Y85" i="55"/>
  <c r="AM65" i="55"/>
  <c r="AM64" i="55"/>
  <c r="AK65" i="55"/>
  <c r="AK64" i="55"/>
  <c r="AK158" i="55"/>
  <c r="Z50" i="55"/>
  <c r="X112" i="55"/>
  <c r="X50" i="55"/>
  <c r="AM158" i="55"/>
  <c r="Z112" i="55"/>
  <c r="Y112" i="55"/>
  <c r="AK17" i="55"/>
  <c r="AK18" i="55"/>
  <c r="AK72" i="55"/>
  <c r="Z90" i="55"/>
  <c r="X90" i="55"/>
  <c r="AW58" i="55"/>
  <c r="Y65" i="55"/>
  <c r="Y73" i="55"/>
  <c r="AL144" i="55"/>
  <c r="AK144" i="55"/>
  <c r="Z58" i="55"/>
  <c r="X58" i="55"/>
  <c r="AK78" i="55"/>
  <c r="AK76" i="55"/>
  <c r="AX26" i="55"/>
  <c r="AX21" i="55"/>
  <c r="AV37" i="55"/>
  <c r="AV40" i="55"/>
  <c r="Y91" i="55"/>
  <c r="AK14" i="55"/>
  <c r="AW37" i="55"/>
  <c r="AW40" i="55"/>
  <c r="Z119" i="55"/>
  <c r="Z45" i="55"/>
  <c r="Z48" i="55"/>
  <c r="AM78" i="55"/>
  <c r="AM76" i="55"/>
  <c r="X45" i="55"/>
  <c r="X48" i="55"/>
  <c r="AL78" i="55"/>
  <c r="AL76" i="55"/>
  <c r="AX37" i="55"/>
  <c r="AX40" i="55"/>
  <c r="AK174" i="55"/>
  <c r="Y45" i="55"/>
  <c r="Y48" i="55"/>
  <c r="AW26" i="55"/>
  <c r="AW21" i="55"/>
  <c r="AL174" i="55"/>
  <c r="Z64" i="55"/>
  <c r="AW46" i="55"/>
  <c r="AW47" i="55"/>
  <c r="AK162" i="55"/>
  <c r="AK141" i="55"/>
  <c r="AV46" i="55"/>
  <c r="AV47" i="55"/>
  <c r="Z71" i="55"/>
  <c r="AL162" i="55"/>
  <c r="AL141" i="55"/>
  <c r="AM162" i="55"/>
  <c r="AM141" i="55"/>
  <c r="AX46" i="55"/>
  <c r="AX47" i="55"/>
  <c r="AL109" i="55"/>
  <c r="X71" i="55"/>
  <c r="AK109" i="55"/>
  <c r="Z63" i="55"/>
  <c r="Y63" i="55"/>
  <c r="AK74" i="55"/>
  <c r="Z42" i="55"/>
  <c r="X42" i="55"/>
  <c r="AM74" i="55"/>
  <c r="AK60" i="55"/>
  <c r="AK58" i="55"/>
  <c r="AM60" i="55"/>
  <c r="AM58" i="55"/>
  <c r="AL102" i="55"/>
  <c r="AL103" i="55"/>
  <c r="AW69" i="55"/>
  <c r="AK43" i="55"/>
  <c r="AK42" i="55"/>
  <c r="Y95" i="55"/>
  <c r="Y94" i="55"/>
  <c r="M65" i="55"/>
  <c r="M67" i="55"/>
  <c r="Z95" i="55"/>
  <c r="Z94" i="55"/>
  <c r="X95" i="55"/>
  <c r="X94" i="55"/>
  <c r="AM102" i="55"/>
  <c r="AM103" i="55"/>
  <c r="AL165" i="55"/>
  <c r="AL167" i="55"/>
  <c r="Z47" i="55"/>
  <c r="AL60" i="55"/>
  <c r="AL58" i="55"/>
  <c r="X47" i="55"/>
  <c r="AM178" i="55"/>
  <c r="AK178" i="55"/>
  <c r="AV48" i="55"/>
  <c r="AX48" i="55"/>
  <c r="X96" i="55"/>
  <c r="X41" i="55"/>
  <c r="Y41" i="55"/>
  <c r="Z96" i="55"/>
  <c r="AW48" i="55"/>
  <c r="AK84" i="55"/>
  <c r="N26" i="33"/>
  <c r="H44" i="55"/>
  <c r="Y96" i="55"/>
  <c r="AL84" i="55"/>
  <c r="AL88" i="55"/>
  <c r="AL86" i="55"/>
  <c r="Z109" i="55"/>
  <c r="AK40" i="55"/>
  <c r="AW57" i="55"/>
  <c r="AK88" i="55"/>
  <c r="AK86" i="55"/>
  <c r="X109" i="55"/>
  <c r="X17" i="55"/>
  <c r="AK50" i="55"/>
  <c r="AM139" i="55"/>
  <c r="AM138" i="55"/>
  <c r="AX57" i="55"/>
  <c r="AV28" i="55"/>
  <c r="Y109" i="55"/>
  <c r="AK139" i="55"/>
  <c r="AK138" i="55"/>
  <c r="AM88" i="55"/>
  <c r="AM86" i="55"/>
  <c r="AL139" i="55"/>
  <c r="AL138" i="55"/>
  <c r="AK77" i="55"/>
  <c r="AK80" i="55"/>
  <c r="AX28" i="55"/>
  <c r="M25" i="33"/>
  <c r="H59" i="55"/>
  <c r="Y99" i="55"/>
  <c r="Y100" i="55"/>
  <c r="X111" i="55"/>
  <c r="Z111" i="55"/>
  <c r="Y111" i="55"/>
  <c r="Z53" i="55"/>
  <c r="AL171" i="55"/>
  <c r="AL173" i="55"/>
  <c r="AM33" i="55"/>
  <c r="AM32" i="55"/>
  <c r="AM171" i="55"/>
  <c r="AM173" i="55"/>
  <c r="AK171" i="55"/>
  <c r="AK173" i="55"/>
  <c r="Y53" i="55"/>
  <c r="F24" i="47"/>
  <c r="M54" i="55"/>
  <c r="AL33" i="55"/>
  <c r="AL32" i="55"/>
  <c r="AK33" i="55"/>
  <c r="AK32" i="55"/>
  <c r="AW22" i="55"/>
  <c r="AK31" i="55"/>
  <c r="F22" i="47"/>
  <c r="M55" i="55"/>
  <c r="AK165" i="55"/>
  <c r="F20" i="47"/>
  <c r="M45" i="55"/>
  <c r="Z93" i="55"/>
  <c r="X93" i="55"/>
  <c r="AM165" i="55"/>
  <c r="Y101" i="55"/>
  <c r="Y107" i="55"/>
  <c r="Y89" i="55"/>
  <c r="Y87" i="55"/>
  <c r="Z89" i="55"/>
  <c r="Z87" i="55"/>
  <c r="AM155" i="55"/>
  <c r="AM157" i="55"/>
  <c r="AL155" i="55"/>
  <c r="AL157" i="55"/>
  <c r="AM107" i="55"/>
  <c r="X89" i="55"/>
  <c r="X87" i="55"/>
  <c r="AL107" i="55"/>
  <c r="AK155" i="55"/>
  <c r="AK157" i="55"/>
  <c r="Z77" i="55"/>
  <c r="Z78" i="55"/>
  <c r="X77" i="55"/>
  <c r="X78" i="55"/>
  <c r="AK107" i="55"/>
  <c r="Y77" i="55"/>
  <c r="Y78" i="55"/>
  <c r="AV70" i="55"/>
  <c r="Y62" i="55"/>
  <c r="AV26" i="55"/>
  <c r="AL55" i="55"/>
  <c r="AL159" i="55"/>
  <c r="AL160" i="55"/>
  <c r="AK55" i="55"/>
  <c r="AM159" i="55"/>
  <c r="AM160" i="55"/>
  <c r="X62" i="55"/>
  <c r="AK159" i="55"/>
  <c r="AK160" i="55"/>
  <c r="AM179" i="55"/>
  <c r="Z23" i="55"/>
  <c r="Z24" i="55"/>
  <c r="AL161" i="55"/>
  <c r="AL163" i="55"/>
  <c r="AK161" i="55"/>
  <c r="AK163" i="55"/>
  <c r="AM136" i="55"/>
  <c r="AM135" i="55"/>
  <c r="X23" i="55"/>
  <c r="X24" i="55"/>
  <c r="Y23" i="55"/>
  <c r="Y24" i="55"/>
  <c r="Y54" i="55"/>
  <c r="Y46" i="55"/>
  <c r="Z54" i="55"/>
  <c r="Z46" i="55"/>
  <c r="AM161" i="55"/>
  <c r="AM163" i="55"/>
  <c r="X54" i="55"/>
  <c r="X46" i="55"/>
  <c r="AL136" i="55"/>
  <c r="AL135" i="55"/>
  <c r="AK136" i="55"/>
  <c r="AK135" i="55"/>
  <c r="AM96" i="55"/>
  <c r="AM93" i="55"/>
  <c r="AW51" i="55"/>
  <c r="Z65" i="55"/>
  <c r="Y76" i="55"/>
  <c r="X65" i="55"/>
  <c r="F12" i="47"/>
  <c r="M38" i="55"/>
  <c r="Z76" i="55"/>
  <c r="X76" i="55"/>
  <c r="F10" i="47"/>
  <c r="M61" i="55"/>
  <c r="AM85" i="55"/>
  <c r="K25" i="35"/>
  <c r="AM143" i="55"/>
  <c r="AL85" i="55"/>
  <c r="Z101" i="55"/>
  <c r="Y86" i="55"/>
  <c r="AX39" i="55"/>
  <c r="X101" i="55"/>
  <c r="AW39" i="55"/>
  <c r="Z86" i="55"/>
  <c r="AV39" i="55"/>
  <c r="X86" i="55"/>
  <c r="AK79" i="55"/>
  <c r="X99" i="55"/>
  <c r="AK182" i="55"/>
  <c r="AM182" i="55"/>
  <c r="AL79" i="55"/>
  <c r="F8" i="47"/>
  <c r="M43" i="55"/>
  <c r="AK102" i="55"/>
  <c r="AM79" i="55"/>
  <c r="Z99" i="55"/>
  <c r="AK129" i="55"/>
  <c r="AL96" i="55"/>
  <c r="AL116" i="55"/>
  <c r="AK96" i="55"/>
  <c r="M35" i="55"/>
  <c r="AW94" i="55"/>
  <c r="AW99" i="55"/>
  <c r="AW95" i="55"/>
  <c r="AW93" i="55"/>
  <c r="AW100" i="55"/>
  <c r="AW97" i="55"/>
  <c r="AW101" i="55"/>
  <c r="AW96" i="55"/>
  <c r="AW98" i="55"/>
  <c r="AV101" i="55"/>
  <c r="AV93" i="55"/>
  <c r="AV94" i="55"/>
  <c r="AV95" i="55"/>
  <c r="AV96" i="55"/>
  <c r="AV99" i="55"/>
  <c r="AV98" i="55"/>
  <c r="AV97" i="55"/>
  <c r="AV100" i="55"/>
  <c r="AX94" i="55"/>
  <c r="AX98" i="55"/>
  <c r="AX100" i="55"/>
  <c r="AX95" i="55"/>
  <c r="AX101" i="55"/>
  <c r="AX93" i="55"/>
  <c r="AX99" i="55"/>
  <c r="AX97" i="55"/>
  <c r="AX96" i="55"/>
  <c r="F69" i="47"/>
  <c r="M51" i="55"/>
  <c r="K190" i="35"/>
  <c r="AL51" i="55"/>
  <c r="K184" i="35"/>
  <c r="AM34" i="55"/>
  <c r="F58" i="47"/>
  <c r="M33" i="55"/>
  <c r="F49" i="47"/>
  <c r="M39" i="55"/>
  <c r="N142" i="35"/>
  <c r="AN53" i="55" s="1"/>
  <c r="AM57" i="55"/>
  <c r="K126" i="35"/>
  <c r="AM174" i="55"/>
  <c r="F18" i="47"/>
  <c r="M36" i="55"/>
  <c r="F14" i="47"/>
  <c r="M47" i="55"/>
  <c r="N59" i="33"/>
  <c r="L38" i="36"/>
  <c r="K149" i="35"/>
  <c r="L149" i="35" s="1"/>
  <c r="L159" i="36"/>
  <c r="L154" i="36"/>
  <c r="O129" i="36"/>
  <c r="AA67" i="55" s="1"/>
  <c r="L111" i="36"/>
  <c r="N111" i="36" s="1"/>
  <c r="L98" i="36"/>
  <c r="N98" i="36" s="1"/>
  <c r="L79" i="36"/>
  <c r="M79" i="36" s="1"/>
  <c r="N100" i="35"/>
  <c r="L67" i="36"/>
  <c r="L23" i="36"/>
  <c r="N23" i="36" s="1"/>
  <c r="O59" i="36"/>
  <c r="K80" i="35"/>
  <c r="L80" i="35" s="1"/>
  <c r="N39" i="33"/>
  <c r="K152" i="35"/>
  <c r="L64" i="36"/>
  <c r="N64" i="36" s="1"/>
  <c r="K35" i="35"/>
  <c r="F36" i="47"/>
  <c r="F35" i="47"/>
  <c r="L107" i="36"/>
  <c r="N107" i="36" s="1"/>
  <c r="O34" i="36"/>
  <c r="AA74" i="55" s="1"/>
  <c r="L24" i="36"/>
  <c r="N24" i="36" s="1"/>
  <c r="L124" i="36"/>
  <c r="N124" i="36" s="1"/>
  <c r="K201" i="35"/>
  <c r="L201" i="35" s="1"/>
  <c r="O17" i="36"/>
  <c r="AA31" i="55" s="1"/>
  <c r="N8" i="33"/>
  <c r="F9" i="47" s="1"/>
  <c r="L151" i="36"/>
  <c r="M151" i="36" s="1"/>
  <c r="A19" i="35"/>
  <c r="L69" i="36"/>
  <c r="M69" i="36" s="1"/>
  <c r="O45" i="36"/>
  <c r="L134" i="36"/>
  <c r="M134" i="36" s="1"/>
  <c r="N171" i="35"/>
  <c r="O158" i="36"/>
  <c r="L83" i="36"/>
  <c r="N83" i="36" s="1"/>
  <c r="O82" i="36"/>
  <c r="AA6" i="55" s="1"/>
  <c r="L47" i="36"/>
  <c r="M47" i="36" s="1"/>
  <c r="L21" i="36"/>
  <c r="N21" i="36" s="1"/>
  <c r="L60" i="34"/>
  <c r="AY76" i="55" s="1"/>
  <c r="K78" i="35"/>
  <c r="M78" i="35" s="1"/>
  <c r="K171" i="35"/>
  <c r="M171" i="35" s="1"/>
  <c r="K136" i="35"/>
  <c r="L136" i="35" s="1"/>
  <c r="N98" i="35"/>
  <c r="K73" i="35"/>
  <c r="M73" i="35" s="1"/>
  <c r="K62" i="35"/>
  <c r="L62" i="35" s="1"/>
  <c r="L49" i="36"/>
  <c r="M49" i="36" s="1"/>
  <c r="L44" i="36"/>
  <c r="N44" i="36" s="1"/>
  <c r="L61" i="34"/>
  <c r="AY83" i="55" s="1"/>
  <c r="O93" i="36"/>
  <c r="O75" i="36"/>
  <c r="AA124" i="55" s="1"/>
  <c r="L62" i="36"/>
  <c r="M62" i="36" s="1"/>
  <c r="O119" i="36"/>
  <c r="AA123" i="55" s="1"/>
  <c r="L42" i="36"/>
  <c r="N42" i="36" s="1"/>
  <c r="O135" i="36"/>
  <c r="L110" i="36"/>
  <c r="N110" i="36" s="1"/>
  <c r="K11" i="35"/>
  <c r="L11" i="35" s="1"/>
  <c r="L33" i="36"/>
  <c r="N33" i="36" s="1"/>
  <c r="L137" i="36"/>
  <c r="N137" i="36" s="1"/>
  <c r="L91" i="34"/>
  <c r="AY86" i="55" s="1"/>
  <c r="N56" i="33"/>
  <c r="O140" i="36"/>
  <c r="AA113" i="55" s="1"/>
  <c r="L81" i="36"/>
  <c r="N81" i="36" s="1"/>
  <c r="L136" i="36"/>
  <c r="N136" i="36" s="1"/>
  <c r="L41" i="36"/>
  <c r="N41" i="36" s="1"/>
  <c r="L25" i="36"/>
  <c r="N25" i="36" s="1"/>
  <c r="O120" i="36"/>
  <c r="O58" i="36"/>
  <c r="AA28" i="55" s="1"/>
  <c r="L126" i="36"/>
  <c r="M126" i="36" s="1"/>
  <c r="L71" i="36"/>
  <c r="N71" i="36" s="1"/>
  <c r="O20" i="36"/>
  <c r="L13" i="36"/>
  <c r="M13" i="36" s="1"/>
  <c r="L29" i="34"/>
  <c r="N63" i="35"/>
  <c r="L72" i="36"/>
  <c r="N72" i="36" s="1"/>
  <c r="O43" i="36"/>
  <c r="AA33" i="55" s="1"/>
  <c r="L122" i="36"/>
  <c r="N122" i="36" s="1"/>
  <c r="L27" i="36"/>
  <c r="N27" i="36" s="1"/>
  <c r="L48" i="36"/>
  <c r="N48" i="36" s="1"/>
  <c r="O160" i="36"/>
  <c r="O10" i="36"/>
  <c r="AA110" i="55" s="1"/>
  <c r="O85" i="36"/>
  <c r="AA118" i="55" s="1"/>
  <c r="O132" i="36"/>
  <c r="AA5" i="55" s="1"/>
  <c r="O61" i="36"/>
  <c r="K199" i="35"/>
  <c r="M199" i="35" s="1"/>
  <c r="N87" i="35"/>
  <c r="AN123" i="55" s="1"/>
  <c r="O57" i="36"/>
  <c r="N150" i="35"/>
  <c r="N137" i="35"/>
  <c r="AN117" i="55" s="1"/>
  <c r="L53" i="36"/>
  <c r="M53" i="36" s="1"/>
  <c r="L117" i="36"/>
  <c r="N117" i="36" s="1"/>
  <c r="O76" i="36"/>
  <c r="O116" i="36"/>
  <c r="L56" i="36"/>
  <c r="M56" i="36" s="1"/>
  <c r="L11" i="36"/>
  <c r="M11" i="36" s="1"/>
  <c r="O60" i="36"/>
  <c r="L29" i="36"/>
  <c r="N29" i="36" s="1"/>
  <c r="L68" i="36"/>
  <c r="N68" i="36" s="1"/>
  <c r="L96" i="36"/>
  <c r="M96" i="36" s="1"/>
  <c r="L51" i="36"/>
  <c r="N51" i="36" s="1"/>
  <c r="L141" i="36"/>
  <c r="N141" i="36" s="1"/>
  <c r="O150" i="36"/>
  <c r="O145" i="36"/>
  <c r="AA79" i="55" s="1"/>
  <c r="L133" i="36"/>
  <c r="N133" i="36" s="1"/>
  <c r="L37" i="34"/>
  <c r="L157" i="36"/>
  <c r="N157" i="36" s="1"/>
  <c r="O80" i="36"/>
  <c r="O95" i="36"/>
  <c r="AA63" i="55" s="1"/>
  <c r="O15" i="36"/>
  <c r="AA104" i="55" s="1"/>
  <c r="O115" i="36"/>
  <c r="O110" i="36"/>
  <c r="L84" i="36"/>
  <c r="N84" i="36" s="1"/>
  <c r="L161" i="36"/>
  <c r="M161" i="36" s="1"/>
  <c r="N95" i="35"/>
  <c r="L63" i="36"/>
  <c r="M63" i="36" s="1"/>
  <c r="O113" i="36"/>
  <c r="O21" i="36"/>
  <c r="O25" i="36"/>
  <c r="O90" i="36"/>
  <c r="O91" i="36"/>
  <c r="O130" i="36"/>
  <c r="AA120" i="55" s="1"/>
  <c r="N130" i="35"/>
  <c r="L106" i="36"/>
  <c r="N106" i="36" s="1"/>
  <c r="K112" i="35"/>
  <c r="L53" i="34"/>
  <c r="AY25" i="55" s="1"/>
  <c r="L55" i="34"/>
  <c r="AY63" i="55" s="1"/>
  <c r="O88" i="36"/>
  <c r="O89" i="36"/>
  <c r="O87" i="36"/>
  <c r="AA13" i="55" s="1"/>
  <c r="L143" i="36"/>
  <c r="M143" i="36" s="1"/>
  <c r="O142" i="36"/>
  <c r="O144" i="36"/>
  <c r="L144" i="36"/>
  <c r="N144" i="36" s="1"/>
  <c r="O146" i="36"/>
  <c r="O65" i="36"/>
  <c r="O14" i="36"/>
  <c r="L74" i="36"/>
  <c r="N74" i="36" s="1"/>
  <c r="L44" i="34"/>
  <c r="AY23" i="55" s="1"/>
  <c r="L25" i="34"/>
  <c r="N50" i="35"/>
  <c r="O40" i="36"/>
  <c r="L123" i="36"/>
  <c r="N123" i="36" s="1"/>
  <c r="L73" i="34"/>
  <c r="AY74" i="55" s="1"/>
  <c r="O149" i="36"/>
  <c r="AA72" i="55" s="1"/>
  <c r="L150" i="36"/>
  <c r="N150" i="36" s="1"/>
  <c r="O35" i="36"/>
  <c r="L21" i="34"/>
  <c r="L20" i="34"/>
  <c r="N42" i="35"/>
  <c r="AN11" i="55" s="1"/>
  <c r="O100" i="36"/>
  <c r="O155" i="36"/>
  <c r="L152" i="36"/>
  <c r="M152" i="36" s="1"/>
  <c r="O50" i="36"/>
  <c r="L50" i="36"/>
  <c r="N50" i="36" s="1"/>
  <c r="O30" i="36"/>
  <c r="AA117" i="55" s="1"/>
  <c r="O28" i="36"/>
  <c r="L31" i="36"/>
  <c r="N31" i="36" s="1"/>
  <c r="L14" i="34"/>
  <c r="AY32" i="55" s="1"/>
  <c r="L19" i="36"/>
  <c r="N19" i="36" s="1"/>
  <c r="L11" i="34"/>
  <c r="AY14" i="55" s="1"/>
  <c r="N10" i="35"/>
  <c r="N12" i="35"/>
  <c r="AN126" i="55" s="1"/>
  <c r="L5" i="34"/>
  <c r="AY4" i="55" s="1"/>
  <c r="M23" i="36"/>
  <c r="M67" i="36"/>
  <c r="N67" i="36"/>
  <c r="L31" i="34"/>
  <c r="AY91" i="55" s="1"/>
  <c r="L94" i="36"/>
  <c r="L39" i="36"/>
  <c r="L54" i="36"/>
  <c r="L147" i="36"/>
  <c r="L96" i="34"/>
  <c r="AY49" i="55" s="1"/>
  <c r="L112" i="36"/>
  <c r="L54" i="34"/>
  <c r="AY67" i="55" s="1"/>
  <c r="L30" i="34"/>
  <c r="AY43" i="55" s="1"/>
  <c r="L8" i="36"/>
  <c r="L13" i="34"/>
  <c r="AY87" i="55" s="1"/>
  <c r="L78" i="36"/>
  <c r="L7" i="36"/>
  <c r="O7" i="36"/>
  <c r="AA37" i="55" s="1"/>
  <c r="L97" i="36"/>
  <c r="N97" i="36" s="1"/>
  <c r="N47" i="35"/>
  <c r="N151" i="35"/>
  <c r="L36" i="36"/>
  <c r="L20" i="36"/>
  <c r="L105" i="36"/>
  <c r="O23" i="36"/>
  <c r="L87" i="36"/>
  <c r="O94" i="36"/>
  <c r="O31" i="36"/>
  <c r="O49" i="36"/>
  <c r="AA115" i="55" s="1"/>
  <c r="O19" i="36"/>
  <c r="O69" i="36"/>
  <c r="O151" i="36"/>
  <c r="O51" i="36"/>
  <c r="O134" i="36"/>
  <c r="N159" i="36"/>
  <c r="M159" i="36"/>
  <c r="L102" i="36"/>
  <c r="K45" i="35"/>
  <c r="M45" i="35" s="1"/>
  <c r="L92" i="36"/>
  <c r="L52" i="36"/>
  <c r="L37" i="36"/>
  <c r="L103" i="36"/>
  <c r="L108" i="36"/>
  <c r="N106" i="35"/>
  <c r="N29" i="35"/>
  <c r="AN83" i="55" s="1"/>
  <c r="L52" i="34"/>
  <c r="AY66" i="55" s="1"/>
  <c r="N194" i="35"/>
  <c r="L146" i="36"/>
  <c r="L101" i="36"/>
  <c r="M101" i="36" s="1"/>
  <c r="L140" i="36"/>
  <c r="N140" i="36" s="1"/>
  <c r="L35" i="36"/>
  <c r="L95" i="36"/>
  <c r="L45" i="36"/>
  <c r="O108" i="36"/>
  <c r="AA40" i="55" s="1"/>
  <c r="L115" i="36"/>
  <c r="O96" i="36"/>
  <c r="O122" i="36"/>
  <c r="AA20" i="55" s="1"/>
  <c r="O67" i="36"/>
  <c r="AA2" i="55" s="1"/>
  <c r="O11" i="36"/>
  <c r="O8" i="36"/>
  <c r="AA61" i="55" s="1"/>
  <c r="O41" i="36"/>
  <c r="AA101" i="55" s="1"/>
  <c r="L18" i="36"/>
  <c r="L61" i="36"/>
  <c r="O157" i="36"/>
  <c r="AA17" i="55" s="1"/>
  <c r="O13" i="36"/>
  <c r="AA39" i="55" s="1"/>
  <c r="O74" i="36"/>
  <c r="O37" i="36"/>
  <c r="AA11" i="55" s="1"/>
  <c r="O136" i="36"/>
  <c r="O42" i="36"/>
  <c r="AA22" i="55" s="1"/>
  <c r="N11" i="35"/>
  <c r="O77" i="36"/>
  <c r="AA29" i="55" s="1"/>
  <c r="L77" i="36"/>
  <c r="L113" i="36"/>
  <c r="L42" i="34"/>
  <c r="AY50" i="55" s="1"/>
  <c r="L148" i="36"/>
  <c r="L153" i="36"/>
  <c r="L104" i="36"/>
  <c r="O104" i="36"/>
  <c r="AA116" i="55" s="1"/>
  <c r="L22" i="36"/>
  <c r="L109" i="36"/>
  <c r="N66" i="35"/>
  <c r="L131" i="36"/>
  <c r="O131" i="36"/>
  <c r="L86" i="36"/>
  <c r="L121" i="36"/>
  <c r="O121" i="36"/>
  <c r="L160" i="36"/>
  <c r="L90" i="36"/>
  <c r="L145" i="36"/>
  <c r="L132" i="36"/>
  <c r="L10" i="36"/>
  <c r="L91" i="36"/>
  <c r="L59" i="36"/>
  <c r="O44" i="36"/>
  <c r="O48" i="36"/>
  <c r="AA35" i="55" s="1"/>
  <c r="O152" i="36"/>
  <c r="AA4" i="55" s="1"/>
  <c r="O71" i="36"/>
  <c r="O84" i="36"/>
  <c r="O112" i="36"/>
  <c r="AA16" i="55" s="1"/>
  <c r="O63" i="36"/>
  <c r="AA59" i="55" s="1"/>
  <c r="O83" i="36"/>
  <c r="O92" i="36"/>
  <c r="AA21" i="55" s="1"/>
  <c r="O106" i="36"/>
  <c r="O72" i="36"/>
  <c r="L12" i="36"/>
  <c r="O12" i="36"/>
  <c r="AA19" i="55" s="1"/>
  <c r="L34" i="36"/>
  <c r="L129" i="36"/>
  <c r="L34" i="34"/>
  <c r="AY92" i="55" s="1"/>
  <c r="L9" i="36"/>
  <c r="L27" i="34"/>
  <c r="AY75" i="55" s="1"/>
  <c r="L28" i="34"/>
  <c r="AY82" i="55" s="1"/>
  <c r="L58" i="36"/>
  <c r="L32" i="36"/>
  <c r="L46" i="36"/>
  <c r="O46" i="36"/>
  <c r="N26" i="35"/>
  <c r="L100" i="36"/>
  <c r="M100" i="36" s="1"/>
  <c r="L70" i="36"/>
  <c r="O70" i="36"/>
  <c r="L120" i="36"/>
  <c r="L130" i="36"/>
  <c r="O153" i="36"/>
  <c r="AA75" i="55" s="1"/>
  <c r="O24" i="36"/>
  <c r="O159" i="36"/>
  <c r="O86" i="36"/>
  <c r="O53" i="36"/>
  <c r="AA52" i="55" s="1"/>
  <c r="O64" i="36"/>
  <c r="O39" i="36"/>
  <c r="AA89" i="55" s="1"/>
  <c r="O32" i="36"/>
  <c r="AA7" i="55" s="1"/>
  <c r="K32" i="35"/>
  <c r="M32" i="35" s="1"/>
  <c r="L118" i="36"/>
  <c r="O118" i="36"/>
  <c r="K113" i="35"/>
  <c r="M113" i="35" s="1"/>
  <c r="L24" i="34"/>
  <c r="AY38" i="55" s="1"/>
  <c r="N79" i="36"/>
  <c r="K161" i="35"/>
  <c r="M161" i="35" s="1"/>
  <c r="L114" i="36"/>
  <c r="L43" i="36"/>
  <c r="L12" i="34"/>
  <c r="N48" i="35"/>
  <c r="AN73" i="55" s="1"/>
  <c r="N135" i="35"/>
  <c r="L93" i="36"/>
  <c r="N55" i="35"/>
  <c r="AN97" i="55" s="1"/>
  <c r="L50" i="34"/>
  <c r="N111" i="35"/>
  <c r="AN63" i="55" s="1"/>
  <c r="L127" i="36"/>
  <c r="O127" i="36"/>
  <c r="L142" i="36"/>
  <c r="L76" i="34"/>
  <c r="AY79" i="55" s="1"/>
  <c r="L73" i="36"/>
  <c r="O73" i="36"/>
  <c r="L156" i="36"/>
  <c r="O156" i="36"/>
  <c r="L15" i="36"/>
  <c r="L88" i="36"/>
  <c r="L135" i="36"/>
  <c r="L40" i="36"/>
  <c r="O125" i="36"/>
  <c r="L125" i="36"/>
  <c r="O52" i="36"/>
  <c r="AA9" i="55" s="1"/>
  <c r="O111" i="36"/>
  <c r="AA109" i="55" s="1"/>
  <c r="O124" i="36"/>
  <c r="AA102" i="55" s="1"/>
  <c r="O117" i="36"/>
  <c r="AA8" i="55" s="1"/>
  <c r="O47" i="36"/>
  <c r="O33" i="36"/>
  <c r="O147" i="36"/>
  <c r="AA12" i="55" s="1"/>
  <c r="O18" i="36"/>
  <c r="AA43" i="55" s="1"/>
  <c r="O102" i="36"/>
  <c r="AA10" i="55" s="1"/>
  <c r="O109" i="36"/>
  <c r="AA57" i="55" s="1"/>
  <c r="O36" i="36"/>
  <c r="N38" i="36"/>
  <c r="M38" i="36"/>
  <c r="K125" i="35"/>
  <c r="M125" i="35" s="1"/>
  <c r="L7" i="34"/>
  <c r="L128" i="36"/>
  <c r="O128" i="36"/>
  <c r="L69" i="34"/>
  <c r="AY42" i="55" s="1"/>
  <c r="N154" i="36"/>
  <c r="M154" i="36"/>
  <c r="N93" i="35"/>
  <c r="AN103" i="55" s="1"/>
  <c r="L17" i="36"/>
  <c r="K156" i="35"/>
  <c r="L156" i="35" s="1"/>
  <c r="L14" i="36"/>
  <c r="K200" i="35"/>
  <c r="L200" i="35" s="1"/>
  <c r="L119" i="36"/>
  <c r="L158" i="36"/>
  <c r="L149" i="36"/>
  <c r="L99" i="36"/>
  <c r="M99" i="36" s="1"/>
  <c r="L66" i="36"/>
  <c r="L26" i="36"/>
  <c r="O26" i="36"/>
  <c r="L30" i="36"/>
  <c r="O78" i="36"/>
  <c r="L65" i="36"/>
  <c r="O126" i="36"/>
  <c r="L155" i="36"/>
  <c r="O143" i="36"/>
  <c r="AA88" i="55" s="1"/>
  <c r="O56" i="36"/>
  <c r="O133" i="36"/>
  <c r="AA97" i="55" s="1"/>
  <c r="O9" i="36"/>
  <c r="AA44" i="55" s="1"/>
  <c r="O103" i="36"/>
  <c r="O29" i="36"/>
  <c r="O81" i="36"/>
  <c r="O114" i="36"/>
  <c r="O27" i="36"/>
  <c r="AA23" i="55" s="1"/>
  <c r="L57" i="36"/>
  <c r="L59" i="34"/>
  <c r="AY11" i="55" s="1"/>
  <c r="N139" i="35"/>
  <c r="L138" i="36"/>
  <c r="N138" i="36" s="1"/>
  <c r="L28" i="36"/>
  <c r="L76" i="36"/>
  <c r="L116" i="36"/>
  <c r="O16" i="36"/>
  <c r="L16" i="36"/>
  <c r="L80" i="36"/>
  <c r="O62" i="36"/>
  <c r="AA55" i="55" s="1"/>
  <c r="L89" i="36"/>
  <c r="O105" i="36"/>
  <c r="L75" i="36"/>
  <c r="L55" i="36"/>
  <c r="L82" i="36"/>
  <c r="O55" i="36"/>
  <c r="L60" i="36"/>
  <c r="L85" i="36"/>
  <c r="O148" i="36"/>
  <c r="O66" i="36"/>
  <c r="O154" i="36"/>
  <c r="AA68" i="55" s="1"/>
  <c r="O123" i="36"/>
  <c r="AA49" i="55" s="1"/>
  <c r="O161" i="36"/>
  <c r="O54" i="36"/>
  <c r="AA99" i="55" s="1"/>
  <c r="O68" i="36"/>
  <c r="AA38" i="55" s="1"/>
  <c r="O107" i="36"/>
  <c r="AA26" i="55" s="1"/>
  <c r="O79" i="36"/>
  <c r="AA83" i="55" s="1"/>
  <c r="O38" i="36"/>
  <c r="AA32" i="55" s="1"/>
  <c r="O22" i="36"/>
  <c r="AA3" i="55" s="1"/>
  <c r="O101" i="36"/>
  <c r="O97" i="36"/>
  <c r="AA30" i="55" s="1"/>
  <c r="O99" i="36"/>
  <c r="AA65" i="55" s="1"/>
  <c r="O98" i="36"/>
  <c r="AA56" i="55" s="1"/>
  <c r="L139" i="36"/>
  <c r="N139" i="36" s="1"/>
  <c r="L83" i="34"/>
  <c r="AY19" i="55" s="1"/>
  <c r="N176" i="35"/>
  <c r="N175" i="35"/>
  <c r="AN98" i="55" s="1"/>
  <c r="O141" i="36"/>
  <c r="O138" i="36"/>
  <c r="AA34" i="55" s="1"/>
  <c r="L84" i="34"/>
  <c r="AY53" i="55" s="1"/>
  <c r="O139" i="36"/>
  <c r="AA105" i="55" s="1"/>
  <c r="O137" i="36"/>
  <c r="AA27" i="55" s="1"/>
  <c r="N200" i="35"/>
  <c r="L95" i="34"/>
  <c r="N192" i="35"/>
  <c r="L94" i="34"/>
  <c r="AY78" i="55" s="1"/>
  <c r="L92" i="34"/>
  <c r="L81" i="34"/>
  <c r="AY71" i="55" s="1"/>
  <c r="L80" i="34"/>
  <c r="AY13" i="55" s="1"/>
  <c r="N163" i="35"/>
  <c r="AN120" i="55" s="1"/>
  <c r="L79" i="34"/>
  <c r="AY81" i="55" s="1"/>
  <c r="L64" i="34"/>
  <c r="AY90" i="55" s="1"/>
  <c r="L58" i="34"/>
  <c r="AY84" i="55" s="1"/>
  <c r="L56" i="34"/>
  <c r="AY17" i="55" s="1"/>
  <c r="N117" i="35"/>
  <c r="N103" i="35"/>
  <c r="AN23" i="55" s="1"/>
  <c r="L51" i="34"/>
  <c r="K67" i="35"/>
  <c r="M67" i="35" s="1"/>
  <c r="L32" i="34"/>
  <c r="AY8" i="55" s="1"/>
  <c r="N69" i="35"/>
  <c r="AN152" i="55" s="1"/>
  <c r="L22" i="34"/>
  <c r="L15" i="34"/>
  <c r="N91" i="35"/>
  <c r="N193" i="35"/>
  <c r="N118" i="35"/>
  <c r="N53" i="35"/>
  <c r="N43" i="35"/>
  <c r="N195" i="35"/>
  <c r="N136" i="35"/>
  <c r="AN87" i="55" s="1"/>
  <c r="N113" i="35"/>
  <c r="N198" i="35"/>
  <c r="N59" i="35"/>
  <c r="N35" i="35"/>
  <c r="AN69" i="55" s="1"/>
  <c r="N96" i="35"/>
  <c r="AN100" i="55" s="1"/>
  <c r="N156" i="35"/>
  <c r="AN164" i="55" s="1"/>
  <c r="N49" i="35"/>
  <c r="N112" i="35"/>
  <c r="N30" i="35"/>
  <c r="N25" i="35"/>
  <c r="K18" i="35"/>
  <c r="L18" i="35" s="1"/>
  <c r="N168" i="35"/>
  <c r="AN59" i="55" s="1"/>
  <c r="N197" i="35"/>
  <c r="N45" i="35"/>
  <c r="N152" i="35"/>
  <c r="N169" i="35"/>
  <c r="AN107" i="55" s="1"/>
  <c r="N21" i="35"/>
  <c r="AN28" i="55" s="1"/>
  <c r="N104" i="35"/>
  <c r="AN89" i="55" s="1"/>
  <c r="N167" i="35"/>
  <c r="AN61" i="55" s="1"/>
  <c r="N131" i="35"/>
  <c r="AN82" i="55" s="1"/>
  <c r="N13" i="35"/>
  <c r="N148" i="35"/>
  <c r="N132" i="35"/>
  <c r="AN176" i="55" s="1"/>
  <c r="N92" i="35"/>
  <c r="N126" i="35"/>
  <c r="K39" i="35"/>
  <c r="L39" i="35" s="1"/>
  <c r="N94" i="35"/>
  <c r="N119" i="35"/>
  <c r="N31" i="35"/>
  <c r="AN154" i="55" s="1"/>
  <c r="K63" i="35"/>
  <c r="M63" i="35" s="1"/>
  <c r="N60" i="35"/>
  <c r="AN101" i="55" s="1"/>
  <c r="N105" i="35"/>
  <c r="N149" i="35"/>
  <c r="N89" i="35"/>
  <c r="N199" i="35"/>
  <c r="AN153" i="55" s="1"/>
  <c r="N44" i="35"/>
  <c r="AN178" i="55" s="1"/>
  <c r="K191" i="35"/>
  <c r="M191" i="35" s="1"/>
  <c r="N54" i="35"/>
  <c r="AN81" i="55" s="1"/>
  <c r="N22" i="35"/>
  <c r="AN177" i="55" s="1"/>
  <c r="N201" i="35"/>
  <c r="AN183" i="55" s="1"/>
  <c r="N24" i="35"/>
  <c r="AN105" i="55" s="1"/>
  <c r="N129" i="35"/>
  <c r="N107" i="35"/>
  <c r="N190" i="35"/>
  <c r="AN51" i="55" s="1"/>
  <c r="N108" i="35"/>
  <c r="N57" i="35"/>
  <c r="N120" i="35"/>
  <c r="N133" i="35"/>
  <c r="N191" i="35"/>
  <c r="N64" i="35"/>
  <c r="N122" i="35"/>
  <c r="AN18" i="55" s="1"/>
  <c r="N23" i="35"/>
  <c r="N173" i="35"/>
  <c r="AN37" i="55" s="1"/>
  <c r="N68" i="35"/>
  <c r="N28" i="35"/>
  <c r="AN62" i="55" s="1"/>
  <c r="N33" i="35"/>
  <c r="N123" i="35"/>
  <c r="N61" i="35"/>
  <c r="K109" i="35"/>
  <c r="M109" i="35" s="1"/>
  <c r="N62" i="35"/>
  <c r="AN168" i="55" s="1"/>
  <c r="N116" i="35"/>
  <c r="N125" i="35"/>
  <c r="AN156" i="55" s="1"/>
  <c r="N109" i="35"/>
  <c r="AN19" i="55" s="1"/>
  <c r="N32" i="35"/>
  <c r="N170" i="35"/>
  <c r="N56" i="35"/>
  <c r="N138" i="35"/>
  <c r="N124" i="35"/>
  <c r="AN166" i="55" s="1"/>
  <c r="N174" i="35"/>
  <c r="AN119" i="55" s="1"/>
  <c r="N51" i="35"/>
  <c r="N9" i="35"/>
  <c r="AN99" i="55" s="1"/>
  <c r="N127" i="35"/>
  <c r="N202" i="35"/>
  <c r="N47" i="33"/>
  <c r="M26" i="55" s="1"/>
  <c r="N16" i="33"/>
  <c r="N45" i="33"/>
  <c r="N63" i="33"/>
  <c r="M9" i="55" s="1"/>
  <c r="N37" i="33"/>
  <c r="L77" i="34"/>
  <c r="AY9" i="55" s="1"/>
  <c r="N161" i="35"/>
  <c r="AN36" i="55" s="1"/>
  <c r="K72" i="35"/>
  <c r="M72" i="35" s="1"/>
  <c r="N4" i="33"/>
  <c r="F5" i="47" s="1"/>
  <c r="N43" i="33"/>
  <c r="N65" i="33"/>
  <c r="F66" i="47" s="1"/>
  <c r="N86" i="35"/>
  <c r="L97" i="34"/>
  <c r="AY89" i="55" s="1"/>
  <c r="L63" i="34"/>
  <c r="AY35" i="55" s="1"/>
  <c r="L74" i="34"/>
  <c r="AY6" i="55" s="1"/>
  <c r="N18" i="33"/>
  <c r="F19" i="47" s="1"/>
  <c r="N10" i="33"/>
  <c r="F11" i="47" s="1"/>
  <c r="N52" i="33"/>
  <c r="N164" i="35"/>
  <c r="N114" i="35"/>
  <c r="L70" i="34"/>
  <c r="N54" i="33"/>
  <c r="M4" i="55" s="1"/>
  <c r="N12" i="33"/>
  <c r="N67" i="35"/>
  <c r="N158" i="35"/>
  <c r="L6" i="34"/>
  <c r="AY45" i="55" s="1"/>
  <c r="N6" i="33"/>
  <c r="F7" i="47" s="1"/>
  <c r="N41" i="33"/>
  <c r="N155" i="35"/>
  <c r="AN90" i="55" s="1"/>
  <c r="N50" i="33"/>
  <c r="N20" i="33"/>
  <c r="F21" i="47" s="1"/>
  <c r="N101" i="35"/>
  <c r="AN169" i="55" s="1"/>
  <c r="L57" i="34"/>
  <c r="L82" i="34"/>
  <c r="L93" i="34"/>
  <c r="AY36" i="55" s="1"/>
  <c r="L85" i="34"/>
  <c r="L89" i="34"/>
  <c r="AY12" i="55" s="1"/>
  <c r="N31" i="33"/>
  <c r="N14" i="33"/>
  <c r="F15" i="47" s="1"/>
  <c r="K157" i="35"/>
  <c r="M157" i="35" s="1"/>
  <c r="K193" i="35"/>
  <c r="L193" i="35" s="1"/>
  <c r="N165" i="35"/>
  <c r="N15" i="35"/>
  <c r="N147" i="35"/>
  <c r="AN74" i="55" s="1"/>
  <c r="L33" i="34"/>
  <c r="AY57" i="55" s="1"/>
  <c r="L75" i="34"/>
  <c r="L16" i="34"/>
  <c r="N29" i="33"/>
  <c r="N17" i="35"/>
  <c r="N99" i="35"/>
  <c r="N88" i="35"/>
  <c r="N162" i="35"/>
  <c r="AN112" i="55" s="1"/>
  <c r="L43" i="34"/>
  <c r="AY52" i="55" s="1"/>
  <c r="L45" i="34"/>
  <c r="AY31" i="55" s="1"/>
  <c r="N154" i="35"/>
  <c r="AN29" i="55" s="1"/>
  <c r="N40" i="35"/>
  <c r="N184" i="35"/>
  <c r="L68" i="34"/>
  <c r="AY34" i="55" s="1"/>
  <c r="L26" i="34"/>
  <c r="AY7" i="55" s="1"/>
  <c r="L62" i="34"/>
  <c r="AY18" i="55" s="1"/>
  <c r="L46" i="34"/>
  <c r="AY70" i="55" s="1"/>
  <c r="L23" i="34"/>
  <c r="AY15" i="55" s="1"/>
  <c r="L48" i="34"/>
  <c r="AY65" i="55" s="1"/>
  <c r="L49" i="34"/>
  <c r="AY72" i="55" s="1"/>
  <c r="K98" i="35"/>
  <c r="L47" i="34"/>
  <c r="AY2" i="55" s="1"/>
  <c r="N188" i="35"/>
  <c r="N185" i="35"/>
  <c r="AN45" i="55" s="1"/>
  <c r="N186" i="35"/>
  <c r="AN128" i="55" s="1"/>
  <c r="N187" i="35"/>
  <c r="L90" i="34"/>
  <c r="AY39" i="55" s="1"/>
  <c r="N182" i="35"/>
  <c r="N181" i="35"/>
  <c r="N61" i="33"/>
  <c r="M16" i="55" s="1"/>
  <c r="N179" i="35"/>
  <c r="AN106" i="55" s="1"/>
  <c r="L87" i="34"/>
  <c r="AY77" i="55" s="1"/>
  <c r="N178" i="35"/>
  <c r="L86" i="34"/>
  <c r="AY5" i="55" s="1"/>
  <c r="N180" i="35"/>
  <c r="L88" i="34"/>
  <c r="AY85" i="55" s="1"/>
  <c r="L78" i="34"/>
  <c r="AY68" i="55" s="1"/>
  <c r="N159" i="35"/>
  <c r="AN104" i="55" s="1"/>
  <c r="L71" i="34"/>
  <c r="AY30" i="55" s="1"/>
  <c r="N157" i="35"/>
  <c r="L72" i="34"/>
  <c r="L67" i="34"/>
  <c r="AY80" i="55" s="1"/>
  <c r="N143" i="35"/>
  <c r="AN111" i="55" s="1"/>
  <c r="N144" i="35"/>
  <c r="AN131" i="55" s="1"/>
  <c r="N141" i="35"/>
  <c r="L65" i="34"/>
  <c r="AY33" i="55" s="1"/>
  <c r="L66" i="34"/>
  <c r="AY64" i="55" s="1"/>
  <c r="N145" i="35"/>
  <c r="AN147" i="55" s="1"/>
  <c r="N84" i="35"/>
  <c r="AN94" i="55" s="1"/>
  <c r="L41" i="34"/>
  <c r="AY27" i="55" s="1"/>
  <c r="N82" i="35"/>
  <c r="AN175" i="55" s="1"/>
  <c r="N81" i="35"/>
  <c r="K82" i="35"/>
  <c r="L82" i="35" s="1"/>
  <c r="N79" i="35"/>
  <c r="AN113" i="55" s="1"/>
  <c r="N80" i="35"/>
  <c r="AN68" i="55" s="1"/>
  <c r="L39" i="34"/>
  <c r="N78" i="35"/>
  <c r="L38" i="34"/>
  <c r="AY20" i="55" s="1"/>
  <c r="L40" i="34"/>
  <c r="AY88" i="55" s="1"/>
  <c r="N83" i="35"/>
  <c r="N74" i="35"/>
  <c r="N71" i="35"/>
  <c r="N72" i="35"/>
  <c r="L36" i="34"/>
  <c r="AY61" i="55" s="1"/>
  <c r="N75" i="35"/>
  <c r="AN114" i="55" s="1"/>
  <c r="N76" i="35"/>
  <c r="AN139" i="55" s="1"/>
  <c r="L35" i="34"/>
  <c r="AY24" i="55" s="1"/>
  <c r="N73" i="35"/>
  <c r="N39" i="35"/>
  <c r="L19" i="34"/>
  <c r="AY55" i="55" s="1"/>
  <c r="N37" i="35"/>
  <c r="L17" i="34"/>
  <c r="AY16" i="55" s="1"/>
  <c r="L18" i="34"/>
  <c r="AY62" i="55" s="1"/>
  <c r="N38" i="35"/>
  <c r="AN149" i="55" s="1"/>
  <c r="N36" i="35"/>
  <c r="L10" i="34"/>
  <c r="AY73" i="55" s="1"/>
  <c r="N19" i="35"/>
  <c r="AN127" i="55" s="1"/>
  <c r="N18" i="35"/>
  <c r="AN186" i="55" s="1"/>
  <c r="N16" i="35"/>
  <c r="L9" i="34"/>
  <c r="AY54" i="55" s="1"/>
  <c r="L8" i="34"/>
  <c r="AY3" i="55" s="1"/>
  <c r="N33" i="33"/>
  <c r="N24" i="33"/>
  <c r="F25" i="47" s="1"/>
  <c r="N25" i="33"/>
  <c r="N67" i="33"/>
  <c r="N22" i="33"/>
  <c r="F23" i="47" s="1"/>
  <c r="K138" i="35"/>
  <c r="L138" i="35" s="1"/>
  <c r="K170" i="35"/>
  <c r="M170" i="35" s="1"/>
  <c r="K19" i="35"/>
  <c r="M19" i="35" s="1"/>
  <c r="K74" i="35"/>
  <c r="L74" i="35" s="1"/>
  <c r="K197" i="35"/>
  <c r="L197" i="35" s="1"/>
  <c r="K81" i="35"/>
  <c r="M81" i="35" s="1"/>
  <c r="K66" i="35"/>
  <c r="M66" i="35" s="1"/>
  <c r="K144" i="35"/>
  <c r="K169" i="35"/>
  <c r="K21" i="35"/>
  <c r="K57" i="35"/>
  <c r="L57" i="35" s="1"/>
  <c r="K61" i="35"/>
  <c r="M61" i="35" s="1"/>
  <c r="K167" i="35"/>
  <c r="M167" i="35" s="1"/>
  <c r="K111" i="35"/>
  <c r="M111" i="35" s="1"/>
  <c r="K198" i="35"/>
  <c r="M198" i="35" s="1"/>
  <c r="K59" i="35"/>
  <c r="L59" i="35" s="1"/>
  <c r="K69" i="35"/>
  <c r="M69" i="35" s="1"/>
  <c r="K185" i="35"/>
  <c r="L185" i="35" s="1"/>
  <c r="K104" i="35"/>
  <c r="K116" i="35"/>
  <c r="K120" i="35"/>
  <c r="K12" i="35"/>
  <c r="L12" i="35" s="1"/>
  <c r="K50" i="35"/>
  <c r="L50" i="35" s="1"/>
  <c r="K94" i="35"/>
  <c r="K53" i="35"/>
  <c r="L53" i="35" s="1"/>
  <c r="K47" i="35"/>
  <c r="L47" i="35" s="1"/>
  <c r="K195" i="35"/>
  <c r="M195" i="35" s="1"/>
  <c r="K95" i="35"/>
  <c r="L95" i="35" s="1"/>
  <c r="K159" i="35"/>
  <c r="L159" i="35" s="1"/>
  <c r="K44" i="35"/>
  <c r="M44" i="35" s="1"/>
  <c r="K13" i="35"/>
  <c r="K192" i="35"/>
  <c r="K133" i="35"/>
  <c r="L133" i="35" s="1"/>
  <c r="K64" i="35"/>
  <c r="K150" i="35"/>
  <c r="K139" i="35"/>
  <c r="K84" i="35"/>
  <c r="K141" i="35"/>
  <c r="K202" i="35"/>
  <c r="M202" i="35" s="1"/>
  <c r="K38" i="35"/>
  <c r="L38" i="35" s="1"/>
  <c r="K36" i="35"/>
  <c r="M36" i="35" s="1"/>
  <c r="K79" i="35"/>
  <c r="L79" i="35" s="1"/>
  <c r="K168" i="35"/>
  <c r="M168" i="35" s="1"/>
  <c r="K88" i="35"/>
  <c r="M50" i="33"/>
  <c r="M31" i="33"/>
  <c r="M10" i="33"/>
  <c r="M56" i="33"/>
  <c r="M16" i="33"/>
  <c r="M33" i="33"/>
  <c r="M52" i="33"/>
  <c r="M59" i="33"/>
  <c r="M8" i="33"/>
  <c r="M29" i="33"/>
  <c r="M63" i="33"/>
  <c r="M6" i="33"/>
  <c r="M43" i="33"/>
  <c r="M67" i="33"/>
  <c r="K89" i="35"/>
  <c r="M89" i="35" s="1"/>
  <c r="K54" i="35"/>
  <c r="K16" i="35"/>
  <c r="M16" i="35" s="1"/>
  <c r="K22" i="35"/>
  <c r="K135" i="35"/>
  <c r="K187" i="35"/>
  <c r="K131" i="35"/>
  <c r="K188" i="35"/>
  <c r="K106" i="35"/>
  <c r="K130" i="35"/>
  <c r="L130" i="35" s="1"/>
  <c r="K162" i="35"/>
  <c r="L162" i="35" s="1"/>
  <c r="K147" i="35"/>
  <c r="M147" i="35" s="1"/>
  <c r="M14" i="33"/>
  <c r="M37" i="33"/>
  <c r="M65" i="33"/>
  <c r="K100" i="35"/>
  <c r="M100" i="35" s="1"/>
  <c r="M20" i="33"/>
  <c r="M41" i="33"/>
  <c r="M39" i="33"/>
  <c r="K10" i="35"/>
  <c r="M10" i="35" s="1"/>
  <c r="K56" i="35"/>
  <c r="K124" i="35"/>
  <c r="K137" i="35"/>
  <c r="K31" i="35"/>
  <c r="K29" i="35"/>
  <c r="L29" i="35" s="1"/>
  <c r="K148" i="35"/>
  <c r="K30" i="35"/>
  <c r="M30" i="35" s="1"/>
  <c r="K33" i="35"/>
  <c r="K142" i="35"/>
  <c r="M142" i="35" s="1"/>
  <c r="K127" i="35"/>
  <c r="K151" i="35"/>
  <c r="K83" i="35"/>
  <c r="K40" i="35"/>
  <c r="K103" i="35"/>
  <c r="K43" i="35"/>
  <c r="M43" i="35" s="1"/>
  <c r="K122" i="35"/>
  <c r="L122" i="35" s="1"/>
  <c r="K155" i="35"/>
  <c r="L155" i="35" s="1"/>
  <c r="K23" i="35"/>
  <c r="K173" i="35"/>
  <c r="K181" i="35"/>
  <c r="K75" i="35"/>
  <c r="K164" i="35"/>
  <c r="K86" i="35"/>
  <c r="L86" i="35" s="1"/>
  <c r="M61" i="33"/>
  <c r="M54" i="33"/>
  <c r="M45" i="33"/>
  <c r="M47" i="33"/>
  <c r="M12" i="33"/>
  <c r="K91" i="35"/>
  <c r="L91" i="35" s="1"/>
  <c r="K174" i="35"/>
  <c r="K165" i="35"/>
  <c r="K15" i="35"/>
  <c r="K179" i="35"/>
  <c r="K37" i="35"/>
  <c r="K132" i="35"/>
  <c r="M132" i="35" s="1"/>
  <c r="K92" i="35"/>
  <c r="L92" i="35" s="1"/>
  <c r="K158" i="35"/>
  <c r="K26" i="35"/>
  <c r="K76" i="35"/>
  <c r="K186" i="35"/>
  <c r="K143" i="35"/>
  <c r="K163" i="35"/>
  <c r="K87" i="35"/>
  <c r="M87" i="35" s="1"/>
  <c r="K93" i="35"/>
  <c r="K48" i="35"/>
  <c r="M48" i="35" s="1"/>
  <c r="K96" i="35"/>
  <c r="K180" i="35"/>
  <c r="K17" i="35"/>
  <c r="K99" i="35"/>
  <c r="K24" i="35"/>
  <c r="K51" i="35"/>
  <c r="K101" i="35"/>
  <c r="K68" i="35"/>
  <c r="K28" i="35"/>
  <c r="K60" i="35"/>
  <c r="M60" i="35" s="1"/>
  <c r="M18" i="33"/>
  <c r="M24" i="33"/>
  <c r="K154" i="35"/>
  <c r="M154" i="35" s="1"/>
  <c r="K49" i="35"/>
  <c r="K176" i="35"/>
  <c r="K71" i="35"/>
  <c r="K9" i="35"/>
  <c r="K129" i="35"/>
  <c r="L129" i="35" s="1"/>
  <c r="M26" i="33"/>
  <c r="M4" i="33"/>
  <c r="M35" i="33"/>
  <c r="M27" i="33"/>
  <c r="K145" i="35"/>
  <c r="K105" i="35"/>
  <c r="L105" i="35" s="1"/>
  <c r="K108" i="35"/>
  <c r="L108" i="35" s="1"/>
  <c r="K42" i="35"/>
  <c r="L42" i="35" s="1"/>
  <c r="K175" i="35"/>
  <c r="K119" i="35"/>
  <c r="L119" i="35" s="1"/>
  <c r="K55" i="35"/>
  <c r="K123" i="35"/>
  <c r="K182" i="35"/>
  <c r="K117" i="35"/>
  <c r="K118" i="35"/>
  <c r="K178" i="35"/>
  <c r="L178" i="35" s="1"/>
  <c r="K194" i="35"/>
  <c r="K107" i="35"/>
  <c r="I85" i="34"/>
  <c r="J85" i="34" s="1"/>
  <c r="I93" i="34"/>
  <c r="K93" i="34" s="1"/>
  <c r="I63" i="34"/>
  <c r="J63" i="34" s="1"/>
  <c r="M126" i="35"/>
  <c r="I61" i="34"/>
  <c r="K61" i="34" s="1"/>
  <c r="I40" i="34"/>
  <c r="K40" i="34" s="1"/>
  <c r="I38" i="34"/>
  <c r="J38" i="34" s="1"/>
  <c r="I96" i="34"/>
  <c r="K96" i="34" s="1"/>
  <c r="I29" i="34"/>
  <c r="K29" i="34" s="1"/>
  <c r="I73" i="34"/>
  <c r="K73" i="34" s="1"/>
  <c r="I23" i="34"/>
  <c r="J23" i="34" s="1"/>
  <c r="I32" i="34"/>
  <c r="J32" i="34" s="1"/>
  <c r="I54" i="34"/>
  <c r="J54" i="34" s="1"/>
  <c r="I95" i="34"/>
  <c r="J95" i="34" s="1"/>
  <c r="I49" i="34"/>
  <c r="J49" i="34" s="1"/>
  <c r="I82" i="34"/>
  <c r="K82" i="34" s="1"/>
  <c r="I89" i="34"/>
  <c r="J89" i="34" s="1"/>
  <c r="I14" i="34"/>
  <c r="K14" i="34" s="1"/>
  <c r="I91" i="34"/>
  <c r="K91" i="34" s="1"/>
  <c r="J40" i="22"/>
  <c r="J41" i="22" s="1"/>
  <c r="J40" i="17"/>
  <c r="J41" i="17" s="1"/>
  <c r="J40" i="5"/>
  <c r="J41" i="5" s="1"/>
  <c r="J40" i="13"/>
  <c r="J41" i="13" s="1"/>
  <c r="I39" i="34"/>
  <c r="K39" i="34" s="1"/>
  <c r="J40" i="27"/>
  <c r="J41" i="27" s="1"/>
  <c r="J40" i="2"/>
  <c r="J41" i="2" s="1"/>
  <c r="J40" i="28"/>
  <c r="J41" i="28" s="1"/>
  <c r="J40" i="10"/>
  <c r="J41" i="10" s="1"/>
  <c r="J40" i="18"/>
  <c r="J41" i="18" s="1"/>
  <c r="J40" i="11"/>
  <c r="J41" i="11" s="1"/>
  <c r="I40" i="16"/>
  <c r="I41" i="16" s="1"/>
  <c r="J40" i="25"/>
  <c r="J41" i="25" s="1"/>
  <c r="J40" i="4"/>
  <c r="J41" i="4" s="1"/>
  <c r="I69" i="34"/>
  <c r="J69" i="34" s="1"/>
  <c r="J40" i="30"/>
  <c r="J41" i="30" s="1"/>
  <c r="J40" i="3"/>
  <c r="J41" i="3" s="1"/>
  <c r="J40" i="15"/>
  <c r="J41" i="15" s="1"/>
  <c r="J40" i="6"/>
  <c r="J41" i="6" s="1"/>
  <c r="J40" i="9"/>
  <c r="J41" i="9" s="1"/>
  <c r="J40" i="1"/>
  <c r="J41" i="1" s="1"/>
  <c r="J40" i="24"/>
  <c r="J41" i="24" s="1"/>
  <c r="J40" i="26"/>
  <c r="J41" i="26" s="1"/>
  <c r="I40" i="24"/>
  <c r="I41" i="24" s="1"/>
  <c r="J40" i="19"/>
  <c r="J41" i="19" s="1"/>
  <c r="J40" i="20"/>
  <c r="J41" i="20" s="1"/>
  <c r="J40" i="7"/>
  <c r="J41" i="7" s="1"/>
  <c r="J40" i="14"/>
  <c r="J41" i="14" s="1"/>
  <c r="I37" i="34"/>
  <c r="J37" i="34" s="1"/>
  <c r="J40" i="12"/>
  <c r="J41" i="12" s="1"/>
  <c r="J40" i="16"/>
  <c r="J41" i="16" s="1"/>
  <c r="J40" i="23"/>
  <c r="J41" i="23" s="1"/>
  <c r="J40" i="29"/>
  <c r="J41" i="29" s="1"/>
  <c r="J40" i="31"/>
  <c r="J41" i="31" s="1"/>
  <c r="I7" i="34"/>
  <c r="J7" i="34" s="1"/>
  <c r="J40" i="8"/>
  <c r="J41" i="8" s="1"/>
  <c r="J40" i="21"/>
  <c r="J41" i="21" s="1"/>
  <c r="I40" i="11"/>
  <c r="I41" i="11" s="1"/>
  <c r="I40" i="2"/>
  <c r="I41" i="2" s="1"/>
  <c r="I40" i="30"/>
  <c r="I41" i="30" s="1"/>
  <c r="I40" i="8"/>
  <c r="I41" i="8" s="1"/>
  <c r="I40" i="21"/>
  <c r="I41" i="21" s="1"/>
  <c r="I40" i="10"/>
  <c r="I41" i="10" s="1"/>
  <c r="I40" i="25"/>
  <c r="I41" i="25" s="1"/>
  <c r="I40" i="9"/>
  <c r="I41" i="9" s="1"/>
  <c r="I40" i="31"/>
  <c r="I41" i="31" s="1"/>
  <c r="I40" i="3"/>
  <c r="I41" i="3" s="1"/>
  <c r="I40" i="17"/>
  <c r="I41" i="17" s="1"/>
  <c r="I40" i="7"/>
  <c r="I41" i="7" s="1"/>
  <c r="I40" i="18"/>
  <c r="I41" i="18" s="1"/>
  <c r="I40" i="26"/>
  <c r="I41" i="26" s="1"/>
  <c r="I40" i="1"/>
  <c r="I41" i="1" s="1"/>
  <c r="I40" i="19"/>
  <c r="I41" i="19" s="1"/>
  <c r="I40" i="20"/>
  <c r="I41" i="20" s="1"/>
  <c r="I40" i="28"/>
  <c r="I41" i="28" s="1"/>
  <c r="I40" i="14"/>
  <c r="I41" i="14" s="1"/>
  <c r="I40" i="4"/>
  <c r="I41" i="4" s="1"/>
  <c r="I40" i="15"/>
  <c r="I41" i="15" s="1"/>
  <c r="I40" i="29"/>
  <c r="I41" i="29" s="1"/>
  <c r="I40" i="12"/>
  <c r="I41" i="12" s="1"/>
  <c r="I40" i="22"/>
  <c r="I41" i="22" s="1"/>
  <c r="I40" i="27"/>
  <c r="I41" i="27" s="1"/>
  <c r="I40" i="5"/>
  <c r="I41" i="5" s="1"/>
  <c r="I40" i="13"/>
  <c r="I41" i="13" s="1"/>
  <c r="I40" i="6"/>
  <c r="I41" i="6" s="1"/>
  <c r="I40" i="23"/>
  <c r="I41" i="23" s="1"/>
  <c r="M190" i="35"/>
  <c r="I97" i="34"/>
  <c r="J97" i="34" s="1"/>
  <c r="I94" i="34"/>
  <c r="J94" i="34" s="1"/>
  <c r="I53" i="34"/>
  <c r="K53" i="34" s="1"/>
  <c r="I41" i="34"/>
  <c r="K41" i="34" s="1"/>
  <c r="I62" i="34"/>
  <c r="J62" i="34" s="1"/>
  <c r="I90" i="34"/>
  <c r="J90" i="34" s="1"/>
  <c r="I80" i="34"/>
  <c r="J80" i="34" s="1"/>
  <c r="I45" i="34"/>
  <c r="J45" i="34" s="1"/>
  <c r="I33" i="34"/>
  <c r="J33" i="34" s="1"/>
  <c r="I68" i="34"/>
  <c r="J68" i="34" s="1"/>
  <c r="I5" i="34"/>
  <c r="K5" i="34" s="1"/>
  <c r="I18" i="34"/>
  <c r="J18" i="34" s="1"/>
  <c r="I55" i="34"/>
  <c r="K55" i="34" s="1"/>
  <c r="I24" i="34"/>
  <c r="J24" i="34" s="1"/>
  <c r="I8" i="34"/>
  <c r="J8" i="34" s="1"/>
  <c r="I44" i="34"/>
  <c r="J44" i="34" s="1"/>
  <c r="I72" i="34"/>
  <c r="K72" i="34" s="1"/>
  <c r="I64" i="34"/>
  <c r="J64" i="34" s="1"/>
  <c r="I71" i="34"/>
  <c r="K71" i="34" s="1"/>
  <c r="I36" i="34"/>
  <c r="J36" i="34" s="1"/>
  <c r="I81" i="34"/>
  <c r="K81" i="34" s="1"/>
  <c r="I86" i="34"/>
  <c r="K86" i="34" s="1"/>
  <c r="I84" i="34"/>
  <c r="K84" i="34" s="1"/>
  <c r="I77" i="34"/>
  <c r="J77" i="34" s="1"/>
  <c r="I52" i="34"/>
  <c r="K52" i="34" s="1"/>
  <c r="I59" i="34"/>
  <c r="K59" i="34" s="1"/>
  <c r="I30" i="34"/>
  <c r="K30" i="34" s="1"/>
  <c r="J41" i="35"/>
  <c r="AM3" i="55" s="1"/>
  <c r="I189" i="35"/>
  <c r="J20" i="35"/>
  <c r="AM6" i="55" s="1"/>
  <c r="I20" i="34"/>
  <c r="J14" i="35"/>
  <c r="AM24" i="55" s="1"/>
  <c r="I10" i="34"/>
  <c r="I35" i="34"/>
  <c r="I177" i="35"/>
  <c r="AL8" i="55" s="1"/>
  <c r="I78" i="34"/>
  <c r="I22" i="34"/>
  <c r="I70" i="34"/>
  <c r="J189" i="35"/>
  <c r="AM44" i="55" s="1"/>
  <c r="J177" i="35"/>
  <c r="AM8" i="55" s="1"/>
  <c r="I20" i="35"/>
  <c r="AL6" i="55" s="1"/>
  <c r="I121" i="35"/>
  <c r="AL10" i="55" s="1"/>
  <c r="J46" i="35"/>
  <c r="AM16" i="55" s="1"/>
  <c r="I90" i="35"/>
  <c r="I11" i="34"/>
  <c r="I74" i="34"/>
  <c r="J121" i="35"/>
  <c r="AM10" i="55" s="1"/>
  <c r="L184" i="35"/>
  <c r="M184" i="35"/>
  <c r="I65" i="34"/>
  <c r="I16" i="34"/>
  <c r="I42" i="34"/>
  <c r="J196" i="35"/>
  <c r="I92" i="34"/>
  <c r="J90" i="35"/>
  <c r="J27" i="35"/>
  <c r="AM17" i="55" s="1"/>
  <c r="I87" i="34"/>
  <c r="J115" i="35"/>
  <c r="J97" i="35"/>
  <c r="AM25" i="55" s="1"/>
  <c r="J160" i="35"/>
  <c r="I79" i="34"/>
  <c r="I57" i="34"/>
  <c r="M114" i="35"/>
  <c r="L114" i="35"/>
  <c r="J128" i="35"/>
  <c r="AM4" i="55" s="1"/>
  <c r="I6" i="34"/>
  <c r="J34" i="35"/>
  <c r="AM31" i="55" s="1"/>
  <c r="I183" i="35"/>
  <c r="AL9" i="55" s="1"/>
  <c r="I26" i="34"/>
  <c r="J58" i="35"/>
  <c r="AM27" i="55" s="1"/>
  <c r="I46" i="34"/>
  <c r="J172" i="35"/>
  <c r="J166" i="35"/>
  <c r="AM12" i="55" s="1"/>
  <c r="I140" i="35"/>
  <c r="AL46" i="55" s="1"/>
  <c r="I41" i="35"/>
  <c r="AL3" i="55" s="1"/>
  <c r="I34" i="34"/>
  <c r="I48" i="34"/>
  <c r="I66" i="34"/>
  <c r="I88" i="34"/>
  <c r="J146" i="35"/>
  <c r="AM56" i="55" s="1"/>
  <c r="I102" i="35"/>
  <c r="AL13" i="55" s="1"/>
  <c r="J134" i="35"/>
  <c r="AM71" i="55" s="1"/>
  <c r="I19" i="34"/>
  <c r="I65" i="35"/>
  <c r="AL70" i="55" s="1"/>
  <c r="I76" i="34"/>
  <c r="I14" i="35"/>
  <c r="AL24" i="55" s="1"/>
  <c r="J8" i="35"/>
  <c r="J70" i="35"/>
  <c r="I21" i="34"/>
  <c r="I166" i="35"/>
  <c r="AL12" i="55" s="1"/>
  <c r="J52" i="35"/>
  <c r="AM7" i="55" s="1"/>
  <c r="I51" i="34"/>
  <c r="I9" i="34"/>
  <c r="J183" i="35"/>
  <c r="AM9" i="55" s="1"/>
  <c r="I50" i="34"/>
  <c r="I85" i="35"/>
  <c r="AL15" i="55" s="1"/>
  <c r="I28" i="34"/>
  <c r="I25" i="34"/>
  <c r="I43" i="34"/>
  <c r="I153" i="35"/>
  <c r="AL41" i="55" s="1"/>
  <c r="J110" i="35"/>
  <c r="AM2" i="55" s="1"/>
  <c r="I17" i="34"/>
  <c r="I58" i="35"/>
  <c r="AL27" i="55" s="1"/>
  <c r="I46" i="35"/>
  <c r="AL16" i="55" s="1"/>
  <c r="M25" i="35"/>
  <c r="L25" i="35"/>
  <c r="J140" i="35"/>
  <c r="AM46" i="55" s="1"/>
  <c r="I52" i="35"/>
  <c r="AL7" i="55" s="1"/>
  <c r="I58" i="34"/>
  <c r="I83" i="34"/>
  <c r="I15" i="34"/>
  <c r="I27" i="35"/>
  <c r="N27" i="35" s="1"/>
  <c r="I27" i="34"/>
  <c r="I60" i="34"/>
  <c r="I97" i="35"/>
  <c r="I77" i="35"/>
  <c r="I13" i="34"/>
  <c r="J65" i="35"/>
  <c r="AM70" i="55" s="1"/>
  <c r="I128" i="35"/>
  <c r="AL4" i="55" s="1"/>
  <c r="I31" i="34"/>
  <c r="I34" i="35"/>
  <c r="AL31" i="55" s="1"/>
  <c r="J102" i="35"/>
  <c r="AM13" i="55" s="1"/>
  <c r="I12" i="34"/>
  <c r="I56" i="34"/>
  <c r="I67" i="34"/>
  <c r="J85" i="35"/>
  <c r="AM15" i="55" s="1"/>
  <c r="I75" i="34"/>
  <c r="I47" i="34"/>
  <c r="I110" i="35"/>
  <c r="AL2" i="55" s="1"/>
  <c r="I70" i="35"/>
  <c r="J153" i="35"/>
  <c r="AM41" i="55" s="1"/>
  <c r="AY22" i="55" l="1"/>
  <c r="AN108" i="55"/>
  <c r="AN125" i="55"/>
  <c r="AN135" i="55"/>
  <c r="AN66" i="55"/>
  <c r="AN136" i="55"/>
  <c r="AN158" i="55"/>
  <c r="AN179" i="55"/>
  <c r="AA53" i="55"/>
  <c r="AA62" i="55"/>
  <c r="AA84" i="55"/>
  <c r="AA70" i="55"/>
  <c r="AA18" i="55"/>
  <c r="AY29" i="55"/>
  <c r="AL30" i="55"/>
  <c r="AL44" i="55"/>
  <c r="AN145" i="55"/>
  <c r="AA69" i="55"/>
  <c r="AA92" i="55"/>
  <c r="AN110" i="55"/>
  <c r="K172" i="35"/>
  <c r="AM20" i="55"/>
  <c r="AA36" i="55"/>
  <c r="AN180" i="55"/>
  <c r="AN181" i="55"/>
  <c r="AN118" i="55"/>
  <c r="AN137" i="55"/>
  <c r="AA106" i="55"/>
  <c r="AA25" i="55"/>
  <c r="AN133" i="55"/>
  <c r="AN140" i="55"/>
  <c r="AN48" i="55"/>
  <c r="AA121" i="55"/>
  <c r="AA122" i="55"/>
  <c r="AA108" i="55"/>
  <c r="AN184" i="55"/>
  <c r="AN185" i="55"/>
  <c r="AA51" i="55"/>
  <c r="AY51" i="55"/>
  <c r="AY44" i="55"/>
  <c r="AN55" i="55"/>
  <c r="AN52" i="55"/>
  <c r="AA66" i="55"/>
  <c r="AN122" i="55"/>
  <c r="AN121" i="55"/>
  <c r="AN124" i="55"/>
  <c r="AN65" i="55"/>
  <c r="AN64" i="55"/>
  <c r="AA80" i="55"/>
  <c r="AA85" i="55"/>
  <c r="AA114" i="55"/>
  <c r="AN47" i="55"/>
  <c r="F44" i="47"/>
  <c r="M18" i="55"/>
  <c r="AA50" i="55"/>
  <c r="AA112" i="55"/>
  <c r="AA90" i="55"/>
  <c r="AN172" i="55"/>
  <c r="AY58" i="55"/>
  <c r="AA73" i="55"/>
  <c r="AN144" i="55"/>
  <c r="AA58" i="55"/>
  <c r="AN134" i="55"/>
  <c r="AN132" i="55"/>
  <c r="AN174" i="55"/>
  <c r="AN78" i="55"/>
  <c r="AN76" i="55"/>
  <c r="AA91" i="55"/>
  <c r="AL14" i="55"/>
  <c r="AY26" i="55"/>
  <c r="AY21" i="55"/>
  <c r="AY37" i="55"/>
  <c r="AY40" i="55"/>
  <c r="AA119" i="55"/>
  <c r="AA45" i="55"/>
  <c r="AA48" i="55"/>
  <c r="AA64" i="55"/>
  <c r="AN109" i="55"/>
  <c r="AN162" i="55"/>
  <c r="AN141" i="55"/>
  <c r="AA71" i="55"/>
  <c r="AY46" i="55"/>
  <c r="AY47" i="55"/>
  <c r="F34" i="47"/>
  <c r="M6" i="55"/>
  <c r="AA103" i="55"/>
  <c r="AA42" i="55"/>
  <c r="AN57" i="55"/>
  <c r="K97" i="35"/>
  <c r="AL25" i="55"/>
  <c r="AN165" i="55"/>
  <c r="AN167" i="55"/>
  <c r="AN60" i="55"/>
  <c r="AN58" i="55"/>
  <c r="AN91" i="55"/>
  <c r="AY69" i="55"/>
  <c r="AM43" i="55"/>
  <c r="AM42" i="55"/>
  <c r="AA95" i="55"/>
  <c r="AA94" i="55"/>
  <c r="AA47" i="55"/>
  <c r="AL43" i="55"/>
  <c r="AL42" i="55"/>
  <c r="AN170" i="55"/>
  <c r="AN161" i="55"/>
  <c r="AA41" i="55"/>
  <c r="AN84" i="55"/>
  <c r="AA96" i="55"/>
  <c r="F27" i="47"/>
  <c r="M44" i="55"/>
  <c r="AY48" i="55"/>
  <c r="N77" i="35"/>
  <c r="AN21" i="55" s="1"/>
  <c r="AL21" i="55"/>
  <c r="AN88" i="55"/>
  <c r="AN86" i="55"/>
  <c r="AL77" i="55"/>
  <c r="AL80" i="55"/>
  <c r="AN50" i="55"/>
  <c r="AY28" i="55"/>
  <c r="F26" i="47"/>
  <c r="M59" i="55"/>
  <c r="AM77" i="55"/>
  <c r="AM80" i="55"/>
  <c r="AN138" i="55"/>
  <c r="AN40" i="55"/>
  <c r="AN33" i="55"/>
  <c r="AN32" i="55"/>
  <c r="AA111" i="55"/>
  <c r="AM75" i="55"/>
  <c r="AN171" i="55"/>
  <c r="AN173" i="55"/>
  <c r="AA100" i="55"/>
  <c r="AL75" i="55"/>
  <c r="AN115" i="55"/>
  <c r="AA93" i="55"/>
  <c r="AN130" i="55"/>
  <c r="AA107" i="55"/>
  <c r="AA87" i="55"/>
  <c r="AA78" i="55"/>
  <c r="AN155" i="55"/>
  <c r="AN157" i="55"/>
  <c r="AY60" i="55"/>
  <c r="AN159" i="55"/>
  <c r="AN160" i="55"/>
  <c r="AM30" i="55"/>
  <c r="AA86" i="55"/>
  <c r="AA98" i="55"/>
  <c r="AN96" i="55"/>
  <c r="AN93" i="55"/>
  <c r="AN163" i="55"/>
  <c r="AA54" i="55"/>
  <c r="AA46" i="55"/>
  <c r="AA24" i="55"/>
  <c r="AL17" i="55"/>
  <c r="AN17" i="55"/>
  <c r="AA76" i="55"/>
  <c r="AN143" i="55"/>
  <c r="AN85" i="55"/>
  <c r="AN102" i="55"/>
  <c r="AN182" i="55"/>
  <c r="AN79" i="55"/>
  <c r="AN129" i="55"/>
  <c r="AN116" i="55"/>
  <c r="K8" i="35"/>
  <c r="AM22" i="55"/>
  <c r="AY95" i="55"/>
  <c r="AY98" i="55"/>
  <c r="AY100" i="55"/>
  <c r="AY99" i="55"/>
  <c r="AY94" i="55"/>
  <c r="AY97" i="55"/>
  <c r="AY101" i="55"/>
  <c r="AY93" i="55"/>
  <c r="AY96" i="55"/>
  <c r="F68" i="47"/>
  <c r="M24" i="55"/>
  <c r="K196" i="35"/>
  <c r="AM26" i="55"/>
  <c r="F60" i="47"/>
  <c r="M30" i="55"/>
  <c r="F57" i="47"/>
  <c r="M31" i="55"/>
  <c r="N160" i="35"/>
  <c r="AM14" i="55"/>
  <c r="F53" i="47"/>
  <c r="M22" i="55"/>
  <c r="N146" i="35"/>
  <c r="AN54" i="55" s="1"/>
  <c r="AM54" i="55"/>
  <c r="F48" i="47"/>
  <c r="M25" i="55"/>
  <c r="N134" i="35"/>
  <c r="AN72" i="55" s="1"/>
  <c r="AM72" i="55"/>
  <c r="F42" i="47"/>
  <c r="M19" i="55"/>
  <c r="F38" i="47"/>
  <c r="M11" i="55"/>
  <c r="K115" i="35"/>
  <c r="L115" i="35" s="1"/>
  <c r="AM5" i="55"/>
  <c r="F40" i="47"/>
  <c r="M15" i="55"/>
  <c r="F32" i="47"/>
  <c r="M14" i="55"/>
  <c r="F17" i="47"/>
  <c r="M27" i="55"/>
  <c r="F46" i="47"/>
  <c r="M28" i="55"/>
  <c r="F13" i="47"/>
  <c r="M17" i="55"/>
  <c r="M111" i="36"/>
  <c r="M98" i="36"/>
  <c r="F39" i="47"/>
  <c r="M124" i="36"/>
  <c r="M24" i="36"/>
  <c r="M44" i="36"/>
  <c r="M137" i="36"/>
  <c r="M83" i="36"/>
  <c r="M64" i="36"/>
  <c r="T13" i="47"/>
  <c r="F56" i="47"/>
  <c r="F67" i="47"/>
  <c r="N151" i="36"/>
  <c r="F55" i="47"/>
  <c r="N20" i="35"/>
  <c r="AN6" i="55" s="1"/>
  <c r="N110" i="35"/>
  <c r="AN2" i="55" s="1"/>
  <c r="M144" i="36"/>
  <c r="N69" i="36"/>
  <c r="M107" i="36"/>
  <c r="M21" i="36"/>
  <c r="AP61" i="47"/>
  <c r="T11" i="47"/>
  <c r="F64" i="47"/>
  <c r="F61" i="47"/>
  <c r="F41" i="47"/>
  <c r="F43" i="47"/>
  <c r="F47" i="47"/>
  <c r="F62" i="47"/>
  <c r="F59" i="47"/>
  <c r="F33" i="47"/>
  <c r="F65" i="47"/>
  <c r="T12" i="47"/>
  <c r="F54" i="47"/>
  <c r="F63" i="47"/>
  <c r="F30" i="47"/>
  <c r="F29" i="47"/>
  <c r="T10" i="47"/>
  <c r="AP30" i="47"/>
  <c r="F52" i="47"/>
  <c r="F45" i="47"/>
  <c r="F31" i="47"/>
  <c r="F51" i="47"/>
  <c r="F50" i="47"/>
  <c r="F37" i="47"/>
  <c r="N134" i="36"/>
  <c r="N161" i="36"/>
  <c r="A20" i="35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S80" i="47" s="1"/>
  <c r="N11" i="36"/>
  <c r="AA61" i="47"/>
  <c r="N47" i="36"/>
  <c r="AP62" i="47"/>
  <c r="AA92" i="47"/>
  <c r="M84" i="36"/>
  <c r="M81" i="36"/>
  <c r="N52" i="35"/>
  <c r="M19" i="36"/>
  <c r="N53" i="36"/>
  <c r="M25" i="36"/>
  <c r="M140" i="36"/>
  <c r="AA62" i="47"/>
  <c r="M29" i="36"/>
  <c r="N49" i="36"/>
  <c r="AA30" i="47"/>
  <c r="M41" i="36"/>
  <c r="M150" i="36"/>
  <c r="M141" i="36"/>
  <c r="N126" i="36"/>
  <c r="N121" i="35"/>
  <c r="AN10" i="55" s="1"/>
  <c r="M72" i="36"/>
  <c r="N62" i="36"/>
  <c r="M42" i="36"/>
  <c r="N13" i="36"/>
  <c r="M68" i="36"/>
  <c r="M71" i="36"/>
  <c r="N152" i="36"/>
  <c r="M136" i="36"/>
  <c r="M133" i="36"/>
  <c r="M123" i="36"/>
  <c r="M122" i="36"/>
  <c r="M117" i="36"/>
  <c r="M110" i="36"/>
  <c r="M106" i="36"/>
  <c r="N96" i="36"/>
  <c r="M74" i="36"/>
  <c r="N63" i="36"/>
  <c r="M33" i="36"/>
  <c r="M27" i="36"/>
  <c r="M48" i="36"/>
  <c r="M50" i="36"/>
  <c r="N46" i="35"/>
  <c r="AN16" i="55" s="1"/>
  <c r="M31" i="36"/>
  <c r="N189" i="35"/>
  <c r="AP92" i="47"/>
  <c r="M157" i="36"/>
  <c r="M51" i="36"/>
  <c r="AA82" i="47"/>
  <c r="AP82" i="47"/>
  <c r="AA32" i="47"/>
  <c r="AP32" i="47"/>
  <c r="AA45" i="47"/>
  <c r="AP45" i="47"/>
  <c r="AA79" i="47"/>
  <c r="AP79" i="47"/>
  <c r="AA58" i="47"/>
  <c r="AP58" i="47"/>
  <c r="AA93" i="47"/>
  <c r="AP93" i="47"/>
  <c r="AA77" i="47"/>
  <c r="AP77" i="47"/>
  <c r="AA29" i="47"/>
  <c r="AP29" i="47"/>
  <c r="AA11" i="47"/>
  <c r="AP11" i="47"/>
  <c r="AA89" i="47"/>
  <c r="AP89" i="47"/>
  <c r="AA50" i="47"/>
  <c r="AP50" i="47"/>
  <c r="AA16" i="47"/>
  <c r="AP16" i="47"/>
  <c r="AA57" i="47"/>
  <c r="AP57" i="47"/>
  <c r="AA95" i="47"/>
  <c r="AP95" i="47"/>
  <c r="AA8" i="47"/>
  <c r="AP8" i="47"/>
  <c r="AA28" i="47"/>
  <c r="AP28" i="47"/>
  <c r="AA14" i="47"/>
  <c r="AP14" i="47"/>
  <c r="AA12" i="47"/>
  <c r="AP12" i="47"/>
  <c r="N102" i="35"/>
  <c r="AN13" i="55" s="1"/>
  <c r="AA36" i="47"/>
  <c r="AP36" i="47"/>
  <c r="AA41" i="47"/>
  <c r="AP41" i="47"/>
  <c r="AA91" i="47"/>
  <c r="AP91" i="47"/>
  <c r="AA49" i="47"/>
  <c r="AP49" i="47"/>
  <c r="AA17" i="47"/>
  <c r="AP17" i="47"/>
  <c r="AA75" i="47"/>
  <c r="AP75" i="47"/>
  <c r="AA23" i="47"/>
  <c r="AP23" i="47"/>
  <c r="AA59" i="47"/>
  <c r="AP59" i="47"/>
  <c r="AA85" i="47"/>
  <c r="AP85" i="47"/>
  <c r="AA43" i="47"/>
  <c r="AP43" i="47"/>
  <c r="AA53" i="47"/>
  <c r="AP53" i="47"/>
  <c r="AA74" i="47"/>
  <c r="AP74" i="47"/>
  <c r="AA38" i="47"/>
  <c r="AP38" i="47"/>
  <c r="AA20" i="47"/>
  <c r="AP20" i="47"/>
  <c r="AA69" i="47"/>
  <c r="AP69" i="47"/>
  <c r="AA83" i="47"/>
  <c r="AP83" i="47"/>
  <c r="AA68" i="47"/>
  <c r="AP68" i="47"/>
  <c r="AA87" i="47"/>
  <c r="AP87" i="47"/>
  <c r="AA24" i="47"/>
  <c r="AP24" i="47"/>
  <c r="AA76" i="47"/>
  <c r="AP76" i="47"/>
  <c r="AA64" i="47"/>
  <c r="AP64" i="47"/>
  <c r="AA78" i="47"/>
  <c r="AP78" i="47"/>
  <c r="AA65" i="47"/>
  <c r="AP65" i="47"/>
  <c r="AA96" i="47"/>
  <c r="AP96" i="47"/>
  <c r="AA84" i="47"/>
  <c r="AP84" i="47"/>
  <c r="N56" i="36"/>
  <c r="AA35" i="47"/>
  <c r="AP35" i="47"/>
  <c r="AA31" i="47"/>
  <c r="AP31" i="47"/>
  <c r="AA15" i="47"/>
  <c r="AP15" i="47"/>
  <c r="AA56" i="47"/>
  <c r="AP56" i="47"/>
  <c r="AA39" i="47"/>
  <c r="AP39" i="47"/>
  <c r="AA9" i="47"/>
  <c r="AP9" i="47"/>
  <c r="AA19" i="47"/>
  <c r="AP19" i="47"/>
  <c r="AA73" i="47"/>
  <c r="AP73" i="47"/>
  <c r="AA47" i="47"/>
  <c r="AP47" i="47"/>
  <c r="AA44" i="47"/>
  <c r="AP44" i="47"/>
  <c r="AA34" i="47"/>
  <c r="AP34" i="47"/>
  <c r="AA90" i="47"/>
  <c r="AP90" i="47"/>
  <c r="AA71" i="47"/>
  <c r="AP71" i="47"/>
  <c r="AA98" i="47"/>
  <c r="AP98" i="47"/>
  <c r="AA33" i="47"/>
  <c r="AP33" i="47"/>
  <c r="AA80" i="47"/>
  <c r="AP80" i="47"/>
  <c r="AA70" i="47"/>
  <c r="AP70" i="47"/>
  <c r="AA13" i="47"/>
  <c r="AP13" i="47"/>
  <c r="AA55" i="47"/>
  <c r="AP55" i="47"/>
  <c r="AA97" i="47"/>
  <c r="AP97" i="47"/>
  <c r="AA54" i="47"/>
  <c r="AP54" i="47"/>
  <c r="AA66" i="47"/>
  <c r="AP66" i="47"/>
  <c r="AA7" i="47"/>
  <c r="AP7" i="47"/>
  <c r="AA42" i="47"/>
  <c r="AP42" i="47"/>
  <c r="AA46" i="47"/>
  <c r="AP46" i="47"/>
  <c r="AA10" i="47"/>
  <c r="AP10" i="47"/>
  <c r="AA18" i="47"/>
  <c r="AP18" i="47"/>
  <c r="AA37" i="47"/>
  <c r="AP37" i="47"/>
  <c r="AA40" i="47"/>
  <c r="AP40" i="47"/>
  <c r="AA88" i="47"/>
  <c r="AP88" i="47"/>
  <c r="AA63" i="47"/>
  <c r="AP63" i="47"/>
  <c r="AA86" i="47"/>
  <c r="AP86" i="47"/>
  <c r="AA51" i="47"/>
  <c r="AP51" i="47"/>
  <c r="AA21" i="47"/>
  <c r="AP21" i="47"/>
  <c r="AA48" i="47"/>
  <c r="AP48" i="47"/>
  <c r="AA67" i="47"/>
  <c r="AP67" i="47"/>
  <c r="AA72" i="47"/>
  <c r="AP72" i="47"/>
  <c r="AA27" i="47"/>
  <c r="AP27" i="47"/>
  <c r="AA94" i="47"/>
  <c r="AP94" i="47"/>
  <c r="AA52" i="47"/>
  <c r="AP52" i="47"/>
  <c r="AA81" i="47"/>
  <c r="AP81" i="47"/>
  <c r="AA60" i="47"/>
  <c r="AP60" i="47"/>
  <c r="AA25" i="47"/>
  <c r="AP25" i="47"/>
  <c r="N143" i="36"/>
  <c r="AA6" i="47"/>
  <c r="AP6" i="47"/>
  <c r="AA22" i="47"/>
  <c r="AP22" i="47"/>
  <c r="AA26" i="47"/>
  <c r="AP26" i="47"/>
  <c r="M138" i="36"/>
  <c r="N101" i="36"/>
  <c r="M97" i="36"/>
  <c r="N100" i="36"/>
  <c r="K128" i="35"/>
  <c r="L128" i="35" s="1"/>
  <c r="M139" i="36"/>
  <c r="M82" i="36"/>
  <c r="N82" i="36"/>
  <c r="N155" i="36"/>
  <c r="M155" i="36"/>
  <c r="M125" i="36"/>
  <c r="N125" i="36"/>
  <c r="N114" i="36"/>
  <c r="M114" i="36"/>
  <c r="N130" i="36"/>
  <c r="M130" i="36"/>
  <c r="N9" i="36"/>
  <c r="M9" i="36"/>
  <c r="N132" i="36"/>
  <c r="M132" i="36"/>
  <c r="M131" i="36"/>
  <c r="N131" i="36"/>
  <c r="M7" i="36"/>
  <c r="N7" i="36"/>
  <c r="N65" i="35"/>
  <c r="AN70" i="55" s="1"/>
  <c r="M55" i="36"/>
  <c r="N55" i="36"/>
  <c r="N116" i="36"/>
  <c r="M116" i="36"/>
  <c r="M156" i="36"/>
  <c r="N156" i="36"/>
  <c r="M127" i="36"/>
  <c r="N127" i="36"/>
  <c r="M120" i="36"/>
  <c r="N120" i="36"/>
  <c r="M145" i="36"/>
  <c r="N145" i="36"/>
  <c r="M113" i="36"/>
  <c r="N113" i="36"/>
  <c r="N45" i="36"/>
  <c r="M45" i="36"/>
  <c r="N105" i="36"/>
  <c r="M105" i="36"/>
  <c r="N78" i="36"/>
  <c r="M78" i="36"/>
  <c r="M75" i="36"/>
  <c r="N75" i="36"/>
  <c r="M76" i="36"/>
  <c r="N76" i="36"/>
  <c r="N65" i="36"/>
  <c r="M65" i="36"/>
  <c r="M66" i="36"/>
  <c r="N66" i="36"/>
  <c r="M14" i="36"/>
  <c r="N14" i="36"/>
  <c r="N40" i="36"/>
  <c r="M40" i="36"/>
  <c r="N129" i="36"/>
  <c r="M129" i="36"/>
  <c r="N90" i="36"/>
  <c r="M90" i="36"/>
  <c r="N109" i="36"/>
  <c r="M109" i="36"/>
  <c r="M77" i="36"/>
  <c r="N77" i="36"/>
  <c r="N95" i="36"/>
  <c r="M95" i="36"/>
  <c r="M20" i="36"/>
  <c r="N20" i="36"/>
  <c r="N112" i="36"/>
  <c r="M112" i="36"/>
  <c r="N39" i="36"/>
  <c r="M39" i="36"/>
  <c r="N28" i="36"/>
  <c r="M28" i="36"/>
  <c r="N135" i="36"/>
  <c r="M135" i="36"/>
  <c r="M73" i="36"/>
  <c r="N73" i="36"/>
  <c r="N118" i="36"/>
  <c r="M118" i="36"/>
  <c r="M70" i="36"/>
  <c r="N70" i="36"/>
  <c r="N46" i="36"/>
  <c r="M46" i="36"/>
  <c r="N160" i="36"/>
  <c r="M160" i="36"/>
  <c r="N22" i="36"/>
  <c r="M22" i="36"/>
  <c r="N35" i="36"/>
  <c r="M35" i="36"/>
  <c r="N108" i="36"/>
  <c r="M108" i="36"/>
  <c r="N102" i="36"/>
  <c r="M102" i="36"/>
  <c r="N36" i="36"/>
  <c r="M36" i="36"/>
  <c r="M8" i="36"/>
  <c r="N8" i="36"/>
  <c r="N41" i="35"/>
  <c r="AN3" i="55" s="1"/>
  <c r="N99" i="36"/>
  <c r="N85" i="36"/>
  <c r="M85" i="36"/>
  <c r="N89" i="36"/>
  <c r="M89" i="36"/>
  <c r="N30" i="36"/>
  <c r="M30" i="36"/>
  <c r="M149" i="36"/>
  <c r="N149" i="36"/>
  <c r="N17" i="36"/>
  <c r="M17" i="36"/>
  <c r="M32" i="36"/>
  <c r="N32" i="36"/>
  <c r="M103" i="36"/>
  <c r="N103" i="36"/>
  <c r="N166" i="35"/>
  <c r="AN12" i="55" s="1"/>
  <c r="M57" i="36"/>
  <c r="N57" i="36"/>
  <c r="M158" i="36"/>
  <c r="N158" i="36"/>
  <c r="N93" i="36"/>
  <c r="M93" i="36"/>
  <c r="N58" i="36"/>
  <c r="M58" i="36"/>
  <c r="M34" i="36"/>
  <c r="N34" i="36"/>
  <c r="N59" i="36"/>
  <c r="M59" i="36"/>
  <c r="M121" i="36"/>
  <c r="N121" i="36"/>
  <c r="M104" i="36"/>
  <c r="N104" i="36"/>
  <c r="M37" i="36"/>
  <c r="N37" i="36"/>
  <c r="N87" i="36"/>
  <c r="M87" i="36"/>
  <c r="M94" i="36"/>
  <c r="N94" i="36"/>
  <c r="N60" i="36"/>
  <c r="M60" i="36"/>
  <c r="N80" i="36"/>
  <c r="M80" i="36"/>
  <c r="N119" i="36"/>
  <c r="M119" i="36"/>
  <c r="N128" i="36"/>
  <c r="M128" i="36"/>
  <c r="N88" i="36"/>
  <c r="M88" i="36"/>
  <c r="M91" i="36"/>
  <c r="N91" i="36"/>
  <c r="N86" i="36"/>
  <c r="M86" i="36"/>
  <c r="N153" i="36"/>
  <c r="M153" i="36"/>
  <c r="N18" i="36"/>
  <c r="M18" i="36"/>
  <c r="N146" i="36"/>
  <c r="M146" i="36"/>
  <c r="N52" i="36"/>
  <c r="M52" i="36"/>
  <c r="N147" i="36"/>
  <c r="M147" i="36"/>
  <c r="N16" i="36"/>
  <c r="M16" i="36"/>
  <c r="M26" i="36"/>
  <c r="N26" i="36"/>
  <c r="N15" i="36"/>
  <c r="M15" i="36"/>
  <c r="N142" i="36"/>
  <c r="M142" i="36"/>
  <c r="N43" i="36"/>
  <c r="M43" i="36"/>
  <c r="N12" i="36"/>
  <c r="M12" i="36"/>
  <c r="N10" i="36"/>
  <c r="M10" i="36"/>
  <c r="N148" i="36"/>
  <c r="M148" i="36"/>
  <c r="N61" i="36"/>
  <c r="M61" i="36"/>
  <c r="N115" i="36"/>
  <c r="M115" i="36"/>
  <c r="N92" i="36"/>
  <c r="M92" i="36"/>
  <c r="M54" i="36"/>
  <c r="N54" i="36"/>
  <c r="L195" i="35"/>
  <c r="N90" i="35"/>
  <c r="AN43" i="55" s="1"/>
  <c r="N183" i="35"/>
  <c r="AN9" i="55" s="1"/>
  <c r="N58" i="35"/>
  <c r="AN27" i="55" s="1"/>
  <c r="N14" i="35"/>
  <c r="N196" i="35"/>
  <c r="AN26" i="55" s="1"/>
  <c r="K85" i="34"/>
  <c r="N85" i="35"/>
  <c r="AN15" i="55" s="1"/>
  <c r="N128" i="35"/>
  <c r="AN4" i="55" s="1"/>
  <c r="N34" i="35"/>
  <c r="AN31" i="55" s="1"/>
  <c r="N153" i="35"/>
  <c r="AN41" i="55" s="1"/>
  <c r="N172" i="35"/>
  <c r="AN20" i="55" s="1"/>
  <c r="N115" i="35"/>
  <c r="AN5" i="55" s="1"/>
  <c r="N8" i="35"/>
  <c r="N97" i="35"/>
  <c r="AN25" i="55" s="1"/>
  <c r="N177" i="35"/>
  <c r="N140" i="35"/>
  <c r="AN46" i="55" s="1"/>
  <c r="N70" i="35"/>
  <c r="K77" i="35"/>
  <c r="L77" i="35" s="1"/>
  <c r="L142" i="35"/>
  <c r="K46" i="35"/>
  <c r="K27" i="35"/>
  <c r="M27" i="35" s="1"/>
  <c r="K121" i="35"/>
  <c r="L121" i="35" s="1"/>
  <c r="J93" i="34"/>
  <c r="K34" i="35"/>
  <c r="L34" i="35" s="1"/>
  <c r="K140" i="35"/>
  <c r="M178" i="35"/>
  <c r="K70" i="35"/>
  <c r="K90" i="35"/>
  <c r="K110" i="35"/>
  <c r="L110" i="35" s="1"/>
  <c r="K58" i="35"/>
  <c r="L58" i="35" s="1"/>
  <c r="M95" i="35"/>
  <c r="K14" i="35"/>
  <c r="L202" i="35"/>
  <c r="L40" i="35"/>
  <c r="M40" i="35"/>
  <c r="L151" i="35"/>
  <c r="M151" i="35"/>
  <c r="K160" i="35"/>
  <c r="L160" i="35" s="1"/>
  <c r="L194" i="35"/>
  <c r="M194" i="35"/>
  <c r="L76" i="35"/>
  <c r="M76" i="35"/>
  <c r="L127" i="35"/>
  <c r="M127" i="35"/>
  <c r="L26" i="35"/>
  <c r="M26" i="35"/>
  <c r="K134" i="35"/>
  <c r="L134" i="35" s="1"/>
  <c r="L107" i="35"/>
  <c r="M107" i="35"/>
  <c r="K153" i="35"/>
  <c r="K166" i="35"/>
  <c r="L166" i="35" s="1"/>
  <c r="K65" i="35"/>
  <c r="K177" i="35"/>
  <c r="K146" i="35"/>
  <c r="L146" i="35" s="1"/>
  <c r="L158" i="35"/>
  <c r="M158" i="35"/>
  <c r="K52" i="35"/>
  <c r="M52" i="35" s="1"/>
  <c r="K85" i="35"/>
  <c r="K41" i="35"/>
  <c r="L41" i="35" s="1"/>
  <c r="L83" i="35"/>
  <c r="M83" i="35"/>
  <c r="M33" i="35"/>
  <c r="L33" i="35"/>
  <c r="K102" i="35"/>
  <c r="K183" i="35"/>
  <c r="K20" i="35"/>
  <c r="L20" i="35" s="1"/>
  <c r="K189" i="35"/>
  <c r="K63" i="34"/>
  <c r="M129" i="35"/>
  <c r="L132" i="35"/>
  <c r="M82" i="35"/>
  <c r="L100" i="35"/>
  <c r="M12" i="35"/>
  <c r="M197" i="35"/>
  <c r="L30" i="35"/>
  <c r="J40" i="34"/>
  <c r="L126" i="35"/>
  <c r="L147" i="35"/>
  <c r="M92" i="35"/>
  <c r="K33" i="34"/>
  <c r="K62" i="34"/>
  <c r="M156" i="35"/>
  <c r="M136" i="35"/>
  <c r="M47" i="35"/>
  <c r="L78" i="35"/>
  <c r="J81" i="34"/>
  <c r="L168" i="35"/>
  <c r="J53" i="34"/>
  <c r="L60" i="35"/>
  <c r="M42" i="35"/>
  <c r="L8" i="35"/>
  <c r="L66" i="35"/>
  <c r="M162" i="35"/>
  <c r="J73" i="34"/>
  <c r="K95" i="34"/>
  <c r="L199" i="35"/>
  <c r="J91" i="34"/>
  <c r="M159" i="35"/>
  <c r="J29" i="34"/>
  <c r="L113" i="35"/>
  <c r="J61" i="34"/>
  <c r="M193" i="35"/>
  <c r="K37" i="34"/>
  <c r="M185" i="35"/>
  <c r="J96" i="34"/>
  <c r="J14" i="34"/>
  <c r="L170" i="35"/>
  <c r="K38" i="34"/>
  <c r="J59" i="34"/>
  <c r="K8" i="34"/>
  <c r="L157" i="35"/>
  <c r="M53" i="35"/>
  <c r="L81" i="35"/>
  <c r="M38" i="35"/>
  <c r="J71" i="34"/>
  <c r="K32" i="34"/>
  <c r="M138" i="35"/>
  <c r="M119" i="35"/>
  <c r="K49" i="34"/>
  <c r="M79" i="35"/>
  <c r="J41" i="34"/>
  <c r="K89" i="34"/>
  <c r="K80" i="34"/>
  <c r="M18" i="35"/>
  <c r="K23" i="34"/>
  <c r="K24" i="34"/>
  <c r="J30" i="34"/>
  <c r="L63" i="35"/>
  <c r="M62" i="35"/>
  <c r="M108" i="35"/>
  <c r="J82" i="34"/>
  <c r="K90" i="34"/>
  <c r="L10" i="35"/>
  <c r="L190" i="35"/>
  <c r="M86" i="35"/>
  <c r="M50" i="35"/>
  <c r="K54" i="34"/>
  <c r="M80" i="35"/>
  <c r="M133" i="35"/>
  <c r="L19" i="35"/>
  <c r="M149" i="35"/>
  <c r="K77" i="34"/>
  <c r="L36" i="35"/>
  <c r="L69" i="35"/>
  <c r="L171" i="35"/>
  <c r="L111" i="35"/>
  <c r="K94" i="34"/>
  <c r="M91" i="35"/>
  <c r="M155" i="35"/>
  <c r="K69" i="34"/>
  <c r="M57" i="35"/>
  <c r="K7" i="34"/>
  <c r="J72" i="34"/>
  <c r="L45" i="35"/>
  <c r="M200" i="35"/>
  <c r="L109" i="35"/>
  <c r="L89" i="35"/>
  <c r="J39" i="34"/>
  <c r="J84" i="34"/>
  <c r="K44" i="34"/>
  <c r="K36" i="34"/>
  <c r="M11" i="35"/>
  <c r="L87" i="35"/>
  <c r="L32" i="35"/>
  <c r="L167" i="35"/>
  <c r="L16" i="35"/>
  <c r="K68" i="34"/>
  <c r="L44" i="35"/>
  <c r="K45" i="34"/>
  <c r="L154" i="35"/>
  <c r="K97" i="34"/>
  <c r="M105" i="35"/>
  <c r="M39" i="35"/>
  <c r="M97" i="35"/>
  <c r="J5" i="34"/>
  <c r="L61" i="35"/>
  <c r="J55" i="34"/>
  <c r="L161" i="35"/>
  <c r="M74" i="35"/>
  <c r="L43" i="35"/>
  <c r="J86" i="34"/>
  <c r="K18" i="34"/>
  <c r="L67" i="35"/>
  <c r="L72" i="35"/>
  <c r="L198" i="35"/>
  <c r="M29" i="35"/>
  <c r="L125" i="35"/>
  <c r="M201" i="35"/>
  <c r="L191" i="35"/>
  <c r="M122" i="35"/>
  <c r="L73" i="35"/>
  <c r="K64" i="34"/>
  <c r="M59" i="35"/>
  <c r="M130" i="35"/>
  <c r="J52" i="34"/>
  <c r="L48" i="35"/>
  <c r="L172" i="35"/>
  <c r="M172" i="35"/>
  <c r="M196" i="35"/>
  <c r="L196" i="35"/>
  <c r="L175" i="35"/>
  <c r="M175" i="35"/>
  <c r="M35" i="35"/>
  <c r="L35" i="35"/>
  <c r="L163" i="35"/>
  <c r="M163" i="35"/>
  <c r="J12" i="34"/>
  <c r="K12" i="34"/>
  <c r="L176" i="35"/>
  <c r="M176" i="35"/>
  <c r="J15" i="34"/>
  <c r="K15" i="34"/>
  <c r="L101" i="35"/>
  <c r="M101" i="35"/>
  <c r="L99" i="35"/>
  <c r="M99" i="35"/>
  <c r="J50" i="34"/>
  <c r="K50" i="34"/>
  <c r="M164" i="35"/>
  <c r="L164" i="35"/>
  <c r="L15" i="35"/>
  <c r="M15" i="35"/>
  <c r="L56" i="35"/>
  <c r="M56" i="35"/>
  <c r="L181" i="35"/>
  <c r="M181" i="35"/>
  <c r="M13" i="35"/>
  <c r="L13" i="35"/>
  <c r="J47" i="34"/>
  <c r="K47" i="34"/>
  <c r="M143" i="35"/>
  <c r="L143" i="35"/>
  <c r="L106" i="35"/>
  <c r="M106" i="35"/>
  <c r="K83" i="34"/>
  <c r="J83" i="34"/>
  <c r="M150" i="35"/>
  <c r="L150" i="35"/>
  <c r="L54" i="35"/>
  <c r="M54" i="35"/>
  <c r="K76" i="34"/>
  <c r="J76" i="34"/>
  <c r="M137" i="35"/>
  <c r="L137" i="35"/>
  <c r="M120" i="35"/>
  <c r="L120" i="35"/>
  <c r="K46" i="34"/>
  <c r="J46" i="34"/>
  <c r="L17" i="35"/>
  <c r="M17" i="35"/>
  <c r="L94" i="35"/>
  <c r="M94" i="35"/>
  <c r="L71" i="35"/>
  <c r="M71" i="35"/>
  <c r="M49" i="35"/>
  <c r="L49" i="35"/>
  <c r="J42" i="34"/>
  <c r="K42" i="34"/>
  <c r="M37" i="35"/>
  <c r="L37" i="35"/>
  <c r="M23" i="35"/>
  <c r="L23" i="35"/>
  <c r="K48" i="34"/>
  <c r="J48" i="34"/>
  <c r="M104" i="35"/>
  <c r="L104" i="35"/>
  <c r="K31" i="34"/>
  <c r="J31" i="34"/>
  <c r="L173" i="35"/>
  <c r="M173" i="35"/>
  <c r="K58" i="34"/>
  <c r="J58" i="34"/>
  <c r="J43" i="34"/>
  <c r="K43" i="34"/>
  <c r="K21" i="34"/>
  <c r="J21" i="34"/>
  <c r="J19" i="34"/>
  <c r="K19" i="34"/>
  <c r="K34" i="34"/>
  <c r="J34" i="34"/>
  <c r="J57" i="34"/>
  <c r="K57" i="34"/>
  <c r="L141" i="35"/>
  <c r="M141" i="35"/>
  <c r="L131" i="35"/>
  <c r="M131" i="35"/>
  <c r="J16" i="34"/>
  <c r="K16" i="34"/>
  <c r="K74" i="34"/>
  <c r="J74" i="34"/>
  <c r="K70" i="34"/>
  <c r="J70" i="34"/>
  <c r="J20" i="34"/>
  <c r="K20" i="34"/>
  <c r="K67" i="34"/>
  <c r="J67" i="34"/>
  <c r="M75" i="35"/>
  <c r="L75" i="35"/>
  <c r="L188" i="35"/>
  <c r="M188" i="35"/>
  <c r="K60" i="34"/>
  <c r="J60" i="34"/>
  <c r="M96" i="35"/>
  <c r="L96" i="35"/>
  <c r="L186" i="35"/>
  <c r="M186" i="35"/>
  <c r="M112" i="35"/>
  <c r="L112" i="35"/>
  <c r="J9" i="34"/>
  <c r="K9" i="34"/>
  <c r="K88" i="34"/>
  <c r="J88" i="34"/>
  <c r="L51" i="35"/>
  <c r="M51" i="35"/>
  <c r="J87" i="34"/>
  <c r="K87" i="34"/>
  <c r="L180" i="35"/>
  <c r="M180" i="35"/>
  <c r="K10" i="34"/>
  <c r="J10" i="34"/>
  <c r="L179" i="35"/>
  <c r="M179" i="35"/>
  <c r="J56" i="34"/>
  <c r="K56" i="34"/>
  <c r="J13" i="34"/>
  <c r="K13" i="34"/>
  <c r="L165" i="35"/>
  <c r="M165" i="35"/>
  <c r="J27" i="34"/>
  <c r="K27" i="34"/>
  <c r="M152" i="35"/>
  <c r="L152" i="35"/>
  <c r="L135" i="35"/>
  <c r="M135" i="35"/>
  <c r="J66" i="34"/>
  <c r="K66" i="34"/>
  <c r="K26" i="34"/>
  <c r="J26" i="34"/>
  <c r="L103" i="35"/>
  <c r="M103" i="35"/>
  <c r="M118" i="35"/>
  <c r="L118" i="35"/>
  <c r="J65" i="34"/>
  <c r="K65" i="34"/>
  <c r="L144" i="35"/>
  <c r="M144" i="35"/>
  <c r="L145" i="35"/>
  <c r="M145" i="35"/>
  <c r="M22" i="35"/>
  <c r="L22" i="35"/>
  <c r="L139" i="35"/>
  <c r="M139" i="35"/>
  <c r="M117" i="35"/>
  <c r="L117" i="35"/>
  <c r="J25" i="34"/>
  <c r="K25" i="34"/>
  <c r="M192" i="35"/>
  <c r="L192" i="35"/>
  <c r="M24" i="35"/>
  <c r="L24" i="35"/>
  <c r="M93" i="35"/>
  <c r="L93" i="35"/>
  <c r="M174" i="35"/>
  <c r="L174" i="35"/>
  <c r="L98" i="35"/>
  <c r="M98" i="35"/>
  <c r="L28" i="35"/>
  <c r="M28" i="35"/>
  <c r="J22" i="34"/>
  <c r="K22" i="34"/>
  <c r="K78" i="34"/>
  <c r="J78" i="34"/>
  <c r="K17" i="34"/>
  <c r="J17" i="34"/>
  <c r="L116" i="35"/>
  <c r="M116" i="35"/>
  <c r="M123" i="35"/>
  <c r="L123" i="35"/>
  <c r="J11" i="34"/>
  <c r="K11" i="34"/>
  <c r="M68" i="35"/>
  <c r="L68" i="35"/>
  <c r="L84" i="35"/>
  <c r="M84" i="35"/>
  <c r="K75" i="34"/>
  <c r="J75" i="34"/>
  <c r="M55" i="35"/>
  <c r="L55" i="35"/>
  <c r="M148" i="35"/>
  <c r="L148" i="35"/>
  <c r="L124" i="35"/>
  <c r="M124" i="35"/>
  <c r="M31" i="35"/>
  <c r="L31" i="35"/>
  <c r="J28" i="34"/>
  <c r="K28" i="34"/>
  <c r="L64" i="35"/>
  <c r="M64" i="35"/>
  <c r="J51" i="34"/>
  <c r="K51" i="34"/>
  <c r="M88" i="35"/>
  <c r="L88" i="35"/>
  <c r="L182" i="35"/>
  <c r="M182" i="35"/>
  <c r="L21" i="35"/>
  <c r="M21" i="35"/>
  <c r="L169" i="35"/>
  <c r="M169" i="35"/>
  <c r="L187" i="35"/>
  <c r="M187" i="35"/>
  <c r="K6" i="34"/>
  <c r="J6" i="34"/>
  <c r="K79" i="34"/>
  <c r="J79" i="34"/>
  <c r="K92" i="34"/>
  <c r="J92" i="34"/>
  <c r="M9" i="35"/>
  <c r="L9" i="35"/>
  <c r="K35" i="34"/>
  <c r="J35" i="34"/>
  <c r="AN75" i="55" l="1"/>
  <c r="AN30" i="55"/>
  <c r="AN44" i="55"/>
  <c r="AN7" i="55"/>
  <c r="AN8" i="55"/>
  <c r="AN56" i="55"/>
  <c r="AN49" i="55"/>
  <c r="AN71" i="55"/>
  <c r="AN14" i="55"/>
  <c r="M115" i="35"/>
  <c r="AN42" i="55"/>
  <c r="AN77" i="55"/>
  <c r="AN80" i="55"/>
  <c r="T14" i="47"/>
  <c r="AN24" i="55"/>
  <c r="T9" i="47"/>
  <c r="AN22" i="55"/>
  <c r="T15" i="47"/>
  <c r="T32" i="47"/>
  <c r="T76" i="47"/>
  <c r="T52" i="47"/>
  <c r="T75" i="47"/>
  <c r="T135" i="47"/>
  <c r="T60" i="47"/>
  <c r="T122" i="47"/>
  <c r="T172" i="47"/>
  <c r="T171" i="47"/>
  <c r="T83" i="47"/>
  <c r="T74" i="47"/>
  <c r="T104" i="47"/>
  <c r="T140" i="47"/>
  <c r="T37" i="47"/>
  <c r="T87" i="47"/>
  <c r="T178" i="47"/>
  <c r="T54" i="47"/>
  <c r="T43" i="47"/>
  <c r="T88" i="47"/>
  <c r="T182" i="47"/>
  <c r="T61" i="47"/>
  <c r="T78" i="47"/>
  <c r="T64" i="47"/>
  <c r="T137" i="47"/>
  <c r="T82" i="47"/>
  <c r="T138" i="47"/>
  <c r="T86" i="47"/>
  <c r="T49" i="47"/>
  <c r="T136" i="47"/>
  <c r="T116" i="47"/>
  <c r="T47" i="47"/>
  <c r="T30" i="47"/>
  <c r="T181" i="47"/>
  <c r="T144" i="47"/>
  <c r="R203" i="47"/>
  <c r="T173" i="47"/>
  <c r="T180" i="47"/>
  <c r="T63" i="47"/>
  <c r="T126" i="47"/>
  <c r="T58" i="47"/>
  <c r="T179" i="47"/>
  <c r="T177" i="47"/>
  <c r="T45" i="47"/>
  <c r="T121" i="47"/>
  <c r="T142" i="47"/>
  <c r="R188" i="47"/>
  <c r="T80" i="47"/>
  <c r="T27" i="47"/>
  <c r="T73" i="47"/>
  <c r="T79" i="47"/>
  <c r="T31" i="47"/>
  <c r="T46" i="47"/>
  <c r="T174" i="47"/>
  <c r="T131" i="47"/>
  <c r="T143" i="47"/>
  <c r="T109" i="47"/>
  <c r="T117" i="47"/>
  <c r="T105" i="47"/>
  <c r="T120" i="47"/>
  <c r="T123" i="47"/>
  <c r="T132" i="47"/>
  <c r="T124" i="47"/>
  <c r="T141" i="47"/>
  <c r="T62" i="47"/>
  <c r="T59" i="47"/>
  <c r="T50" i="47"/>
  <c r="T107" i="47"/>
  <c r="T35" i="47"/>
  <c r="T77" i="47"/>
  <c r="T56" i="47"/>
  <c r="T84" i="47"/>
  <c r="T212" i="47"/>
  <c r="R29" i="47"/>
  <c r="Q27" i="47"/>
  <c r="R14" i="47"/>
  <c r="Q14" i="47"/>
  <c r="S29" i="47"/>
  <c r="Q19" i="47"/>
  <c r="S21" i="47"/>
  <c r="S24" i="47"/>
  <c r="S18" i="47"/>
  <c r="S22" i="47"/>
  <c r="R17" i="47"/>
  <c r="R28" i="47"/>
  <c r="T25" i="47"/>
  <c r="T16" i="47"/>
  <c r="R23" i="47"/>
  <c r="R184" i="47"/>
  <c r="Q206" i="47"/>
  <c r="S26" i="47"/>
  <c r="S19" i="47"/>
  <c r="Q73" i="47"/>
  <c r="R178" i="47"/>
  <c r="Q224" i="47"/>
  <c r="T128" i="47"/>
  <c r="Q20" i="47"/>
  <c r="R21" i="47"/>
  <c r="Q221" i="47"/>
  <c r="R113" i="47"/>
  <c r="Q24" i="47"/>
  <c r="R43" i="47"/>
  <c r="T18" i="47"/>
  <c r="S23" i="47"/>
  <c r="T185" i="47"/>
  <c r="T20" i="47"/>
  <c r="T19" i="47"/>
  <c r="T26" i="47"/>
  <c r="S88" i="47"/>
  <c r="Q125" i="47"/>
  <c r="R109" i="47"/>
  <c r="Q177" i="47"/>
  <c r="S82" i="47"/>
  <c r="S175" i="47"/>
  <c r="S114" i="47"/>
  <c r="T24" i="47"/>
  <c r="S16" i="47"/>
  <c r="T22" i="47"/>
  <c r="R19" i="47"/>
  <c r="R99" i="47"/>
  <c r="S27" i="47"/>
  <c r="R26" i="47"/>
  <c r="Q23" i="47"/>
  <c r="S30" i="47"/>
  <c r="Q17" i="47"/>
  <c r="Q202" i="47"/>
  <c r="Q208" i="47"/>
  <c r="Q22" i="47"/>
  <c r="T164" i="47"/>
  <c r="Q28" i="47"/>
  <c r="R75" i="47"/>
  <c r="Q25" i="47"/>
  <c r="Q16" i="47"/>
  <c r="Q29" i="47"/>
  <c r="S103" i="47"/>
  <c r="S28" i="47"/>
  <c r="S17" i="47"/>
  <c r="R18" i="47"/>
  <c r="S161" i="47"/>
  <c r="S220" i="47"/>
  <c r="S159" i="47"/>
  <c r="T110" i="47"/>
  <c r="T170" i="47"/>
  <c r="T223" i="47"/>
  <c r="S75" i="47"/>
  <c r="Q18" i="47"/>
  <c r="S136" i="47"/>
  <c r="Q209" i="47"/>
  <c r="R165" i="47"/>
  <c r="R176" i="47"/>
  <c r="T204" i="47"/>
  <c r="S144" i="47"/>
  <c r="S212" i="47"/>
  <c r="R25" i="47"/>
  <c r="S64" i="47"/>
  <c r="T196" i="47"/>
  <c r="Q26" i="47"/>
  <c r="R24" i="47"/>
  <c r="Q69" i="47"/>
  <c r="S72" i="47"/>
  <c r="Q110" i="47"/>
  <c r="S221" i="47"/>
  <c r="Q135" i="47"/>
  <c r="S201" i="47"/>
  <c r="Q181" i="47"/>
  <c r="T69" i="47"/>
  <c r="Q21" i="47"/>
  <c r="T17" i="47"/>
  <c r="Q96" i="47"/>
  <c r="R71" i="47"/>
  <c r="R164" i="47"/>
  <c r="T21" i="47"/>
  <c r="Q85" i="47"/>
  <c r="Q93" i="47"/>
  <c r="S25" i="47"/>
  <c r="R20" i="47"/>
  <c r="S20" i="47"/>
  <c r="Q65" i="47"/>
  <c r="R22" i="47"/>
  <c r="R27" i="47"/>
  <c r="R16" i="47"/>
  <c r="S149" i="47"/>
  <c r="Q131" i="47"/>
  <c r="R130" i="47"/>
  <c r="Q87" i="47"/>
  <c r="S171" i="47"/>
  <c r="S153" i="47"/>
  <c r="Q80" i="47"/>
  <c r="T190" i="47"/>
  <c r="Q189" i="47"/>
  <c r="R93" i="47"/>
  <c r="Q95" i="47"/>
  <c r="S202" i="47"/>
  <c r="T23" i="47"/>
  <c r="Q211" i="47"/>
  <c r="R92" i="47"/>
  <c r="Q138" i="47"/>
  <c r="Q113" i="47"/>
  <c r="T95" i="47"/>
  <c r="Q223" i="47"/>
  <c r="Q76" i="47"/>
  <c r="S179" i="47"/>
  <c r="S83" i="47"/>
  <c r="Q179" i="47"/>
  <c r="S192" i="47"/>
  <c r="S160" i="47"/>
  <c r="Q192" i="47"/>
  <c r="S184" i="47"/>
  <c r="T39" i="47"/>
  <c r="Q103" i="47"/>
  <c r="Q222" i="47"/>
  <c r="T154" i="47"/>
  <c r="T161" i="47"/>
  <c r="Q152" i="47"/>
  <c r="R96" i="47"/>
  <c r="S120" i="47"/>
  <c r="S101" i="47"/>
  <c r="S195" i="47"/>
  <c r="Q34" i="47"/>
  <c r="R199" i="47"/>
  <c r="S55" i="47"/>
  <c r="Q90" i="47"/>
  <c r="S200" i="47"/>
  <c r="Q98" i="47"/>
  <c r="R47" i="47"/>
  <c r="S156" i="47"/>
  <c r="T227" i="47"/>
  <c r="T112" i="47"/>
  <c r="R129" i="47"/>
  <c r="Q142" i="47"/>
  <c r="R66" i="47"/>
  <c r="Q44" i="47"/>
  <c r="R65" i="47"/>
  <c r="R117" i="47"/>
  <c r="R211" i="47"/>
  <c r="Q83" i="47"/>
  <c r="R137" i="47"/>
  <c r="S98" i="47"/>
  <c r="R143" i="47"/>
  <c r="T42" i="47"/>
  <c r="R146" i="47"/>
  <c r="S134" i="47"/>
  <c r="R88" i="47"/>
  <c r="S111" i="47"/>
  <c r="S67" i="47"/>
  <c r="S123" i="47"/>
  <c r="S122" i="47"/>
  <c r="S180" i="47"/>
  <c r="T218" i="47"/>
  <c r="S76" i="47"/>
  <c r="T197" i="47"/>
  <c r="Q30" i="47"/>
  <c r="S81" i="47"/>
  <c r="Q39" i="47"/>
  <c r="Q72" i="47"/>
  <c r="S113" i="47"/>
  <c r="S71" i="47"/>
  <c r="S102" i="47"/>
  <c r="S198" i="47"/>
  <c r="Q160" i="47"/>
  <c r="S164" i="47"/>
  <c r="T98" i="47"/>
  <c r="Q116" i="47"/>
  <c r="R60" i="47"/>
  <c r="R183" i="47"/>
  <c r="Q215" i="47"/>
  <c r="T81" i="47"/>
  <c r="Q196" i="47"/>
  <c r="S224" i="47"/>
  <c r="S137" i="47"/>
  <c r="T168" i="47"/>
  <c r="Q217" i="47"/>
  <c r="R175" i="47"/>
  <c r="Q169" i="47"/>
  <c r="Q35" i="47"/>
  <c r="S65" i="47"/>
  <c r="Q130" i="47"/>
  <c r="Q94" i="47"/>
  <c r="T101" i="47"/>
  <c r="S37" i="47"/>
  <c r="Q127" i="47"/>
  <c r="Q79" i="47"/>
  <c r="S197" i="47"/>
  <c r="R82" i="47"/>
  <c r="S211" i="47"/>
  <c r="S109" i="47"/>
  <c r="Q158" i="47"/>
  <c r="S155" i="47"/>
  <c r="Q112" i="47"/>
  <c r="Q128" i="47"/>
  <c r="R105" i="47"/>
  <c r="Q105" i="47"/>
  <c r="S107" i="47"/>
  <c r="R63" i="47"/>
  <c r="Q68" i="47"/>
  <c r="Q101" i="47"/>
  <c r="R221" i="47"/>
  <c r="R126" i="47"/>
  <c r="Q219" i="47"/>
  <c r="R33" i="47"/>
  <c r="Q154" i="47"/>
  <c r="R170" i="47"/>
  <c r="S217" i="47"/>
  <c r="R216" i="47"/>
  <c r="T198" i="47"/>
  <c r="Q151" i="47"/>
  <c r="S226" i="47"/>
  <c r="T111" i="47"/>
  <c r="S167" i="47"/>
  <c r="R168" i="47"/>
  <c r="Q133" i="47"/>
  <c r="S174" i="47"/>
  <c r="T130" i="47"/>
  <c r="Q145" i="47"/>
  <c r="Q84" i="47"/>
  <c r="R158" i="47"/>
  <c r="Q70" i="47"/>
  <c r="R102" i="47"/>
  <c r="Q61" i="47"/>
  <c r="T93" i="47"/>
  <c r="S170" i="47"/>
  <c r="T217" i="47"/>
  <c r="S152" i="47"/>
  <c r="R134" i="47"/>
  <c r="T153" i="47"/>
  <c r="Q161" i="47"/>
  <c r="S77" i="47"/>
  <c r="R124" i="47"/>
  <c r="S78" i="47"/>
  <c r="S207" i="47"/>
  <c r="S112" i="47"/>
  <c r="T114" i="47"/>
  <c r="S204" i="47"/>
  <c r="Q183" i="47"/>
  <c r="T159" i="47"/>
  <c r="R142" i="47"/>
  <c r="Q139" i="47"/>
  <c r="S208" i="47"/>
  <c r="T149" i="47"/>
  <c r="R179" i="47"/>
  <c r="R46" i="47"/>
  <c r="R222" i="47"/>
  <c r="T201" i="47"/>
  <c r="Q156" i="47"/>
  <c r="R103" i="47"/>
  <c r="R140" i="47"/>
  <c r="Q78" i="47"/>
  <c r="S97" i="47"/>
  <c r="S126" i="47"/>
  <c r="R182" i="47"/>
  <c r="R30" i="47"/>
  <c r="R36" i="47"/>
  <c r="R160" i="47"/>
  <c r="R40" i="47"/>
  <c r="Q148" i="47"/>
  <c r="R56" i="47"/>
  <c r="R39" i="47"/>
  <c r="T188" i="47"/>
  <c r="Q143" i="47"/>
  <c r="R194" i="47"/>
  <c r="Q81" i="47"/>
  <c r="T115" i="47"/>
  <c r="Q180" i="47"/>
  <c r="Q195" i="47"/>
  <c r="R76" i="47"/>
  <c r="Q52" i="47"/>
  <c r="R190" i="47"/>
  <c r="T203" i="47"/>
  <c r="T214" i="47"/>
  <c r="S215" i="47"/>
  <c r="T67" i="47"/>
  <c r="Q100" i="47"/>
  <c r="S140" i="47"/>
  <c r="Q173" i="47"/>
  <c r="T157" i="47"/>
  <c r="R62" i="47"/>
  <c r="T184" i="47"/>
  <c r="Q48" i="47"/>
  <c r="R80" i="47"/>
  <c r="Q225" i="47"/>
  <c r="R115" i="47"/>
  <c r="S166" i="47"/>
  <c r="Q182" i="47"/>
  <c r="Q207" i="47"/>
  <c r="R159" i="47"/>
  <c r="S84" i="47"/>
  <c r="S105" i="47"/>
  <c r="Q186" i="47"/>
  <c r="S154" i="47"/>
  <c r="R53" i="47"/>
  <c r="R131" i="47"/>
  <c r="T226" i="47"/>
  <c r="Q171" i="47"/>
  <c r="R69" i="47"/>
  <c r="R31" i="47"/>
  <c r="R101" i="47"/>
  <c r="S151" i="47"/>
  <c r="T102" i="47"/>
  <c r="T202" i="47"/>
  <c r="R120" i="47"/>
  <c r="R44" i="47"/>
  <c r="S51" i="47"/>
  <c r="S63" i="47"/>
  <c r="S99" i="47"/>
  <c r="R68" i="47"/>
  <c r="T152" i="47"/>
  <c r="T211" i="47"/>
  <c r="S118" i="47"/>
  <c r="T70" i="47"/>
  <c r="S173" i="47"/>
  <c r="T199" i="47"/>
  <c r="S87" i="47"/>
  <c r="S183" i="47"/>
  <c r="S131" i="47"/>
  <c r="S94" i="47"/>
  <c r="S165" i="47"/>
  <c r="S74" i="47"/>
  <c r="Q74" i="47"/>
  <c r="T94" i="47"/>
  <c r="R136" i="47"/>
  <c r="R32" i="47"/>
  <c r="Q163" i="47"/>
  <c r="Q42" i="47"/>
  <c r="R52" i="47"/>
  <c r="R57" i="47"/>
  <c r="T66" i="47"/>
  <c r="T210" i="47"/>
  <c r="R127" i="47"/>
  <c r="R104" i="47"/>
  <c r="Q104" i="47"/>
  <c r="R118" i="47"/>
  <c r="R125" i="47"/>
  <c r="S133" i="47"/>
  <c r="Q123" i="47"/>
  <c r="R138" i="47"/>
  <c r="T146" i="47"/>
  <c r="R187" i="47"/>
  <c r="Q190" i="47"/>
  <c r="S59" i="47"/>
  <c r="R193" i="47"/>
  <c r="Q55" i="47"/>
  <c r="S143" i="47"/>
  <c r="R174" i="47"/>
  <c r="Q121" i="47"/>
  <c r="S108" i="47"/>
  <c r="R144" i="47"/>
  <c r="Q201" i="47"/>
  <c r="R198" i="47"/>
  <c r="R204" i="47"/>
  <c r="Q174" i="47"/>
  <c r="R85" i="47"/>
  <c r="T156" i="47"/>
  <c r="S139" i="47"/>
  <c r="R79" i="47"/>
  <c r="S73" i="47"/>
  <c r="R157" i="47"/>
  <c r="R72" i="47"/>
  <c r="Q164" i="47"/>
  <c r="S135" i="47"/>
  <c r="Q214" i="47"/>
  <c r="R167" i="47"/>
  <c r="S227" i="47"/>
  <c r="Q200" i="47"/>
  <c r="Q178" i="47"/>
  <c r="S70" i="47"/>
  <c r="R95" i="47"/>
  <c r="R197" i="47"/>
  <c r="S185" i="47"/>
  <c r="Q226" i="47"/>
  <c r="R83" i="47"/>
  <c r="T129" i="47"/>
  <c r="R98" i="47"/>
  <c r="S85" i="47"/>
  <c r="Q147" i="47"/>
  <c r="S44" i="47"/>
  <c r="S124" i="47"/>
  <c r="Q58" i="47"/>
  <c r="S142" i="47"/>
  <c r="T187" i="47"/>
  <c r="T155" i="47"/>
  <c r="Q150" i="47"/>
  <c r="S141" i="47"/>
  <c r="T100" i="47"/>
  <c r="Q75" i="47"/>
  <c r="R45" i="47"/>
  <c r="S182" i="47"/>
  <c r="S172" i="47"/>
  <c r="T195" i="47"/>
  <c r="R181" i="47"/>
  <c r="R74" i="47"/>
  <c r="R200" i="47"/>
  <c r="Q64" i="47"/>
  <c r="S95" i="47"/>
  <c r="S115" i="47"/>
  <c r="S68" i="47"/>
  <c r="R81" i="47"/>
  <c r="T221" i="47"/>
  <c r="Q102" i="47"/>
  <c r="T163" i="47"/>
  <c r="R153" i="47"/>
  <c r="S89" i="47"/>
  <c r="R155" i="47"/>
  <c r="Q49" i="47"/>
  <c r="T65" i="47"/>
  <c r="R86" i="47"/>
  <c r="R205" i="47"/>
  <c r="S147" i="47"/>
  <c r="S92" i="47"/>
  <c r="Q67" i="47"/>
  <c r="T68" i="47"/>
  <c r="T215" i="47"/>
  <c r="R61" i="47"/>
  <c r="S79" i="47"/>
  <c r="T207" i="47"/>
  <c r="R59" i="47"/>
  <c r="Q155" i="47"/>
  <c r="R119" i="47"/>
  <c r="Q40" i="47"/>
  <c r="T151" i="47"/>
  <c r="T92" i="47"/>
  <c r="S104" i="47"/>
  <c r="R217" i="47"/>
  <c r="T186" i="47"/>
  <c r="Q62" i="47"/>
  <c r="S181" i="47"/>
  <c r="R163" i="47"/>
  <c r="S46" i="47"/>
  <c r="S106" i="47"/>
  <c r="T103" i="47"/>
  <c r="S90" i="47"/>
  <c r="R135" i="47"/>
  <c r="R172" i="47"/>
  <c r="Q210" i="47"/>
  <c r="S96" i="47"/>
  <c r="S129" i="47"/>
  <c r="Q71" i="47"/>
  <c r="R173" i="47"/>
  <c r="T166" i="47"/>
  <c r="T224" i="47"/>
  <c r="S157" i="47"/>
  <c r="T189" i="47"/>
  <c r="S50" i="47"/>
  <c r="S91" i="47"/>
  <c r="T40" i="47"/>
  <c r="S43" i="47"/>
  <c r="Q166" i="47"/>
  <c r="R123" i="47"/>
  <c r="Q132" i="47"/>
  <c r="S49" i="47"/>
  <c r="Q126" i="47"/>
  <c r="R209" i="47"/>
  <c r="R202" i="47"/>
  <c r="Q86" i="47"/>
  <c r="Q193" i="47"/>
  <c r="S186" i="47"/>
  <c r="Q97" i="47"/>
  <c r="T89" i="47"/>
  <c r="T208" i="47"/>
  <c r="S57" i="47"/>
  <c r="Q50" i="47"/>
  <c r="S36" i="47"/>
  <c r="T91" i="47"/>
  <c r="R107" i="47"/>
  <c r="Q170" i="47"/>
  <c r="S35" i="47"/>
  <c r="S66" i="47"/>
  <c r="R219" i="47"/>
  <c r="Q122" i="47"/>
  <c r="R112" i="47"/>
  <c r="Q218" i="47"/>
  <c r="S177" i="47"/>
  <c r="Q216" i="47"/>
  <c r="R139" i="47"/>
  <c r="S33" i="47"/>
  <c r="R49" i="47"/>
  <c r="R97" i="47"/>
  <c r="Q185" i="47"/>
  <c r="S145" i="47"/>
  <c r="R177" i="47"/>
  <c r="S205" i="47"/>
  <c r="R149" i="47"/>
  <c r="T213" i="47"/>
  <c r="R84" i="47"/>
  <c r="R38" i="47"/>
  <c r="R70" i="47"/>
  <c r="S130" i="47"/>
  <c r="Q38" i="47"/>
  <c r="R156" i="47"/>
  <c r="R154" i="47"/>
  <c r="R147" i="47"/>
  <c r="Q92" i="47"/>
  <c r="R141" i="47"/>
  <c r="Q89" i="47"/>
  <c r="Q205" i="47"/>
  <c r="R108" i="47"/>
  <c r="S225" i="47"/>
  <c r="R162" i="47"/>
  <c r="R121" i="47"/>
  <c r="Q45" i="47"/>
  <c r="R58" i="47"/>
  <c r="Q137" i="47"/>
  <c r="Q60" i="47"/>
  <c r="R171" i="47"/>
  <c r="R210" i="47"/>
  <c r="R206" i="47"/>
  <c r="Q56" i="47"/>
  <c r="R150" i="47"/>
  <c r="S56" i="47"/>
  <c r="R166" i="47"/>
  <c r="Q187" i="47"/>
  <c r="R54" i="47"/>
  <c r="T147" i="47"/>
  <c r="S214" i="47"/>
  <c r="R78" i="47"/>
  <c r="Q134" i="47"/>
  <c r="R94" i="47"/>
  <c r="R91" i="47"/>
  <c r="Q220" i="47"/>
  <c r="Q46" i="47"/>
  <c r="S58" i="47"/>
  <c r="R223" i="47"/>
  <c r="Q37" i="47"/>
  <c r="Q108" i="47"/>
  <c r="Q165" i="47"/>
  <c r="T200" i="47"/>
  <c r="R207" i="47"/>
  <c r="R226" i="47"/>
  <c r="Q114" i="47"/>
  <c r="S178" i="47"/>
  <c r="T38" i="47"/>
  <c r="Q107" i="47"/>
  <c r="R111" i="47"/>
  <c r="R208" i="47"/>
  <c r="S62" i="47"/>
  <c r="Q43" i="47"/>
  <c r="S168" i="47"/>
  <c r="T219" i="47"/>
  <c r="Q51" i="47"/>
  <c r="R169" i="47"/>
  <c r="T222" i="47"/>
  <c r="R132" i="47"/>
  <c r="R180" i="47"/>
  <c r="T192" i="47"/>
  <c r="Q54" i="47"/>
  <c r="Q159" i="47"/>
  <c r="S188" i="47"/>
  <c r="T162" i="47"/>
  <c r="S48" i="47"/>
  <c r="R191" i="47"/>
  <c r="S39" i="47"/>
  <c r="R122" i="47"/>
  <c r="S209" i="47"/>
  <c r="Q168" i="47"/>
  <c r="R41" i="47"/>
  <c r="Q59" i="47"/>
  <c r="Q213" i="47"/>
  <c r="T99" i="47"/>
  <c r="R51" i="47"/>
  <c r="Q47" i="47"/>
  <c r="Q57" i="47"/>
  <c r="Q66" i="47"/>
  <c r="R42" i="47"/>
  <c r="Q109" i="47"/>
  <c r="S162" i="47"/>
  <c r="S127" i="47"/>
  <c r="T90" i="47"/>
  <c r="Q117" i="47"/>
  <c r="R201" i="47"/>
  <c r="R195" i="47"/>
  <c r="Q41" i="47"/>
  <c r="S150" i="47"/>
  <c r="Q176" i="47"/>
  <c r="Q175" i="47"/>
  <c r="S100" i="47"/>
  <c r="R186" i="47"/>
  <c r="T150" i="47"/>
  <c r="T220" i="47"/>
  <c r="S110" i="47"/>
  <c r="S187" i="47"/>
  <c r="S61" i="47"/>
  <c r="S222" i="47"/>
  <c r="T148" i="47"/>
  <c r="Q194" i="47"/>
  <c r="Q191" i="47"/>
  <c r="R133" i="47"/>
  <c r="R37" i="47"/>
  <c r="S216" i="47"/>
  <c r="R90" i="47"/>
  <c r="Q140" i="47"/>
  <c r="S52" i="47"/>
  <c r="Q124" i="47"/>
  <c r="S163" i="47"/>
  <c r="R196" i="47"/>
  <c r="S86" i="47"/>
  <c r="T41" i="47"/>
  <c r="Q204" i="47"/>
  <c r="Q36" i="47"/>
  <c r="T216" i="47"/>
  <c r="S45" i="47"/>
  <c r="R189" i="47"/>
  <c r="Q198" i="47"/>
  <c r="Q32" i="47"/>
  <c r="R214" i="47"/>
  <c r="S41" i="47"/>
  <c r="R55" i="47"/>
  <c r="R128" i="47"/>
  <c r="Q199" i="47"/>
  <c r="R213" i="47"/>
  <c r="T191" i="47"/>
  <c r="Q144" i="47"/>
  <c r="S158" i="47"/>
  <c r="S210" i="47"/>
  <c r="Q99" i="47"/>
  <c r="R89" i="47"/>
  <c r="Q31" i="47"/>
  <c r="S132" i="47"/>
  <c r="T225" i="47"/>
  <c r="S128" i="47"/>
  <c r="R225" i="47"/>
  <c r="R35" i="47"/>
  <c r="R50" i="47"/>
  <c r="S148" i="47"/>
  <c r="Q141" i="47"/>
  <c r="S32" i="47"/>
  <c r="R67" i="47"/>
  <c r="S190" i="47"/>
  <c r="T194" i="47"/>
  <c r="T97" i="47"/>
  <c r="Q33" i="47"/>
  <c r="T160" i="47"/>
  <c r="Q227" i="47"/>
  <c r="S189" i="47"/>
  <c r="Q118" i="47"/>
  <c r="Q82" i="47"/>
  <c r="T167" i="47"/>
  <c r="S219" i="47"/>
  <c r="Q188" i="47"/>
  <c r="Q203" i="47"/>
  <c r="S193" i="47"/>
  <c r="R114" i="47"/>
  <c r="Q162" i="47"/>
  <c r="S146" i="47"/>
  <c r="T206" i="47"/>
  <c r="S60" i="47"/>
  <c r="T96" i="47"/>
  <c r="R110" i="47"/>
  <c r="S223" i="47"/>
  <c r="Q167" i="47"/>
  <c r="S196" i="47"/>
  <c r="S194" i="47"/>
  <c r="Q172" i="47"/>
  <c r="R152" i="47"/>
  <c r="Q115" i="47"/>
  <c r="Q91" i="47"/>
  <c r="Q212" i="47"/>
  <c r="S119" i="47"/>
  <c r="R106" i="47"/>
  <c r="S93" i="47"/>
  <c r="R64" i="47"/>
  <c r="R192" i="47"/>
  <c r="Q120" i="47"/>
  <c r="R34" i="47"/>
  <c r="R145" i="47"/>
  <c r="Q88" i="47"/>
  <c r="S42" i="47"/>
  <c r="Q136" i="47"/>
  <c r="S213" i="47"/>
  <c r="R87" i="47"/>
  <c r="Q111" i="47"/>
  <c r="R212" i="47"/>
  <c r="T113" i="47"/>
  <c r="R224" i="47"/>
  <c r="S117" i="47"/>
  <c r="S69" i="47"/>
  <c r="S203" i="47"/>
  <c r="Q77" i="47"/>
  <c r="R73" i="47"/>
  <c r="S47" i="47"/>
  <c r="T209" i="47"/>
  <c r="R185" i="47"/>
  <c r="R215" i="47"/>
  <c r="S121" i="47"/>
  <c r="S34" i="47"/>
  <c r="S169" i="47"/>
  <c r="R220" i="47"/>
  <c r="T193" i="47"/>
  <c r="R116" i="47"/>
  <c r="R77" i="47"/>
  <c r="Q119" i="47"/>
  <c r="S38" i="47"/>
  <c r="S176" i="47"/>
  <c r="T169" i="47"/>
  <c r="Q53" i="47"/>
  <c r="Q157" i="47"/>
  <c r="Q106" i="47"/>
  <c r="S199" i="47"/>
  <c r="R48" i="47"/>
  <c r="S54" i="47"/>
  <c r="R161" i="47"/>
  <c r="Q63" i="47"/>
  <c r="S31" i="47"/>
  <c r="T165" i="47"/>
  <c r="Q153" i="47"/>
  <c r="T158" i="47"/>
  <c r="R100" i="47"/>
  <c r="T205" i="47"/>
  <c r="Q146" i="47"/>
  <c r="S53" i="47"/>
  <c r="Q129" i="47"/>
  <c r="S138" i="47"/>
  <c r="R218" i="47"/>
  <c r="S116" i="47"/>
  <c r="T53" i="47"/>
  <c r="S125" i="47"/>
  <c r="Q197" i="47"/>
  <c r="S40" i="47"/>
  <c r="R148" i="47"/>
  <c r="Q184" i="47"/>
  <c r="T145" i="47"/>
  <c r="S206" i="47"/>
  <c r="R227" i="47"/>
  <c r="Q149" i="47"/>
  <c r="R151" i="47"/>
  <c r="T44" i="47"/>
  <c r="T57" i="47"/>
  <c r="T175" i="47"/>
  <c r="T33" i="47"/>
  <c r="T72" i="47"/>
  <c r="T118" i="47"/>
  <c r="T28" i="47"/>
  <c r="T183" i="47"/>
  <c r="T133" i="47"/>
  <c r="T127" i="47"/>
  <c r="S218" i="47"/>
  <c r="T85" i="47"/>
  <c r="T51" i="47"/>
  <c r="T55" i="47"/>
  <c r="T119" i="47"/>
  <c r="T29" i="47"/>
  <c r="T176" i="47"/>
  <c r="T36" i="47"/>
  <c r="T34" i="47"/>
  <c r="T134" i="47"/>
  <c r="T125" i="47"/>
  <c r="S191" i="47"/>
  <c r="T106" i="47"/>
  <c r="T108" i="47"/>
  <c r="T48" i="47"/>
  <c r="T71" i="47"/>
  <c r="T139" i="47"/>
  <c r="AP109" i="47"/>
  <c r="M134" i="35"/>
  <c r="M77" i="35"/>
  <c r="M146" i="35"/>
  <c r="M160" i="35"/>
  <c r="M8" i="35"/>
  <c r="M58" i="35"/>
  <c r="M41" i="35"/>
  <c r="M166" i="35"/>
  <c r="M121" i="35"/>
  <c r="L27" i="35"/>
  <c r="L52" i="35"/>
  <c r="M110" i="35"/>
  <c r="L97" i="35"/>
  <c r="M34" i="35"/>
  <c r="M20" i="35"/>
  <c r="M128" i="35"/>
  <c r="L183" i="35"/>
  <c r="M183" i="35"/>
  <c r="M189" i="35"/>
  <c r="L189" i="35"/>
  <c r="L65" i="35"/>
  <c r="M65" i="35"/>
  <c r="L46" i="35"/>
  <c r="M46" i="35"/>
  <c r="M14" i="35"/>
  <c r="L14" i="35"/>
  <c r="L90" i="35"/>
  <c r="M90" i="35"/>
  <c r="M140" i="35"/>
  <c r="L140" i="35"/>
  <c r="L102" i="35"/>
  <c r="M102" i="35"/>
  <c r="M85" i="35"/>
  <c r="L85" i="35"/>
  <c r="M177" i="35"/>
  <c r="L177" i="35"/>
  <c r="M70" i="35"/>
  <c r="L70" i="35"/>
  <c r="M153" i="35"/>
  <c r="L153" i="35"/>
  <c r="D3" i="32"/>
  <c r="F2" i="33"/>
  <c r="AF56" i="55" l="1"/>
  <c r="AF127" i="55"/>
  <c r="AF79" i="55"/>
  <c r="AF156" i="55"/>
  <c r="AF162" i="55"/>
  <c r="AF137" i="55"/>
  <c r="AF32" i="55"/>
  <c r="AF70" i="55"/>
  <c r="AF173" i="55"/>
  <c r="AF48" i="55"/>
  <c r="AF164" i="55"/>
  <c r="AF120" i="55"/>
  <c r="AF9" i="55"/>
  <c r="AF46" i="55"/>
  <c r="AF12" i="55"/>
  <c r="AF18" i="55"/>
  <c r="AF50" i="55"/>
  <c r="AF104" i="55"/>
  <c r="AF2" i="55"/>
  <c r="AF68" i="55"/>
  <c r="AF4" i="55"/>
  <c r="AF116" i="55"/>
  <c r="AF36" i="55"/>
  <c r="AF105" i="55"/>
  <c r="AF149" i="55"/>
  <c r="AF182" i="55"/>
  <c r="AF150" i="55"/>
  <c r="AF86" i="55"/>
  <c r="AF47" i="55"/>
  <c r="AF54" i="55"/>
  <c r="AF80" i="55"/>
  <c r="AF97" i="55"/>
  <c r="AF145" i="55"/>
  <c r="AF146" i="55"/>
  <c r="AF37" i="55"/>
  <c r="AF78" i="55"/>
  <c r="AF26" i="55"/>
  <c r="AF73" i="55"/>
  <c r="AF130" i="55"/>
  <c r="AF92" i="55"/>
  <c r="AF117" i="55"/>
  <c r="AF175" i="55"/>
  <c r="AF143" i="55"/>
  <c r="AF110" i="55"/>
  <c r="AF51" i="55"/>
  <c r="AF141" i="55"/>
  <c r="AF102" i="55"/>
  <c r="AF186" i="55"/>
  <c r="AF45" i="55"/>
  <c r="AF153" i="55"/>
  <c r="AF64" i="55"/>
  <c r="AF112" i="55"/>
  <c r="AF98" i="55"/>
  <c r="AF21" i="55"/>
  <c r="AF89" i="55"/>
  <c r="AF5" i="55"/>
  <c r="AF49" i="55"/>
  <c r="AF168" i="55"/>
  <c r="AF16" i="55"/>
  <c r="AF109" i="55"/>
  <c r="AF165" i="55"/>
  <c r="AF62" i="55"/>
  <c r="AF90" i="55"/>
  <c r="AF144" i="55"/>
  <c r="AF125" i="55"/>
  <c r="AF74" i="55"/>
  <c r="AF44" i="55"/>
  <c r="AF81" i="55"/>
  <c r="AF24" i="55"/>
  <c r="AF87" i="55"/>
  <c r="AF108" i="55"/>
  <c r="AF85" i="55"/>
  <c r="AF158" i="55"/>
  <c r="AF77" i="55"/>
  <c r="AF27" i="55"/>
  <c r="AF60" i="55"/>
  <c r="AF100" i="55"/>
  <c r="AF161" i="55"/>
  <c r="AF131" i="55"/>
  <c r="AF71" i="55"/>
  <c r="AF140" i="55"/>
  <c r="AF55" i="55"/>
  <c r="AF82" i="55"/>
  <c r="AF38" i="55"/>
  <c r="AF132" i="55"/>
  <c r="AF134" i="55"/>
  <c r="AF93" i="55"/>
  <c r="AF180" i="55"/>
  <c r="AF183" i="55"/>
  <c r="AF88" i="55"/>
  <c r="AF28" i="55"/>
  <c r="AF138" i="55"/>
  <c r="AF40" i="55"/>
  <c r="AF124" i="55"/>
  <c r="AF159" i="55"/>
  <c r="AF118" i="55"/>
  <c r="AF41" i="55"/>
  <c r="AF57" i="55"/>
  <c r="AF53" i="55"/>
  <c r="AF6" i="55"/>
  <c r="AF84" i="55"/>
  <c r="AF166" i="55"/>
  <c r="AF114" i="55"/>
  <c r="AF142" i="55"/>
  <c r="AF152" i="55"/>
  <c r="AF30" i="55"/>
  <c r="AF66" i="55"/>
  <c r="AF178" i="55"/>
  <c r="AF181" i="55"/>
  <c r="AF177" i="55"/>
  <c r="AF136" i="55"/>
  <c r="AF33" i="55"/>
  <c r="AF172" i="55"/>
  <c r="AF128" i="55"/>
  <c r="AF154" i="55"/>
  <c r="AF184" i="55"/>
  <c r="AF10" i="55"/>
  <c r="AF185" i="55"/>
  <c r="AF76" i="55"/>
  <c r="AF42" i="55"/>
  <c r="AF94" i="55"/>
  <c r="AF103" i="55"/>
  <c r="AF23" i="55"/>
  <c r="AF14" i="55"/>
  <c r="AF13" i="55"/>
  <c r="AF58" i="55"/>
  <c r="AF7" i="55"/>
  <c r="AF174" i="55"/>
  <c r="AF101" i="55"/>
  <c r="AF176" i="55"/>
  <c r="AF61" i="55"/>
  <c r="AF157" i="55"/>
  <c r="AF133" i="55"/>
  <c r="AF25" i="55"/>
  <c r="AF31" i="55"/>
  <c r="AF17" i="55"/>
  <c r="AF15" i="55"/>
  <c r="AF106" i="55"/>
  <c r="AF8" i="55"/>
  <c r="AF113" i="55"/>
  <c r="AF63" i="55"/>
  <c r="AF69" i="55"/>
  <c r="AF167" i="55"/>
  <c r="AF135" i="55"/>
  <c r="AF122" i="55"/>
  <c r="AF111" i="55"/>
  <c r="AF65" i="55"/>
  <c r="AF29" i="55"/>
  <c r="AF52" i="55"/>
  <c r="AF169" i="55"/>
  <c r="AF170" i="55"/>
  <c r="AF119" i="55"/>
  <c r="AF20" i="55"/>
  <c r="AF160" i="55"/>
  <c r="AF123" i="55"/>
  <c r="AF35" i="55"/>
  <c r="AF147" i="55"/>
  <c r="AF3" i="55"/>
  <c r="AF139" i="55"/>
  <c r="AF43" i="55"/>
  <c r="AF75" i="55"/>
  <c r="AF91" i="55"/>
  <c r="AF72" i="55"/>
  <c r="AF179" i="55"/>
  <c r="AF19" i="55"/>
  <c r="AF83" i="55"/>
  <c r="AF59" i="55"/>
  <c r="AF171" i="55"/>
  <c r="AF11" i="55"/>
  <c r="AF163" i="55"/>
  <c r="AF107" i="55"/>
  <c r="AF121" i="55"/>
  <c r="AF115" i="55"/>
  <c r="AF155" i="55"/>
  <c r="L21" i="32"/>
  <c r="L10" i="32"/>
  <c r="L22" i="32"/>
  <c r="M22" i="32" s="1"/>
  <c r="L11" i="32"/>
  <c r="H6" i="36" s="1"/>
  <c r="L27" i="32"/>
  <c r="M27" i="32" s="1"/>
  <c r="L12" i="32"/>
  <c r="M12" i="32" s="1"/>
  <c r="L15" i="32"/>
  <c r="M15" i="32" s="1"/>
  <c r="O15" i="32" s="1"/>
  <c r="L26" i="32"/>
  <c r="M26" i="32" s="1"/>
  <c r="E3" i="33"/>
  <c r="L7" i="32"/>
  <c r="H2" i="36" s="1"/>
  <c r="W15" i="55" s="1"/>
  <c r="L16" i="32"/>
  <c r="M16" i="32" s="1"/>
  <c r="L19" i="32"/>
  <c r="G6" i="35" s="1"/>
  <c r="AJ146" i="55" s="1"/>
  <c r="L17" i="32"/>
  <c r="L25" i="32"/>
  <c r="E2" i="33"/>
  <c r="L24" i="32"/>
  <c r="L18" i="32"/>
  <c r="L9" i="32"/>
  <c r="H4" i="36" s="1"/>
  <c r="W82" i="55" s="1"/>
  <c r="L20" i="32"/>
  <c r="M20" i="32" s="1"/>
  <c r="E3" i="32"/>
  <c r="H2" i="32"/>
  <c r="H2" i="33"/>
  <c r="L8" i="32"/>
  <c r="H3" i="36" s="1"/>
  <c r="W60" i="55" s="1"/>
  <c r="W166" i="55" l="1"/>
  <c r="W169" i="55"/>
  <c r="W128" i="55"/>
  <c r="W143" i="55"/>
  <c r="W155" i="55"/>
  <c r="W152" i="55"/>
  <c r="W158" i="55"/>
  <c r="W139" i="55"/>
  <c r="W161" i="55"/>
  <c r="W135" i="55"/>
  <c r="W164" i="55"/>
  <c r="W147" i="55"/>
  <c r="W132" i="55"/>
  <c r="W154" i="55"/>
  <c r="W150" i="55"/>
  <c r="W133" i="55"/>
  <c r="W131" i="55"/>
  <c r="W153" i="55"/>
  <c r="W127" i="55"/>
  <c r="W165" i="55"/>
  <c r="W156" i="55"/>
  <c r="W142" i="55"/>
  <c r="W145" i="55"/>
  <c r="W168" i="55"/>
  <c r="W149" i="55"/>
  <c r="W148" i="55"/>
  <c r="W170" i="55"/>
  <c r="W137" i="55"/>
  <c r="W160" i="55"/>
  <c r="W141" i="55"/>
  <c r="W140" i="55"/>
  <c r="W162" i="55"/>
  <c r="W134" i="55"/>
  <c r="W126" i="55"/>
  <c r="W138" i="55"/>
  <c r="W144" i="55"/>
  <c r="W159" i="55"/>
  <c r="W146" i="55"/>
  <c r="W157" i="55"/>
  <c r="W163" i="55"/>
  <c r="W136" i="55"/>
  <c r="W151" i="55"/>
  <c r="W171" i="55"/>
  <c r="W130" i="55"/>
  <c r="W129" i="55"/>
  <c r="W167" i="55"/>
  <c r="W125" i="55"/>
  <c r="N27" i="32"/>
  <c r="O27" i="32"/>
  <c r="N26" i="32"/>
  <c r="G4" i="34" s="1"/>
  <c r="AW56" i="55" s="1"/>
  <c r="O26" i="32"/>
  <c r="N12" i="32"/>
  <c r="O12" i="32"/>
  <c r="H3" i="35"/>
  <c r="AK35" i="55" s="1"/>
  <c r="O16" i="32"/>
  <c r="N22" i="32"/>
  <c r="O22" i="32"/>
  <c r="N20" i="32"/>
  <c r="O20" i="32"/>
  <c r="E34" i="32"/>
  <c r="F3" i="32"/>
  <c r="G3" i="33" s="1"/>
  <c r="M10" i="32"/>
  <c r="O10" i="32" s="1"/>
  <c r="H5" i="36"/>
  <c r="W81" i="55" s="1"/>
  <c r="K89" i="47"/>
  <c r="M151" i="47"/>
  <c r="K63" i="47"/>
  <c r="K46" i="47"/>
  <c r="M75" i="47"/>
  <c r="J6" i="47"/>
  <c r="M27" i="47"/>
  <c r="M153" i="47"/>
  <c r="M89" i="47"/>
  <c r="M77" i="47"/>
  <c r="M111" i="47"/>
  <c r="M33" i="47"/>
  <c r="L160" i="47"/>
  <c r="M71" i="47"/>
  <c r="M93" i="47"/>
  <c r="M105" i="47"/>
  <c r="M90" i="47"/>
  <c r="M21" i="32"/>
  <c r="O21" i="32" s="1"/>
  <c r="M11" i="32"/>
  <c r="G2" i="35"/>
  <c r="AJ38" i="55" s="1"/>
  <c r="F4" i="34"/>
  <c r="AV56" i="55" s="1"/>
  <c r="E4" i="34"/>
  <c r="AU56" i="55" s="1"/>
  <c r="M7" i="32"/>
  <c r="G40" i="32"/>
  <c r="G41" i="32" s="1"/>
  <c r="N16" i="32"/>
  <c r="I3" i="35" s="1"/>
  <c r="AL35" i="55" s="1"/>
  <c r="G3" i="35"/>
  <c r="AJ35" i="55" s="1"/>
  <c r="M19" i="32"/>
  <c r="N15" i="32"/>
  <c r="H2" i="35"/>
  <c r="AK38" i="55" s="1"/>
  <c r="G2" i="33"/>
  <c r="G7" i="35"/>
  <c r="AJ150" i="55" s="1"/>
  <c r="M9" i="32"/>
  <c r="G5" i="35"/>
  <c r="AJ92" i="55" s="1"/>
  <c r="M18" i="32"/>
  <c r="O18" i="32" s="1"/>
  <c r="M24" i="32"/>
  <c r="O24" i="32" s="1"/>
  <c r="E2" i="34"/>
  <c r="AU10" i="55" s="1"/>
  <c r="I2" i="33"/>
  <c r="M25" i="32"/>
  <c r="O25" i="32" s="1"/>
  <c r="E3" i="34"/>
  <c r="AU41" i="55" s="1"/>
  <c r="M8" i="32"/>
  <c r="H3" i="32"/>
  <c r="I3" i="33" s="1"/>
  <c r="G3" i="32"/>
  <c r="F3" i="33"/>
  <c r="G4" i="35"/>
  <c r="AJ67" i="55" s="1"/>
  <c r="M17" i="32"/>
  <c r="O17" i="32" s="1"/>
  <c r="I3" i="36" l="1"/>
  <c r="X60" i="55" s="1"/>
  <c r="O8" i="32"/>
  <c r="I4" i="36"/>
  <c r="X82" i="55" s="1"/>
  <c r="O9" i="32"/>
  <c r="K4" i="36" s="1"/>
  <c r="Z82" i="55" s="1"/>
  <c r="I2" i="36"/>
  <c r="X15" i="55" s="1"/>
  <c r="O7" i="32"/>
  <c r="K2" i="36" s="1"/>
  <c r="Z15" i="55" s="1"/>
  <c r="H6" i="35"/>
  <c r="AK146" i="55" s="1"/>
  <c r="O19" i="32"/>
  <c r="J6" i="35" s="1"/>
  <c r="AM146" i="55" s="1"/>
  <c r="I6" i="36"/>
  <c r="O11" i="32"/>
  <c r="K6" i="36" s="1"/>
  <c r="F34" i="32"/>
  <c r="N2" i="33"/>
  <c r="N10" i="32"/>
  <c r="J5" i="36" s="1"/>
  <c r="Y81" i="55" s="1"/>
  <c r="I5" i="36"/>
  <c r="X81" i="55" s="1"/>
  <c r="M108" i="47"/>
  <c r="K62" i="47"/>
  <c r="J19" i="47"/>
  <c r="M110" i="47"/>
  <c r="M73" i="47"/>
  <c r="J33" i="47"/>
  <c r="M19" i="47"/>
  <c r="J156" i="47"/>
  <c r="M48" i="47"/>
  <c r="M103" i="47"/>
  <c r="J76" i="47"/>
  <c r="J123" i="47"/>
  <c r="M72" i="47"/>
  <c r="M74" i="47"/>
  <c r="M112" i="47"/>
  <c r="K96" i="47"/>
  <c r="M80" i="47"/>
  <c r="M100" i="47"/>
  <c r="M46" i="47"/>
  <c r="M121" i="47"/>
  <c r="J58" i="47"/>
  <c r="M144" i="47"/>
  <c r="M69" i="47"/>
  <c r="K5" i="47"/>
  <c r="J174" i="47"/>
  <c r="M43" i="47"/>
  <c r="M96" i="47"/>
  <c r="M133" i="47"/>
  <c r="J17" i="47"/>
  <c r="K19" i="47"/>
  <c r="M86" i="47"/>
  <c r="M59" i="47"/>
  <c r="M70" i="47"/>
  <c r="M91" i="47"/>
  <c r="J79" i="47"/>
  <c r="M38" i="47"/>
  <c r="M32" i="47"/>
  <c r="M66" i="47"/>
  <c r="J80" i="47"/>
  <c r="K74" i="47"/>
  <c r="K80" i="47"/>
  <c r="M125" i="47"/>
  <c r="M85" i="47"/>
  <c r="M29" i="47"/>
  <c r="L31" i="47"/>
  <c r="M128" i="47"/>
  <c r="K75" i="47"/>
  <c r="M56" i="47"/>
  <c r="M148" i="47"/>
  <c r="M62" i="47"/>
  <c r="K128" i="47"/>
  <c r="M17" i="47"/>
  <c r="M145" i="47"/>
  <c r="L157" i="47"/>
  <c r="K16" i="47"/>
  <c r="M92" i="47"/>
  <c r="M26" i="47"/>
  <c r="M81" i="47"/>
  <c r="M138" i="47"/>
  <c r="L100" i="47"/>
  <c r="K88" i="47"/>
  <c r="L35" i="47"/>
  <c r="L105" i="47"/>
  <c r="K136" i="47"/>
  <c r="J47" i="47"/>
  <c r="J55" i="47"/>
  <c r="L131" i="47"/>
  <c r="M67" i="47"/>
  <c r="K137" i="47"/>
  <c r="L10" i="47"/>
  <c r="K171" i="47"/>
  <c r="K163" i="47"/>
  <c r="L58" i="47"/>
  <c r="L32" i="47"/>
  <c r="J135" i="47"/>
  <c r="L130" i="47"/>
  <c r="M122" i="47"/>
  <c r="J143" i="47"/>
  <c r="K141" i="47"/>
  <c r="J11" i="47"/>
  <c r="K161" i="47"/>
  <c r="L4" i="47"/>
  <c r="K7" i="47"/>
  <c r="L34" i="47"/>
  <c r="L144" i="47"/>
  <c r="M87" i="47"/>
  <c r="K91" i="47"/>
  <c r="K105" i="47"/>
  <c r="L33" i="47"/>
  <c r="M171" i="47"/>
  <c r="K17" i="47"/>
  <c r="M175" i="47"/>
  <c r="K25" i="47"/>
  <c r="J49" i="47"/>
  <c r="M31" i="47"/>
  <c r="L124" i="47"/>
  <c r="M160" i="47"/>
  <c r="L44" i="47"/>
  <c r="L56" i="47"/>
  <c r="L8" i="47"/>
  <c r="J69" i="47"/>
  <c r="K24" i="47"/>
  <c r="L88" i="47"/>
  <c r="M37" i="47"/>
  <c r="L15" i="47"/>
  <c r="K154" i="47"/>
  <c r="K172" i="47"/>
  <c r="K82" i="47"/>
  <c r="K95" i="47"/>
  <c r="L173" i="47"/>
  <c r="J151" i="47"/>
  <c r="K38" i="47"/>
  <c r="K174" i="47"/>
  <c r="K129" i="47"/>
  <c r="J85" i="47"/>
  <c r="J117" i="47"/>
  <c r="J14" i="47"/>
  <c r="K148" i="47"/>
  <c r="L38" i="47"/>
  <c r="J75" i="47"/>
  <c r="J51" i="47"/>
  <c r="K68" i="47"/>
  <c r="J157" i="47"/>
  <c r="J129" i="47"/>
  <c r="J31" i="47"/>
  <c r="K139" i="47"/>
  <c r="K81" i="47"/>
  <c r="J153" i="47"/>
  <c r="L67" i="47"/>
  <c r="M41" i="47"/>
  <c r="J5" i="47"/>
  <c r="M61" i="47"/>
  <c r="M142" i="47"/>
  <c r="M150" i="47"/>
  <c r="M152" i="47"/>
  <c r="M12" i="47"/>
  <c r="K115" i="47"/>
  <c r="K36" i="47"/>
  <c r="K102" i="47"/>
  <c r="J110" i="47"/>
  <c r="K23" i="47"/>
  <c r="J115" i="47"/>
  <c r="M177" i="47"/>
  <c r="K101" i="47"/>
  <c r="L39" i="47"/>
  <c r="M139" i="47"/>
  <c r="L120" i="47"/>
  <c r="L5" i="47"/>
  <c r="L75" i="47"/>
  <c r="K130" i="47"/>
  <c r="J139" i="47"/>
  <c r="J147" i="47"/>
  <c r="J38" i="47"/>
  <c r="K152" i="47"/>
  <c r="M132" i="47"/>
  <c r="J59" i="47"/>
  <c r="J40" i="47"/>
  <c r="K100" i="47"/>
  <c r="L95" i="47"/>
  <c r="K147" i="47"/>
  <c r="J169" i="47"/>
  <c r="K156" i="47"/>
  <c r="L116" i="47"/>
  <c r="K108" i="47"/>
  <c r="L101" i="47"/>
  <c r="L37" i="47"/>
  <c r="J171" i="47"/>
  <c r="J20" i="47"/>
  <c r="J165" i="47"/>
  <c r="J77" i="47"/>
  <c r="J136" i="47"/>
  <c r="J98" i="47"/>
  <c r="M68" i="47"/>
  <c r="K117" i="47"/>
  <c r="J141" i="47"/>
  <c r="J82" i="47"/>
  <c r="K109" i="47"/>
  <c r="K106" i="47"/>
  <c r="K48" i="47"/>
  <c r="L40" i="47"/>
  <c r="L89" i="47"/>
  <c r="J60" i="47"/>
  <c r="K120" i="47"/>
  <c r="K86" i="47"/>
  <c r="J175" i="47"/>
  <c r="L16" i="47"/>
  <c r="J41" i="47"/>
  <c r="L134" i="47"/>
  <c r="K159" i="47"/>
  <c r="K122" i="47"/>
  <c r="J89" i="47"/>
  <c r="K45" i="47"/>
  <c r="J127" i="47"/>
  <c r="K21" i="47"/>
  <c r="L176" i="47"/>
  <c r="L9" i="47"/>
  <c r="L147" i="47"/>
  <c r="J138" i="47"/>
  <c r="M129" i="47"/>
  <c r="K98" i="47"/>
  <c r="M124" i="47"/>
  <c r="L63" i="47"/>
  <c r="K29" i="47"/>
  <c r="J125" i="47"/>
  <c r="M53" i="47"/>
  <c r="K14" i="47"/>
  <c r="L128" i="47"/>
  <c r="J73" i="47"/>
  <c r="M127" i="47"/>
  <c r="M25" i="47"/>
  <c r="M116" i="47"/>
  <c r="M123" i="47"/>
  <c r="M13" i="47"/>
  <c r="M107" i="47"/>
  <c r="J161" i="47"/>
  <c r="M173" i="47"/>
  <c r="M157" i="47"/>
  <c r="L97" i="47"/>
  <c r="K84" i="47"/>
  <c r="L28" i="47"/>
  <c r="K113" i="47"/>
  <c r="L69" i="47"/>
  <c r="K92" i="47"/>
  <c r="J159" i="47"/>
  <c r="L171" i="47"/>
  <c r="L87" i="47"/>
  <c r="L80" i="47"/>
  <c r="J102" i="47"/>
  <c r="K176" i="47"/>
  <c r="M130" i="47"/>
  <c r="K158" i="47"/>
  <c r="J22" i="47"/>
  <c r="L22" i="47"/>
  <c r="J152" i="47"/>
  <c r="K30" i="47"/>
  <c r="M161" i="47"/>
  <c r="K26" i="47"/>
  <c r="K135" i="47"/>
  <c r="M88" i="47"/>
  <c r="J28" i="47"/>
  <c r="J100" i="47"/>
  <c r="K77" i="47"/>
  <c r="L84" i="47"/>
  <c r="L148" i="47"/>
  <c r="K175" i="47"/>
  <c r="K31" i="47"/>
  <c r="J21" i="47"/>
  <c r="L78" i="47"/>
  <c r="L168" i="47"/>
  <c r="K146" i="47"/>
  <c r="J131" i="47"/>
  <c r="L91" i="47"/>
  <c r="L112" i="47"/>
  <c r="J8" i="47"/>
  <c r="K76" i="47"/>
  <c r="M55" i="47"/>
  <c r="K93" i="47"/>
  <c r="K8" i="47"/>
  <c r="K69" i="47"/>
  <c r="J120" i="47"/>
  <c r="J57" i="47"/>
  <c r="L43" i="47"/>
  <c r="L154" i="47"/>
  <c r="K32" i="47"/>
  <c r="J128" i="47"/>
  <c r="L68" i="47"/>
  <c r="L13" i="47"/>
  <c r="L54" i="47"/>
  <c r="K66" i="47"/>
  <c r="J103" i="47"/>
  <c r="L137" i="47"/>
  <c r="K133" i="47"/>
  <c r="J105" i="47"/>
  <c r="M146" i="47"/>
  <c r="K70" i="47"/>
  <c r="L46" i="47"/>
  <c r="L142" i="47"/>
  <c r="K126" i="47"/>
  <c r="J162" i="47"/>
  <c r="J144" i="47"/>
  <c r="L158" i="47"/>
  <c r="L135" i="47"/>
  <c r="M119" i="47"/>
  <c r="K131" i="47"/>
  <c r="J53" i="47"/>
  <c r="K44" i="47"/>
  <c r="L26" i="47"/>
  <c r="K43" i="47"/>
  <c r="J70" i="47"/>
  <c r="M137" i="47"/>
  <c r="K55" i="47"/>
  <c r="J114" i="47"/>
  <c r="J95" i="47"/>
  <c r="M106" i="47"/>
  <c r="M78" i="47"/>
  <c r="M102" i="47"/>
  <c r="M141" i="47"/>
  <c r="M154" i="47"/>
  <c r="K127" i="47"/>
  <c r="K142" i="47"/>
  <c r="J109" i="47"/>
  <c r="L23" i="47"/>
  <c r="K50" i="47"/>
  <c r="L136" i="47"/>
  <c r="K22" i="47"/>
  <c r="K73" i="47"/>
  <c r="J67" i="47"/>
  <c r="K61" i="47"/>
  <c r="L20" i="47"/>
  <c r="K9" i="47"/>
  <c r="J30" i="47"/>
  <c r="J64" i="47"/>
  <c r="K140" i="47"/>
  <c r="M135" i="47"/>
  <c r="K11" i="47"/>
  <c r="J34" i="47"/>
  <c r="K28" i="47"/>
  <c r="L77" i="47"/>
  <c r="K59" i="47"/>
  <c r="K170" i="47"/>
  <c r="J42" i="47"/>
  <c r="L93" i="47"/>
  <c r="M170" i="47"/>
  <c r="K49" i="47"/>
  <c r="K41" i="47"/>
  <c r="L72" i="47"/>
  <c r="J56" i="47"/>
  <c r="M158" i="47"/>
  <c r="J72" i="47"/>
  <c r="J137" i="47"/>
  <c r="M57" i="47"/>
  <c r="K134" i="47"/>
  <c r="J177" i="47"/>
  <c r="L71" i="47"/>
  <c r="J24" i="47"/>
  <c r="L175" i="47"/>
  <c r="K37" i="47"/>
  <c r="J88" i="47"/>
  <c r="K157" i="47"/>
  <c r="M8" i="47"/>
  <c r="L51" i="47"/>
  <c r="J83" i="47"/>
  <c r="K168" i="47"/>
  <c r="L103" i="47"/>
  <c r="K110" i="47"/>
  <c r="L6" i="47"/>
  <c r="L42" i="47"/>
  <c r="L98" i="47"/>
  <c r="M21" i="47"/>
  <c r="L11" i="47"/>
  <c r="L106" i="47"/>
  <c r="L82" i="47"/>
  <c r="J170" i="47"/>
  <c r="M164" i="47"/>
  <c r="K123" i="47"/>
  <c r="J142" i="47"/>
  <c r="L164" i="47"/>
  <c r="M118" i="47"/>
  <c r="L159" i="47"/>
  <c r="L152" i="47"/>
  <c r="J155" i="47"/>
  <c r="L169" i="47"/>
  <c r="J74" i="47"/>
  <c r="J44" i="47"/>
  <c r="K79" i="47"/>
  <c r="L167" i="47"/>
  <c r="L30" i="47"/>
  <c r="L146" i="47"/>
  <c r="M49" i="47"/>
  <c r="J94" i="47"/>
  <c r="L24" i="47"/>
  <c r="M166" i="47"/>
  <c r="M11" i="47"/>
  <c r="M156" i="47"/>
  <c r="K13" i="47"/>
  <c r="J130" i="47"/>
  <c r="M58" i="47"/>
  <c r="M94" i="47"/>
  <c r="M24" i="47"/>
  <c r="M16" i="47"/>
  <c r="M147" i="47"/>
  <c r="L118" i="47"/>
  <c r="M155" i="47"/>
  <c r="L161" i="47"/>
  <c r="L59" i="47"/>
  <c r="L151" i="47"/>
  <c r="L60" i="47"/>
  <c r="M84" i="47"/>
  <c r="M120" i="47"/>
  <c r="K124" i="47"/>
  <c r="L108" i="47"/>
  <c r="L139" i="47"/>
  <c r="L76" i="47"/>
  <c r="K164" i="47"/>
  <c r="K58" i="47"/>
  <c r="L141" i="47"/>
  <c r="J163" i="47"/>
  <c r="M98" i="47"/>
  <c r="K145" i="47"/>
  <c r="L53" i="47"/>
  <c r="K149" i="47"/>
  <c r="L66" i="47"/>
  <c r="L133" i="47"/>
  <c r="M165" i="47"/>
  <c r="K138" i="47"/>
  <c r="K83" i="47"/>
  <c r="J10" i="47"/>
  <c r="J65" i="47"/>
  <c r="K155" i="47"/>
  <c r="J36" i="47"/>
  <c r="L62" i="47"/>
  <c r="J154" i="47"/>
  <c r="J46" i="47"/>
  <c r="L79" i="47"/>
  <c r="M134" i="47"/>
  <c r="J27" i="47"/>
  <c r="L18" i="47"/>
  <c r="K10" i="47"/>
  <c r="J62" i="47"/>
  <c r="L174" i="47"/>
  <c r="L99" i="47"/>
  <c r="K162" i="47"/>
  <c r="J37" i="47"/>
  <c r="M83" i="47"/>
  <c r="K56" i="47"/>
  <c r="L115" i="47"/>
  <c r="L73" i="47"/>
  <c r="K42" i="47"/>
  <c r="J112" i="47"/>
  <c r="K107" i="47"/>
  <c r="J149" i="47"/>
  <c r="K116" i="47"/>
  <c r="M114" i="47"/>
  <c r="J172" i="47"/>
  <c r="K27" i="47"/>
  <c r="M174" i="47"/>
  <c r="J23" i="47"/>
  <c r="K167" i="47"/>
  <c r="J108" i="47"/>
  <c r="M163" i="47"/>
  <c r="K35" i="47"/>
  <c r="M76" i="47"/>
  <c r="M169" i="47"/>
  <c r="K121" i="47"/>
  <c r="L143" i="47"/>
  <c r="K112" i="47"/>
  <c r="L107" i="47"/>
  <c r="L64" i="47"/>
  <c r="J173" i="47"/>
  <c r="J97" i="47"/>
  <c r="M64" i="47"/>
  <c r="L47" i="47"/>
  <c r="M168" i="47"/>
  <c r="J140" i="47"/>
  <c r="L29" i="47"/>
  <c r="L27" i="47"/>
  <c r="K52" i="47"/>
  <c r="J26" i="47"/>
  <c r="M143" i="47"/>
  <c r="K143" i="47"/>
  <c r="M15" i="47"/>
  <c r="M99" i="47"/>
  <c r="M60" i="47"/>
  <c r="M131" i="47"/>
  <c r="M97" i="47"/>
  <c r="M101" i="47"/>
  <c r="L83" i="47"/>
  <c r="L140" i="47"/>
  <c r="J92" i="47"/>
  <c r="M104" i="47"/>
  <c r="J9" i="47"/>
  <c r="J84" i="47"/>
  <c r="K65" i="47"/>
  <c r="L170" i="47"/>
  <c r="M18" i="47"/>
  <c r="J146" i="47"/>
  <c r="J145" i="47"/>
  <c r="J50" i="47"/>
  <c r="J29" i="47"/>
  <c r="J133" i="47"/>
  <c r="J118" i="47"/>
  <c r="K85" i="47"/>
  <c r="K97" i="47"/>
  <c r="L125" i="47"/>
  <c r="L12" i="47"/>
  <c r="K39" i="47"/>
  <c r="L172" i="47"/>
  <c r="K4" i="47"/>
  <c r="J167" i="47"/>
  <c r="L86" i="47"/>
  <c r="L150" i="47"/>
  <c r="M113" i="47"/>
  <c r="L156" i="47"/>
  <c r="L123" i="47"/>
  <c r="J121" i="47"/>
  <c r="L55" i="47"/>
  <c r="L50" i="47"/>
  <c r="M176" i="47"/>
  <c r="L45" i="47"/>
  <c r="J12" i="47"/>
  <c r="M42" i="47"/>
  <c r="K132" i="47"/>
  <c r="L90" i="47"/>
  <c r="L149" i="47"/>
  <c r="J7" i="47"/>
  <c r="J107" i="47"/>
  <c r="J71" i="47"/>
  <c r="M162" i="47"/>
  <c r="K103" i="47"/>
  <c r="M34" i="47"/>
  <c r="K90" i="47"/>
  <c r="L14" i="47"/>
  <c r="M159" i="47"/>
  <c r="L177" i="47"/>
  <c r="J106" i="47"/>
  <c r="L162" i="47"/>
  <c r="L109" i="47"/>
  <c r="L114" i="47"/>
  <c r="M79" i="47"/>
  <c r="J122" i="47"/>
  <c r="J25" i="47"/>
  <c r="K118" i="47"/>
  <c r="K104" i="47"/>
  <c r="L132" i="47"/>
  <c r="L17" i="47"/>
  <c r="K34" i="47"/>
  <c r="K60" i="47"/>
  <c r="M45" i="47"/>
  <c r="M172" i="47"/>
  <c r="K67" i="47"/>
  <c r="K72" i="47"/>
  <c r="L110" i="47"/>
  <c r="L57" i="47"/>
  <c r="K78" i="47"/>
  <c r="J54" i="47"/>
  <c r="J78" i="47"/>
  <c r="M115" i="47"/>
  <c r="K169" i="47"/>
  <c r="L36" i="47"/>
  <c r="L127" i="47"/>
  <c r="L111" i="47"/>
  <c r="J66" i="47"/>
  <c r="J96" i="47"/>
  <c r="L49" i="47"/>
  <c r="M9" i="47"/>
  <c r="L96" i="47"/>
  <c r="M54" i="47"/>
  <c r="M40" i="47"/>
  <c r="M52" i="47"/>
  <c r="M117" i="47"/>
  <c r="M30" i="47"/>
  <c r="M44" i="47"/>
  <c r="L7" i="47"/>
  <c r="L19" i="47"/>
  <c r="J81" i="47"/>
  <c r="J45" i="47"/>
  <c r="L94" i="47"/>
  <c r="J61" i="47"/>
  <c r="J32" i="47"/>
  <c r="J126" i="47"/>
  <c r="K144" i="47"/>
  <c r="J16" i="47"/>
  <c r="K99" i="47"/>
  <c r="L48" i="47"/>
  <c r="J48" i="47"/>
  <c r="J90" i="47"/>
  <c r="J164" i="47"/>
  <c r="M167" i="47"/>
  <c r="K20" i="47"/>
  <c r="K18" i="47"/>
  <c r="K153" i="47"/>
  <c r="M149" i="47"/>
  <c r="L163" i="47"/>
  <c r="J13" i="47"/>
  <c r="K47" i="47"/>
  <c r="K64" i="47"/>
  <c r="J87" i="47"/>
  <c r="J39" i="47"/>
  <c r="J134" i="47"/>
  <c r="J52" i="47"/>
  <c r="M65" i="47"/>
  <c r="J93" i="47"/>
  <c r="K165" i="47"/>
  <c r="L153" i="47"/>
  <c r="K151" i="47"/>
  <c r="L74" i="47"/>
  <c r="K160" i="47"/>
  <c r="K125" i="47"/>
  <c r="J104" i="47"/>
  <c r="M22" i="47"/>
  <c r="J35" i="47"/>
  <c r="K54" i="47"/>
  <c r="L52" i="47"/>
  <c r="L21" i="47"/>
  <c r="K114" i="47"/>
  <c r="L122" i="47"/>
  <c r="J150" i="47"/>
  <c r="K177" i="47"/>
  <c r="M10" i="47"/>
  <c r="J43" i="47"/>
  <c r="J176" i="47"/>
  <c r="J63" i="47"/>
  <c r="K150" i="47"/>
  <c r="K173" i="47"/>
  <c r="J111" i="47"/>
  <c r="L102" i="47"/>
  <c r="K119" i="47"/>
  <c r="M50" i="47"/>
  <c r="L119" i="47"/>
  <c r="L166" i="47"/>
  <c r="J160" i="47"/>
  <c r="J148" i="47"/>
  <c r="K33" i="47"/>
  <c r="K111" i="47"/>
  <c r="J119" i="47"/>
  <c r="L155" i="47"/>
  <c r="M51" i="47"/>
  <c r="J166" i="47"/>
  <c r="J68" i="47"/>
  <c r="L138" i="47"/>
  <c r="M14" i="47"/>
  <c r="L126" i="47"/>
  <c r="K15" i="47"/>
  <c r="L65" i="47"/>
  <c r="L41" i="47"/>
  <c r="J91" i="47"/>
  <c r="M35" i="47"/>
  <c r="M39" i="47"/>
  <c r="M28" i="47"/>
  <c r="M20" i="47"/>
  <c r="K87" i="47"/>
  <c r="L25" i="47"/>
  <c r="L81" i="47"/>
  <c r="J132" i="47"/>
  <c r="L117" i="47"/>
  <c r="M23" i="47"/>
  <c r="L104" i="47"/>
  <c r="K12" i="47"/>
  <c r="J113" i="47"/>
  <c r="L61" i="47"/>
  <c r="K6" i="47"/>
  <c r="J158" i="47"/>
  <c r="M136" i="47"/>
  <c r="L92" i="47"/>
  <c r="K51" i="47"/>
  <c r="K57" i="47"/>
  <c r="L113" i="47"/>
  <c r="M47" i="47"/>
  <c r="M109" i="47"/>
  <c r="J15" i="47"/>
  <c r="K53" i="47"/>
  <c r="J4" i="47"/>
  <c r="L165" i="47"/>
  <c r="M36" i="47"/>
  <c r="L70" i="47"/>
  <c r="J99" i="47"/>
  <c r="K40" i="47"/>
  <c r="L145" i="47"/>
  <c r="M126" i="47"/>
  <c r="J101" i="47"/>
  <c r="J18" i="47"/>
  <c r="L129" i="47"/>
  <c r="M95" i="47"/>
  <c r="M140" i="47"/>
  <c r="L121" i="47"/>
  <c r="K71" i="47"/>
  <c r="L85" i="47"/>
  <c r="K166" i="47"/>
  <c r="M82" i="47"/>
  <c r="J124" i="47"/>
  <c r="J116" i="47"/>
  <c r="J168" i="47"/>
  <c r="K94" i="47"/>
  <c r="M63" i="47"/>
  <c r="J86" i="47"/>
  <c r="N11" i="32"/>
  <c r="J6" i="36" s="1"/>
  <c r="N21" i="32"/>
  <c r="G34" i="32"/>
  <c r="K5" i="36"/>
  <c r="Z81" i="55" s="1"/>
  <c r="N7" i="32"/>
  <c r="J2" i="36" s="1"/>
  <c r="Y15" i="55" s="1"/>
  <c r="H40" i="32"/>
  <c r="H41" i="32" s="1"/>
  <c r="N19" i="32"/>
  <c r="I6" i="35" s="1"/>
  <c r="AL146" i="55" s="1"/>
  <c r="H3" i="33"/>
  <c r="N3" i="33" s="1"/>
  <c r="H3" i="34"/>
  <c r="AX41" i="55" s="1"/>
  <c r="J4" i="35"/>
  <c r="AM67" i="55" s="1"/>
  <c r="H2" i="34"/>
  <c r="AX10" i="55" s="1"/>
  <c r="J7" i="35"/>
  <c r="AM150" i="55" s="1"/>
  <c r="J3" i="35"/>
  <c r="J5" i="35"/>
  <c r="AM92" i="55" s="1"/>
  <c r="H4" i="34"/>
  <c r="K3" i="36"/>
  <c r="Z60" i="55" s="1"/>
  <c r="N9" i="32"/>
  <c r="J4" i="36" s="1"/>
  <c r="Y82" i="55" s="1"/>
  <c r="F2" i="34"/>
  <c r="AV10" i="55" s="1"/>
  <c r="N24" i="32"/>
  <c r="G2" i="34" s="1"/>
  <c r="AW10" i="55" s="1"/>
  <c r="I2" i="35"/>
  <c r="AL38" i="55" s="1"/>
  <c r="N8" i="32"/>
  <c r="J3" i="36" s="1"/>
  <c r="Y60" i="55" s="1"/>
  <c r="H7" i="35"/>
  <c r="AK150" i="55" s="1"/>
  <c r="I7" i="35"/>
  <c r="AL150" i="55" s="1"/>
  <c r="N17" i="32"/>
  <c r="I4" i="35" s="1"/>
  <c r="AL67" i="55" s="1"/>
  <c r="H4" i="35"/>
  <c r="AK67" i="55" s="1"/>
  <c r="H5" i="35"/>
  <c r="AK92" i="55" s="1"/>
  <c r="N18" i="32"/>
  <c r="I5" i="35" s="1"/>
  <c r="AL92" i="55" s="1"/>
  <c r="F3" i="34"/>
  <c r="AV41" i="55" s="1"/>
  <c r="N25" i="32"/>
  <c r="G3" i="34" s="1"/>
  <c r="AW41" i="55" s="1"/>
  <c r="M2" i="33"/>
  <c r="F3" i="47" l="1"/>
  <c r="M8" i="55"/>
  <c r="F4" i="47"/>
  <c r="M53" i="55"/>
  <c r="L4" i="34"/>
  <c r="AX56" i="55"/>
  <c r="N3" i="35"/>
  <c r="AM35" i="55"/>
  <c r="Y169" i="55"/>
  <c r="Y149" i="55"/>
  <c r="Y151" i="55"/>
  <c r="Y135" i="55"/>
  <c r="Y154" i="55"/>
  <c r="Y145" i="55"/>
  <c r="Y163" i="55"/>
  <c r="Y164" i="55"/>
  <c r="Y148" i="55"/>
  <c r="Y150" i="55"/>
  <c r="Y141" i="55"/>
  <c r="Y128" i="55"/>
  <c r="Y171" i="55"/>
  <c r="Y126" i="55"/>
  <c r="Y152" i="55"/>
  <c r="Y153" i="55"/>
  <c r="Y155" i="55"/>
  <c r="Y156" i="55"/>
  <c r="Y166" i="55"/>
  <c r="Y139" i="55"/>
  <c r="Y130" i="55"/>
  <c r="Y137" i="55"/>
  <c r="Y161" i="55"/>
  <c r="Y131" i="55"/>
  <c r="Y125" i="55"/>
  <c r="Y170" i="55"/>
  <c r="Y157" i="55"/>
  <c r="Y132" i="55"/>
  <c r="Y127" i="55"/>
  <c r="Y140" i="55"/>
  <c r="Y160" i="55"/>
  <c r="Y159" i="55"/>
  <c r="Y138" i="55"/>
  <c r="Y165" i="55"/>
  <c r="Y142" i="55"/>
  <c r="Y143" i="55"/>
  <c r="Y147" i="55"/>
  <c r="Y144" i="55"/>
  <c r="Y129" i="55"/>
  <c r="Y136" i="55"/>
  <c r="Y167" i="55"/>
  <c r="Y146" i="55"/>
  <c r="Y158" i="55"/>
  <c r="Y133" i="55"/>
  <c r="Y162" i="55"/>
  <c r="Y168" i="55"/>
  <c r="Y134" i="55"/>
  <c r="Z169" i="55"/>
  <c r="Z150" i="55"/>
  <c r="Z165" i="55"/>
  <c r="Z170" i="55"/>
  <c r="Z168" i="55"/>
  <c r="Z125" i="55"/>
  <c r="Z135" i="55"/>
  <c r="Z145" i="55"/>
  <c r="Z144" i="55"/>
  <c r="Z156" i="55"/>
  <c r="Z166" i="55"/>
  <c r="Z155" i="55"/>
  <c r="Z149" i="55"/>
  <c r="Z133" i="55"/>
  <c r="Z159" i="55"/>
  <c r="Z153" i="55"/>
  <c r="Z139" i="55"/>
  <c r="Z141" i="55"/>
  <c r="Z127" i="55"/>
  <c r="Z138" i="55"/>
  <c r="Z171" i="55"/>
  <c r="Z140" i="55"/>
  <c r="Z151" i="55"/>
  <c r="Z142" i="55"/>
  <c r="Z136" i="55"/>
  <c r="Z128" i="55"/>
  <c r="Z129" i="55"/>
  <c r="Z137" i="55"/>
  <c r="Z132" i="55"/>
  <c r="Z162" i="55"/>
  <c r="Z134" i="55"/>
  <c r="Z131" i="55"/>
  <c r="Z164" i="55"/>
  <c r="Z143" i="55"/>
  <c r="Z167" i="55"/>
  <c r="Z148" i="55"/>
  <c r="Z154" i="55"/>
  <c r="Z152" i="55"/>
  <c r="Z163" i="55"/>
  <c r="Z160" i="55"/>
  <c r="Z130" i="55"/>
  <c r="Z126" i="55"/>
  <c r="Z147" i="55"/>
  <c r="Z158" i="55"/>
  <c r="Z161" i="55"/>
  <c r="Z157" i="55"/>
  <c r="Z146" i="55"/>
  <c r="X147" i="55"/>
  <c r="X154" i="55"/>
  <c r="X152" i="55"/>
  <c r="X150" i="55"/>
  <c r="X137" i="55"/>
  <c r="X133" i="55"/>
  <c r="X144" i="55"/>
  <c r="X156" i="55"/>
  <c r="X135" i="55"/>
  <c r="X130" i="55"/>
  <c r="X125" i="55"/>
  <c r="X141" i="55"/>
  <c r="X157" i="55"/>
  <c r="X148" i="55"/>
  <c r="X128" i="55"/>
  <c r="X170" i="55"/>
  <c r="X158" i="55"/>
  <c r="X139" i="55"/>
  <c r="X136" i="55"/>
  <c r="X149" i="55"/>
  <c r="X166" i="55"/>
  <c r="X126" i="55"/>
  <c r="X134" i="55"/>
  <c r="X145" i="55"/>
  <c r="X142" i="55"/>
  <c r="X163" i="55"/>
  <c r="X127" i="55"/>
  <c r="X155" i="55"/>
  <c r="X161" i="55"/>
  <c r="X169" i="55"/>
  <c r="X165" i="55"/>
  <c r="X146" i="55"/>
  <c r="X171" i="55"/>
  <c r="X143" i="55"/>
  <c r="X167" i="55"/>
  <c r="X138" i="55"/>
  <c r="X131" i="55"/>
  <c r="X160" i="55"/>
  <c r="X132" i="55"/>
  <c r="X162" i="55"/>
  <c r="X140" i="55"/>
  <c r="X168" i="55"/>
  <c r="X153" i="55"/>
  <c r="X164" i="55"/>
  <c r="X159" i="55"/>
  <c r="X151" i="55"/>
  <c r="X129" i="55"/>
  <c r="K5" i="35"/>
  <c r="N5" i="35"/>
  <c r="AN95" i="55" s="1"/>
  <c r="N6" i="35"/>
  <c r="AN148" i="55" s="1"/>
  <c r="N4" i="35"/>
  <c r="L6" i="36"/>
  <c r="N7" i="35"/>
  <c r="AN151" i="55" s="1"/>
  <c r="O6" i="36"/>
  <c r="O5" i="36"/>
  <c r="AA77" i="55" s="1"/>
  <c r="O4" i="36"/>
  <c r="AA82" i="55" s="1"/>
  <c r="L4" i="36"/>
  <c r="L5" i="36"/>
  <c r="L2" i="34"/>
  <c r="AY10" i="55" s="1"/>
  <c r="L3" i="34"/>
  <c r="AY41" i="55" s="1"/>
  <c r="K6" i="35"/>
  <c r="L6" i="35" s="1"/>
  <c r="K7" i="35"/>
  <c r="K4" i="35"/>
  <c r="M4" i="35" s="1"/>
  <c r="M3" i="33"/>
  <c r="K3" i="35"/>
  <c r="L3" i="35" s="1"/>
  <c r="I4" i="34"/>
  <c r="K4" i="34" s="1"/>
  <c r="J40" i="32"/>
  <c r="J41" i="32" s="1"/>
  <c r="I40" i="32"/>
  <c r="I41" i="32" s="1"/>
  <c r="I3" i="34"/>
  <c r="J3" i="34" s="1"/>
  <c r="L3" i="36"/>
  <c r="J2" i="35"/>
  <c r="I2" i="34"/>
  <c r="AY56" i="55" l="1"/>
  <c r="AY59" i="55"/>
  <c r="AP104" i="47"/>
  <c r="AN39" i="55"/>
  <c r="A93" i="47"/>
  <c r="A87" i="47"/>
  <c r="A83" i="47"/>
  <c r="A51" i="47"/>
  <c r="A61" i="47"/>
  <c r="A52" i="47"/>
  <c r="A54" i="47"/>
  <c r="A33" i="47"/>
  <c r="A95" i="47"/>
  <c r="A96" i="47"/>
  <c r="A89" i="47"/>
  <c r="A15" i="47"/>
  <c r="A67" i="47"/>
  <c r="A80" i="47"/>
  <c r="A71" i="47"/>
  <c r="A29" i="47"/>
  <c r="A13" i="47"/>
  <c r="A44" i="47"/>
  <c r="A38" i="47"/>
  <c r="A64" i="47"/>
  <c r="A28" i="47"/>
  <c r="A60" i="47"/>
  <c r="A98" i="47"/>
  <c r="A99" i="47"/>
  <c r="A4" i="47"/>
  <c r="A36" i="47"/>
  <c r="A66" i="47"/>
  <c r="A23" i="47"/>
  <c r="A58" i="47"/>
  <c r="A12" i="47"/>
  <c r="A94" i="47"/>
  <c r="A84" i="47"/>
  <c r="A21" i="47"/>
  <c r="A49" i="47"/>
  <c r="A55" i="47"/>
  <c r="A26" i="47"/>
  <c r="A39" i="47"/>
  <c r="A6" i="47"/>
  <c r="A77" i="47"/>
  <c r="A59" i="47"/>
  <c r="A48" i="47"/>
  <c r="A9" i="47"/>
  <c r="A35" i="47"/>
  <c r="A16" i="47"/>
  <c r="A85" i="47"/>
  <c r="A70" i="47"/>
  <c r="A17" i="47"/>
  <c r="A20" i="47"/>
  <c r="A14" i="47"/>
  <c r="A74" i="47"/>
  <c r="A101" i="47"/>
  <c r="A102" i="47"/>
  <c r="A100" i="47"/>
  <c r="AP5" i="47"/>
  <c r="A62" i="47"/>
  <c r="A53" i="47"/>
  <c r="A65" i="47"/>
  <c r="A40" i="47"/>
  <c r="A79" i="47"/>
  <c r="A75" i="47"/>
  <c r="A5" i="47"/>
  <c r="A68" i="47"/>
  <c r="A57" i="47"/>
  <c r="A42" i="47"/>
  <c r="A43" i="47"/>
  <c r="A47" i="47"/>
  <c r="A63" i="47"/>
  <c r="A27" i="47"/>
  <c r="A72" i="47"/>
  <c r="A81" i="47"/>
  <c r="A82" i="47"/>
  <c r="A92" i="47"/>
  <c r="A50" i="47"/>
  <c r="A32" i="47"/>
  <c r="A37" i="47"/>
  <c r="A24" i="47"/>
  <c r="A91" i="47"/>
  <c r="A46" i="47"/>
  <c r="A7" i="47"/>
  <c r="A30" i="47"/>
  <c r="A25" i="47"/>
  <c r="A8" i="47"/>
  <c r="A45" i="47"/>
  <c r="A41" i="47"/>
  <c r="A22" i="47"/>
  <c r="A73" i="47"/>
  <c r="A78" i="47"/>
  <c r="A88" i="47"/>
  <c r="A90" i="47"/>
  <c r="A3" i="47"/>
  <c r="A11" i="47"/>
  <c r="A19" i="47"/>
  <c r="A34" i="47"/>
  <c r="A31" i="47"/>
  <c r="A18" i="47"/>
  <c r="A10" i="47"/>
  <c r="A69" i="47"/>
  <c r="A56" i="47"/>
  <c r="A97" i="47"/>
  <c r="A76" i="47"/>
  <c r="A86" i="47"/>
  <c r="T6" i="47"/>
  <c r="AN92" i="55"/>
  <c r="T7" i="47"/>
  <c r="AN146" i="55"/>
  <c r="N2" i="35"/>
  <c r="AM38" i="55"/>
  <c r="M6" i="47"/>
  <c r="AA81" i="55"/>
  <c r="M7" i="47"/>
  <c r="AA160" i="55"/>
  <c r="AA126" i="55"/>
  <c r="AA137" i="55"/>
  <c r="AA136" i="55"/>
  <c r="AA143" i="55"/>
  <c r="AA165" i="55"/>
  <c r="AA140" i="55"/>
  <c r="AA155" i="55"/>
  <c r="AA138" i="55"/>
  <c r="AA170" i="55"/>
  <c r="AA161" i="55"/>
  <c r="AA129" i="55"/>
  <c r="AA128" i="55"/>
  <c r="AA135" i="55"/>
  <c r="AA157" i="55"/>
  <c r="AA132" i="55"/>
  <c r="AA147" i="55"/>
  <c r="AA130" i="55"/>
  <c r="AA142" i="55"/>
  <c r="AA133" i="55"/>
  <c r="AA150" i="55"/>
  <c r="AA149" i="55"/>
  <c r="AA139" i="55"/>
  <c r="AA141" i="55"/>
  <c r="AA131" i="55"/>
  <c r="AA127" i="55"/>
  <c r="AA125" i="55"/>
  <c r="AA166" i="55"/>
  <c r="AA134" i="55"/>
  <c r="AA153" i="55"/>
  <c r="AA152" i="55"/>
  <c r="AA159" i="55"/>
  <c r="AA156" i="55"/>
  <c r="AA171" i="55"/>
  <c r="AA154" i="55"/>
  <c r="AA169" i="55"/>
  <c r="AA158" i="55"/>
  <c r="AA145" i="55"/>
  <c r="AA144" i="55"/>
  <c r="AA151" i="55"/>
  <c r="AA148" i="55"/>
  <c r="AA163" i="55"/>
  <c r="AA146" i="55"/>
  <c r="AA168" i="55"/>
  <c r="AA167" i="55"/>
  <c r="AA164" i="55"/>
  <c r="AA162" i="55"/>
  <c r="T8" i="47"/>
  <c r="AN150" i="55"/>
  <c r="T5" i="47"/>
  <c r="AN67" i="55"/>
  <c r="T4" i="47"/>
  <c r="AN35" i="55"/>
  <c r="AA5" i="47"/>
  <c r="M5" i="47"/>
  <c r="AA3" i="47"/>
  <c r="AP3" i="47"/>
  <c r="AP107" i="47"/>
  <c r="AP106" i="47"/>
  <c r="AP108" i="47"/>
  <c r="AP105" i="47"/>
  <c r="AA4" i="47"/>
  <c r="AP4" i="47"/>
  <c r="AP103" i="47"/>
  <c r="M6" i="36"/>
  <c r="N6" i="36"/>
  <c r="O2" i="36"/>
  <c r="N3" i="36"/>
  <c r="M3" i="36"/>
  <c r="N5" i="36"/>
  <c r="M5" i="36"/>
  <c r="M4" i="36"/>
  <c r="N4" i="36"/>
  <c r="O3" i="36"/>
  <c r="M3" i="35"/>
  <c r="M6" i="35"/>
  <c r="K2" i="35"/>
  <c r="L2" i="35" s="1"/>
  <c r="J4" i="34"/>
  <c r="L4" i="35"/>
  <c r="L2" i="36"/>
  <c r="M2" i="36" s="1"/>
  <c r="K3" i="34"/>
  <c r="M5" i="35"/>
  <c r="L5" i="35"/>
  <c r="M7" i="35"/>
  <c r="L7" i="35"/>
  <c r="K2" i="34"/>
  <c r="J2" i="34"/>
  <c r="AN38" i="55" l="1"/>
  <c r="AN34" i="55"/>
  <c r="AA15" i="55"/>
  <c r="AA14" i="55"/>
  <c r="M8" i="54"/>
  <c r="B8" i="44"/>
  <c r="B53" i="44"/>
  <c r="E8" i="44"/>
  <c r="C8" i="44"/>
  <c r="B8" i="54"/>
  <c r="C8" i="54" s="1"/>
  <c r="E7" i="48"/>
  <c r="AL7" i="48" s="1"/>
  <c r="E53" i="44"/>
  <c r="C58" i="44"/>
  <c r="C36" i="48"/>
  <c r="E53" i="48"/>
  <c r="D2" i="44"/>
  <c r="D61" i="54"/>
  <c r="D2" i="55"/>
  <c r="B50" i="44"/>
  <c r="D35" i="44"/>
  <c r="E41" i="44"/>
  <c r="B8" i="48"/>
  <c r="AI8" i="48" s="1"/>
  <c r="D8" i="48"/>
  <c r="AK8" i="48" s="1"/>
  <c r="E11" i="44"/>
  <c r="C43" i="44"/>
  <c r="B43" i="44"/>
  <c r="E8" i="48"/>
  <c r="AL8" i="48" s="1"/>
  <c r="D8" i="55"/>
  <c r="B2" i="44"/>
  <c r="D61" i="44"/>
  <c r="D6" i="44"/>
  <c r="B61" i="48"/>
  <c r="D33" i="44"/>
  <c r="C47" i="44"/>
  <c r="D37" i="44"/>
  <c r="B53" i="48"/>
  <c r="E43" i="44"/>
  <c r="D8" i="44"/>
  <c r="C53" i="44"/>
  <c r="C8" i="48"/>
  <c r="D8" i="54"/>
  <c r="B26" i="44"/>
  <c r="D53" i="44"/>
  <c r="C53" i="48"/>
  <c r="C31" i="48"/>
  <c r="C31" i="44"/>
  <c r="D48" i="44"/>
  <c r="B32" i="44"/>
  <c r="C16" i="44"/>
  <c r="C38" i="44"/>
  <c r="C49" i="44"/>
  <c r="E14" i="44"/>
  <c r="B32" i="48"/>
  <c r="AI32" i="48" s="1"/>
  <c r="C74" i="48"/>
  <c r="B43" i="48"/>
  <c r="D18" i="44"/>
  <c r="D7" i="44"/>
  <c r="M35" i="54"/>
  <c r="D46" i="44"/>
  <c r="C41" i="44"/>
  <c r="B7" i="44"/>
  <c r="B66" i="48"/>
  <c r="C32" i="44"/>
  <c r="C10" i="44"/>
  <c r="E16" i="48"/>
  <c r="AL16" i="48" s="1"/>
  <c r="E61" i="48"/>
  <c r="B2" i="48"/>
  <c r="B74" i="44"/>
  <c r="C21" i="44"/>
  <c r="C71" i="44"/>
  <c r="B24" i="44"/>
  <c r="E22" i="44"/>
  <c r="E6" i="44"/>
  <c r="C6" i="48"/>
  <c r="D27" i="55"/>
  <c r="E54" i="44"/>
  <c r="D43" i="44"/>
  <c r="B70" i="44"/>
  <c r="B12" i="44"/>
  <c r="B30" i="44"/>
  <c r="E16" i="44"/>
  <c r="C2" i="44"/>
  <c r="E37" i="44"/>
  <c r="B47" i="48"/>
  <c r="E37" i="48"/>
  <c r="AL37" i="48" s="1"/>
  <c r="D32" i="48"/>
  <c r="AK32" i="48" s="1"/>
  <c r="D27" i="54"/>
  <c r="C48" i="44"/>
  <c r="D27" i="44"/>
  <c r="C3" i="44"/>
  <c r="D16" i="44"/>
  <c r="C43" i="48"/>
  <c r="C16" i="48"/>
  <c r="E29" i="44"/>
  <c r="D63" i="44"/>
  <c r="B63" i="44"/>
  <c r="C35" i="44"/>
  <c r="B37" i="44"/>
  <c r="C27" i="44"/>
  <c r="D66" i="44"/>
  <c r="C61" i="44"/>
  <c r="C59" i="44"/>
  <c r="C4" i="48"/>
  <c r="C27" i="48"/>
  <c r="D7" i="48"/>
  <c r="AK7" i="48" s="1"/>
  <c r="D7" i="54"/>
  <c r="B46" i="44"/>
  <c r="B35" i="44"/>
  <c r="E58" i="44"/>
  <c r="E46" i="44"/>
  <c r="C46" i="44"/>
  <c r="D32" i="44"/>
  <c r="B47" i="44"/>
  <c r="E26" i="44"/>
  <c r="D52" i="44"/>
  <c r="E27" i="44"/>
  <c r="C45" i="44"/>
  <c r="B27" i="44"/>
  <c r="D38" i="44"/>
  <c r="D76" i="44"/>
  <c r="C18" i="44"/>
  <c r="D21" i="44"/>
  <c r="E33" i="44"/>
  <c r="C20" i="44"/>
  <c r="E32" i="44"/>
  <c r="B36" i="44"/>
  <c r="B6" i="44"/>
  <c r="E7" i="44"/>
  <c r="C61" i="48"/>
  <c r="E32" i="48"/>
  <c r="E31" i="48"/>
  <c r="AL31" i="48" s="1"/>
  <c r="B37" i="48"/>
  <c r="AI37" i="48" s="1"/>
  <c r="E36" i="48"/>
  <c r="C70" i="48"/>
  <c r="D43" i="48"/>
  <c r="C44" i="44"/>
  <c r="E72" i="44"/>
  <c r="B51" i="44"/>
  <c r="B38" i="44"/>
  <c r="E73" i="44"/>
  <c r="E55" i="44"/>
  <c r="B41" i="44"/>
  <c r="D36" i="44"/>
  <c r="B66" i="44"/>
  <c r="E18" i="44"/>
  <c r="C37" i="44"/>
  <c r="C6" i="44"/>
  <c r="E66" i="44"/>
  <c r="E2" i="44"/>
  <c r="C37" i="48"/>
  <c r="B6" i="48"/>
  <c r="AI6" i="48" s="1"/>
  <c r="C47" i="48"/>
  <c r="E2" i="48"/>
  <c r="AL2" i="48" s="1"/>
  <c r="D35" i="54"/>
  <c r="E56" i="44"/>
  <c r="D80" i="44"/>
  <c r="E12" i="44"/>
  <c r="D5" i="44"/>
  <c r="C7" i="44"/>
  <c r="D44" i="44"/>
  <c r="D47" i="44"/>
  <c r="B3" i="44"/>
  <c r="D65" i="44"/>
  <c r="E69" i="44"/>
  <c r="B16" i="44"/>
  <c r="E61" i="44"/>
  <c r="E35" i="44"/>
  <c r="E36" i="44"/>
  <c r="C66" i="44"/>
  <c r="B16" i="48"/>
  <c r="AI16" i="48" s="1"/>
  <c r="B31" i="48"/>
  <c r="AI31" i="48" s="1"/>
  <c r="C2" i="48"/>
  <c r="B36" i="48"/>
  <c r="AI36" i="48" s="1"/>
  <c r="C7" i="48"/>
  <c r="D16" i="48"/>
  <c r="AK16" i="48" s="1"/>
  <c r="T3" i="47"/>
  <c r="O188" i="47" s="1"/>
  <c r="M16" i="54"/>
  <c r="C75" i="44"/>
  <c r="C56" i="44"/>
  <c r="B39" i="44"/>
  <c r="E42" i="44"/>
  <c r="E47" i="44"/>
  <c r="B61" i="44"/>
  <c r="D24" i="44"/>
  <c r="D10" i="44"/>
  <c r="C36" i="44"/>
  <c r="E31" i="44"/>
  <c r="B31" i="44"/>
  <c r="E5" i="44"/>
  <c r="D31" i="44"/>
  <c r="B7" i="48"/>
  <c r="AI7" i="48" s="1"/>
  <c r="E6" i="48"/>
  <c r="C32" i="48"/>
  <c r="E43" i="48"/>
  <c r="D31" i="48"/>
  <c r="AK31" i="48" s="1"/>
  <c r="B75" i="44"/>
  <c r="E97" i="48"/>
  <c r="D94" i="48"/>
  <c r="D43" i="55"/>
  <c r="B18" i="44"/>
  <c r="B20" i="44"/>
  <c r="E25" i="48"/>
  <c r="AL25" i="48" s="1"/>
  <c r="E66" i="48"/>
  <c r="D61" i="48"/>
  <c r="D70" i="48"/>
  <c r="D6" i="54"/>
  <c r="M47" i="54"/>
  <c r="B37" i="54"/>
  <c r="C37" i="54" s="1"/>
  <c r="D43" i="54"/>
  <c r="D22" i="54"/>
  <c r="D31" i="54"/>
  <c r="D37" i="55"/>
  <c r="D54" i="55"/>
  <c r="D9" i="44"/>
  <c r="C9" i="44"/>
  <c r="B10" i="44"/>
  <c r="B73" i="44"/>
  <c r="C51" i="44"/>
  <c r="E71" i="48"/>
  <c r="B35" i="48"/>
  <c r="AI35" i="48" s="1"/>
  <c r="E35" i="48"/>
  <c r="AL35" i="48" s="1"/>
  <c r="D53" i="48"/>
  <c r="D6" i="48"/>
  <c r="AK6" i="48" s="1"/>
  <c r="M27" i="54"/>
  <c r="M36" i="54"/>
  <c r="B61" i="54"/>
  <c r="C61" i="54" s="1"/>
  <c r="B27" i="54"/>
  <c r="C27" i="54" s="1"/>
  <c r="M37" i="54"/>
  <c r="D53" i="55"/>
  <c r="D6" i="55"/>
  <c r="D73" i="44"/>
  <c r="C11" i="44"/>
  <c r="D42" i="44"/>
  <c r="E80" i="44"/>
  <c r="B71" i="48"/>
  <c r="E47" i="48"/>
  <c r="B27" i="48"/>
  <c r="AI27" i="48" s="1"/>
  <c r="E27" i="48"/>
  <c r="AL27" i="48" s="1"/>
  <c r="D27" i="48"/>
  <c r="AK27" i="48" s="1"/>
  <c r="D37" i="48"/>
  <c r="AK37" i="48" s="1"/>
  <c r="D36" i="48"/>
  <c r="AK36" i="48" s="1"/>
  <c r="D2" i="54"/>
  <c r="M6" i="54"/>
  <c r="B35" i="54"/>
  <c r="C35" i="54" s="1"/>
  <c r="D16" i="54"/>
  <c r="M43" i="54"/>
  <c r="M66" i="54"/>
  <c r="M53" i="54"/>
  <c r="D61" i="55"/>
  <c r="B67" i="44"/>
  <c r="C17" i="44"/>
  <c r="D56" i="44"/>
  <c r="E75" i="44"/>
  <c r="B23" i="44"/>
  <c r="B57" i="48"/>
  <c r="B19" i="48"/>
  <c r="AI19" i="48" s="1"/>
  <c r="B98" i="48"/>
  <c r="D35" i="48"/>
  <c r="AK35" i="48" s="1"/>
  <c r="D12" i="48"/>
  <c r="AK12" i="48" s="1"/>
  <c r="B6" i="54"/>
  <c r="C6" i="54" s="1"/>
  <c r="B66" i="54"/>
  <c r="C66" i="54" s="1"/>
  <c r="B53" i="54"/>
  <c r="C53" i="54" s="1"/>
  <c r="B2" i="54"/>
  <c r="C2" i="54" s="1"/>
  <c r="B47" i="54"/>
  <c r="C47" i="54" s="1"/>
  <c r="B36" i="54"/>
  <c r="C36" i="54" s="1"/>
  <c r="M61" i="54"/>
  <c r="D32" i="55"/>
  <c r="E77" i="44"/>
  <c r="D42" i="54"/>
  <c r="C92" i="48"/>
  <c r="D66" i="48"/>
  <c r="M2" i="54"/>
  <c r="B16" i="54"/>
  <c r="C16" i="54" s="1"/>
  <c r="B7" i="54"/>
  <c r="C7" i="54" s="1"/>
  <c r="M31" i="54"/>
  <c r="D37" i="54"/>
  <c r="D66" i="54"/>
  <c r="D67" i="44"/>
  <c r="B72" i="44"/>
  <c r="C50" i="44"/>
  <c r="E40" i="44"/>
  <c r="B59" i="44"/>
  <c r="C25" i="48"/>
  <c r="E44" i="48"/>
  <c r="D47" i="48"/>
  <c r="M9" i="54"/>
  <c r="M7" i="54"/>
  <c r="D32" i="54"/>
  <c r="M32" i="54"/>
  <c r="D53" i="54"/>
  <c r="B73" i="54"/>
  <c r="C73" i="54" s="1"/>
  <c r="D16" i="55"/>
  <c r="D31" i="55"/>
  <c r="B29" i="44"/>
  <c r="B22" i="44"/>
  <c r="B25" i="44"/>
  <c r="E19" i="44"/>
  <c r="E64" i="44"/>
  <c r="E51" i="44"/>
  <c r="C35" i="48"/>
  <c r="C66" i="48"/>
  <c r="B51" i="48"/>
  <c r="E59" i="48"/>
  <c r="D2" i="48"/>
  <c r="AK2" i="48" s="1"/>
  <c r="D47" i="54"/>
  <c r="B32" i="54"/>
  <c r="C32" i="54" s="1"/>
  <c r="D36" i="54"/>
  <c r="B31" i="54"/>
  <c r="C31" i="54" s="1"/>
  <c r="B43" i="54"/>
  <c r="C43" i="54" s="1"/>
  <c r="D78" i="54"/>
  <c r="D36" i="55"/>
  <c r="D74" i="55"/>
  <c r="D72" i="44"/>
  <c r="B65" i="44"/>
  <c r="E59" i="44"/>
  <c r="D64" i="44"/>
  <c r="B71" i="44"/>
  <c r="D49" i="44"/>
  <c r="C23" i="44"/>
  <c r="B5" i="44"/>
  <c r="D22" i="44"/>
  <c r="C72" i="44"/>
  <c r="C55" i="44"/>
  <c r="C79" i="44"/>
  <c r="C24" i="44"/>
  <c r="E3" i="44"/>
  <c r="E23" i="44"/>
  <c r="C73" i="44"/>
  <c r="C14" i="44"/>
  <c r="C63" i="44"/>
  <c r="B64" i="44"/>
  <c r="E15" i="44"/>
  <c r="B77" i="44"/>
  <c r="C4" i="44"/>
  <c r="B62" i="44"/>
  <c r="B13" i="44"/>
  <c r="C54" i="44"/>
  <c r="C57" i="44"/>
  <c r="B17" i="48"/>
  <c r="AI17" i="48" s="1"/>
  <c r="E65" i="48"/>
  <c r="E64" i="48"/>
  <c r="B39" i="48"/>
  <c r="AI39" i="48" s="1"/>
  <c r="C11" i="48"/>
  <c r="B38" i="48"/>
  <c r="AI38" i="48" s="1"/>
  <c r="E46" i="48"/>
  <c r="C89" i="48"/>
  <c r="B100" i="48"/>
  <c r="B34" i="48"/>
  <c r="AI34" i="48" s="1"/>
  <c r="E10" i="48"/>
  <c r="AL10" i="48" s="1"/>
  <c r="D21" i="48"/>
  <c r="AK21" i="48" s="1"/>
  <c r="D50" i="48"/>
  <c r="B63" i="54"/>
  <c r="C63" i="54" s="1"/>
  <c r="M40" i="54"/>
  <c r="D71" i="54"/>
  <c r="D17" i="55"/>
  <c r="B79" i="44"/>
  <c r="B28" i="44"/>
  <c r="E28" i="44"/>
  <c r="E39" i="44"/>
  <c r="D77" i="44"/>
  <c r="E60" i="44"/>
  <c r="E25" i="44"/>
  <c r="E78" i="44"/>
  <c r="D17" i="44"/>
  <c r="B45" i="44"/>
  <c r="D55" i="44"/>
  <c r="D19" i="44"/>
  <c r="C28" i="44"/>
  <c r="E50" i="44"/>
  <c r="D41" i="44"/>
  <c r="C67" i="44"/>
  <c r="D11" i="44"/>
  <c r="D29" i="44"/>
  <c r="C65" i="44"/>
  <c r="E62" i="44"/>
  <c r="C93" i="48"/>
  <c r="E33" i="48"/>
  <c r="AL33" i="48" s="1"/>
  <c r="C100" i="48"/>
  <c r="E40" i="48"/>
  <c r="E95" i="48"/>
  <c r="E14" i="48"/>
  <c r="AL14" i="48" s="1"/>
  <c r="C57" i="48"/>
  <c r="B68" i="48"/>
  <c r="E76" i="48"/>
  <c r="E91" i="48"/>
  <c r="D75" i="48"/>
  <c r="M68" i="54"/>
  <c r="B29" i="54"/>
  <c r="C29" i="54" s="1"/>
  <c r="B78" i="54"/>
  <c r="C78" i="54" s="1"/>
  <c r="B74" i="54"/>
  <c r="C74" i="54" s="1"/>
  <c r="D45" i="54"/>
  <c r="B80" i="54"/>
  <c r="C80" i="54" s="1"/>
  <c r="B60" i="54"/>
  <c r="C60" i="54" s="1"/>
  <c r="M34" i="54"/>
  <c r="B65" i="54"/>
  <c r="C65" i="54" s="1"/>
  <c r="B46" i="54"/>
  <c r="C46" i="54" s="1"/>
  <c r="M21" i="54"/>
  <c r="M60" i="54"/>
  <c r="D21" i="54"/>
  <c r="D40" i="54"/>
  <c r="B57" i="54"/>
  <c r="C57" i="54" s="1"/>
  <c r="M23" i="54"/>
  <c r="B55" i="54"/>
  <c r="C55" i="54" s="1"/>
  <c r="D20" i="54"/>
  <c r="B34" i="54"/>
  <c r="C34" i="54" s="1"/>
  <c r="B50" i="54"/>
  <c r="C50" i="54" s="1"/>
  <c r="B20" i="54"/>
  <c r="C20" i="54" s="1"/>
  <c r="B4" i="54"/>
  <c r="C4" i="54" s="1"/>
  <c r="D15" i="54"/>
  <c r="M46" i="54"/>
  <c r="B11" i="54"/>
  <c r="C11" i="54" s="1"/>
  <c r="D40" i="48"/>
  <c r="AK40" i="48" s="1"/>
  <c r="D3" i="48"/>
  <c r="AK3" i="48" s="1"/>
  <c r="D100" i="48"/>
  <c r="D48" i="48"/>
  <c r="D81" i="48"/>
  <c r="D51" i="48"/>
  <c r="D45" i="48"/>
  <c r="D14" i="48"/>
  <c r="AK14" i="48" s="1"/>
  <c r="D88" i="48"/>
  <c r="D11" i="48"/>
  <c r="AK11" i="48" s="1"/>
  <c r="E34" i="48"/>
  <c r="AL34" i="48" s="1"/>
  <c r="E98" i="48"/>
  <c r="C62" i="48"/>
  <c r="B26" i="48"/>
  <c r="AI26" i="48" s="1"/>
  <c r="B90" i="48"/>
  <c r="E51" i="48"/>
  <c r="C15" i="48"/>
  <c r="C79" i="48"/>
  <c r="E4" i="48"/>
  <c r="AL4" i="48" s="1"/>
  <c r="E68" i="48"/>
  <c r="C96" i="48"/>
  <c r="B60" i="48"/>
  <c r="E21" i="48"/>
  <c r="AL21" i="48" s="1"/>
  <c r="E85" i="48"/>
  <c r="C49" i="48"/>
  <c r="B13" i="48"/>
  <c r="AI13" i="48" s="1"/>
  <c r="B77" i="48"/>
  <c r="E38" i="48"/>
  <c r="AL38" i="48" s="1"/>
  <c r="B30" i="48"/>
  <c r="AI30" i="48" s="1"/>
  <c r="B94" i="48"/>
  <c r="E63" i="48"/>
  <c r="C99" i="48"/>
  <c r="B63" i="48"/>
  <c r="E96" i="48"/>
  <c r="C60" i="48"/>
  <c r="B24" i="48"/>
  <c r="AI24" i="48" s="1"/>
  <c r="B88" i="48"/>
  <c r="E57" i="48"/>
  <c r="C21" i="48"/>
  <c r="C85" i="48"/>
  <c r="B49" i="48"/>
  <c r="D71" i="44"/>
  <c r="D60" i="44"/>
  <c r="C29" i="44"/>
  <c r="D79" i="44"/>
  <c r="D68" i="44"/>
  <c r="C39" i="44"/>
  <c r="D69" i="55"/>
  <c r="D77" i="55"/>
  <c r="D73" i="55"/>
  <c r="D70" i="55"/>
  <c r="D15" i="55"/>
  <c r="D51" i="55"/>
  <c r="D79" i="54"/>
  <c r="D50" i="54"/>
  <c r="D34" i="54"/>
  <c r="B72" i="54"/>
  <c r="C72" i="54" s="1"/>
  <c r="D41" i="54"/>
  <c r="M71" i="54"/>
  <c r="B56" i="54"/>
  <c r="C56" i="54" s="1"/>
  <c r="B59" i="54"/>
  <c r="C59" i="54" s="1"/>
  <c r="M30" i="54"/>
  <c r="D60" i="54"/>
  <c r="B45" i="54"/>
  <c r="C45" i="54" s="1"/>
  <c r="M19" i="54"/>
  <c r="M59" i="54"/>
  <c r="D19" i="54"/>
  <c r="D3" i="54"/>
  <c r="M39" i="54"/>
  <c r="D56" i="54"/>
  <c r="B21" i="54"/>
  <c r="C21" i="54" s="1"/>
  <c r="M54" i="54"/>
  <c r="D17" i="54"/>
  <c r="D28" i="54"/>
  <c r="M48" i="54"/>
  <c r="M18" i="54"/>
  <c r="M4" i="54"/>
  <c r="M33" i="54"/>
  <c r="B28" i="54"/>
  <c r="C28" i="54" s="1"/>
  <c r="D25" i="48"/>
  <c r="AK25" i="48" s="1"/>
  <c r="D44" i="48"/>
  <c r="D23" i="48"/>
  <c r="AK23" i="48" s="1"/>
  <c r="D64" i="48"/>
  <c r="D10" i="48"/>
  <c r="AK10" i="48" s="1"/>
  <c r="M65" i="54"/>
  <c r="M49" i="54"/>
  <c r="D69" i="54"/>
  <c r="M75" i="54"/>
  <c r="B52" i="54"/>
  <c r="C52" i="54" s="1"/>
  <c r="M56" i="54"/>
  <c r="M28" i="54"/>
  <c r="D55" i="54"/>
  <c r="D26" i="54"/>
  <c r="M44" i="54"/>
  <c r="D13" i="54"/>
  <c r="B18" i="54"/>
  <c r="C18" i="54" s="1"/>
  <c r="D24" i="54"/>
  <c r="M55" i="54"/>
  <c r="M20" i="54"/>
  <c r="M52" i="54"/>
  <c r="B17" i="54"/>
  <c r="C17" i="54" s="1"/>
  <c r="B67" i="54"/>
  <c r="C67" i="54" s="1"/>
  <c r="M77" i="54"/>
  <c r="D5" i="54"/>
  <c r="D18" i="54"/>
  <c r="D9" i="54"/>
  <c r="D73" i="48"/>
  <c r="D67" i="48"/>
  <c r="D52" i="48"/>
  <c r="D22" i="48"/>
  <c r="AK22" i="48" s="1"/>
  <c r="D39" i="48"/>
  <c r="AK39" i="48" s="1"/>
  <c r="D80" i="48"/>
  <c r="D34" i="48"/>
  <c r="AK34" i="48" s="1"/>
  <c r="D99" i="48"/>
  <c r="D46" i="48"/>
  <c r="D79" i="48"/>
  <c r="D41" i="48"/>
  <c r="AK41" i="48" s="1"/>
  <c r="D59" i="48"/>
  <c r="E50" i="48"/>
  <c r="C14" i="48"/>
  <c r="C78" i="48"/>
  <c r="B42" i="48"/>
  <c r="E3" i="48"/>
  <c r="AL3" i="48" s="1"/>
  <c r="E67" i="48"/>
  <c r="C95" i="48"/>
  <c r="B59" i="48"/>
  <c r="E20" i="48"/>
  <c r="E84" i="48"/>
  <c r="C48" i="48"/>
  <c r="B12" i="48"/>
  <c r="AI12" i="48" s="1"/>
  <c r="B76" i="48"/>
  <c r="E101" i="48"/>
  <c r="C65" i="48"/>
  <c r="B29" i="48"/>
  <c r="AI29" i="48" s="1"/>
  <c r="B93" i="48"/>
  <c r="E54" i="48"/>
  <c r="C18" i="48"/>
  <c r="C82" i="48"/>
  <c r="B46" i="48"/>
  <c r="E15" i="48"/>
  <c r="AL15" i="48" s="1"/>
  <c r="E79" i="48"/>
  <c r="C51" i="48"/>
  <c r="B15" i="48"/>
  <c r="AI15" i="48" s="1"/>
  <c r="B79" i="48"/>
  <c r="E48" i="48"/>
  <c r="C12" i="48"/>
  <c r="C76" i="48"/>
  <c r="B40" i="48"/>
  <c r="AI40" i="48" s="1"/>
  <c r="E9" i="48"/>
  <c r="AL9" i="48" s="1"/>
  <c r="E73" i="48"/>
  <c r="C101" i="48"/>
  <c r="B65" i="48"/>
  <c r="C70" i="44"/>
  <c r="B54" i="44"/>
  <c r="D62" i="54"/>
  <c r="D46" i="54"/>
  <c r="M29" i="54"/>
  <c r="D65" i="54"/>
  <c r="D29" i="54"/>
  <c r="M73" i="54"/>
  <c r="B48" i="54"/>
  <c r="C48" i="54" s="1"/>
  <c r="B54" i="54"/>
  <c r="C54" i="54" s="1"/>
  <c r="M50" i="54"/>
  <c r="M76" i="54"/>
  <c r="M11" i="54"/>
  <c r="M42" i="54"/>
  <c r="D75" i="54"/>
  <c r="B39" i="54"/>
  <c r="C39" i="54" s="1"/>
  <c r="B19" i="54"/>
  <c r="C19" i="54" s="1"/>
  <c r="D12" i="54"/>
  <c r="B14" i="54"/>
  <c r="C14" i="54" s="1"/>
  <c r="M15" i="54"/>
  <c r="M63" i="54"/>
  <c r="D68" i="54"/>
  <c r="D97" i="48"/>
  <c r="D91" i="48"/>
  <c r="D60" i="48"/>
  <c r="D38" i="48"/>
  <c r="AK38" i="48" s="1"/>
  <c r="D55" i="48"/>
  <c r="D96" i="48"/>
  <c r="D5" i="48"/>
  <c r="AK5" i="48" s="1"/>
  <c r="D69" i="48"/>
  <c r="D62" i="48"/>
  <c r="D95" i="48"/>
  <c r="D65" i="48"/>
  <c r="D83" i="48"/>
  <c r="E58" i="48"/>
  <c r="C22" i="48"/>
  <c r="C86" i="48"/>
  <c r="B50" i="48"/>
  <c r="E11" i="48"/>
  <c r="AL11" i="48" s="1"/>
  <c r="E75" i="48"/>
  <c r="C39" i="48"/>
  <c r="B3" i="48"/>
  <c r="AI3" i="48" s="1"/>
  <c r="B67" i="48"/>
  <c r="E28" i="48"/>
  <c r="E92" i="48"/>
  <c r="C56" i="48"/>
  <c r="B20" i="48"/>
  <c r="AI20" i="48" s="1"/>
  <c r="B84" i="48"/>
  <c r="E45" i="48"/>
  <c r="C9" i="48"/>
  <c r="C73" i="48"/>
  <c r="B101" i="48"/>
  <c r="E62" i="48"/>
  <c r="C26" i="48"/>
  <c r="C90" i="48"/>
  <c r="B54" i="48"/>
  <c r="E23" i="48"/>
  <c r="AL23" i="48" s="1"/>
  <c r="E87" i="48"/>
  <c r="C59" i="48"/>
  <c r="B23" i="48"/>
  <c r="AI23" i="48" s="1"/>
  <c r="B87" i="48"/>
  <c r="E56" i="48"/>
  <c r="C20" i="48"/>
  <c r="C84" i="48"/>
  <c r="B48" i="48"/>
  <c r="E17" i="48"/>
  <c r="AL17" i="48" s="1"/>
  <c r="E81" i="48"/>
  <c r="C45" i="48"/>
  <c r="B9" i="48"/>
  <c r="AI9" i="48" s="1"/>
  <c r="B73" i="48"/>
  <c r="D75" i="44"/>
  <c r="E57" i="44"/>
  <c r="C30" i="44"/>
  <c r="D45" i="44"/>
  <c r="E71" i="44"/>
  <c r="E65" i="44"/>
  <c r="D30" i="55"/>
  <c r="D60" i="55"/>
  <c r="D9" i="55"/>
  <c r="D25" i="55"/>
  <c r="D46" i="55"/>
  <c r="D62" i="55"/>
  <c r="D23" i="55"/>
  <c r="D74" i="54"/>
  <c r="M45" i="54"/>
  <c r="D80" i="54"/>
  <c r="B79" i="54"/>
  <c r="C79" i="54" s="1"/>
  <c r="M72" i="54"/>
  <c r="B44" i="54"/>
  <c r="C44" i="54" s="1"/>
  <c r="M51" i="54"/>
  <c r="M25" i="54"/>
  <c r="D64" i="54"/>
  <c r="D33" i="54"/>
  <c r="B69" i="54"/>
  <c r="C69" i="54" s="1"/>
  <c r="B33" i="54"/>
  <c r="C33" i="54" s="1"/>
  <c r="B15" i="54"/>
  <c r="C15" i="54" s="1"/>
  <c r="D59" i="54"/>
  <c r="M14" i="54"/>
  <c r="M38" i="54"/>
  <c r="M17" i="54"/>
  <c r="D72" i="54"/>
  <c r="B12" i="54"/>
  <c r="C12" i="54" s="1"/>
  <c r="D48" i="54"/>
  <c r="M13" i="54"/>
  <c r="D26" i="48"/>
  <c r="AK26" i="48" s="1"/>
  <c r="D4" i="48"/>
  <c r="AK4" i="48" s="1"/>
  <c r="D68" i="48"/>
  <c r="D54" i="48"/>
  <c r="D71" i="48"/>
  <c r="D9" i="48"/>
  <c r="AK9" i="48" s="1"/>
  <c r="D82" i="48"/>
  <c r="D13" i="48"/>
  <c r="AK13" i="48" s="1"/>
  <c r="D77" i="48"/>
  <c r="D78" i="48"/>
  <c r="D89" i="48"/>
  <c r="C30" i="48"/>
  <c r="C94" i="48"/>
  <c r="B58" i="48"/>
  <c r="E19" i="48"/>
  <c r="AL19" i="48" s="1"/>
  <c r="E83" i="48"/>
  <c r="B11" i="48"/>
  <c r="AI11" i="48" s="1"/>
  <c r="B75" i="48"/>
  <c r="E100" i="48"/>
  <c r="C64" i="48"/>
  <c r="B28" i="48"/>
  <c r="AI28" i="48" s="1"/>
  <c r="B92" i="48"/>
  <c r="C17" i="48"/>
  <c r="C81" i="48"/>
  <c r="B45" i="48"/>
  <c r="E70" i="48"/>
  <c r="C34" i="48"/>
  <c r="C98" i="48"/>
  <c r="B62" i="48"/>
  <c r="D77" i="54"/>
  <c r="B71" i="54"/>
  <c r="C71" i="54" s="1"/>
  <c r="M57" i="54"/>
  <c r="M41" i="54"/>
  <c r="B77" i="54"/>
  <c r="C77" i="54" s="1"/>
  <c r="B76" i="54"/>
  <c r="C76" i="54" s="1"/>
  <c r="B68" i="54"/>
  <c r="C68" i="54" s="1"/>
  <c r="D44" i="54"/>
  <c r="M70" i="54"/>
  <c r="B38" i="54"/>
  <c r="C38" i="54" s="1"/>
  <c r="M62" i="54"/>
  <c r="B26" i="54"/>
  <c r="C26" i="54" s="1"/>
  <c r="B62" i="54"/>
  <c r="C62" i="54" s="1"/>
  <c r="B25" i="54"/>
  <c r="C25" i="54" s="1"/>
  <c r="B10" i="54"/>
  <c r="C10" i="54" s="1"/>
  <c r="B42" i="54"/>
  <c r="C42" i="54" s="1"/>
  <c r="M74" i="54"/>
  <c r="D30" i="54"/>
  <c r="M12" i="54"/>
  <c r="D51" i="54"/>
  <c r="D67" i="54"/>
  <c r="B23" i="54"/>
  <c r="C23" i="54" s="1"/>
  <c r="B9" i="54"/>
  <c r="C9" i="54" s="1"/>
  <c r="D10" i="54"/>
  <c r="M5" i="54"/>
  <c r="M64" i="54"/>
  <c r="B3" i="54"/>
  <c r="C3" i="54" s="1"/>
  <c r="D74" i="48"/>
  <c r="D20" i="48"/>
  <c r="AK20" i="48" s="1"/>
  <c r="D84" i="48"/>
  <c r="D86" i="48"/>
  <c r="D49" i="48"/>
  <c r="D19" i="48"/>
  <c r="AK19" i="48" s="1"/>
  <c r="D29" i="48"/>
  <c r="AK29" i="48" s="1"/>
  <c r="D93" i="48"/>
  <c r="D15" i="48"/>
  <c r="AK15" i="48" s="1"/>
  <c r="D56" i="48"/>
  <c r="D42" i="48"/>
  <c r="E18" i="48"/>
  <c r="AL18" i="48" s="1"/>
  <c r="E82" i="48"/>
  <c r="C46" i="48"/>
  <c r="B10" i="48"/>
  <c r="AI10" i="48" s="1"/>
  <c r="B74" i="48"/>
  <c r="E99" i="48"/>
  <c r="C63" i="48"/>
  <c r="B91" i="48"/>
  <c r="E52" i="48"/>
  <c r="C80" i="48"/>
  <c r="B44" i="48"/>
  <c r="E5" i="48"/>
  <c r="AL5" i="48" s="1"/>
  <c r="E69" i="48"/>
  <c r="C33" i="48"/>
  <c r="C97" i="48"/>
  <c r="E22" i="48"/>
  <c r="AL22" i="48" s="1"/>
  <c r="E86" i="48"/>
  <c r="C50" i="48"/>
  <c r="B14" i="48"/>
  <c r="AI14" i="48" s="1"/>
  <c r="B78" i="48"/>
  <c r="C19" i="48"/>
  <c r="C83" i="48"/>
  <c r="E80" i="48"/>
  <c r="C44" i="48"/>
  <c r="B72" i="48"/>
  <c r="E41" i="48"/>
  <c r="AL41" i="48" s="1"/>
  <c r="C5" i="48"/>
  <c r="C69" i="48"/>
  <c r="B33" i="48"/>
  <c r="AI33" i="48" s="1"/>
  <c r="B97" i="48"/>
  <c r="D59" i="44"/>
  <c r="B48" i="44"/>
  <c r="C42" i="44"/>
  <c r="D58" i="44"/>
  <c r="B69" i="44"/>
  <c r="B56" i="44"/>
  <c r="D70" i="54"/>
  <c r="D54" i="54"/>
  <c r="D38" i="54"/>
  <c r="B75" i="54"/>
  <c r="C75" i="54" s="1"/>
  <c r="D49" i="54"/>
  <c r="B70" i="54"/>
  <c r="C70" i="54" s="1"/>
  <c r="B64" i="54"/>
  <c r="C64" i="54" s="1"/>
  <c r="B30" i="54"/>
  <c r="C30" i="54" s="1"/>
  <c r="D39" i="54"/>
  <c r="M67" i="54"/>
  <c r="B22" i="54"/>
  <c r="C22" i="54" s="1"/>
  <c r="M24" i="54"/>
  <c r="B41" i="54"/>
  <c r="C41" i="54" s="1"/>
  <c r="B58" i="54"/>
  <c r="C58" i="54" s="1"/>
  <c r="B24" i="54"/>
  <c r="C24" i="54" s="1"/>
  <c r="M79" i="54"/>
  <c r="D23" i="54"/>
  <c r="B51" i="54"/>
  <c r="C51" i="54" s="1"/>
  <c r="M22" i="54"/>
  <c r="D25" i="54"/>
  <c r="M3" i="54"/>
  <c r="D90" i="48"/>
  <c r="D28" i="48"/>
  <c r="AK28" i="48" s="1"/>
  <c r="D92" i="48"/>
  <c r="D24" i="48"/>
  <c r="AK24" i="48" s="1"/>
  <c r="D57" i="48"/>
  <c r="D101" i="48"/>
  <c r="D72" i="48"/>
  <c r="D58" i="48"/>
  <c r="E26" i="48"/>
  <c r="AL26" i="48" s="1"/>
  <c r="E90" i="48"/>
  <c r="C54" i="48"/>
  <c r="B18" i="48"/>
  <c r="AI18" i="48" s="1"/>
  <c r="B82" i="48"/>
  <c r="C71" i="48"/>
  <c r="B99" i="48"/>
  <c r="E60" i="48"/>
  <c r="C24" i="48"/>
  <c r="C88" i="48"/>
  <c r="B52" i="48"/>
  <c r="E13" i="48"/>
  <c r="AL13" i="48" s="1"/>
  <c r="E77" i="48"/>
  <c r="C41" i="48"/>
  <c r="B5" i="48"/>
  <c r="AI5" i="48" s="1"/>
  <c r="B69" i="48"/>
  <c r="E30" i="48"/>
  <c r="AL30" i="48" s="1"/>
  <c r="E94" i="48"/>
  <c r="C58" i="48"/>
  <c r="B22" i="48"/>
  <c r="AI22" i="48" s="1"/>
  <c r="B86" i="48"/>
  <c r="E55" i="48"/>
  <c r="C91" i="48"/>
  <c r="B55" i="48"/>
  <c r="E24" i="48"/>
  <c r="AL24" i="48" s="1"/>
  <c r="E88" i="48"/>
  <c r="C52" i="48"/>
  <c r="B80" i="48"/>
  <c r="E49" i="48"/>
  <c r="C13" i="48"/>
  <c r="C77" i="48"/>
  <c r="B41" i="48"/>
  <c r="AI41" i="48" s="1"/>
  <c r="B78" i="44"/>
  <c r="E63" i="44"/>
  <c r="E67" i="44"/>
  <c r="B60" i="44"/>
  <c r="B11" i="44"/>
  <c r="C74" i="44"/>
  <c r="D4" i="44"/>
  <c r="D13" i="44"/>
  <c r="B52" i="44"/>
  <c r="E44" i="44"/>
  <c r="E38" i="44"/>
  <c r="D23" i="44"/>
  <c r="C12" i="44"/>
  <c r="B4" i="44"/>
  <c r="C25" i="44"/>
  <c r="B80" i="44"/>
  <c r="E13" i="44"/>
  <c r="C13" i="44"/>
  <c r="C62" i="44"/>
  <c r="D14" i="44"/>
  <c r="B76" i="44"/>
  <c r="C60" i="44"/>
  <c r="C52" i="44"/>
  <c r="E79" i="44"/>
  <c r="D57" i="44"/>
  <c r="C40" i="44"/>
  <c r="D3" i="44"/>
  <c r="C5" i="44"/>
  <c r="B49" i="44"/>
  <c r="E76" i="44"/>
  <c r="B96" i="48"/>
  <c r="C68" i="48"/>
  <c r="C75" i="48"/>
  <c r="B85" i="48"/>
  <c r="E93" i="48"/>
  <c r="B4" i="48"/>
  <c r="AI4" i="48" s="1"/>
  <c r="C87" i="48"/>
  <c r="C38" i="48"/>
  <c r="D18" i="48"/>
  <c r="AK18" i="48" s="1"/>
  <c r="D30" i="48"/>
  <c r="AK30" i="48" s="1"/>
  <c r="D98" i="48"/>
  <c r="D14" i="54"/>
  <c r="D11" i="54"/>
  <c r="D58" i="54"/>
  <c r="D24" i="55"/>
  <c r="C34" i="44"/>
  <c r="B17" i="44"/>
  <c r="D30" i="44"/>
  <c r="C80" i="44"/>
  <c r="E45" i="44"/>
  <c r="D50" i="44"/>
  <c r="D28" i="44"/>
  <c r="E74" i="44"/>
  <c r="B40" i="44"/>
  <c r="B55" i="44"/>
  <c r="E48" i="44"/>
  <c r="D40" i="44"/>
  <c r="E17" i="44"/>
  <c r="E70" i="44"/>
  <c r="B44" i="44"/>
  <c r="D26" i="44"/>
  <c r="E9" i="44"/>
  <c r="D74" i="44"/>
  <c r="B34" i="44"/>
  <c r="E21" i="44"/>
  <c r="D15" i="44"/>
  <c r="E68" i="44"/>
  <c r="B89" i="48"/>
  <c r="B64" i="48"/>
  <c r="C67" i="48"/>
  <c r="E39" i="48"/>
  <c r="AL39" i="48" s="1"/>
  <c r="C42" i="48"/>
  <c r="C72" i="48"/>
  <c r="E12" i="48"/>
  <c r="C55" i="48"/>
  <c r="D17" i="48"/>
  <c r="AK17" i="48" s="1"/>
  <c r="D85" i="48"/>
  <c r="D76" i="48"/>
  <c r="M10" i="54"/>
  <c r="D52" i="54"/>
  <c r="D63" i="54"/>
  <c r="B49" i="54"/>
  <c r="C49" i="54" s="1"/>
  <c r="D57" i="54"/>
  <c r="D33" i="55"/>
  <c r="D69" i="44"/>
  <c r="E49" i="44"/>
  <c r="B19" i="44"/>
  <c r="E4" i="44"/>
  <c r="B14" i="44"/>
  <c r="C77" i="44"/>
  <c r="C26" i="44"/>
  <c r="B9" i="44"/>
  <c r="B68" i="44"/>
  <c r="C69" i="44"/>
  <c r="C15" i="44"/>
  <c r="C64" i="44"/>
  <c r="B58" i="44"/>
  <c r="C78" i="44"/>
  <c r="E24" i="44"/>
  <c r="B81" i="48"/>
  <c r="C29" i="48"/>
  <c r="B56" i="48"/>
  <c r="C28" i="48"/>
  <c r="B95" i="48"/>
  <c r="C10" i="48"/>
  <c r="C40" i="48"/>
  <c r="B83" i="48"/>
  <c r="E74" i="48"/>
  <c r="D33" i="48"/>
  <c r="AK33" i="48" s="1"/>
  <c r="M26" i="54"/>
  <c r="B13" i="54"/>
  <c r="C13" i="54" s="1"/>
  <c r="D14" i="55"/>
  <c r="D34" i="44"/>
  <c r="C22" i="44"/>
  <c r="B15" i="44"/>
  <c r="C33" i="44"/>
  <c r="C76" i="44"/>
  <c r="E52" i="44"/>
  <c r="B42" i="44"/>
  <c r="C19" i="44"/>
  <c r="E30" i="44"/>
  <c r="C68" i="44"/>
  <c r="D51" i="44"/>
  <c r="E34" i="44"/>
  <c r="D39" i="44"/>
  <c r="D20" i="44"/>
  <c r="D78" i="44"/>
  <c r="B33" i="44"/>
  <c r="E20" i="44"/>
  <c r="D25" i="44"/>
  <c r="D12" i="44"/>
  <c r="D70" i="44"/>
  <c r="B21" i="44"/>
  <c r="D62" i="44"/>
  <c r="B57" i="44"/>
  <c r="E10" i="44"/>
  <c r="D54" i="44"/>
  <c r="B25" i="48"/>
  <c r="AI25" i="48" s="1"/>
  <c r="E89" i="48"/>
  <c r="E72" i="48"/>
  <c r="B70" i="48"/>
  <c r="E78" i="48"/>
  <c r="B21" i="48"/>
  <c r="AI21" i="48" s="1"/>
  <c r="E29" i="48"/>
  <c r="AL29" i="48" s="1"/>
  <c r="C23" i="48"/>
  <c r="E42" i="48"/>
  <c r="D63" i="48"/>
  <c r="D87" i="48"/>
  <c r="B5" i="54"/>
  <c r="C5" i="54" s="1"/>
  <c r="D4" i="54"/>
  <c r="M58" i="54"/>
  <c r="B40" i="54"/>
  <c r="C40" i="54" s="1"/>
  <c r="D59" i="55"/>
  <c r="D4" i="55"/>
  <c r="D73" i="54"/>
  <c r="D56" i="55"/>
  <c r="D22" i="55"/>
  <c r="D28" i="55"/>
  <c r="D76" i="55"/>
  <c r="D78" i="55"/>
  <c r="D55" i="55"/>
  <c r="D13" i="55"/>
  <c r="D47" i="55"/>
  <c r="C3" i="48"/>
  <c r="D12" i="55"/>
  <c r="D58" i="55"/>
  <c r="D29" i="55"/>
  <c r="D11" i="55"/>
  <c r="D80" i="55"/>
  <c r="D66" i="55"/>
  <c r="D20" i="55"/>
  <c r="D48" i="55"/>
  <c r="D7" i="55"/>
  <c r="D76" i="54"/>
  <c r="D26" i="55"/>
  <c r="D67" i="55"/>
  <c r="D64" i="55"/>
  <c r="D57" i="55"/>
  <c r="D39" i="55"/>
  <c r="D18" i="55"/>
  <c r="D44" i="55"/>
  <c r="D35" i="55"/>
  <c r="D65" i="55"/>
  <c r="D38" i="55"/>
  <c r="M78" i="54"/>
  <c r="D34" i="55"/>
  <c r="D72" i="55"/>
  <c r="D5" i="55"/>
  <c r="D63" i="55"/>
  <c r="D41" i="55"/>
  <c r="D21" i="55"/>
  <c r="D49" i="55"/>
  <c r="D42" i="55"/>
  <c r="D71" i="55"/>
  <c r="D40" i="55"/>
  <c r="M69" i="54"/>
  <c r="M80" i="54"/>
  <c r="D52" i="55"/>
  <c r="D10" i="55"/>
  <c r="D19" i="55"/>
  <c r="D75" i="55"/>
  <c r="D68" i="55"/>
  <c r="D50" i="55"/>
  <c r="D79" i="55"/>
  <c r="D45" i="55"/>
  <c r="D3" i="55"/>
  <c r="M4" i="47"/>
  <c r="AA60" i="55"/>
  <c r="L58" i="54"/>
  <c r="G28" i="54"/>
  <c r="F28" i="54"/>
  <c r="L28" i="54"/>
  <c r="H28" i="54"/>
  <c r="I28" i="54"/>
  <c r="K28" i="54"/>
  <c r="E28" i="54"/>
  <c r="G2" i="54"/>
  <c r="K2" i="54"/>
  <c r="E2" i="54"/>
  <c r="H2" i="54"/>
  <c r="I2" i="54"/>
  <c r="J2" i="54"/>
  <c r="L2" i="54"/>
  <c r="F2" i="54"/>
  <c r="H33" i="54"/>
  <c r="K33" i="54"/>
  <c r="J33" i="54"/>
  <c r="G33" i="54"/>
  <c r="I33" i="54"/>
  <c r="K62" i="54"/>
  <c r="K60" i="54"/>
  <c r="F60" i="54"/>
  <c r="L60" i="54"/>
  <c r="J60" i="54"/>
  <c r="I60" i="54"/>
  <c r="G60" i="54"/>
  <c r="H60" i="54"/>
  <c r="E60" i="54"/>
  <c r="J79" i="54"/>
  <c r="H79" i="54"/>
  <c r="G79" i="54"/>
  <c r="F79" i="54"/>
  <c r="E79" i="54"/>
  <c r="E25" i="54"/>
  <c r="G43" i="54"/>
  <c r="E43" i="54"/>
  <c r="J43" i="54"/>
  <c r="F43" i="54"/>
  <c r="K43" i="54"/>
  <c r="G76" i="54"/>
  <c r="H9" i="54"/>
  <c r="J9" i="54"/>
  <c r="G9" i="54"/>
  <c r="I9" i="54"/>
  <c r="F9" i="54"/>
  <c r="K9" i="54"/>
  <c r="L9" i="54"/>
  <c r="E9" i="54"/>
  <c r="L78" i="54"/>
  <c r="H78" i="54"/>
  <c r="E78" i="54"/>
  <c r="I78" i="54"/>
  <c r="F78" i="54"/>
  <c r="L11" i="54"/>
  <c r="K11" i="54"/>
  <c r="G11" i="54"/>
  <c r="E11" i="54"/>
  <c r="I11" i="54"/>
  <c r="J11" i="54"/>
  <c r="H11" i="54"/>
  <c r="F11" i="54"/>
  <c r="G66" i="54"/>
  <c r="J66" i="54"/>
  <c r="H66" i="54"/>
  <c r="L66" i="54"/>
  <c r="F66" i="54"/>
  <c r="L12" i="54"/>
  <c r="I12" i="54"/>
  <c r="F12" i="54"/>
  <c r="H12" i="54"/>
  <c r="G12" i="54"/>
  <c r="E12" i="54"/>
  <c r="K12" i="54"/>
  <c r="J12" i="54"/>
  <c r="L53" i="54"/>
  <c r="E53" i="54"/>
  <c r="H53" i="54"/>
  <c r="J53" i="54"/>
  <c r="G53" i="54"/>
  <c r="F53" i="54"/>
  <c r="K53" i="54"/>
  <c r="I53" i="54"/>
  <c r="J55" i="54"/>
  <c r="G55" i="54"/>
  <c r="E55" i="54"/>
  <c r="H55" i="54"/>
  <c r="L55" i="54"/>
  <c r="K55" i="54"/>
  <c r="I55" i="54"/>
  <c r="F55" i="54"/>
  <c r="J39" i="54"/>
  <c r="I39" i="54"/>
  <c r="L39" i="54"/>
  <c r="K39" i="54"/>
  <c r="H39" i="54"/>
  <c r="F39" i="54"/>
  <c r="G39" i="54"/>
  <c r="E39" i="54"/>
  <c r="H13" i="54"/>
  <c r="H41" i="54"/>
  <c r="F41" i="54"/>
  <c r="J41" i="54"/>
  <c r="L41" i="54"/>
  <c r="I41" i="54"/>
  <c r="K41" i="54"/>
  <c r="G41" i="54"/>
  <c r="E41" i="54"/>
  <c r="J63" i="54"/>
  <c r="I63" i="54"/>
  <c r="L63" i="54"/>
  <c r="K63" i="54"/>
  <c r="G63" i="54"/>
  <c r="F63" i="54"/>
  <c r="E63" i="54"/>
  <c r="H63" i="54"/>
  <c r="L22" i="54"/>
  <c r="G22" i="54"/>
  <c r="E22" i="54"/>
  <c r="J22" i="54"/>
  <c r="F22" i="54"/>
  <c r="G46" i="54"/>
  <c r="L46" i="54"/>
  <c r="L49" i="54"/>
  <c r="H49" i="54"/>
  <c r="I49" i="54"/>
  <c r="F49" i="54"/>
  <c r="K49" i="54"/>
  <c r="G49" i="54"/>
  <c r="E49" i="54"/>
  <c r="J49" i="54"/>
  <c r="K30" i="54"/>
  <c r="I30" i="54"/>
  <c r="H30" i="54"/>
  <c r="J30" i="54"/>
  <c r="F30" i="54"/>
  <c r="G30" i="54"/>
  <c r="L30" i="54"/>
  <c r="E30" i="54"/>
  <c r="F75" i="54"/>
  <c r="J47" i="54"/>
  <c r="L47" i="54"/>
  <c r="G47" i="54"/>
  <c r="F47" i="54"/>
  <c r="K47" i="54"/>
  <c r="I47" i="54"/>
  <c r="E47" i="54"/>
  <c r="H47" i="54"/>
  <c r="I8" i="54"/>
  <c r="L8" i="54"/>
  <c r="J8" i="54"/>
  <c r="H8" i="54"/>
  <c r="F8" i="54"/>
  <c r="K8" i="54"/>
  <c r="E8" i="54"/>
  <c r="G8" i="54"/>
  <c r="L31" i="54"/>
  <c r="I31" i="54"/>
  <c r="E31" i="54"/>
  <c r="L21" i="54"/>
  <c r="I21" i="54"/>
  <c r="E21" i="54"/>
  <c r="H21" i="54"/>
  <c r="K21" i="54"/>
  <c r="J21" i="54"/>
  <c r="F21" i="54"/>
  <c r="G21" i="54"/>
  <c r="L69" i="54"/>
  <c r="K69" i="54"/>
  <c r="E69" i="54"/>
  <c r="J69" i="54"/>
  <c r="F69" i="54"/>
  <c r="I69" i="54"/>
  <c r="H69" i="54"/>
  <c r="G69" i="54"/>
  <c r="J27" i="54"/>
  <c r="I27" i="54"/>
  <c r="F27" i="54"/>
  <c r="G27" i="54"/>
  <c r="H27" i="54"/>
  <c r="K27" i="54"/>
  <c r="E27" i="54"/>
  <c r="L27" i="54"/>
  <c r="I64" i="54"/>
  <c r="L64" i="54"/>
  <c r="J64" i="54"/>
  <c r="G64" i="54"/>
  <c r="H64" i="54"/>
  <c r="E64" i="54"/>
  <c r="K64" i="54"/>
  <c r="F64" i="54"/>
  <c r="L3" i="54"/>
  <c r="F3" i="54"/>
  <c r="I3" i="54"/>
  <c r="H3" i="54"/>
  <c r="J3" i="54"/>
  <c r="E3" i="54"/>
  <c r="G3" i="54"/>
  <c r="K3" i="54"/>
  <c r="L67" i="54"/>
  <c r="I67" i="54"/>
  <c r="H67" i="54"/>
  <c r="J67" i="54"/>
  <c r="E67" i="54"/>
  <c r="G67" i="54"/>
  <c r="K67" i="54"/>
  <c r="F67" i="54"/>
  <c r="H17" i="54"/>
  <c r="F17" i="54"/>
  <c r="J17" i="54"/>
  <c r="L17" i="54"/>
  <c r="K17" i="54"/>
  <c r="I17" i="54"/>
  <c r="G17" i="54"/>
  <c r="E17" i="54"/>
  <c r="I32" i="54"/>
  <c r="E32" i="54"/>
  <c r="K32" i="54"/>
  <c r="J32" i="54"/>
  <c r="H32" i="54"/>
  <c r="L32" i="54"/>
  <c r="F32" i="54"/>
  <c r="G32" i="54"/>
  <c r="J7" i="54"/>
  <c r="L7" i="54"/>
  <c r="I7" i="54"/>
  <c r="H7" i="54"/>
  <c r="F7" i="54"/>
  <c r="E7" i="54"/>
  <c r="K7" i="54"/>
  <c r="G7" i="54"/>
  <c r="G26" i="54"/>
  <c r="L26" i="54"/>
  <c r="K54" i="54"/>
  <c r="L54" i="54"/>
  <c r="J54" i="54"/>
  <c r="I54" i="54"/>
  <c r="E54" i="54"/>
  <c r="H54" i="54"/>
  <c r="G54" i="54"/>
  <c r="F54" i="54"/>
  <c r="I80" i="54"/>
  <c r="F80" i="54"/>
  <c r="J80" i="54"/>
  <c r="H80" i="54"/>
  <c r="L80" i="54"/>
  <c r="E80" i="54"/>
  <c r="K80" i="54"/>
  <c r="G80" i="54"/>
  <c r="L77" i="54"/>
  <c r="E77" i="54"/>
  <c r="H77" i="54"/>
  <c r="J77" i="54"/>
  <c r="I77" i="54"/>
  <c r="G77" i="54"/>
  <c r="K77" i="54"/>
  <c r="F77" i="54"/>
  <c r="I56" i="54"/>
  <c r="K56" i="54"/>
  <c r="J56" i="54"/>
  <c r="E56" i="54"/>
  <c r="H56" i="54"/>
  <c r="L56" i="54"/>
  <c r="G56" i="54"/>
  <c r="F56" i="54"/>
  <c r="H23" i="54"/>
  <c r="L61" i="54"/>
  <c r="H61" i="54"/>
  <c r="E61" i="54"/>
  <c r="G61" i="54"/>
  <c r="K61" i="54"/>
  <c r="I61" i="54"/>
  <c r="F61" i="54"/>
  <c r="J61" i="54"/>
  <c r="G42" i="54"/>
  <c r="K42" i="54"/>
  <c r="J42" i="54"/>
  <c r="E42" i="54"/>
  <c r="H42" i="54"/>
  <c r="F42" i="54"/>
  <c r="L42" i="54"/>
  <c r="I42" i="54"/>
  <c r="G48" i="54"/>
  <c r="J48" i="54"/>
  <c r="F5" i="54"/>
  <c r="G34" i="54"/>
  <c r="H34" i="54"/>
  <c r="E34" i="54"/>
  <c r="L34" i="54"/>
  <c r="K34" i="54"/>
  <c r="I34" i="54"/>
  <c r="J34" i="54"/>
  <c r="F34" i="54"/>
  <c r="I24" i="54"/>
  <c r="K24" i="54"/>
  <c r="H24" i="54"/>
  <c r="J24" i="54"/>
  <c r="G24" i="54"/>
  <c r="L24" i="54"/>
  <c r="E24" i="54"/>
  <c r="F24" i="54"/>
  <c r="H29" i="54"/>
  <c r="G29" i="54"/>
  <c r="I29" i="54"/>
  <c r="K38" i="54"/>
  <c r="J38" i="54"/>
  <c r="F38" i="54"/>
  <c r="G38" i="54"/>
  <c r="L38" i="54"/>
  <c r="I38" i="54"/>
  <c r="E38" i="54"/>
  <c r="H38" i="54"/>
  <c r="H65" i="54"/>
  <c r="F65" i="54"/>
  <c r="J65" i="54"/>
  <c r="E65" i="54"/>
  <c r="L65" i="54"/>
  <c r="I65" i="54"/>
  <c r="G65" i="54"/>
  <c r="K65" i="54"/>
  <c r="J36" i="54"/>
  <c r="F36" i="54"/>
  <c r="I36" i="54"/>
  <c r="G36" i="54"/>
  <c r="L36" i="54"/>
  <c r="K36" i="54"/>
  <c r="E36" i="54"/>
  <c r="H36" i="54"/>
  <c r="L52" i="54"/>
  <c r="I52" i="54"/>
  <c r="E52" i="54"/>
  <c r="F68" i="54"/>
  <c r="H68" i="54"/>
  <c r="J68" i="54"/>
  <c r="E68" i="54"/>
  <c r="L68" i="54"/>
  <c r="K68" i="54"/>
  <c r="I68" i="54"/>
  <c r="G68" i="54"/>
  <c r="J71" i="54"/>
  <c r="L71" i="54"/>
  <c r="K71" i="54"/>
  <c r="G71" i="54"/>
  <c r="I71" i="54"/>
  <c r="F71" i="54"/>
  <c r="H71" i="54"/>
  <c r="E71" i="54"/>
  <c r="L40" i="54"/>
  <c r="I40" i="54"/>
  <c r="J40" i="54"/>
  <c r="H40" i="54"/>
  <c r="F40" i="54"/>
  <c r="K40" i="54"/>
  <c r="G40" i="54"/>
  <c r="E40" i="54"/>
  <c r="G18" i="54"/>
  <c r="J18" i="54"/>
  <c r="L18" i="54"/>
  <c r="I18" i="54"/>
  <c r="E18" i="54"/>
  <c r="H18" i="54"/>
  <c r="F18" i="54"/>
  <c r="K18" i="54"/>
  <c r="F6" i="54"/>
  <c r="E6" i="54"/>
  <c r="I6" i="54"/>
  <c r="F4" i="54"/>
  <c r="H4" i="54"/>
  <c r="J4" i="54"/>
  <c r="L4" i="54"/>
  <c r="E4" i="54"/>
  <c r="I4" i="54"/>
  <c r="G4" i="54"/>
  <c r="K4" i="54"/>
  <c r="F20" i="54"/>
  <c r="K20" i="54"/>
  <c r="L20" i="54"/>
  <c r="J20" i="54"/>
  <c r="H20" i="54"/>
  <c r="G20" i="54"/>
  <c r="I20" i="54"/>
  <c r="E20" i="54"/>
  <c r="H14" i="54"/>
  <c r="I35" i="54"/>
  <c r="E35" i="54"/>
  <c r="H35" i="54"/>
  <c r="J35" i="54"/>
  <c r="I16" i="54"/>
  <c r="J16" i="54"/>
  <c r="H16" i="54"/>
  <c r="F16" i="54"/>
  <c r="K16" i="54"/>
  <c r="G16" i="54"/>
  <c r="E16" i="54"/>
  <c r="L16" i="54"/>
  <c r="L37" i="54"/>
  <c r="G37" i="54"/>
  <c r="E37" i="54"/>
  <c r="F37" i="54"/>
  <c r="I37" i="54"/>
  <c r="K37" i="54"/>
  <c r="J37" i="54"/>
  <c r="H37" i="54"/>
  <c r="H57" i="54"/>
  <c r="K57" i="54"/>
  <c r="F57" i="54"/>
  <c r="I57" i="54"/>
  <c r="J57" i="54"/>
  <c r="E57" i="54"/>
  <c r="L57" i="54"/>
  <c r="G57" i="54"/>
  <c r="G10" i="54"/>
  <c r="E10" i="54"/>
  <c r="I10" i="54"/>
  <c r="K10" i="54"/>
  <c r="L10" i="54"/>
  <c r="J10" i="54"/>
  <c r="H10" i="54"/>
  <c r="F10" i="54"/>
  <c r="I59" i="54"/>
  <c r="G59" i="54"/>
  <c r="L59" i="54"/>
  <c r="K59" i="54"/>
  <c r="F59" i="54"/>
  <c r="H59" i="54"/>
  <c r="E59" i="54"/>
  <c r="J59" i="54"/>
  <c r="K70" i="54"/>
  <c r="H70" i="54"/>
  <c r="G70" i="54"/>
  <c r="I70" i="54"/>
  <c r="F70" i="54"/>
  <c r="J70" i="54"/>
  <c r="E70" i="54"/>
  <c r="L70" i="54"/>
  <c r="V4" i="47"/>
  <c r="V3" i="47"/>
  <c r="V99" i="47"/>
  <c r="V101" i="47"/>
  <c r="V102" i="47"/>
  <c r="V100" i="47"/>
  <c r="V30" i="47"/>
  <c r="V61" i="47"/>
  <c r="V62" i="47"/>
  <c r="V92" i="47"/>
  <c r="V98" i="47"/>
  <c r="V95" i="47"/>
  <c r="V51" i="47"/>
  <c r="V35" i="47"/>
  <c r="V20" i="47"/>
  <c r="V67" i="47"/>
  <c r="V56" i="47"/>
  <c r="V68" i="47"/>
  <c r="V25" i="47"/>
  <c r="V34" i="47"/>
  <c r="V26" i="47"/>
  <c r="V45" i="47"/>
  <c r="V83" i="47"/>
  <c r="V7" i="47"/>
  <c r="V12" i="47"/>
  <c r="V64" i="47"/>
  <c r="V59" i="47"/>
  <c r="V89" i="47"/>
  <c r="V40" i="47"/>
  <c r="V23" i="47"/>
  <c r="V14" i="47"/>
  <c r="V86" i="47"/>
  <c r="V43" i="47"/>
  <c r="V38" i="47"/>
  <c r="V94" i="47"/>
  <c r="V19" i="47"/>
  <c r="V96" i="47"/>
  <c r="V17" i="47"/>
  <c r="V8" i="47"/>
  <c r="V72" i="47"/>
  <c r="V73" i="47"/>
  <c r="V22" i="47"/>
  <c r="V93" i="47"/>
  <c r="V46" i="47"/>
  <c r="V91" i="47"/>
  <c r="V57" i="47"/>
  <c r="V37" i="47"/>
  <c r="V75" i="47"/>
  <c r="V28" i="47"/>
  <c r="V48" i="47"/>
  <c r="V15" i="47"/>
  <c r="V76" i="47"/>
  <c r="V74" i="47"/>
  <c r="V50" i="47"/>
  <c r="V52" i="47"/>
  <c r="V77" i="47"/>
  <c r="V65" i="47"/>
  <c r="V32" i="47"/>
  <c r="V54" i="47"/>
  <c r="V88" i="47"/>
  <c r="V11" i="47"/>
  <c r="V42" i="47"/>
  <c r="V41" i="47"/>
  <c r="V16" i="47"/>
  <c r="V63" i="47"/>
  <c r="V85" i="47"/>
  <c r="V39" i="47"/>
  <c r="V33" i="47"/>
  <c r="V24" i="47"/>
  <c r="V66" i="47"/>
  <c r="V70" i="47"/>
  <c r="V31" i="47"/>
  <c r="V58" i="47"/>
  <c r="V97" i="47"/>
  <c r="V60" i="47"/>
  <c r="V29" i="47"/>
  <c r="V18" i="47"/>
  <c r="V87" i="47"/>
  <c r="V69" i="47"/>
  <c r="V49" i="47"/>
  <c r="V71" i="47"/>
  <c r="V6" i="47"/>
  <c r="V82" i="47"/>
  <c r="V80" i="47"/>
  <c r="V13" i="47"/>
  <c r="V79" i="47"/>
  <c r="V36" i="47"/>
  <c r="V9" i="47"/>
  <c r="V53" i="47"/>
  <c r="V81" i="47"/>
  <c r="V47" i="47"/>
  <c r="V78" i="47"/>
  <c r="V10" i="47"/>
  <c r="V90" i="47"/>
  <c r="V84" i="47"/>
  <c r="V21" i="47"/>
  <c r="V55" i="47"/>
  <c r="V27" i="47"/>
  <c r="V44" i="47"/>
  <c r="V5" i="47"/>
  <c r="AJ100" i="47"/>
  <c r="AJ101" i="47"/>
  <c r="AJ102" i="47"/>
  <c r="AJ99" i="47"/>
  <c r="AL6" i="48"/>
  <c r="AL36" i="48"/>
  <c r="AL20" i="48"/>
  <c r="AL40" i="48"/>
  <c r="AL32" i="48"/>
  <c r="AL12" i="48"/>
  <c r="AL28" i="48"/>
  <c r="M2" i="35"/>
  <c r="N2" i="36"/>
  <c r="K35" i="54" l="1"/>
  <c r="L6" i="54"/>
  <c r="J52" i="54"/>
  <c r="J29" i="54"/>
  <c r="J5" i="54"/>
  <c r="L48" i="54"/>
  <c r="I26" i="54"/>
  <c r="K31" i="54"/>
  <c r="H46" i="54"/>
  <c r="L35" i="54"/>
  <c r="G6" i="54"/>
  <c r="G52" i="54"/>
  <c r="K29" i="54"/>
  <c r="E5" i="54"/>
  <c r="H48" i="54"/>
  <c r="K26" i="54"/>
  <c r="F31" i="54"/>
  <c r="J46" i="54"/>
  <c r="F52" i="54"/>
  <c r="E29" i="54"/>
  <c r="K5" i="54"/>
  <c r="K48" i="54"/>
  <c r="F26" i="54"/>
  <c r="H31" i="54"/>
  <c r="E46" i="54"/>
  <c r="K45" i="54"/>
  <c r="L15" i="54"/>
  <c r="G35" i="54"/>
  <c r="H6" i="54"/>
  <c r="F35" i="54"/>
  <c r="K6" i="54"/>
  <c r="H52" i="54"/>
  <c r="L29" i="54"/>
  <c r="L5" i="54"/>
  <c r="I48" i="54"/>
  <c r="E26" i="54"/>
  <c r="J31" i="54"/>
  <c r="I46" i="54"/>
  <c r="E45" i="54"/>
  <c r="E15" i="54"/>
  <c r="G5" i="54"/>
  <c r="I5" i="54"/>
  <c r="E48" i="54"/>
  <c r="J26" i="54"/>
  <c r="K46" i="54"/>
  <c r="J6" i="54"/>
  <c r="K52" i="54"/>
  <c r="F29" i="54"/>
  <c r="H5" i="54"/>
  <c r="F48" i="54"/>
  <c r="H26" i="54"/>
  <c r="G31" i="54"/>
  <c r="F46" i="54"/>
  <c r="H15" i="54"/>
  <c r="J15" i="54"/>
  <c r="F73" i="54"/>
  <c r="G45" i="54"/>
  <c r="F45" i="54"/>
  <c r="H45" i="54"/>
  <c r="K15" i="54"/>
  <c r="J44" i="54"/>
  <c r="F19" i="54"/>
  <c r="H72" i="54"/>
  <c r="H44" i="54"/>
  <c r="J72" i="54"/>
  <c r="I19" i="54"/>
  <c r="I72" i="54"/>
  <c r="H19" i="54"/>
  <c r="K19" i="54"/>
  <c r="I51" i="54"/>
  <c r="G44" i="54"/>
  <c r="H51" i="54"/>
  <c r="L72" i="54"/>
  <c r="I22" i="54"/>
  <c r="E66" i="54"/>
  <c r="J78" i="54"/>
  <c r="H43" i="54"/>
  <c r="E62" i="54"/>
  <c r="K22" i="54"/>
  <c r="K66" i="54"/>
  <c r="K78" i="54"/>
  <c r="L43" i="54"/>
  <c r="H62" i="54"/>
  <c r="H22" i="54"/>
  <c r="I66" i="54"/>
  <c r="G78" i="54"/>
  <c r="I43" i="54"/>
  <c r="F62" i="54"/>
  <c r="G62" i="54"/>
  <c r="L62" i="54"/>
  <c r="I45" i="54"/>
  <c r="I15" i="54"/>
  <c r="E73" i="54"/>
  <c r="J45" i="54"/>
  <c r="F15" i="54"/>
  <c r="G73" i="54"/>
  <c r="L45" i="54"/>
  <c r="G15" i="54"/>
  <c r="J73" i="54"/>
  <c r="L79" i="54"/>
  <c r="F44" i="54"/>
  <c r="F33" i="54"/>
  <c r="J19" i="54"/>
  <c r="J28" i="54"/>
  <c r="J50" i="54"/>
  <c r="L51" i="54"/>
  <c r="J74" i="54"/>
  <c r="L44" i="54"/>
  <c r="I62" i="54"/>
  <c r="F51" i="54"/>
  <c r="F72" i="54"/>
  <c r="I44" i="54"/>
  <c r="J62" i="54"/>
  <c r="G51" i="54"/>
  <c r="G72" i="54"/>
  <c r="G19" i="54"/>
  <c r="K51" i="54"/>
  <c r="I79" i="54"/>
  <c r="K44" i="54"/>
  <c r="E33" i="54"/>
  <c r="E19" i="54"/>
  <c r="E51" i="54"/>
  <c r="E72" i="54"/>
  <c r="K79" i="54"/>
  <c r="E44" i="54"/>
  <c r="L33" i="54"/>
  <c r="L19" i="54"/>
  <c r="J51" i="54"/>
  <c r="K72" i="54"/>
  <c r="L73" i="54"/>
  <c r="K73" i="54"/>
  <c r="I73" i="54"/>
  <c r="H73" i="54"/>
  <c r="O26" i="47"/>
  <c r="O176" i="47"/>
  <c r="O57" i="47"/>
  <c r="O219" i="47"/>
  <c r="O9" i="47"/>
  <c r="O92" i="47"/>
  <c r="O112" i="47"/>
  <c r="O6" i="47"/>
  <c r="O69" i="47"/>
  <c r="O165" i="47"/>
  <c r="O164" i="47"/>
  <c r="O108" i="47"/>
  <c r="O93" i="47"/>
  <c r="O207" i="47"/>
  <c r="O59" i="47"/>
  <c r="O75" i="47"/>
  <c r="O28" i="47"/>
  <c r="O32" i="47"/>
  <c r="O145" i="47"/>
  <c r="O222" i="47"/>
  <c r="O50" i="47"/>
  <c r="O200" i="47"/>
  <c r="O118" i="47"/>
  <c r="O191" i="47"/>
  <c r="O113" i="47"/>
  <c r="O15" i="47"/>
  <c r="O49" i="47"/>
  <c r="O72" i="47"/>
  <c r="O135" i="47"/>
  <c r="O19" i="47"/>
  <c r="O79" i="47"/>
  <c r="O213" i="47"/>
  <c r="O174" i="47"/>
  <c r="O46" i="47"/>
  <c r="O109" i="47"/>
  <c r="O130" i="47"/>
  <c r="O51" i="47"/>
  <c r="O116" i="47"/>
  <c r="O123" i="47"/>
  <c r="O217" i="47"/>
  <c r="O102" i="47"/>
  <c r="O225" i="47"/>
  <c r="O45" i="47"/>
  <c r="O110" i="47"/>
  <c r="O155" i="47"/>
  <c r="O197" i="47"/>
  <c r="O160" i="47"/>
  <c r="O117" i="47"/>
  <c r="O18" i="47"/>
  <c r="O192" i="47"/>
  <c r="O173" i="47"/>
  <c r="O33" i="47"/>
  <c r="O202" i="47"/>
  <c r="O24" i="47"/>
  <c r="O71" i="47"/>
  <c r="O124" i="47"/>
  <c r="O30" i="47"/>
  <c r="O208" i="47"/>
  <c r="O60" i="47"/>
  <c r="O70" i="47"/>
  <c r="O163" i="47"/>
  <c r="O107" i="47"/>
  <c r="O136" i="47"/>
  <c r="O115" i="47"/>
  <c r="O10" i="47"/>
  <c r="O20" i="47"/>
  <c r="O195" i="47"/>
  <c r="O67" i="47"/>
  <c r="O211" i="47"/>
  <c r="O167" i="47"/>
  <c r="O179" i="47"/>
  <c r="O120" i="47"/>
  <c r="O64" i="47"/>
  <c r="O157" i="47"/>
  <c r="O40" i="47"/>
  <c r="O8" i="47"/>
  <c r="O178" i="47"/>
  <c r="O171" i="47"/>
  <c r="O150" i="47"/>
  <c r="O105" i="47"/>
  <c r="O95" i="47"/>
  <c r="O133" i="47"/>
  <c r="O172" i="47"/>
  <c r="O212" i="47"/>
  <c r="O131" i="47"/>
  <c r="O103" i="47"/>
  <c r="O175" i="47"/>
  <c r="O58" i="47"/>
  <c r="O43" i="47"/>
  <c r="O65" i="47"/>
  <c r="O81" i="47"/>
  <c r="O48" i="47"/>
  <c r="O38" i="47"/>
  <c r="O184" i="47"/>
  <c r="O209" i="47"/>
  <c r="O205" i="47"/>
  <c r="O186" i="47"/>
  <c r="O29" i="47"/>
  <c r="O162" i="47"/>
  <c r="O181" i="47"/>
  <c r="O99" i="47"/>
  <c r="O35" i="47"/>
  <c r="O68" i="47"/>
  <c r="O101" i="47"/>
  <c r="O56" i="47"/>
  <c r="O134" i="47"/>
  <c r="O89" i="47"/>
  <c r="O77" i="47"/>
  <c r="O11" i="47"/>
  <c r="O206" i="47"/>
  <c r="O182" i="47"/>
  <c r="O100" i="47"/>
  <c r="O52" i="47"/>
  <c r="O168" i="47"/>
  <c r="O177" i="47"/>
  <c r="O111" i="47"/>
  <c r="O66" i="47"/>
  <c r="O84" i="47"/>
  <c r="O180" i="47"/>
  <c r="O13" i="47"/>
  <c r="O54" i="47"/>
  <c r="O153" i="47"/>
  <c r="O80" i="47"/>
  <c r="O62" i="47"/>
  <c r="O137" i="47"/>
  <c r="O140" i="47"/>
  <c r="O34" i="47"/>
  <c r="O96" i="47"/>
  <c r="O227" i="47"/>
  <c r="O5" i="47"/>
  <c r="O154" i="47"/>
  <c r="O76" i="47"/>
  <c r="O21" i="47"/>
  <c r="O61" i="47"/>
  <c r="O226" i="47"/>
  <c r="O91" i="47"/>
  <c r="O143" i="47"/>
  <c r="O53" i="47"/>
  <c r="O149" i="47"/>
  <c r="O63" i="47"/>
  <c r="O114" i="47"/>
  <c r="O215" i="47"/>
  <c r="O159" i="47"/>
  <c r="O86" i="47"/>
  <c r="O7" i="47"/>
  <c r="O170" i="47"/>
  <c r="O185" i="47"/>
  <c r="O196" i="47"/>
  <c r="O121" i="47"/>
  <c r="O161" i="47"/>
  <c r="O82" i="47"/>
  <c r="O27" i="47"/>
  <c r="O198" i="47"/>
  <c r="O36" i="47"/>
  <c r="O98" i="47"/>
  <c r="O224" i="47"/>
  <c r="O129" i="47"/>
  <c r="O183" i="47"/>
  <c r="O146" i="47"/>
  <c r="O210" i="47"/>
  <c r="O220" i="47"/>
  <c r="O14" i="47"/>
  <c r="O138" i="47"/>
  <c r="O221" i="47"/>
  <c r="O151" i="47"/>
  <c r="O187" i="47"/>
  <c r="O126" i="47"/>
  <c r="O47" i="47"/>
  <c r="O166" i="47"/>
  <c r="O78" i="47"/>
  <c r="O214" i="47"/>
  <c r="O203" i="47"/>
  <c r="O216" i="47"/>
  <c r="O142" i="47"/>
  <c r="O199" i="47"/>
  <c r="O193" i="47"/>
  <c r="O204" i="47"/>
  <c r="O83" i="47"/>
  <c r="O23" i="47"/>
  <c r="O132" i="47"/>
  <c r="O94" i="47"/>
  <c r="O25" i="47"/>
  <c r="O194" i="47"/>
  <c r="O22" i="47"/>
  <c r="O55" i="47"/>
  <c r="O152" i="47"/>
  <c r="O119" i="47"/>
  <c r="O74" i="47"/>
  <c r="O73" i="47"/>
  <c r="O169" i="47"/>
  <c r="O90" i="47"/>
  <c r="O39" i="47"/>
  <c r="O42" i="47"/>
  <c r="O125" i="47"/>
  <c r="O4" i="47"/>
  <c r="O148" i="47"/>
  <c r="O41" i="47"/>
  <c r="O141" i="47"/>
  <c r="O128" i="47"/>
  <c r="O147" i="47"/>
  <c r="O12" i="47"/>
  <c r="O189" i="47"/>
  <c r="O122" i="47"/>
  <c r="O223" i="47"/>
  <c r="O201" i="47"/>
  <c r="O190" i="47"/>
  <c r="O144" i="47"/>
  <c r="O17" i="47"/>
  <c r="O16" i="47"/>
  <c r="O97" i="47"/>
  <c r="O87" i="47"/>
  <c r="O104" i="47"/>
  <c r="O156" i="47"/>
  <c r="O158" i="47"/>
  <c r="O88" i="47"/>
  <c r="O127" i="47"/>
  <c r="O218" i="47"/>
  <c r="O85" i="47"/>
  <c r="O31" i="47"/>
  <c r="O44" i="47"/>
  <c r="O106" i="47"/>
  <c r="O139" i="47"/>
  <c r="O37" i="47"/>
  <c r="I58" i="54"/>
  <c r="G58" i="54"/>
  <c r="J58" i="54"/>
  <c r="F58" i="54"/>
  <c r="K58" i="54"/>
  <c r="E58" i="54"/>
  <c r="H58" i="54"/>
  <c r="K14" i="54"/>
  <c r="J23" i="54"/>
  <c r="K75" i="54"/>
  <c r="L13" i="54"/>
  <c r="L76" i="54"/>
  <c r="H25" i="54"/>
  <c r="G74" i="54"/>
  <c r="G50" i="54"/>
  <c r="F14" i="54"/>
  <c r="F23" i="54"/>
  <c r="H75" i="54"/>
  <c r="F13" i="54"/>
  <c r="K76" i="54"/>
  <c r="J25" i="54"/>
  <c r="H74" i="54"/>
  <c r="H50" i="54"/>
  <c r="L14" i="54"/>
  <c r="E23" i="54"/>
  <c r="J75" i="54"/>
  <c r="K13" i="54"/>
  <c r="E76" i="54"/>
  <c r="L25" i="54"/>
  <c r="F74" i="54"/>
  <c r="K50" i="54"/>
  <c r="G14" i="54"/>
  <c r="G23" i="54"/>
  <c r="I75" i="54"/>
  <c r="G13" i="54"/>
  <c r="J76" i="54"/>
  <c r="G25" i="54"/>
  <c r="K74" i="54"/>
  <c r="F50" i="54"/>
  <c r="I14" i="54"/>
  <c r="I23" i="54"/>
  <c r="G75" i="54"/>
  <c r="I13" i="54"/>
  <c r="H76" i="54"/>
  <c r="I25" i="54"/>
  <c r="I74" i="54"/>
  <c r="I50" i="54"/>
  <c r="E14" i="54"/>
  <c r="K23" i="54"/>
  <c r="E75" i="54"/>
  <c r="J13" i="54"/>
  <c r="F76" i="54"/>
  <c r="K25" i="54"/>
  <c r="E74" i="54"/>
  <c r="E50" i="54"/>
  <c r="J14" i="54"/>
  <c r="L23" i="54"/>
  <c r="L75" i="54"/>
  <c r="E13" i="54"/>
  <c r="I76" i="54"/>
  <c r="F25" i="54"/>
  <c r="L74" i="54"/>
  <c r="L50" i="54"/>
  <c r="AT72" i="55"/>
  <c r="AT60" i="55"/>
  <c r="AT41" i="55"/>
  <c r="AT20" i="55"/>
  <c r="AT18" i="55"/>
  <c r="AT15" i="55"/>
  <c r="AT13" i="55"/>
  <c r="AT97" i="55"/>
  <c r="AT89" i="55"/>
  <c r="AT86" i="55"/>
  <c r="AT81" i="55"/>
  <c r="AT77" i="55"/>
  <c r="AT76" i="55"/>
  <c r="AT74" i="55"/>
  <c r="AT69" i="55"/>
  <c r="AT68" i="55"/>
  <c r="AT54" i="55"/>
  <c r="AT53" i="55"/>
  <c r="AT42" i="55"/>
  <c r="AT38" i="55"/>
  <c r="AT33" i="55"/>
  <c r="AT25" i="55"/>
  <c r="AT24" i="55"/>
  <c r="AT96" i="55"/>
  <c r="AT58" i="55"/>
  <c r="AT22" i="55"/>
  <c r="AT5" i="55"/>
  <c r="AT84" i="55"/>
  <c r="AT65" i="55"/>
  <c r="AT63" i="55"/>
  <c r="AT62" i="55"/>
  <c r="AT52" i="55"/>
  <c r="AT32" i="55"/>
  <c r="AT30" i="55"/>
  <c r="AT28" i="55"/>
  <c r="AT23" i="55"/>
  <c r="AT21" i="55"/>
  <c r="AT66" i="55"/>
  <c r="AT46" i="55"/>
  <c r="AT100" i="55"/>
  <c r="AT95" i="55"/>
  <c r="AT94" i="55"/>
  <c r="AT92" i="55"/>
  <c r="AT64" i="55"/>
  <c r="AT51" i="55"/>
  <c r="AT49" i="55"/>
  <c r="AT39" i="55"/>
  <c r="AT36" i="55"/>
  <c r="AT27" i="55"/>
  <c r="AT9" i="55"/>
  <c r="AT8" i="55"/>
  <c r="AT6" i="55"/>
  <c r="AT99" i="55"/>
  <c r="AT79" i="55"/>
  <c r="AT71" i="55"/>
  <c r="AT90" i="55"/>
  <c r="AT87" i="55"/>
  <c r="AT82" i="55"/>
  <c r="AT78" i="55"/>
  <c r="AT73" i="55"/>
  <c r="AT70" i="55"/>
  <c r="AT67" i="55"/>
  <c r="AT59" i="55"/>
  <c r="AT45" i="55"/>
  <c r="AT35" i="55"/>
  <c r="AT34" i="55"/>
  <c r="AT31" i="55"/>
  <c r="AT26" i="55"/>
  <c r="AT3" i="55"/>
  <c r="AT61" i="55"/>
  <c r="AT40" i="55"/>
  <c r="AT19" i="55"/>
  <c r="AT101" i="55"/>
  <c r="AT55" i="55"/>
  <c r="AT48" i="55"/>
  <c r="AT44" i="55"/>
  <c r="AT43" i="55"/>
  <c r="AT37" i="55"/>
  <c r="AT29" i="55"/>
  <c r="AT17" i="55"/>
  <c r="AT16" i="55"/>
  <c r="AT14" i="55"/>
  <c r="AT11" i="55"/>
  <c r="AT4" i="55"/>
  <c r="AT98" i="55"/>
  <c r="AT91" i="55"/>
  <c r="AT88" i="55"/>
  <c r="AT85" i="55"/>
  <c r="AT83" i="55"/>
  <c r="AT80" i="55"/>
  <c r="AT75" i="55"/>
  <c r="AT57" i="55"/>
  <c r="AT56" i="55"/>
  <c r="AT47" i="55"/>
  <c r="AT12" i="55"/>
  <c r="AT7" i="55"/>
  <c r="AT2" i="55"/>
  <c r="AT93" i="55"/>
  <c r="AT50" i="55"/>
  <c r="AT10" i="55"/>
  <c r="AY99" i="54"/>
  <c r="AT95" i="54"/>
  <c r="AT92" i="54"/>
  <c r="AT89" i="54"/>
  <c r="AR88" i="54"/>
  <c r="AS88" i="54" s="1"/>
  <c r="AY86" i="54"/>
  <c r="AY83" i="54"/>
  <c r="AR101" i="54"/>
  <c r="AS101" i="54" s="1"/>
  <c r="AY96" i="54"/>
  <c r="AY94" i="54"/>
  <c r="AY92" i="54"/>
  <c r="AT90" i="54"/>
  <c r="AT88" i="54"/>
  <c r="AR82" i="54"/>
  <c r="AS82" i="54" s="1"/>
  <c r="AR80" i="54"/>
  <c r="AS80" i="54" s="1"/>
  <c r="AY78" i="54"/>
  <c r="AY74" i="54"/>
  <c r="AY70" i="54"/>
  <c r="AR97" i="54"/>
  <c r="AS97" i="54" s="1"/>
  <c r="AT96" i="54"/>
  <c r="AT93" i="54"/>
  <c r="AR90" i="54"/>
  <c r="AS90" i="54" s="1"/>
  <c r="AY89" i="54"/>
  <c r="AR87" i="54"/>
  <c r="AS87" i="54" s="1"/>
  <c r="AT86" i="54"/>
  <c r="AR83" i="54"/>
  <c r="AS83" i="54" s="1"/>
  <c r="AR68" i="54"/>
  <c r="AS68" i="54" s="1"/>
  <c r="AT67" i="54"/>
  <c r="AR64" i="54"/>
  <c r="AS64" i="54" s="1"/>
  <c r="AT63" i="54"/>
  <c r="AR60" i="54"/>
  <c r="AS60" i="54" s="1"/>
  <c r="AT59" i="54"/>
  <c r="AR56" i="54"/>
  <c r="AS56" i="54" s="1"/>
  <c r="AT55" i="54"/>
  <c r="AR52" i="54"/>
  <c r="AS52" i="54" s="1"/>
  <c r="AT51" i="54"/>
  <c r="AR48" i="54"/>
  <c r="AS48" i="54" s="1"/>
  <c r="AT47" i="54"/>
  <c r="AR44" i="54"/>
  <c r="AS44" i="54" s="1"/>
  <c r="AT43" i="54"/>
  <c r="AR40" i="54"/>
  <c r="AS40" i="54" s="1"/>
  <c r="AT39" i="54"/>
  <c r="AR36" i="54"/>
  <c r="AS36" i="54" s="1"/>
  <c r="AT35" i="54"/>
  <c r="AT33" i="54"/>
  <c r="AT28" i="54"/>
  <c r="AR100" i="54"/>
  <c r="AS100" i="54" s="1"/>
  <c r="AT99" i="54"/>
  <c r="AR86" i="54"/>
  <c r="AS86" i="54" s="1"/>
  <c r="AY82" i="54"/>
  <c r="AY66" i="54"/>
  <c r="AY62" i="54"/>
  <c r="AY58" i="54"/>
  <c r="AY54" i="54"/>
  <c r="AY50" i="54"/>
  <c r="AY46" i="54"/>
  <c r="AY42" i="54"/>
  <c r="AY38" i="54"/>
  <c r="AY34" i="54"/>
  <c r="AR30" i="54"/>
  <c r="AS30" i="54" s="1"/>
  <c r="AR96" i="54"/>
  <c r="AS96" i="54" s="1"/>
  <c r="AR93" i="54"/>
  <c r="AS93" i="54" s="1"/>
  <c r="AR89" i="54"/>
  <c r="AS89" i="54" s="1"/>
  <c r="AY85" i="54"/>
  <c r="AT82" i="54"/>
  <c r="AY81" i="54"/>
  <c r="AY73" i="54"/>
  <c r="AY72" i="54"/>
  <c r="AY71" i="54"/>
  <c r="AT70" i="54"/>
  <c r="AR99" i="54"/>
  <c r="AS99" i="54" s="1"/>
  <c r="AY98" i="54"/>
  <c r="AY95" i="54"/>
  <c r="AR92" i="54"/>
  <c r="AS92" i="54" s="1"/>
  <c r="AY91" i="54"/>
  <c r="AY88" i="54"/>
  <c r="AT85" i="54"/>
  <c r="AT81" i="54"/>
  <c r="AY77" i="54"/>
  <c r="AY76" i="54"/>
  <c r="AY75" i="54"/>
  <c r="AT74" i="54"/>
  <c r="AT73" i="54"/>
  <c r="AT72" i="54"/>
  <c r="AT71" i="54"/>
  <c r="AT98" i="54"/>
  <c r="AT91" i="54"/>
  <c r="AR85" i="54"/>
  <c r="AS85" i="54" s="1"/>
  <c r="AY84" i="54"/>
  <c r="AY79" i="54"/>
  <c r="AT78" i="54"/>
  <c r="AT77" i="54"/>
  <c r="AT76" i="54"/>
  <c r="AT75" i="54"/>
  <c r="AR71" i="54"/>
  <c r="AS71" i="54" s="1"/>
  <c r="AY101" i="54"/>
  <c r="AR98" i="54"/>
  <c r="AS98" i="54" s="1"/>
  <c r="AY97" i="54"/>
  <c r="AR95" i="54"/>
  <c r="AS95" i="54" s="1"/>
  <c r="AT94" i="54"/>
  <c r="AY87" i="54"/>
  <c r="AT84" i="54"/>
  <c r="AR81" i="54"/>
  <c r="AS81" i="54" s="1"/>
  <c r="AY80" i="54"/>
  <c r="AT79" i="54"/>
  <c r="AR75" i="54"/>
  <c r="AS75" i="54" s="1"/>
  <c r="AR74" i="54"/>
  <c r="AS74" i="54" s="1"/>
  <c r="AR73" i="54"/>
  <c r="AS73" i="54" s="1"/>
  <c r="AR72" i="54"/>
  <c r="AS72" i="54" s="1"/>
  <c r="AY68" i="54"/>
  <c r="AT101" i="54"/>
  <c r="AY100" i="54"/>
  <c r="AT97" i="54"/>
  <c r="AR91" i="54"/>
  <c r="AS91" i="54" s="1"/>
  <c r="AY90" i="54"/>
  <c r="AT87" i="54"/>
  <c r="AR84" i="54"/>
  <c r="AS84" i="54" s="1"/>
  <c r="AT83" i="54"/>
  <c r="AT80" i="54"/>
  <c r="AR79" i="54"/>
  <c r="AS79" i="54" s="1"/>
  <c r="AR78" i="54"/>
  <c r="AS78" i="54" s="1"/>
  <c r="AR77" i="54"/>
  <c r="AS77" i="54" s="1"/>
  <c r="AR76" i="54"/>
  <c r="AS76" i="54" s="1"/>
  <c r="AR69" i="54"/>
  <c r="AS69" i="54" s="1"/>
  <c r="AT68" i="54"/>
  <c r="AR65" i="54"/>
  <c r="AS65" i="54" s="1"/>
  <c r="AT64" i="54"/>
  <c r="AR61" i="54"/>
  <c r="AS61" i="54" s="1"/>
  <c r="AT60" i="54"/>
  <c r="AR57" i="54"/>
  <c r="AS57" i="54" s="1"/>
  <c r="AT56" i="54"/>
  <c r="AR53" i="54"/>
  <c r="AS53" i="54" s="1"/>
  <c r="AT52" i="54"/>
  <c r="AR49" i="54"/>
  <c r="AS49" i="54" s="1"/>
  <c r="AT48" i="54"/>
  <c r="AR45" i="54"/>
  <c r="AS45" i="54" s="1"/>
  <c r="AT44" i="54"/>
  <c r="AR41" i="54"/>
  <c r="AS41" i="54" s="1"/>
  <c r="AT40" i="54"/>
  <c r="AR37" i="54"/>
  <c r="AS37" i="54" s="1"/>
  <c r="AT36" i="54"/>
  <c r="AY30" i="54"/>
  <c r="AR70" i="54"/>
  <c r="AS70" i="54" s="1"/>
  <c r="AT61" i="54"/>
  <c r="AY56" i="54"/>
  <c r="AR54" i="54"/>
  <c r="AS54" i="54" s="1"/>
  <c r="AY51" i="54"/>
  <c r="AT46" i="54"/>
  <c r="AY41" i="54"/>
  <c r="AR39" i="54"/>
  <c r="AS39" i="54" s="1"/>
  <c r="AT27" i="54"/>
  <c r="AR26" i="54"/>
  <c r="AS26" i="54" s="1"/>
  <c r="AY24" i="54"/>
  <c r="AY67" i="54"/>
  <c r="AT62" i="54"/>
  <c r="AY57" i="54"/>
  <c r="AR55" i="54"/>
  <c r="AS55" i="54" s="1"/>
  <c r="AT45" i="54"/>
  <c r="AY40" i="54"/>
  <c r="AR38" i="54"/>
  <c r="AS38" i="54" s="1"/>
  <c r="AY35" i="54"/>
  <c r="AY32" i="54"/>
  <c r="AT31" i="54"/>
  <c r="AT25" i="54"/>
  <c r="AR67" i="54"/>
  <c r="AS67" i="54" s="1"/>
  <c r="AT66" i="54"/>
  <c r="AY65" i="54"/>
  <c r="AR50" i="54"/>
  <c r="AS50" i="54" s="1"/>
  <c r="AT49" i="54"/>
  <c r="AY48" i="54"/>
  <c r="AY47" i="54"/>
  <c r="AY29" i="54"/>
  <c r="AR24" i="54"/>
  <c r="AS24" i="54" s="1"/>
  <c r="AY23" i="54"/>
  <c r="AT20" i="54"/>
  <c r="AY18" i="54"/>
  <c r="AR14" i="54"/>
  <c r="AS14" i="54" s="1"/>
  <c r="AY10" i="54"/>
  <c r="AT100" i="54"/>
  <c r="AR66" i="54"/>
  <c r="AS66" i="54" s="1"/>
  <c r="AT65" i="54"/>
  <c r="AY64" i="54"/>
  <c r="AY63" i="54"/>
  <c r="AR47" i="54"/>
  <c r="AS47" i="54" s="1"/>
  <c r="AY45" i="54"/>
  <c r="AY33" i="54"/>
  <c r="AT29" i="54"/>
  <c r="AT23" i="54"/>
  <c r="AT18" i="54"/>
  <c r="AR17" i="54"/>
  <c r="AS17" i="54" s="1"/>
  <c r="AY15" i="54"/>
  <c r="AY13" i="54"/>
  <c r="AR12" i="54"/>
  <c r="AS12" i="54" s="1"/>
  <c r="AT10" i="54"/>
  <c r="AR9" i="54"/>
  <c r="AS9" i="54" s="1"/>
  <c r="AY7" i="54"/>
  <c r="AY5" i="54"/>
  <c r="AR4" i="54"/>
  <c r="AS4" i="54" s="1"/>
  <c r="AT2" i="54"/>
  <c r="AR63" i="54"/>
  <c r="AS63" i="54" s="1"/>
  <c r="AY61" i="54"/>
  <c r="AR46" i="54"/>
  <c r="AS46" i="54" s="1"/>
  <c r="AY44" i="54"/>
  <c r="AY43" i="54"/>
  <c r="AT42" i="54"/>
  <c r="AR33" i="54"/>
  <c r="AS33" i="54" s="1"/>
  <c r="AY31" i="54"/>
  <c r="AR29" i="54"/>
  <c r="AS29" i="54" s="1"/>
  <c r="AR23" i="54"/>
  <c r="AS23" i="54" s="1"/>
  <c r="AY22" i="54"/>
  <c r="AR20" i="54"/>
  <c r="AS20" i="54" s="1"/>
  <c r="AY19" i="54"/>
  <c r="AT15" i="54"/>
  <c r="AT13" i="54"/>
  <c r="AY11" i="54"/>
  <c r="AR62" i="54"/>
  <c r="AS62" i="54" s="1"/>
  <c r="AY60" i="54"/>
  <c r="AY59" i="54"/>
  <c r="AT58" i="54"/>
  <c r="AR43" i="54"/>
  <c r="AS43" i="54" s="1"/>
  <c r="AT41" i="54"/>
  <c r="AY27" i="54"/>
  <c r="AY26" i="54"/>
  <c r="AT22" i="54"/>
  <c r="AT19" i="54"/>
  <c r="AR18" i="54"/>
  <c r="AS18" i="54" s="1"/>
  <c r="AY16" i="54"/>
  <c r="AT11" i="54"/>
  <c r="AY69" i="54"/>
  <c r="AR59" i="54"/>
  <c r="AS59" i="54" s="1"/>
  <c r="AT57" i="54"/>
  <c r="AR42" i="54"/>
  <c r="AS42" i="54" s="1"/>
  <c r="AY39" i="54"/>
  <c r="AT38" i="54"/>
  <c r="AY37" i="54"/>
  <c r="AR31" i="54"/>
  <c r="AS31" i="54" s="1"/>
  <c r="AY28" i="54"/>
  <c r="AT26" i="54"/>
  <c r="AY21" i="54"/>
  <c r="AT16" i="54"/>
  <c r="AR15" i="54"/>
  <c r="AS15" i="54" s="1"/>
  <c r="AR13" i="54"/>
  <c r="AS13" i="54" s="1"/>
  <c r="AT69" i="54"/>
  <c r="AR58" i="54"/>
  <c r="AS58" i="54" s="1"/>
  <c r="AY55" i="54"/>
  <c r="AT54" i="54"/>
  <c r="AY53" i="54"/>
  <c r="AT37" i="54"/>
  <c r="AY36" i="54"/>
  <c r="AT30" i="54"/>
  <c r="AR27" i="54"/>
  <c r="AS27" i="54" s="1"/>
  <c r="AY25" i="54"/>
  <c r="AR22" i="54"/>
  <c r="AS22" i="54" s="1"/>
  <c r="AT21" i="54"/>
  <c r="AR19" i="54"/>
  <c r="AS19" i="54" s="1"/>
  <c r="AY14" i="54"/>
  <c r="AR94" i="54"/>
  <c r="AS94" i="54" s="1"/>
  <c r="AT53" i="54"/>
  <c r="AY52" i="54"/>
  <c r="AR35" i="54"/>
  <c r="AS35" i="54" s="1"/>
  <c r="AT34" i="54"/>
  <c r="AT32" i="54"/>
  <c r="AR28" i="54"/>
  <c r="AS28" i="54" s="1"/>
  <c r="AT24" i="54"/>
  <c r="AR21" i="54"/>
  <c r="AS21" i="54" s="1"/>
  <c r="AY17" i="54"/>
  <c r="AR16" i="54"/>
  <c r="AS16" i="54" s="1"/>
  <c r="AT14" i="54"/>
  <c r="AY12" i="54"/>
  <c r="AY9" i="54"/>
  <c r="AR8" i="54"/>
  <c r="AS8" i="54" s="1"/>
  <c r="AT6" i="54"/>
  <c r="AY4" i="54"/>
  <c r="AR51" i="54"/>
  <c r="AS51" i="54" s="1"/>
  <c r="AR25" i="54"/>
  <c r="AS25" i="54" s="1"/>
  <c r="AT9" i="54"/>
  <c r="AT3" i="54"/>
  <c r="AT7" i="54"/>
  <c r="AT50" i="54"/>
  <c r="AY8" i="54"/>
  <c r="AY3" i="54"/>
  <c r="AY93" i="54"/>
  <c r="AY49" i="54"/>
  <c r="AR34" i="54"/>
  <c r="AS34" i="54" s="1"/>
  <c r="AR32" i="54"/>
  <c r="AS32" i="54" s="1"/>
  <c r="AY20" i="54"/>
  <c r="AT17" i="54"/>
  <c r="AR11" i="54"/>
  <c r="AS11" i="54" s="1"/>
  <c r="AT8" i="54"/>
  <c r="AY6" i="54"/>
  <c r="AT5" i="54"/>
  <c r="AY2" i="54"/>
  <c r="AR3" i="54"/>
  <c r="AS3" i="54" s="1"/>
  <c r="AR10" i="54"/>
  <c r="AS10" i="54" s="1"/>
  <c r="AR6" i="54"/>
  <c r="AS6" i="54" s="1"/>
  <c r="AR7" i="54"/>
  <c r="AS7" i="54" s="1"/>
  <c r="AR2" i="54"/>
  <c r="AS2" i="54" s="1"/>
  <c r="AT4" i="54"/>
  <c r="AR5" i="54"/>
  <c r="AS5" i="54" s="1"/>
  <c r="AT12" i="54"/>
  <c r="W74" i="44"/>
  <c r="W75" i="44"/>
  <c r="W99" i="44"/>
  <c r="W4" i="44"/>
  <c r="W28" i="44"/>
  <c r="W44" i="44"/>
  <c r="W60" i="44"/>
  <c r="W76" i="44"/>
  <c r="W92" i="44"/>
  <c r="W37" i="44"/>
  <c r="W61" i="44"/>
  <c r="W77" i="44"/>
  <c r="W101" i="44"/>
  <c r="W22" i="44"/>
  <c r="W46" i="44"/>
  <c r="W62" i="44"/>
  <c r="W78" i="44"/>
  <c r="W15" i="44"/>
  <c r="W47" i="44"/>
  <c r="W79" i="44"/>
  <c r="W86" i="44"/>
  <c r="W30" i="44"/>
  <c r="W63" i="44"/>
  <c r="W85" i="44"/>
  <c r="W39" i="44"/>
  <c r="W87" i="44"/>
  <c r="W6" i="44"/>
  <c r="W55" i="44"/>
  <c r="W7" i="44"/>
  <c r="W31" i="44"/>
  <c r="W95" i="44"/>
  <c r="W8" i="44"/>
  <c r="W16" i="44"/>
  <c r="W24" i="44"/>
  <c r="W32" i="44"/>
  <c r="W40" i="44"/>
  <c r="W48" i="44"/>
  <c r="W56" i="44"/>
  <c r="W64" i="44"/>
  <c r="W72" i="44"/>
  <c r="W80" i="44"/>
  <c r="W88" i="44"/>
  <c r="W96" i="44"/>
  <c r="W9" i="44"/>
  <c r="W17" i="44"/>
  <c r="W25" i="44"/>
  <c r="W33" i="44"/>
  <c r="W41" i="44"/>
  <c r="W49" i="44"/>
  <c r="W57" i="44"/>
  <c r="W65" i="44"/>
  <c r="W73" i="44"/>
  <c r="W81" i="44"/>
  <c r="W89" i="44"/>
  <c r="W97" i="44"/>
  <c r="W2" i="44"/>
  <c r="W10" i="44"/>
  <c r="W18" i="44"/>
  <c r="W26" i="44"/>
  <c r="W34" i="44"/>
  <c r="W42" i="44"/>
  <c r="W50" i="44"/>
  <c r="W58" i="44"/>
  <c r="W66" i="44"/>
  <c r="W82" i="44"/>
  <c r="W90" i="44"/>
  <c r="W98" i="44"/>
  <c r="W3" i="44"/>
  <c r="W11" i="44"/>
  <c r="W19" i="44"/>
  <c r="W27" i="44"/>
  <c r="W35" i="44"/>
  <c r="W43" i="44"/>
  <c r="W51" i="44"/>
  <c r="W59" i="44"/>
  <c r="W67" i="44"/>
  <c r="W83" i="44"/>
  <c r="W91" i="44"/>
  <c r="W12" i="44"/>
  <c r="W20" i="44"/>
  <c r="W36" i="44"/>
  <c r="W52" i="44"/>
  <c r="W68" i="44"/>
  <c r="W84" i="44"/>
  <c r="W100" i="44"/>
  <c r="W5" i="44"/>
  <c r="W13" i="44"/>
  <c r="W21" i="44"/>
  <c r="W29" i="44"/>
  <c r="W45" i="44"/>
  <c r="W53" i="44"/>
  <c r="W69" i="44"/>
  <c r="W93" i="44"/>
  <c r="W14" i="44"/>
  <c r="W38" i="44"/>
  <c r="W54" i="44"/>
  <c r="W70" i="44"/>
  <c r="W94" i="44"/>
  <c r="W23" i="44"/>
  <c r="W71" i="44"/>
  <c r="Y46" i="48"/>
  <c r="AK296" i="48" s="1"/>
  <c r="Z97" i="48"/>
  <c r="X46" i="48"/>
  <c r="Z5" i="48"/>
  <c r="BI205" i="48" s="1"/>
  <c r="Z46" i="44"/>
  <c r="Y46" i="44"/>
  <c r="Y5" i="44"/>
  <c r="X46" i="44"/>
  <c r="W46" i="48"/>
  <c r="BF246" i="48" s="1"/>
  <c r="Z46" i="48"/>
  <c r="Y71" i="48"/>
  <c r="BH271" i="48" s="1"/>
  <c r="W97" i="48"/>
  <c r="Y97" i="44"/>
  <c r="Z97" i="44"/>
  <c r="X5" i="44"/>
  <c r="Y97" i="48"/>
  <c r="Z5" i="44"/>
  <c r="X97" i="48"/>
  <c r="W71" i="48"/>
  <c r="BF271" i="48" s="1"/>
  <c r="X71" i="48"/>
  <c r="Y18" i="48"/>
  <c r="AK268" i="48" s="1"/>
  <c r="X57" i="48"/>
  <c r="Y25" i="44"/>
  <c r="W39" i="48"/>
  <c r="AI289" i="48" s="1"/>
  <c r="Z71" i="44"/>
  <c r="X71" i="44"/>
  <c r="Z57" i="48"/>
  <c r="BI257" i="48" s="1"/>
  <c r="W5" i="48"/>
  <c r="AI255" i="48" s="1"/>
  <c r="Z71" i="48"/>
  <c r="BI271" i="48" s="1"/>
  <c r="Z35" i="44"/>
  <c r="X19" i="44"/>
  <c r="X97" i="44"/>
  <c r="Y5" i="48"/>
  <c r="AK255" i="48" s="1"/>
  <c r="X5" i="48"/>
  <c r="Y71" i="44"/>
  <c r="Z78" i="44"/>
  <c r="Y83" i="48"/>
  <c r="Z22" i="44"/>
  <c r="Z53" i="44"/>
  <c r="W78" i="48"/>
  <c r="BF278" i="48" s="1"/>
  <c r="W41" i="48"/>
  <c r="BF241" i="48" s="1"/>
  <c r="X98" i="48"/>
  <c r="Z96" i="44"/>
  <c r="X60" i="44"/>
  <c r="W4" i="48"/>
  <c r="AI254" i="48" s="1"/>
  <c r="Z17" i="44"/>
  <c r="X84" i="44"/>
  <c r="Y72" i="44"/>
  <c r="W48" i="48"/>
  <c r="AI298" i="48" s="1"/>
  <c r="W68" i="48"/>
  <c r="BF268" i="48" s="1"/>
  <c r="Y45" i="44"/>
  <c r="Z7" i="48"/>
  <c r="AL257" i="48" s="1"/>
  <c r="X51" i="48"/>
  <c r="Z64" i="48"/>
  <c r="BI264" i="48" s="1"/>
  <c r="X24" i="44"/>
  <c r="Y2" i="44"/>
  <c r="X70" i="48"/>
  <c r="X32" i="44"/>
  <c r="Z52" i="44"/>
  <c r="Y80" i="44"/>
  <c r="W32" i="48"/>
  <c r="AI282" i="48" s="1"/>
  <c r="Y19" i="44"/>
  <c r="Z100" i="44"/>
  <c r="Z39" i="48"/>
  <c r="X52" i="44"/>
  <c r="Y67" i="44"/>
  <c r="W81" i="48"/>
  <c r="BF281" i="48" s="1"/>
  <c r="X14" i="44"/>
  <c r="Y51" i="44"/>
  <c r="Z26" i="44"/>
  <c r="Y4" i="48"/>
  <c r="AK254" i="48" s="1"/>
  <c r="X13" i="48"/>
  <c r="X93" i="44"/>
  <c r="Y88" i="44"/>
  <c r="X73" i="44"/>
  <c r="Y43" i="48"/>
  <c r="AK293" i="48" s="1"/>
  <c r="Y36" i="44"/>
  <c r="Z80" i="48"/>
  <c r="BI280" i="48" s="1"/>
  <c r="X75" i="48"/>
  <c r="W91" i="48"/>
  <c r="Z12" i="44"/>
  <c r="Y52" i="48"/>
  <c r="BH252" i="48" s="1"/>
  <c r="W33" i="48"/>
  <c r="AI283" i="48" s="1"/>
  <c r="Z72" i="48"/>
  <c r="BI272" i="48" s="1"/>
  <c r="X43" i="44"/>
  <c r="Y50" i="48"/>
  <c r="AK300" i="48" s="1"/>
  <c r="Y69" i="44"/>
  <c r="X47" i="48"/>
  <c r="W84" i="48"/>
  <c r="X57" i="44"/>
  <c r="X38" i="44"/>
  <c r="Z87" i="44"/>
  <c r="Z12" i="48"/>
  <c r="BI212" i="48" s="1"/>
  <c r="Y66" i="44"/>
  <c r="Z43" i="44"/>
  <c r="Y31" i="44"/>
  <c r="Z65" i="48"/>
  <c r="BI265" i="48" s="1"/>
  <c r="X3" i="44"/>
  <c r="X85" i="44"/>
  <c r="Z94" i="44"/>
  <c r="X95" i="48"/>
  <c r="Z95" i="48"/>
  <c r="Z56" i="48"/>
  <c r="BI256" i="48" s="1"/>
  <c r="Z52" i="48"/>
  <c r="BI252" i="48" s="1"/>
  <c r="W64" i="48"/>
  <c r="BF264" i="48" s="1"/>
  <c r="Y22" i="44"/>
  <c r="Z54" i="44"/>
  <c r="Y26" i="44"/>
  <c r="Z94" i="48"/>
  <c r="Z13" i="44"/>
  <c r="X81" i="44"/>
  <c r="Y87" i="48"/>
  <c r="X60" i="48"/>
  <c r="X98" i="44"/>
  <c r="X68" i="44"/>
  <c r="Z19" i="48"/>
  <c r="AL269" i="48" s="1"/>
  <c r="X62" i="44"/>
  <c r="Z81" i="44"/>
  <c r="W61" i="48"/>
  <c r="BF261" i="48" s="1"/>
  <c r="Y59" i="48"/>
  <c r="BH259" i="48" s="1"/>
  <c r="Z84" i="44"/>
  <c r="Z49" i="44"/>
  <c r="X67" i="44"/>
  <c r="W37" i="48"/>
  <c r="AI287" i="48" s="1"/>
  <c r="W98" i="48"/>
  <c r="X64" i="48"/>
  <c r="X39" i="44"/>
  <c r="Y50" i="44"/>
  <c r="Z23" i="48"/>
  <c r="BI223" i="48" s="1"/>
  <c r="Z68" i="48"/>
  <c r="BI268" i="48" s="1"/>
  <c r="X101" i="44"/>
  <c r="Y55" i="48"/>
  <c r="BH255" i="48" s="1"/>
  <c r="Y11" i="48"/>
  <c r="BH211" i="48" s="1"/>
  <c r="Y56" i="48"/>
  <c r="BH256" i="48" s="1"/>
  <c r="Y18" i="44"/>
  <c r="X45" i="44"/>
  <c r="Y99" i="48"/>
  <c r="X44" i="48"/>
  <c r="Z55" i="44"/>
  <c r="X87" i="48"/>
  <c r="Y76" i="44"/>
  <c r="X92" i="44"/>
  <c r="W75" i="48"/>
  <c r="BF275" i="48" s="1"/>
  <c r="Y28" i="48"/>
  <c r="AK278" i="48" s="1"/>
  <c r="Z10" i="48"/>
  <c r="AL260" i="48" s="1"/>
  <c r="Z10" i="44"/>
  <c r="Z41" i="48"/>
  <c r="BI241" i="48" s="1"/>
  <c r="Z45" i="48"/>
  <c r="BI245" i="48" s="1"/>
  <c r="Z98" i="48"/>
  <c r="Z70" i="44"/>
  <c r="Z56" i="44"/>
  <c r="Y33" i="48"/>
  <c r="BH233" i="48" s="1"/>
  <c r="Y86" i="48"/>
  <c r="Z93" i="44"/>
  <c r="X17" i="48"/>
  <c r="X21" i="48"/>
  <c r="X74" i="48"/>
  <c r="Z3" i="44"/>
  <c r="W9" i="48"/>
  <c r="AI259" i="48" s="1"/>
  <c r="W93" i="48"/>
  <c r="W52" i="48"/>
  <c r="BF252" i="48" s="1"/>
  <c r="X63" i="44"/>
  <c r="X26" i="44"/>
  <c r="Z30" i="48"/>
  <c r="BI230" i="48" s="1"/>
  <c r="Z75" i="48"/>
  <c r="BI275" i="48" s="1"/>
  <c r="X12" i="44"/>
  <c r="Y89" i="48"/>
  <c r="X12" i="48"/>
  <c r="Z73" i="44"/>
  <c r="Y61" i="44"/>
  <c r="X55" i="48"/>
  <c r="X100" i="48"/>
  <c r="W43" i="48"/>
  <c r="BF243" i="48" s="1"/>
  <c r="W88" i="48"/>
  <c r="Z27" i="48"/>
  <c r="AL277" i="48" s="1"/>
  <c r="X88" i="48"/>
  <c r="Z9" i="48"/>
  <c r="AL259" i="48" s="1"/>
  <c r="Z13" i="48"/>
  <c r="BI213" i="48" s="1"/>
  <c r="Z66" i="48"/>
  <c r="BI266" i="48" s="1"/>
  <c r="Z88" i="44"/>
  <c r="Z101" i="48"/>
  <c r="Y54" i="48"/>
  <c r="BH254" i="48" s="1"/>
  <c r="Z67" i="44"/>
  <c r="Y85" i="48"/>
  <c r="X42" i="48"/>
  <c r="Y17" i="44"/>
  <c r="Y30" i="48"/>
  <c r="AK280" i="48" s="1"/>
  <c r="Z64" i="44"/>
  <c r="Z61" i="44"/>
  <c r="Z90" i="44"/>
  <c r="X49" i="48"/>
  <c r="W6" i="48"/>
  <c r="AI256" i="48" s="1"/>
  <c r="Z62" i="44"/>
  <c r="Y29" i="44"/>
  <c r="Z25" i="48"/>
  <c r="Z29" i="48"/>
  <c r="Z82" i="48"/>
  <c r="Z79" i="44"/>
  <c r="Y13" i="48"/>
  <c r="AK263" i="48" s="1"/>
  <c r="Y17" i="48"/>
  <c r="AK267" i="48" s="1"/>
  <c r="Y82" i="48"/>
  <c r="Z98" i="44"/>
  <c r="Y101" i="48"/>
  <c r="X58" i="48"/>
  <c r="X8" i="44"/>
  <c r="X89" i="48"/>
  <c r="X93" i="48"/>
  <c r="W77" i="48"/>
  <c r="BF277" i="48" s="1"/>
  <c r="Z42" i="48"/>
  <c r="BI242" i="48" s="1"/>
  <c r="X48" i="48"/>
  <c r="W76" i="48"/>
  <c r="BF276" i="48" s="1"/>
  <c r="Z14" i="48"/>
  <c r="BI214" i="48" s="1"/>
  <c r="Z59" i="48"/>
  <c r="BI259" i="48" s="1"/>
  <c r="Y81" i="44"/>
  <c r="Y2" i="48"/>
  <c r="AK252" i="48" s="1"/>
  <c r="Y47" i="48"/>
  <c r="AK297" i="48" s="1"/>
  <c r="Z58" i="44"/>
  <c r="Y7" i="44"/>
  <c r="Y90" i="48"/>
  <c r="X35" i="48"/>
  <c r="X78" i="48"/>
  <c r="W23" i="48"/>
  <c r="BF223" i="48" s="1"/>
  <c r="Z25" i="44"/>
  <c r="X11" i="44"/>
  <c r="W66" i="48"/>
  <c r="BF266" i="48" s="1"/>
  <c r="Y92" i="44"/>
  <c r="X94" i="44"/>
  <c r="Z83" i="44"/>
  <c r="W36" i="48"/>
  <c r="BF236" i="48" s="1"/>
  <c r="Z36" i="48"/>
  <c r="BI236" i="48" s="1"/>
  <c r="Y55" i="44"/>
  <c r="Y9" i="44"/>
  <c r="Z79" i="48"/>
  <c r="BI279" i="48" s="1"/>
  <c r="Y24" i="48"/>
  <c r="AK274" i="48" s="1"/>
  <c r="Z51" i="44"/>
  <c r="Y27" i="44"/>
  <c r="X2" i="44"/>
  <c r="X61" i="48"/>
  <c r="W14" i="48"/>
  <c r="BF214" i="48" s="1"/>
  <c r="Y98" i="44"/>
  <c r="W45" i="48"/>
  <c r="BF245" i="48" s="1"/>
  <c r="W49" i="48"/>
  <c r="BF249" i="48" s="1"/>
  <c r="Z48" i="48"/>
  <c r="BI248" i="48" s="1"/>
  <c r="X40" i="44"/>
  <c r="Y84" i="48"/>
  <c r="X56" i="48"/>
  <c r="X23" i="44"/>
  <c r="Z70" i="48"/>
  <c r="BI270" i="48" s="1"/>
  <c r="Y15" i="48"/>
  <c r="BH215" i="48" s="1"/>
  <c r="Z99" i="44"/>
  <c r="Y96" i="44"/>
  <c r="Y58" i="48"/>
  <c r="BH258" i="48" s="1"/>
  <c r="X3" i="48"/>
  <c r="X91" i="48"/>
  <c r="X96" i="48"/>
  <c r="Y79" i="48"/>
  <c r="BH279" i="48" s="1"/>
  <c r="W30" i="48"/>
  <c r="Z18" i="48"/>
  <c r="BI218" i="48" s="1"/>
  <c r="X76" i="44"/>
  <c r="X91" i="44"/>
  <c r="W85" i="48"/>
  <c r="W55" i="48"/>
  <c r="BF255" i="48" s="1"/>
  <c r="Y53" i="44"/>
  <c r="Y42" i="44"/>
  <c r="Z7" i="44"/>
  <c r="Z86" i="48"/>
  <c r="Y31" i="48"/>
  <c r="BH231" i="48" s="1"/>
  <c r="Y90" i="44"/>
  <c r="X44" i="44"/>
  <c r="Y74" i="48"/>
  <c r="BH274" i="48" s="1"/>
  <c r="X95" i="44"/>
  <c r="X69" i="44"/>
  <c r="X62" i="48"/>
  <c r="W7" i="48"/>
  <c r="Y34" i="44"/>
  <c r="Z29" i="44"/>
  <c r="W50" i="48"/>
  <c r="W95" i="48"/>
  <c r="X16" i="44"/>
  <c r="Y4" i="44"/>
  <c r="Y65" i="44"/>
  <c r="Z20" i="48"/>
  <c r="X41" i="44"/>
  <c r="Z63" i="48"/>
  <c r="BI263" i="48" s="1"/>
  <c r="Y8" i="48"/>
  <c r="BH208" i="48" s="1"/>
  <c r="Z68" i="44"/>
  <c r="Y51" i="48"/>
  <c r="BH251" i="48" s="1"/>
  <c r="Y96" i="48"/>
  <c r="X9" i="44"/>
  <c r="X53" i="48"/>
  <c r="X39" i="48"/>
  <c r="X84" i="48"/>
  <c r="X13" i="44"/>
  <c r="Y94" i="44"/>
  <c r="W27" i="48"/>
  <c r="BF227" i="48" s="1"/>
  <c r="W72" i="48"/>
  <c r="BF272" i="48" s="1"/>
  <c r="Z75" i="44"/>
  <c r="X40" i="48"/>
  <c r="Y20" i="44"/>
  <c r="Z50" i="48"/>
  <c r="Z81" i="48"/>
  <c r="BI281" i="48" s="1"/>
  <c r="Z85" i="48"/>
  <c r="Y38" i="48"/>
  <c r="AK288" i="48" s="1"/>
  <c r="Y47" i="44"/>
  <c r="Y69" i="48"/>
  <c r="BH269" i="48" s="1"/>
  <c r="Y73" i="48"/>
  <c r="BH273" i="48" s="1"/>
  <c r="X26" i="48"/>
  <c r="X66" i="44"/>
  <c r="W18" i="48"/>
  <c r="BF218" i="48" s="1"/>
  <c r="W63" i="48"/>
  <c r="BF263" i="48" s="1"/>
  <c r="Z8" i="48"/>
  <c r="W12" i="48"/>
  <c r="BF212" i="48" s="1"/>
  <c r="Y32" i="44"/>
  <c r="Z82" i="44"/>
  <c r="Z31" i="48"/>
  <c r="AL281" i="48" s="1"/>
  <c r="Y101" i="44"/>
  <c r="X61" i="44"/>
  <c r="Z23" i="44"/>
  <c r="Y19" i="48"/>
  <c r="AK269" i="48" s="1"/>
  <c r="Y64" i="48"/>
  <c r="BH264" i="48" s="1"/>
  <c r="Z50" i="44"/>
  <c r="Y38" i="44"/>
  <c r="X7" i="48"/>
  <c r="X52" i="48"/>
  <c r="X88" i="44"/>
  <c r="Z47" i="44"/>
  <c r="X34" i="44"/>
  <c r="X54" i="44"/>
  <c r="X80" i="48"/>
  <c r="Z28" i="48"/>
  <c r="AL278" i="48" s="1"/>
  <c r="X77" i="48"/>
  <c r="Y76" i="48"/>
  <c r="BH276" i="48" s="1"/>
  <c r="Z67" i="48"/>
  <c r="BI267" i="48" s="1"/>
  <c r="Z4" i="44"/>
  <c r="Z40" i="44"/>
  <c r="Y15" i="44"/>
  <c r="Z24" i="48"/>
  <c r="Z91" i="44"/>
  <c r="X4" i="44"/>
  <c r="Z14" i="44"/>
  <c r="Y35" i="48"/>
  <c r="AK285" i="48" s="1"/>
  <c r="Y80" i="48"/>
  <c r="BH280" i="48" s="1"/>
  <c r="X55" i="44"/>
  <c r="X23" i="48"/>
  <c r="Y77" i="44"/>
  <c r="W11" i="48"/>
  <c r="W56" i="48"/>
  <c r="BF256" i="48" s="1"/>
  <c r="Z30" i="44"/>
  <c r="Z92" i="44"/>
  <c r="W99" i="48"/>
  <c r="X72" i="48"/>
  <c r="Z34" i="48"/>
  <c r="BI234" i="48" s="1"/>
  <c r="X33" i="44"/>
  <c r="Z42" i="44"/>
  <c r="Z69" i="48"/>
  <c r="BI269" i="48" s="1"/>
  <c r="Y22" i="48"/>
  <c r="AK272" i="48" s="1"/>
  <c r="Y12" i="44"/>
  <c r="Y53" i="48"/>
  <c r="BH253" i="48" s="1"/>
  <c r="Y57" i="48"/>
  <c r="BH257" i="48" s="1"/>
  <c r="X10" i="48"/>
  <c r="Z95" i="44"/>
  <c r="X41" i="48"/>
  <c r="X45" i="48"/>
  <c r="W21" i="48"/>
  <c r="BF221" i="48" s="1"/>
  <c r="Z73" i="48"/>
  <c r="BI273" i="48" s="1"/>
  <c r="Z77" i="48"/>
  <c r="BI277" i="48" s="1"/>
  <c r="W34" i="48"/>
  <c r="Z22" i="48"/>
  <c r="Y16" i="48"/>
  <c r="AK266" i="48" s="1"/>
  <c r="X18" i="48"/>
  <c r="Y37" i="44"/>
  <c r="Y6" i="48"/>
  <c r="AK256" i="48" s="1"/>
  <c r="W60" i="48"/>
  <c r="BF260" i="48" s="1"/>
  <c r="Z92" i="48"/>
  <c r="Y94" i="48"/>
  <c r="Y40" i="44"/>
  <c r="X25" i="48"/>
  <c r="X29" i="48"/>
  <c r="X82" i="48"/>
  <c r="Z66" i="44"/>
  <c r="W13" i="48"/>
  <c r="Y84" i="44"/>
  <c r="W70" i="48"/>
  <c r="BF270" i="48" s="1"/>
  <c r="W101" i="48"/>
  <c r="Z40" i="48"/>
  <c r="W100" i="48"/>
  <c r="Y56" i="44"/>
  <c r="Y8" i="44"/>
  <c r="Z38" i="48"/>
  <c r="Z83" i="48"/>
  <c r="Y44" i="44"/>
  <c r="Y26" i="48"/>
  <c r="AK276" i="48" s="1"/>
  <c r="X17" i="44"/>
  <c r="X14" i="48"/>
  <c r="X59" i="48"/>
  <c r="W2" i="48"/>
  <c r="BF202" i="48" s="1"/>
  <c r="X48" i="44"/>
  <c r="Z2" i="44"/>
  <c r="X35" i="44"/>
  <c r="W90" i="48"/>
  <c r="X8" i="48"/>
  <c r="X18" i="44"/>
  <c r="Z15" i="48"/>
  <c r="BI215" i="48" s="1"/>
  <c r="Z60" i="48"/>
  <c r="BI260" i="48" s="1"/>
  <c r="Y79" i="44"/>
  <c r="Z32" i="44"/>
  <c r="X50" i="44"/>
  <c r="Y48" i="48"/>
  <c r="AK298" i="48" s="1"/>
  <c r="Y82" i="44"/>
  <c r="Y91" i="48"/>
  <c r="X36" i="48"/>
  <c r="Y100" i="44"/>
  <c r="X79" i="48"/>
  <c r="W24" i="48"/>
  <c r="BF224" i="48" s="1"/>
  <c r="Y57" i="44"/>
  <c r="W59" i="48"/>
  <c r="BF259" i="48" s="1"/>
  <c r="W28" i="48"/>
  <c r="BF228" i="48" s="1"/>
  <c r="Z6" i="48"/>
  <c r="BI206" i="48" s="1"/>
  <c r="X49" i="44"/>
  <c r="Y34" i="48"/>
  <c r="AK284" i="48" s="1"/>
  <c r="Z37" i="44"/>
  <c r="Y65" i="48"/>
  <c r="BH265" i="48" s="1"/>
  <c r="X67" i="48"/>
  <c r="Y44" i="48"/>
  <c r="AK294" i="48" s="1"/>
  <c r="X51" i="44"/>
  <c r="Z6" i="44"/>
  <c r="Z47" i="48"/>
  <c r="Y41" i="48"/>
  <c r="AK291" i="48" s="1"/>
  <c r="X43" i="48"/>
  <c r="X70" i="44"/>
  <c r="X79" i="44"/>
  <c r="X86" i="48"/>
  <c r="W31" i="48"/>
  <c r="BF231" i="48" s="1"/>
  <c r="Z85" i="44"/>
  <c r="Z36" i="44"/>
  <c r="Y20" i="48"/>
  <c r="AK270" i="48" s="1"/>
  <c r="X29" i="44"/>
  <c r="Z19" i="44"/>
  <c r="W92" i="48"/>
  <c r="Z44" i="48"/>
  <c r="Z41" i="44"/>
  <c r="Z87" i="48"/>
  <c r="Y32" i="48"/>
  <c r="AK282" i="48" s="1"/>
  <c r="X99" i="44"/>
  <c r="X4" i="48"/>
  <c r="Y75" i="48"/>
  <c r="BH275" i="48" s="1"/>
  <c r="X20" i="48"/>
  <c r="Z9" i="44"/>
  <c r="X63" i="48"/>
  <c r="W8" i="48"/>
  <c r="AI258" i="48" s="1"/>
  <c r="X31" i="44"/>
  <c r="X22" i="44"/>
  <c r="W51" i="48"/>
  <c r="AI301" i="48" s="1"/>
  <c r="Y30" i="44"/>
  <c r="X10" i="44"/>
  <c r="Z17" i="48"/>
  <c r="BI217" i="48" s="1"/>
  <c r="Z21" i="48"/>
  <c r="AL271" i="48" s="1"/>
  <c r="Z74" i="48"/>
  <c r="BI274" i="48" s="1"/>
  <c r="Z24" i="44"/>
  <c r="Y9" i="48"/>
  <c r="BH209" i="48" s="1"/>
  <c r="Y62" i="48"/>
  <c r="BH262" i="48" s="1"/>
  <c r="Z16" i="44"/>
  <c r="Y91" i="44"/>
  <c r="X50" i="48"/>
  <c r="X81" i="48"/>
  <c r="X85" i="48"/>
  <c r="W38" i="48"/>
  <c r="BF238" i="48" s="1"/>
  <c r="X59" i="44"/>
  <c r="W69" i="48"/>
  <c r="BF269" i="48" s="1"/>
  <c r="W73" i="48"/>
  <c r="BF273" i="48" s="1"/>
  <c r="X74" i="44"/>
  <c r="X27" i="44"/>
  <c r="Z55" i="48"/>
  <c r="BI255" i="48" s="1"/>
  <c r="Y64" i="44"/>
  <c r="Y73" i="44"/>
  <c r="Y61" i="48"/>
  <c r="BH261" i="48" s="1"/>
  <c r="X22" i="48"/>
  <c r="W65" i="48"/>
  <c r="BF265" i="48" s="1"/>
  <c r="Z53" i="48"/>
  <c r="BI253" i="48" s="1"/>
  <c r="Y25" i="48"/>
  <c r="AK275" i="48" s="1"/>
  <c r="Y37" i="48"/>
  <c r="BH237" i="48" s="1"/>
  <c r="Y98" i="48"/>
  <c r="X92" i="48"/>
  <c r="Z44" i="44"/>
  <c r="Z21" i="44"/>
  <c r="W35" i="48"/>
  <c r="AI285" i="48" s="1"/>
  <c r="W80" i="48"/>
  <c r="BF280" i="48" s="1"/>
  <c r="Y49" i="44"/>
  <c r="Z11" i="44"/>
  <c r="Y28" i="44"/>
  <c r="Z58" i="48"/>
  <c r="BI258" i="48" s="1"/>
  <c r="Z33" i="44"/>
  <c r="Z89" i="48"/>
  <c r="Z93" i="48"/>
  <c r="X87" i="44"/>
  <c r="Y77" i="48"/>
  <c r="BH277" i="48" s="1"/>
  <c r="Y81" i="48"/>
  <c r="BH281" i="48" s="1"/>
  <c r="X31" i="48"/>
  <c r="Y41" i="44"/>
  <c r="X65" i="48"/>
  <c r="X69" i="48"/>
  <c r="W22" i="48"/>
  <c r="BF222" i="48" s="1"/>
  <c r="X21" i="44"/>
  <c r="W53" i="48"/>
  <c r="BF253" i="48" s="1"/>
  <c r="W57" i="48"/>
  <c r="BF257" i="48" s="1"/>
  <c r="Z96" i="48"/>
  <c r="Y35" i="44"/>
  <c r="X32" i="48"/>
  <c r="Z91" i="48"/>
  <c r="Z35" i="48"/>
  <c r="AL285" i="48" s="1"/>
  <c r="Z78" i="48"/>
  <c r="BI278" i="48" s="1"/>
  <c r="Y23" i="48"/>
  <c r="AK273" i="48" s="1"/>
  <c r="X58" i="44"/>
  <c r="Y66" i="48"/>
  <c r="BH266" i="48" s="1"/>
  <c r="X11" i="48"/>
  <c r="Z63" i="44"/>
  <c r="Z57" i="44"/>
  <c r="X54" i="48"/>
  <c r="X99" i="48"/>
  <c r="Z20" i="44"/>
  <c r="Y95" i="44"/>
  <c r="W42" i="48"/>
  <c r="BF242" i="48" s="1"/>
  <c r="W87" i="48"/>
  <c r="Y68" i="44"/>
  <c r="Y68" i="48"/>
  <c r="BH268" i="48" s="1"/>
  <c r="Y10" i="44"/>
  <c r="Y14" i="48"/>
  <c r="AK264" i="48" s="1"/>
  <c r="Y16" i="44"/>
  <c r="Y45" i="48"/>
  <c r="BH245" i="48" s="1"/>
  <c r="Y49" i="48"/>
  <c r="AK299" i="48" s="1"/>
  <c r="X2" i="48"/>
  <c r="Z27" i="44"/>
  <c r="X33" i="48"/>
  <c r="X37" i="48"/>
  <c r="X90" i="48"/>
  <c r="X25" i="44"/>
  <c r="W25" i="48"/>
  <c r="AI275" i="48" s="1"/>
  <c r="Y29" i="48"/>
  <c r="BH229" i="48" s="1"/>
  <c r="X37" i="44"/>
  <c r="X65" i="44"/>
  <c r="X42" i="44"/>
  <c r="X96" i="44"/>
  <c r="X15" i="44"/>
  <c r="Y93" i="48"/>
  <c r="Y67" i="48"/>
  <c r="BH267" i="48" s="1"/>
  <c r="X16" i="48"/>
  <c r="Z54" i="48"/>
  <c r="BI254" i="48" s="1"/>
  <c r="Y99" i="44"/>
  <c r="Y92" i="48"/>
  <c r="W58" i="48"/>
  <c r="BF258" i="48" s="1"/>
  <c r="Z3" i="48"/>
  <c r="AL253" i="48" s="1"/>
  <c r="W15" i="48"/>
  <c r="BF215" i="48" s="1"/>
  <c r="X30" i="44"/>
  <c r="Y75" i="44"/>
  <c r="Z48" i="44"/>
  <c r="Z15" i="44"/>
  <c r="Z37" i="48"/>
  <c r="BI237" i="48" s="1"/>
  <c r="Z74" i="44"/>
  <c r="W67" i="48"/>
  <c r="BF267" i="48" s="1"/>
  <c r="X30" i="48"/>
  <c r="Y60" i="44"/>
  <c r="W3" i="48"/>
  <c r="BF203" i="48" s="1"/>
  <c r="X75" i="44"/>
  <c r="Z88" i="48"/>
  <c r="W29" i="48"/>
  <c r="AI279" i="48" s="1"/>
  <c r="X6" i="44"/>
  <c r="X38" i="48"/>
  <c r="Z59" i="44"/>
  <c r="X19" i="48"/>
  <c r="Y58" i="44"/>
  <c r="W20" i="48"/>
  <c r="BF220" i="48" s="1"/>
  <c r="X101" i="48"/>
  <c r="Y86" i="44"/>
  <c r="X66" i="48"/>
  <c r="W82" i="48"/>
  <c r="Y14" i="44"/>
  <c r="X94" i="48"/>
  <c r="X6" i="48"/>
  <c r="Y63" i="48"/>
  <c r="BH263" i="48" s="1"/>
  <c r="Z26" i="48"/>
  <c r="Y42" i="48"/>
  <c r="AK292" i="48" s="1"/>
  <c r="Y72" i="48"/>
  <c r="BH272" i="48" s="1"/>
  <c r="Z84" i="48"/>
  <c r="X56" i="44"/>
  <c r="Y100" i="48"/>
  <c r="Y24" i="44"/>
  <c r="X53" i="44"/>
  <c r="Z45" i="44"/>
  <c r="Y87" i="44"/>
  <c r="Y3" i="48"/>
  <c r="BH203" i="48" s="1"/>
  <c r="Z31" i="44"/>
  <c r="Y70" i="48"/>
  <c r="BH270" i="48" s="1"/>
  <c r="Y6" i="44"/>
  <c r="Y13" i="44"/>
  <c r="X34" i="48"/>
  <c r="Y70" i="44"/>
  <c r="Z38" i="44"/>
  <c r="Z89" i="44"/>
  <c r="Z61" i="48"/>
  <c r="BI261" i="48" s="1"/>
  <c r="Y63" i="44"/>
  <c r="X100" i="44"/>
  <c r="Z16" i="48"/>
  <c r="BI216" i="48" s="1"/>
  <c r="X86" i="44"/>
  <c r="X89" i="44"/>
  <c r="X82" i="44"/>
  <c r="Y62" i="44"/>
  <c r="X76" i="48"/>
  <c r="Y48" i="44"/>
  <c r="Y88" i="48"/>
  <c r="X80" i="44"/>
  <c r="Z100" i="48"/>
  <c r="Y85" i="44"/>
  <c r="X47" i="44"/>
  <c r="Z99" i="48"/>
  <c r="X15" i="48"/>
  <c r="Y23" i="44"/>
  <c r="Z76" i="44"/>
  <c r="W26" i="48"/>
  <c r="AI276" i="48" s="1"/>
  <c r="Y7" i="48"/>
  <c r="AK257" i="48" s="1"/>
  <c r="Y36" i="48"/>
  <c r="AK286" i="48" s="1"/>
  <c r="Y52" i="44"/>
  <c r="Y33" i="44"/>
  <c r="Y83" i="44"/>
  <c r="Z77" i="44"/>
  <c r="Y39" i="44"/>
  <c r="Y74" i="44"/>
  <c r="Z69" i="44"/>
  <c r="Z101" i="44"/>
  <c r="W62" i="48"/>
  <c r="BF262" i="48" s="1"/>
  <c r="Y54" i="44"/>
  <c r="Y78" i="44"/>
  <c r="Y21" i="44"/>
  <c r="X77" i="44"/>
  <c r="W74" i="48"/>
  <c r="BF274" i="48" s="1"/>
  <c r="W17" i="48"/>
  <c r="BF217" i="48" s="1"/>
  <c r="X68" i="48"/>
  <c r="X83" i="44"/>
  <c r="Z60" i="44"/>
  <c r="Z76" i="48"/>
  <c r="BI276" i="48" s="1"/>
  <c r="W54" i="48"/>
  <c r="BF254" i="48" s="1"/>
  <c r="X20" i="44"/>
  <c r="Z32" i="48"/>
  <c r="AL282" i="48" s="1"/>
  <c r="X9" i="48"/>
  <c r="X27" i="48"/>
  <c r="X90" i="44"/>
  <c r="Y39" i="48"/>
  <c r="AK289" i="48" s="1"/>
  <c r="Z86" i="44"/>
  <c r="Z51" i="48"/>
  <c r="BI251" i="48" s="1"/>
  <c r="Z34" i="44"/>
  <c r="W10" i="48"/>
  <c r="AI260" i="48" s="1"/>
  <c r="Z11" i="48"/>
  <c r="BI211" i="48" s="1"/>
  <c r="Y27" i="48"/>
  <c r="BH227" i="48" s="1"/>
  <c r="Z18" i="44"/>
  <c r="Z72" i="44"/>
  <c r="Z62" i="48"/>
  <c r="BI262" i="48" s="1"/>
  <c r="Y10" i="48"/>
  <c r="BH210" i="48" s="1"/>
  <c r="Y59" i="44"/>
  <c r="Z65" i="44"/>
  <c r="X64" i="44"/>
  <c r="X83" i="48"/>
  <c r="X72" i="44"/>
  <c r="W44" i="48"/>
  <c r="BF244" i="48" s="1"/>
  <c r="W96" i="48"/>
  <c r="Y89" i="44"/>
  <c r="W47" i="48"/>
  <c r="AI297" i="48" s="1"/>
  <c r="Z39" i="44"/>
  <c r="Z80" i="44"/>
  <c r="Y3" i="44"/>
  <c r="X7" i="44"/>
  <c r="Y11" i="44"/>
  <c r="Z8" i="44"/>
  <c r="Z28" i="44"/>
  <c r="W19" i="48"/>
  <c r="AI269" i="48" s="1"/>
  <c r="Y60" i="48"/>
  <c r="BH260" i="48" s="1"/>
  <c r="Y78" i="48"/>
  <c r="BH278" i="48" s="1"/>
  <c r="Y21" i="48"/>
  <c r="BH221" i="48" s="1"/>
  <c r="Z90" i="48"/>
  <c r="Z33" i="48"/>
  <c r="Z2" i="48"/>
  <c r="X24" i="48"/>
  <c r="Y40" i="48"/>
  <c r="BH240" i="48" s="1"/>
  <c r="W86" i="48"/>
  <c r="Y95" i="48"/>
  <c r="W94" i="48"/>
  <c r="Z49" i="48"/>
  <c r="W89" i="48"/>
  <c r="W83" i="48"/>
  <c r="X28" i="44"/>
  <c r="W40" i="48"/>
  <c r="Y93" i="44"/>
  <c r="Z43" i="48"/>
  <c r="Z4" i="48"/>
  <c r="Y12" i="48"/>
  <c r="AK262" i="48" s="1"/>
  <c r="X36" i="44"/>
  <c r="W79" i="48"/>
  <c r="BF279" i="48" s="1"/>
  <c r="X73" i="48"/>
  <c r="Y43" i="44"/>
  <c r="W16" i="48"/>
  <c r="AI266" i="48" s="1"/>
  <c r="X78" i="44"/>
  <c r="X28" i="48"/>
  <c r="AJ2" i="48"/>
  <c r="AI2" i="48"/>
  <c r="AW32" i="54" l="1"/>
  <c r="AU32" i="54"/>
  <c r="AX32" i="54"/>
  <c r="AV32" i="54"/>
  <c r="AW78" i="54"/>
  <c r="AX78" i="54"/>
  <c r="AV78" i="54"/>
  <c r="AU78" i="54"/>
  <c r="AX2" i="54"/>
  <c r="AV2" i="54"/>
  <c r="AW2" i="54"/>
  <c r="AU2" i="54"/>
  <c r="AX34" i="54"/>
  <c r="AV34" i="54"/>
  <c r="AW34" i="54"/>
  <c r="AU34" i="54"/>
  <c r="AW8" i="54"/>
  <c r="AU8" i="54"/>
  <c r="AX8" i="54"/>
  <c r="AV8" i="54"/>
  <c r="AX13" i="54"/>
  <c r="AV13" i="54"/>
  <c r="AW13" i="54"/>
  <c r="AU13" i="54"/>
  <c r="AX29" i="54"/>
  <c r="AV29" i="54"/>
  <c r="AW29" i="54"/>
  <c r="AU29" i="54"/>
  <c r="AW14" i="54"/>
  <c r="AU14" i="54"/>
  <c r="AX14" i="54"/>
  <c r="AV14" i="54"/>
  <c r="AX26" i="54"/>
  <c r="AV26" i="54"/>
  <c r="AW26" i="54"/>
  <c r="AU26" i="54"/>
  <c r="AX45" i="54"/>
  <c r="AV45" i="54"/>
  <c r="AW45" i="54"/>
  <c r="AU45" i="54"/>
  <c r="AX61" i="54"/>
  <c r="AV61" i="54"/>
  <c r="AW61" i="54"/>
  <c r="AU61" i="54"/>
  <c r="AW79" i="54"/>
  <c r="AU79" i="54"/>
  <c r="AX79" i="54"/>
  <c r="AV79" i="54"/>
  <c r="AX75" i="54"/>
  <c r="AV75" i="54"/>
  <c r="AW75" i="54"/>
  <c r="AU75" i="54"/>
  <c r="AX93" i="54"/>
  <c r="AV93" i="54"/>
  <c r="AW93" i="54"/>
  <c r="AU93" i="54"/>
  <c r="AW86" i="54"/>
  <c r="AX86" i="54"/>
  <c r="AV86" i="54"/>
  <c r="AU86" i="54"/>
  <c r="AW48" i="54"/>
  <c r="AU48" i="54"/>
  <c r="AX48" i="54"/>
  <c r="AV48" i="54"/>
  <c r="AW64" i="54"/>
  <c r="AU64" i="54"/>
  <c r="AX64" i="54"/>
  <c r="AV64" i="54"/>
  <c r="AW88" i="54"/>
  <c r="AU88" i="54"/>
  <c r="AX88" i="54"/>
  <c r="AV88" i="54"/>
  <c r="AW22" i="54"/>
  <c r="AU22" i="54"/>
  <c r="AX22" i="54"/>
  <c r="AV22" i="54"/>
  <c r="AX42" i="54"/>
  <c r="AV42" i="54"/>
  <c r="AW42" i="54"/>
  <c r="AU42" i="54"/>
  <c r="AX90" i="54"/>
  <c r="AV90" i="54"/>
  <c r="AW90" i="54"/>
  <c r="AU90" i="54"/>
  <c r="AW7" i="54"/>
  <c r="AU7" i="54"/>
  <c r="AX7" i="54"/>
  <c r="AV7" i="54"/>
  <c r="AX28" i="54"/>
  <c r="AV28" i="54"/>
  <c r="AW28" i="54"/>
  <c r="AU28" i="54"/>
  <c r="AW15" i="54"/>
  <c r="AU15" i="54"/>
  <c r="AX15" i="54"/>
  <c r="AV15" i="54"/>
  <c r="AW31" i="54"/>
  <c r="AU31" i="54"/>
  <c r="AX31" i="54"/>
  <c r="AV31" i="54"/>
  <c r="AX18" i="54"/>
  <c r="AV18" i="54"/>
  <c r="AW18" i="54"/>
  <c r="AU18" i="54"/>
  <c r="AX43" i="54"/>
  <c r="AV43" i="54"/>
  <c r="AW43" i="54"/>
  <c r="AU43" i="54"/>
  <c r="AW9" i="54"/>
  <c r="AU9" i="54"/>
  <c r="AX9" i="54"/>
  <c r="AV9" i="54"/>
  <c r="AW96" i="54"/>
  <c r="AU96" i="54"/>
  <c r="AX96" i="54"/>
  <c r="AV96" i="54"/>
  <c r="AW46" i="54"/>
  <c r="AU46" i="54"/>
  <c r="AX46" i="54"/>
  <c r="AV46" i="54"/>
  <c r="AW94" i="54"/>
  <c r="AU94" i="54"/>
  <c r="AX94" i="54"/>
  <c r="AV94" i="54"/>
  <c r="AX27" i="54"/>
  <c r="AV27" i="54"/>
  <c r="AW27" i="54"/>
  <c r="AU27" i="54"/>
  <c r="AX59" i="54"/>
  <c r="AV59" i="54"/>
  <c r="AW59" i="54"/>
  <c r="AU59" i="54"/>
  <c r="AW33" i="54"/>
  <c r="AU33" i="54"/>
  <c r="AX33" i="54"/>
  <c r="AV33" i="54"/>
  <c r="AW63" i="54"/>
  <c r="AU63" i="54"/>
  <c r="AX63" i="54"/>
  <c r="AV63" i="54"/>
  <c r="AX50" i="54"/>
  <c r="AV50" i="54"/>
  <c r="AW50" i="54"/>
  <c r="AU50" i="54"/>
  <c r="AW38" i="54"/>
  <c r="AU38" i="54"/>
  <c r="AX38" i="54"/>
  <c r="AV38" i="54"/>
  <c r="AW54" i="54"/>
  <c r="AU54" i="54"/>
  <c r="AX54" i="54"/>
  <c r="AV54" i="54"/>
  <c r="AW49" i="54"/>
  <c r="AU49" i="54"/>
  <c r="AX49" i="54"/>
  <c r="AV49" i="54"/>
  <c r="AW65" i="54"/>
  <c r="AU65" i="54"/>
  <c r="AX65" i="54"/>
  <c r="AV65" i="54"/>
  <c r="AX85" i="54"/>
  <c r="AV85" i="54"/>
  <c r="AW85" i="54"/>
  <c r="AU85" i="54"/>
  <c r="AX36" i="54"/>
  <c r="AV36" i="54"/>
  <c r="AW36" i="54"/>
  <c r="AU36" i="54"/>
  <c r="AX52" i="54"/>
  <c r="AV52" i="54"/>
  <c r="AW52" i="54"/>
  <c r="AU52" i="54"/>
  <c r="AX68" i="54"/>
  <c r="AV68" i="54"/>
  <c r="AW68" i="54"/>
  <c r="AU68" i="54"/>
  <c r="AW97" i="54"/>
  <c r="AU97" i="54"/>
  <c r="AX97" i="54"/>
  <c r="AV97" i="54"/>
  <c r="AW80" i="54"/>
  <c r="AU80" i="54"/>
  <c r="AX80" i="54"/>
  <c r="AV80" i="54"/>
  <c r="AW71" i="54"/>
  <c r="AU71" i="54"/>
  <c r="AX71" i="54"/>
  <c r="AV71" i="54"/>
  <c r="AX5" i="54"/>
  <c r="AV5" i="54"/>
  <c r="AW5" i="54"/>
  <c r="AU5" i="54"/>
  <c r="AW6" i="54"/>
  <c r="AU6" i="54"/>
  <c r="AX6" i="54"/>
  <c r="AV6" i="54"/>
  <c r="AX12" i="54"/>
  <c r="AV12" i="54"/>
  <c r="AW12" i="54"/>
  <c r="AU12" i="54"/>
  <c r="AX66" i="54"/>
  <c r="AV66" i="54"/>
  <c r="AW66" i="54"/>
  <c r="AU66" i="54"/>
  <c r="AX84" i="54"/>
  <c r="AV84" i="54"/>
  <c r="AW84" i="54"/>
  <c r="AU84" i="54"/>
  <c r="AW95" i="54"/>
  <c r="AU95" i="54"/>
  <c r="AX95" i="54"/>
  <c r="AV95" i="54"/>
  <c r="AX92" i="54"/>
  <c r="AV92" i="54"/>
  <c r="AW92" i="54"/>
  <c r="AU92" i="54"/>
  <c r="AW30" i="54"/>
  <c r="AU30" i="54"/>
  <c r="AX30" i="54"/>
  <c r="AV30" i="54"/>
  <c r="AX83" i="54"/>
  <c r="AV83" i="54"/>
  <c r="AW83" i="54"/>
  <c r="AU83" i="54"/>
  <c r="AX82" i="54"/>
  <c r="AV82" i="54"/>
  <c r="AW82" i="54"/>
  <c r="AU82" i="54"/>
  <c r="AX101" i="54"/>
  <c r="AV101" i="54"/>
  <c r="AW101" i="54"/>
  <c r="AU101" i="54"/>
  <c r="AX11" i="54"/>
  <c r="AV11" i="54"/>
  <c r="AW11" i="54"/>
  <c r="AU11" i="54"/>
  <c r="AW25" i="54"/>
  <c r="AU25" i="54"/>
  <c r="AX25" i="54"/>
  <c r="AV25" i="54"/>
  <c r="AW16" i="54"/>
  <c r="AU16" i="54"/>
  <c r="AX16" i="54"/>
  <c r="AV16" i="54"/>
  <c r="AX35" i="54"/>
  <c r="AV35" i="54"/>
  <c r="AW35" i="54"/>
  <c r="AU35" i="54"/>
  <c r="AW39" i="54"/>
  <c r="AU39" i="54"/>
  <c r="AX39" i="54"/>
  <c r="AV39" i="54"/>
  <c r="AX37" i="54"/>
  <c r="AV37" i="54"/>
  <c r="AW37" i="54"/>
  <c r="AU37" i="54"/>
  <c r="AX53" i="54"/>
  <c r="AV53" i="54"/>
  <c r="AW53" i="54"/>
  <c r="AU53" i="54"/>
  <c r="AX69" i="54"/>
  <c r="AV69" i="54"/>
  <c r="AW69" i="54"/>
  <c r="AU69" i="54"/>
  <c r="AW40" i="54"/>
  <c r="AU40" i="54"/>
  <c r="AX40" i="54"/>
  <c r="AV40" i="54"/>
  <c r="AW56" i="54"/>
  <c r="AU56" i="54"/>
  <c r="AX56" i="54"/>
  <c r="AV56" i="54"/>
  <c r="AX74" i="54"/>
  <c r="AV74" i="54"/>
  <c r="AW74" i="54"/>
  <c r="AU74" i="54"/>
  <c r="AX10" i="54"/>
  <c r="AV10" i="54"/>
  <c r="AW10" i="54"/>
  <c r="AU10" i="54"/>
  <c r="AX51" i="54"/>
  <c r="AV51" i="54"/>
  <c r="AW51" i="54"/>
  <c r="AU51" i="54"/>
  <c r="AX19" i="54"/>
  <c r="AV19" i="54"/>
  <c r="AW19" i="54"/>
  <c r="AU19" i="54"/>
  <c r="AX58" i="54"/>
  <c r="AV58" i="54"/>
  <c r="AW58" i="54"/>
  <c r="AU58" i="54"/>
  <c r="AX20" i="54"/>
  <c r="AV20" i="54"/>
  <c r="AW20" i="54"/>
  <c r="AU20" i="54"/>
  <c r="AW24" i="54"/>
  <c r="AU24" i="54"/>
  <c r="AX24" i="54"/>
  <c r="AV24" i="54"/>
  <c r="AX67" i="54"/>
  <c r="AV67" i="54"/>
  <c r="AW67" i="54"/>
  <c r="AU67" i="54"/>
  <c r="AX76" i="54"/>
  <c r="AV76" i="54"/>
  <c r="AW76" i="54"/>
  <c r="AU76" i="54"/>
  <c r="AW72" i="54"/>
  <c r="AU72" i="54"/>
  <c r="AX72" i="54"/>
  <c r="AV72" i="54"/>
  <c r="AX98" i="54"/>
  <c r="AV98" i="54"/>
  <c r="AW98" i="54"/>
  <c r="AU98" i="54"/>
  <c r="AX100" i="54"/>
  <c r="AV100" i="54"/>
  <c r="AW100" i="54"/>
  <c r="AU100" i="54"/>
  <c r="AW87" i="54"/>
  <c r="AU87" i="54"/>
  <c r="AX87" i="54"/>
  <c r="AV87" i="54"/>
  <c r="AW23" i="54"/>
  <c r="AU23" i="54"/>
  <c r="AX23" i="54"/>
  <c r="AV23" i="54"/>
  <c r="AX3" i="54"/>
  <c r="AV3" i="54"/>
  <c r="AW3" i="54"/>
  <c r="AU3" i="54"/>
  <c r="AX21" i="54"/>
  <c r="AV21" i="54"/>
  <c r="AW21" i="54"/>
  <c r="AU21" i="54"/>
  <c r="AW62" i="54"/>
  <c r="AU62" i="54"/>
  <c r="AX62" i="54"/>
  <c r="AV62" i="54"/>
  <c r="AX4" i="54"/>
  <c r="AV4" i="54"/>
  <c r="AW4" i="54"/>
  <c r="AU4" i="54"/>
  <c r="AW17" i="54"/>
  <c r="AU17" i="54"/>
  <c r="AX17" i="54"/>
  <c r="AV17" i="54"/>
  <c r="AW47" i="54"/>
  <c r="AU47" i="54"/>
  <c r="AX47" i="54"/>
  <c r="AV47" i="54"/>
  <c r="AW55" i="54"/>
  <c r="AU55" i="54"/>
  <c r="AX55" i="54"/>
  <c r="AV55" i="54"/>
  <c r="AW70" i="54"/>
  <c r="AU70" i="54"/>
  <c r="AX70" i="54"/>
  <c r="AV70" i="54"/>
  <c r="AW41" i="54"/>
  <c r="AU41" i="54"/>
  <c r="AX41" i="54"/>
  <c r="AV41" i="54"/>
  <c r="AW57" i="54"/>
  <c r="AU57" i="54"/>
  <c r="AX57" i="54"/>
  <c r="AV57" i="54"/>
  <c r="AX77" i="54"/>
  <c r="AV77" i="54"/>
  <c r="AW77" i="54"/>
  <c r="AU77" i="54"/>
  <c r="AX91" i="54"/>
  <c r="AV91" i="54"/>
  <c r="AW91" i="54"/>
  <c r="AU91" i="54"/>
  <c r="AW73" i="54"/>
  <c r="AU73" i="54"/>
  <c r="AX73" i="54"/>
  <c r="AV73" i="54"/>
  <c r="AW81" i="54"/>
  <c r="AU81" i="54"/>
  <c r="AX81" i="54"/>
  <c r="AV81" i="54"/>
  <c r="AX99" i="54"/>
  <c r="AV99" i="54"/>
  <c r="AW99" i="54"/>
  <c r="AU99" i="54"/>
  <c r="AW89" i="54"/>
  <c r="AU89" i="54"/>
  <c r="AX89" i="54"/>
  <c r="AV89" i="54"/>
  <c r="AX44" i="54"/>
  <c r="AV44" i="54"/>
  <c r="AW44" i="54"/>
  <c r="AU44" i="54"/>
  <c r="AX60" i="54"/>
  <c r="AV60" i="54"/>
  <c r="AW60" i="54"/>
  <c r="AU60" i="54"/>
  <c r="BF239" i="48"/>
  <c r="AA33" i="48"/>
  <c r="AM283" i="48" s="1"/>
  <c r="AA43" i="48"/>
  <c r="AM293" i="48" s="1"/>
  <c r="BH246" i="48"/>
  <c r="BF233" i="48"/>
  <c r="AI296" i="48"/>
  <c r="AL291" i="48"/>
  <c r="AI291" i="48"/>
  <c r="AK261" i="48"/>
  <c r="AA88" i="48"/>
  <c r="AA91" i="48"/>
  <c r="AA89" i="48"/>
  <c r="AA87" i="48"/>
  <c r="AA47" i="48"/>
  <c r="AM297" i="48" s="1"/>
  <c r="AA40" i="48"/>
  <c r="AM290" i="48" s="1"/>
  <c r="BH250" i="48"/>
  <c r="BH213" i="48"/>
  <c r="BF232" i="48"/>
  <c r="BI209" i="48"/>
  <c r="AK265" i="48"/>
  <c r="AL265" i="48"/>
  <c r="AL280" i="48"/>
  <c r="AL255" i="48"/>
  <c r="AL298" i="48"/>
  <c r="BH218" i="48"/>
  <c r="AL256" i="48"/>
  <c r="AI252" i="48"/>
  <c r="BH204" i="48"/>
  <c r="AK301" i="48"/>
  <c r="BI231" i="48"/>
  <c r="BH230" i="48"/>
  <c r="AK283" i="48"/>
  <c r="AI270" i="48"/>
  <c r="BH202" i="48"/>
  <c r="AI272" i="48"/>
  <c r="AA75" i="48"/>
  <c r="BJ275" i="48" s="1"/>
  <c r="AA50" i="48"/>
  <c r="BJ250" i="48" s="1"/>
  <c r="BH216" i="48"/>
  <c r="AI262" i="48"/>
  <c r="AL262" i="48"/>
  <c r="AI299" i="48"/>
  <c r="AA66" i="48"/>
  <c r="BJ266" i="48" s="1"/>
  <c r="BF206" i="48"/>
  <c r="AA5" i="48"/>
  <c r="BJ205" i="48" s="1"/>
  <c r="AA59" i="48"/>
  <c r="BJ259" i="48" s="1"/>
  <c r="AA80" i="48"/>
  <c r="BJ280" i="48" s="1"/>
  <c r="AI294" i="48"/>
  <c r="AA94" i="48"/>
  <c r="AK253" i="48"/>
  <c r="BH226" i="48"/>
  <c r="AA54" i="48"/>
  <c r="BJ254" i="48" s="1"/>
  <c r="AA13" i="48"/>
  <c r="AM263" i="48" s="1"/>
  <c r="AA48" i="48"/>
  <c r="AM298" i="48" s="1"/>
  <c r="AA37" i="48"/>
  <c r="AM287" i="48" s="1"/>
  <c r="AI271" i="48"/>
  <c r="AL263" i="48"/>
  <c r="AL268" i="48"/>
  <c r="AA49" i="48"/>
  <c r="AM299" i="48" s="1"/>
  <c r="AA24" i="48"/>
  <c r="BJ224" i="48" s="1"/>
  <c r="AA20" i="48"/>
  <c r="AM270" i="48" s="1"/>
  <c r="AA30" i="48"/>
  <c r="AM280" i="48" s="1"/>
  <c r="AA17" i="48"/>
  <c r="AM267" i="48" s="1"/>
  <c r="AA15" i="48"/>
  <c r="AM265" i="48" s="1"/>
  <c r="AA81" i="48"/>
  <c r="BJ281" i="48" s="1"/>
  <c r="AA23" i="48"/>
  <c r="AM273" i="48" s="1"/>
  <c r="AI292" i="48"/>
  <c r="AA4" i="48"/>
  <c r="AM254" i="48" s="1"/>
  <c r="AA100" i="48"/>
  <c r="AA93" i="48"/>
  <c r="AA31" i="48"/>
  <c r="AM281" i="48" s="1"/>
  <c r="AA64" i="48"/>
  <c r="BJ264" i="48" s="1"/>
  <c r="AA12" i="48"/>
  <c r="AM262" i="48" s="1"/>
  <c r="AA97" i="48"/>
  <c r="AL267" i="48"/>
  <c r="BH217" i="48"/>
  <c r="AA57" i="48"/>
  <c r="BJ257" i="48" s="1"/>
  <c r="AA18" i="48"/>
  <c r="AM268" i="48" s="1"/>
  <c r="AA69" i="48"/>
  <c r="BJ269" i="48" s="1"/>
  <c r="AA9" i="48"/>
  <c r="AM259" i="48" s="1"/>
  <c r="BF205" i="48"/>
  <c r="BH222" i="48"/>
  <c r="AA84" i="48"/>
  <c r="AA86" i="48"/>
  <c r="AA70" i="48"/>
  <c r="BJ270" i="48" s="1"/>
  <c r="AA90" i="48"/>
  <c r="AA60" i="48"/>
  <c r="BJ260" i="48" s="1"/>
  <c r="AA96" i="48"/>
  <c r="AA44" i="48"/>
  <c r="BJ244" i="48" s="1"/>
  <c r="AA83" i="48"/>
  <c r="BF209" i="48"/>
  <c r="AA99" i="48"/>
  <c r="AA38" i="48"/>
  <c r="AM288" i="48" s="1"/>
  <c r="AA92" i="48"/>
  <c r="AA6" i="48"/>
  <c r="AM256" i="48" s="1"/>
  <c r="AL273" i="48"/>
  <c r="AA26" i="48"/>
  <c r="AM276" i="48" s="1"/>
  <c r="AA85" i="48"/>
  <c r="AA8" i="48"/>
  <c r="AM258" i="48" s="1"/>
  <c r="AA46" i="48"/>
  <c r="AM296" i="48" s="1"/>
  <c r="BF248" i="48"/>
  <c r="BI246" i="48"/>
  <c r="AL296" i="48"/>
  <c r="BI202" i="48"/>
  <c r="AA2" i="48"/>
  <c r="AK295" i="48"/>
  <c r="BF204" i="48"/>
  <c r="BI210" i="48"/>
  <c r="AK281" i="48"/>
  <c r="AA29" i="48"/>
  <c r="AM279" i="48" s="1"/>
  <c r="AA52" i="48"/>
  <c r="BJ252" i="48" s="1"/>
  <c r="AI293" i="48"/>
  <c r="AI274" i="48"/>
  <c r="AK271" i="48"/>
  <c r="AI288" i="48"/>
  <c r="AK287" i="48"/>
  <c r="BI233" i="48"/>
  <c r="AL284" i="48"/>
  <c r="AA62" i="48"/>
  <c r="BJ262" i="48" s="1"/>
  <c r="AA41" i="48"/>
  <c r="BJ241" i="48" s="1"/>
  <c r="BH248" i="48"/>
  <c r="BF251" i="48"/>
  <c r="AI265" i="48"/>
  <c r="AA65" i="48"/>
  <c r="BJ265" i="48" s="1"/>
  <c r="AK290" i="48"/>
  <c r="AA34" i="48"/>
  <c r="AM284" i="48" s="1"/>
  <c r="AK259" i="48"/>
  <c r="AA98" i="48"/>
  <c r="AI253" i="48"/>
  <c r="BH224" i="48"/>
  <c r="AK258" i="48"/>
  <c r="BH239" i="48"/>
  <c r="AA79" i="48"/>
  <c r="BJ279" i="48" s="1"/>
  <c r="AA58" i="48"/>
  <c r="BJ258" i="48" s="1"/>
  <c r="BI207" i="48"/>
  <c r="BH214" i="48"/>
  <c r="BH205" i="48"/>
  <c r="AI281" i="48"/>
  <c r="AA7" i="48"/>
  <c r="BJ207" i="48" s="1"/>
  <c r="AL295" i="48"/>
  <c r="BH235" i="48"/>
  <c r="AI278" i="48"/>
  <c r="AA72" i="48"/>
  <c r="BJ272" i="48" s="1"/>
  <c r="AK277" i="48"/>
  <c r="AA27" i="48"/>
  <c r="AM277" i="48" s="1"/>
  <c r="BH243" i="48"/>
  <c r="AA95" i="48"/>
  <c r="AL252" i="48"/>
  <c r="BI235" i="48"/>
  <c r="BH234" i="48"/>
  <c r="AA35" i="48"/>
  <c r="AM285" i="48" s="1"/>
  <c r="BH241" i="48"/>
  <c r="AA21" i="48"/>
  <c r="AM271" i="48" s="1"/>
  <c r="AA19" i="48"/>
  <c r="AM269" i="48" s="1"/>
  <c r="AA68" i="48"/>
  <c r="BJ268" i="48" s="1"/>
  <c r="BI221" i="48"/>
  <c r="BF235" i="48"/>
  <c r="BH207" i="48"/>
  <c r="AL287" i="48"/>
  <c r="BH220" i="48"/>
  <c r="BF229" i="48"/>
  <c r="BI244" i="48"/>
  <c r="BF225" i="48"/>
  <c r="BH228" i="48"/>
  <c r="AA76" i="48"/>
  <c r="BJ276" i="48" s="1"/>
  <c r="BF208" i="48"/>
  <c r="BI219" i="48"/>
  <c r="BH249" i="48"/>
  <c r="BH232" i="48"/>
  <c r="AI286" i="48"/>
  <c r="AI268" i="48"/>
  <c r="AA71" i="48"/>
  <c r="BJ271" i="48" s="1"/>
  <c r="AI277" i="48"/>
  <c r="AK260" i="48"/>
  <c r="BF210" i="48"/>
  <c r="BF216" i="48"/>
  <c r="AA39" i="48"/>
  <c r="AM289" i="48" s="1"/>
  <c r="AA10" i="48"/>
  <c r="BJ210" i="48" s="1"/>
  <c r="AA78" i="48"/>
  <c r="BJ278" i="48" s="1"/>
  <c r="AA28" i="48"/>
  <c r="AM278" i="48" s="1"/>
  <c r="BI239" i="48"/>
  <c r="AA36" i="48"/>
  <c r="AM286" i="48" s="1"/>
  <c r="BI228" i="48"/>
  <c r="BF247" i="48"/>
  <c r="AL289" i="48"/>
  <c r="BH247" i="48"/>
  <c r="BH206" i="48"/>
  <c r="BH238" i="48"/>
  <c r="AI273" i="48"/>
  <c r="AL286" i="48"/>
  <c r="AA42" i="48"/>
  <c r="AM292" i="48" s="1"/>
  <c r="AA74" i="48"/>
  <c r="BJ274" i="48" s="1"/>
  <c r="AA73" i="48"/>
  <c r="BJ273" i="48" s="1"/>
  <c r="AL292" i="48"/>
  <c r="AA56" i="48"/>
  <c r="BJ256" i="48" s="1"/>
  <c r="AK279" i="48"/>
  <c r="AL266" i="48"/>
  <c r="AA101" i="48"/>
  <c r="AL283" i="48"/>
  <c r="AA16" i="48"/>
  <c r="AM266" i="48" s="1"/>
  <c r="AA11" i="48"/>
  <c r="AM261" i="48" s="1"/>
  <c r="AL301" i="48"/>
  <c r="BH242" i="48"/>
  <c r="BF226" i="48"/>
  <c r="AA82" i="48"/>
  <c r="BI222" i="48"/>
  <c r="AL272" i="48"/>
  <c r="AA3" i="48"/>
  <c r="AM253" i="48" s="1"/>
  <c r="AA45" i="48"/>
  <c r="AM295" i="48" s="1"/>
  <c r="AL294" i="48"/>
  <c r="BI232" i="48"/>
  <c r="AI264" i="48"/>
  <c r="BI238" i="48"/>
  <c r="AL288" i="48"/>
  <c r="BF234" i="48"/>
  <c r="AI284" i="48"/>
  <c r="BI229" i="48"/>
  <c r="AL279" i="48"/>
  <c r="AA32" i="48"/>
  <c r="BJ232" i="48" s="1"/>
  <c r="BI224" i="48"/>
  <c r="AL274" i="48"/>
  <c r="BI220" i="48"/>
  <c r="AL270" i="48"/>
  <c r="BF207" i="48"/>
  <c r="AI257" i="48"/>
  <c r="BF213" i="48"/>
  <c r="AI263" i="48"/>
  <c r="BI225" i="48"/>
  <c r="AL275" i="48"/>
  <c r="AA55" i="48"/>
  <c r="BJ255" i="48" s="1"/>
  <c r="BI203" i="48"/>
  <c r="BI226" i="48"/>
  <c r="AL258" i="48"/>
  <c r="BF219" i="48"/>
  <c r="AL276" i="48"/>
  <c r="BH219" i="48"/>
  <c r="BH225" i="48"/>
  <c r="BH236" i="48"/>
  <c r="AL264" i="48"/>
  <c r="AI295" i="48"/>
  <c r="BI247" i="48"/>
  <c r="AL297" i="48"/>
  <c r="BI240" i="48"/>
  <c r="AL290" i="48"/>
  <c r="AA67" i="48"/>
  <c r="BJ267" i="48" s="1"/>
  <c r="BH244" i="48"/>
  <c r="AA25" i="48"/>
  <c r="AM275" i="48" s="1"/>
  <c r="AA61" i="48"/>
  <c r="BJ261" i="48" s="1"/>
  <c r="BF237" i="48"/>
  <c r="BI227" i="48"/>
  <c r="BH223" i="48"/>
  <c r="BI250" i="48"/>
  <c r="AL300" i="48"/>
  <c r="BF230" i="48"/>
  <c r="AI280" i="48"/>
  <c r="BF250" i="48"/>
  <c r="AI300" i="48"/>
  <c r="AA22" i="48"/>
  <c r="BJ222" i="48" s="1"/>
  <c r="BI208" i="48"/>
  <c r="BI249" i="48"/>
  <c r="AL299" i="48"/>
  <c r="AA77" i="48"/>
  <c r="BJ277" i="48" s="1"/>
  <c r="AA51" i="48"/>
  <c r="AM301" i="48" s="1"/>
  <c r="AA53" i="48"/>
  <c r="BJ253" i="48" s="1"/>
  <c r="AA14" i="48"/>
  <c r="AM264" i="48" s="1"/>
  <c r="AA63" i="48"/>
  <c r="BJ263" i="48" s="1"/>
  <c r="AI267" i="48"/>
  <c r="AL261" i="48"/>
  <c r="BF211" i="48"/>
  <c r="AI261" i="48"/>
  <c r="BI204" i="48"/>
  <c r="AL254" i="48"/>
  <c r="BI243" i="48"/>
  <c r="AL293" i="48"/>
  <c r="BF240" i="48"/>
  <c r="AI290" i="48"/>
  <c r="BH212" i="48"/>
  <c r="M3" i="47"/>
  <c r="L3" i="47"/>
  <c r="J3" i="47"/>
  <c r="K3" i="47"/>
  <c r="AM74" i="47"/>
  <c r="AM84" i="47"/>
  <c r="AM49" i="47"/>
  <c r="AM57" i="47"/>
  <c r="AM85" i="47"/>
  <c r="AM102" i="47"/>
  <c r="AM19" i="47"/>
  <c r="AM82" i="47"/>
  <c r="AM69" i="47"/>
  <c r="AM79" i="47"/>
  <c r="AM46" i="47"/>
  <c r="AM22" i="47"/>
  <c r="AM70" i="47"/>
  <c r="AM72" i="47"/>
  <c r="AM80" i="47"/>
  <c r="AM81" i="47"/>
  <c r="AM30" i="47"/>
  <c r="AM67" i="47"/>
  <c r="AM54" i="47"/>
  <c r="AM17" i="47"/>
  <c r="AM35" i="47"/>
  <c r="AM62" i="47"/>
  <c r="AM7" i="47"/>
  <c r="AM33" i="47"/>
  <c r="AM100" i="47"/>
  <c r="AM44" i="47"/>
  <c r="AM99" i="47"/>
  <c r="AM3" i="47"/>
  <c r="AM25" i="47"/>
  <c r="AM13" i="47"/>
  <c r="AM34" i="47"/>
  <c r="AM38" i="47"/>
  <c r="AM73" i="47"/>
  <c r="AM77" i="47"/>
  <c r="AM101" i="47"/>
  <c r="AM29" i="47"/>
  <c r="AM39" i="47"/>
  <c r="AM55" i="47"/>
  <c r="AM95" i="47"/>
  <c r="AM91" i="47"/>
  <c r="AM23" i="47"/>
  <c r="AM14" i="47"/>
  <c r="AM50" i="47"/>
  <c r="AM36" i="47"/>
  <c r="AM48" i="47"/>
  <c r="AM31" i="47"/>
  <c r="AM32" i="47"/>
  <c r="AM87" i="47"/>
  <c r="AM26" i="47"/>
  <c r="AM96" i="47"/>
  <c r="AM63" i="47"/>
  <c r="AM86" i="47"/>
  <c r="AM16" i="47"/>
  <c r="AM68" i="47"/>
  <c r="AM60" i="47"/>
  <c r="AM41" i="47"/>
  <c r="AM27" i="47"/>
  <c r="AM43" i="47"/>
  <c r="AM89" i="47"/>
  <c r="AM37" i="47"/>
  <c r="AM94" i="47"/>
  <c r="AM53" i="47"/>
  <c r="AM9" i="47"/>
  <c r="AM90" i="47"/>
  <c r="AM10" i="47"/>
  <c r="AM47" i="47"/>
  <c r="AM64" i="47"/>
  <c r="AM20" i="47"/>
  <c r="AM66" i="47"/>
  <c r="AM4" i="47"/>
  <c r="AM61" i="47"/>
  <c r="AM97" i="47"/>
  <c r="AM21" i="47"/>
  <c r="AM98" i="47"/>
  <c r="AM18" i="47"/>
  <c r="AM59" i="47"/>
  <c r="AM83" i="47"/>
  <c r="AM42" i="47"/>
  <c r="AM15" i="47"/>
  <c r="AM56" i="47"/>
  <c r="AM5" i="47"/>
  <c r="AM58" i="47"/>
  <c r="AM52" i="47"/>
  <c r="AM88" i="47"/>
  <c r="AM93" i="47"/>
  <c r="AM78" i="47"/>
  <c r="AM6" i="47"/>
  <c r="AM12" i="47"/>
  <c r="AM92" i="47"/>
  <c r="AM11" i="47"/>
  <c r="AM71" i="47"/>
  <c r="AM24" i="47"/>
  <c r="AM28" i="47"/>
  <c r="AM51" i="47"/>
  <c r="AM75" i="47"/>
  <c r="AM8" i="47"/>
  <c r="AM76" i="47"/>
  <c r="AM40" i="47"/>
  <c r="AM45" i="47"/>
  <c r="AM65" i="47"/>
  <c r="R53" i="55" l="1"/>
  <c r="R148" i="55"/>
  <c r="R68" i="55"/>
  <c r="R151" i="55"/>
  <c r="R83" i="55"/>
  <c r="R135" i="55"/>
  <c r="R58" i="55"/>
  <c r="R143" i="55"/>
  <c r="R65" i="55"/>
  <c r="R95" i="55"/>
  <c r="R111" i="55"/>
  <c r="R160" i="55"/>
  <c r="R40" i="55"/>
  <c r="R15" i="55"/>
  <c r="R110" i="55"/>
  <c r="R165" i="55"/>
  <c r="R77" i="55"/>
  <c r="R163" i="55"/>
  <c r="R35" i="55"/>
  <c r="R154" i="55"/>
  <c r="R18" i="55"/>
  <c r="R137" i="55"/>
  <c r="R62" i="55"/>
  <c r="R101" i="55"/>
  <c r="R66" i="55"/>
  <c r="R45" i="55"/>
  <c r="R124" i="55"/>
  <c r="R103" i="55"/>
  <c r="R75" i="55"/>
  <c r="R79" i="55"/>
  <c r="R50" i="55"/>
  <c r="R87" i="55"/>
  <c r="R57" i="55"/>
  <c r="R47" i="55"/>
  <c r="R56" i="55"/>
  <c r="R71" i="55"/>
  <c r="R38" i="55"/>
  <c r="R152" i="55"/>
  <c r="R7" i="55"/>
  <c r="R102" i="55"/>
  <c r="R157" i="55"/>
  <c r="R61" i="55"/>
  <c r="R155" i="55"/>
  <c r="R19" i="55"/>
  <c r="R146" i="55"/>
  <c r="R129" i="55"/>
  <c r="R168" i="55"/>
  <c r="R14" i="55"/>
  <c r="R109" i="55"/>
  <c r="R29" i="55"/>
  <c r="R116" i="55"/>
  <c r="R44" i="55"/>
  <c r="R39" i="55"/>
  <c r="R67" i="55"/>
  <c r="R63" i="55"/>
  <c r="R42" i="55"/>
  <c r="R55" i="55"/>
  <c r="R49" i="55"/>
  <c r="R120" i="55"/>
  <c r="R48" i="55"/>
  <c r="R118" i="55"/>
  <c r="R30" i="55"/>
  <c r="R144" i="55"/>
  <c r="R166" i="55"/>
  <c r="R94" i="55"/>
  <c r="R149" i="55"/>
  <c r="R37" i="55"/>
  <c r="R156" i="55"/>
  <c r="R147" i="55"/>
  <c r="R11" i="55"/>
  <c r="R138" i="55"/>
  <c r="R89" i="55"/>
  <c r="R91" i="55"/>
  <c r="R64" i="55"/>
  <c r="R171" i="55"/>
  <c r="R145" i="55"/>
  <c r="R21" i="55"/>
  <c r="R108" i="55"/>
  <c r="R36" i="55"/>
  <c r="R123" i="55"/>
  <c r="R59" i="55"/>
  <c r="R122" i="55"/>
  <c r="R34" i="55"/>
  <c r="R121" i="55"/>
  <c r="R41" i="55"/>
  <c r="R32" i="55"/>
  <c r="R136" i="55"/>
  <c r="R167" i="55"/>
  <c r="R158" i="55"/>
  <c r="R86" i="55"/>
  <c r="R141" i="55"/>
  <c r="R140" i="55"/>
  <c r="R139" i="55"/>
  <c r="R3" i="55"/>
  <c r="R130" i="55"/>
  <c r="R81" i="55"/>
  <c r="R4" i="55"/>
  <c r="R72" i="55"/>
  <c r="R23" i="55"/>
  <c r="R162" i="55"/>
  <c r="R93" i="55"/>
  <c r="R13" i="55"/>
  <c r="R100" i="55"/>
  <c r="R28" i="55"/>
  <c r="R51" i="55"/>
  <c r="R114" i="55"/>
  <c r="R26" i="55"/>
  <c r="R113" i="55"/>
  <c r="R104" i="55"/>
  <c r="R24" i="55"/>
  <c r="R128" i="55"/>
  <c r="R159" i="55"/>
  <c r="R150" i="55"/>
  <c r="R54" i="55"/>
  <c r="R133" i="55"/>
  <c r="R132" i="55"/>
  <c r="R131" i="55"/>
  <c r="R98" i="55"/>
  <c r="R169" i="55"/>
  <c r="R73" i="55"/>
  <c r="R76" i="55"/>
  <c r="R85" i="55"/>
  <c r="R5" i="55"/>
  <c r="R92" i="55"/>
  <c r="R20" i="55"/>
  <c r="R107" i="55"/>
  <c r="R106" i="55"/>
  <c r="R105" i="55"/>
  <c r="R25" i="55"/>
  <c r="R96" i="55"/>
  <c r="R16" i="55"/>
  <c r="R78" i="55"/>
  <c r="R6" i="55"/>
  <c r="R112" i="55"/>
  <c r="R127" i="55"/>
  <c r="R142" i="55"/>
  <c r="R46" i="55"/>
  <c r="R125" i="55"/>
  <c r="R60" i="55"/>
  <c r="R115" i="55"/>
  <c r="R82" i="55"/>
  <c r="R161" i="55"/>
  <c r="R33" i="55"/>
  <c r="R164" i="55"/>
  <c r="R2" i="55"/>
  <c r="R126" i="55"/>
  <c r="R119" i="55"/>
  <c r="R84" i="55"/>
  <c r="R12" i="55"/>
  <c r="R27" i="55"/>
  <c r="R90" i="55"/>
  <c r="R10" i="55"/>
  <c r="R97" i="55"/>
  <c r="R17" i="55"/>
  <c r="R80" i="55"/>
  <c r="R8" i="55"/>
  <c r="R70" i="55"/>
  <c r="R88" i="55"/>
  <c r="R31" i="55"/>
  <c r="R134" i="55"/>
  <c r="R22" i="55"/>
  <c r="R117" i="55"/>
  <c r="R52" i="55"/>
  <c r="R99" i="55"/>
  <c r="R170" i="55"/>
  <c r="R74" i="55"/>
  <c r="R153" i="55"/>
  <c r="R9" i="55"/>
  <c r="R69" i="55"/>
  <c r="R43" i="55"/>
  <c r="AM252" i="48"/>
  <c r="BM5" i="48"/>
  <c r="BJ233" i="48"/>
  <c r="BJ243" i="48"/>
  <c r="BJ234" i="48"/>
  <c r="BJ247" i="48"/>
  <c r="BJ240" i="48"/>
  <c r="AM300" i="48"/>
  <c r="AM294" i="48"/>
  <c r="AM255" i="48"/>
  <c r="BJ218" i="48"/>
  <c r="BJ248" i="48"/>
  <c r="BJ230" i="48"/>
  <c r="BJ204" i="48"/>
  <c r="BJ246" i="48"/>
  <c r="AM274" i="48"/>
  <c r="BJ208" i="48"/>
  <c r="BJ249" i="48"/>
  <c r="H3" i="47"/>
  <c r="H75" i="47"/>
  <c r="H93" i="47"/>
  <c r="H33" i="47"/>
  <c r="H27" i="47"/>
  <c r="H111" i="47"/>
  <c r="H105" i="47"/>
  <c r="H151" i="47"/>
  <c r="H71" i="47"/>
  <c r="H90" i="47"/>
  <c r="H89" i="47"/>
  <c r="H153" i="47"/>
  <c r="H77" i="47"/>
  <c r="H156" i="47"/>
  <c r="H14" i="47"/>
  <c r="H11" i="47"/>
  <c r="H56" i="47"/>
  <c r="H174" i="47"/>
  <c r="H61" i="47"/>
  <c r="H34" i="47"/>
  <c r="H169" i="47"/>
  <c r="H128" i="47"/>
  <c r="H106" i="47"/>
  <c r="H135" i="47"/>
  <c r="H145" i="47"/>
  <c r="H9" i="47"/>
  <c r="H141" i="47"/>
  <c r="H133" i="47"/>
  <c r="H47" i="47"/>
  <c r="H158" i="47"/>
  <c r="H46" i="47"/>
  <c r="H79" i="47"/>
  <c r="H152" i="47"/>
  <c r="H103" i="47"/>
  <c r="H44" i="47"/>
  <c r="H62" i="47"/>
  <c r="H45" i="47"/>
  <c r="H78" i="47"/>
  <c r="H92" i="47"/>
  <c r="H38" i="47"/>
  <c r="H107" i="47"/>
  <c r="H65" i="47"/>
  <c r="H21" i="47"/>
  <c r="H59" i="47"/>
  <c r="H165" i="47"/>
  <c r="H175" i="47"/>
  <c r="H150" i="47"/>
  <c r="H24" i="47"/>
  <c r="H66" i="47"/>
  <c r="H149" i="47"/>
  <c r="H154" i="47"/>
  <c r="H32" i="47"/>
  <c r="H115" i="47"/>
  <c r="H157" i="47"/>
  <c r="H121" i="47"/>
  <c r="H50" i="47"/>
  <c r="H102" i="47"/>
  <c r="H22" i="47"/>
  <c r="H60" i="47"/>
  <c r="H31" i="47"/>
  <c r="H167" i="47"/>
  <c r="H81" i="47"/>
  <c r="H155" i="47"/>
  <c r="H12" i="47"/>
  <c r="H125" i="47"/>
  <c r="H114" i="47"/>
  <c r="H37" i="47"/>
  <c r="H104" i="47"/>
  <c r="H171" i="47"/>
  <c r="H177" i="47"/>
  <c r="H87" i="47"/>
  <c r="H52" i="47"/>
  <c r="H13" i="47"/>
  <c r="H117" i="47"/>
  <c r="H84" i="47"/>
  <c r="H67" i="47"/>
  <c r="H136" i="47"/>
  <c r="H57" i="47"/>
  <c r="H144" i="47"/>
  <c r="H63" i="47"/>
  <c r="H137" i="47"/>
  <c r="H72" i="47"/>
  <c r="H172" i="47"/>
  <c r="H127" i="47"/>
  <c r="H110" i="47"/>
  <c r="H55" i="47"/>
  <c r="H148" i="47"/>
  <c r="H134" i="47"/>
  <c r="H98" i="47"/>
  <c r="H39" i="47"/>
  <c r="H123" i="47"/>
  <c r="H164" i="47"/>
  <c r="H126" i="47"/>
  <c r="H83" i="47"/>
  <c r="H100" i="47"/>
  <c r="H70" i="47"/>
  <c r="H42" i="47"/>
  <c r="H53" i="47"/>
  <c r="H118" i="47"/>
  <c r="H16" i="47"/>
  <c r="H86" i="47"/>
  <c r="H35" i="47"/>
  <c r="H170" i="47"/>
  <c r="H74" i="47"/>
  <c r="H176" i="47"/>
  <c r="H146" i="47"/>
  <c r="H73" i="47"/>
  <c r="H159" i="47"/>
  <c r="H124" i="47"/>
  <c r="H173" i="47"/>
  <c r="H99" i="47"/>
  <c r="H131" i="47"/>
  <c r="H91" i="47"/>
  <c r="H43" i="47"/>
  <c r="H28" i="47"/>
  <c r="H138" i="47"/>
  <c r="H140" i="47"/>
  <c r="H48" i="47"/>
  <c r="H15" i="47"/>
  <c r="H68" i="47"/>
  <c r="H26" i="47"/>
  <c r="H166" i="47"/>
  <c r="H69" i="47"/>
  <c r="H54" i="47"/>
  <c r="H119" i="47"/>
  <c r="H101" i="47"/>
  <c r="H25" i="47"/>
  <c r="H36" i="47"/>
  <c r="H97" i="47"/>
  <c r="H160" i="47"/>
  <c r="H130" i="47"/>
  <c r="H51" i="47"/>
  <c r="H23" i="47"/>
  <c r="H88" i="47"/>
  <c r="H129" i="47"/>
  <c r="H113" i="47"/>
  <c r="H108" i="47"/>
  <c r="H168" i="47"/>
  <c r="H142" i="47"/>
  <c r="H40" i="47"/>
  <c r="H8" i="47"/>
  <c r="H112" i="47"/>
  <c r="H18" i="47"/>
  <c r="H116" i="47"/>
  <c r="H76" i="47"/>
  <c r="H139" i="47"/>
  <c r="H17" i="47"/>
  <c r="H95" i="47"/>
  <c r="H147" i="47"/>
  <c r="H64" i="47"/>
  <c r="H96" i="47"/>
  <c r="H82" i="47"/>
  <c r="H120" i="47"/>
  <c r="H122" i="47"/>
  <c r="H162" i="47"/>
  <c r="H161" i="47"/>
  <c r="H19" i="47"/>
  <c r="H143" i="47"/>
  <c r="H132" i="47"/>
  <c r="H94" i="47"/>
  <c r="H41" i="47"/>
  <c r="H80" i="47"/>
  <c r="H58" i="47"/>
  <c r="H29" i="47"/>
  <c r="H109" i="47"/>
  <c r="H163" i="47"/>
  <c r="H85" i="47"/>
  <c r="H10" i="47"/>
  <c r="H20" i="47"/>
  <c r="H49" i="47"/>
  <c r="H30" i="47"/>
  <c r="H6" i="47"/>
  <c r="H7" i="47"/>
  <c r="H5" i="47"/>
  <c r="H4" i="47"/>
  <c r="BJ215" i="48"/>
  <c r="AM260" i="48"/>
  <c r="BJ209" i="48"/>
  <c r="BJ226" i="48"/>
  <c r="BJ212" i="48"/>
  <c r="BJ237" i="48"/>
  <c r="BJ231" i="48"/>
  <c r="BJ206" i="48"/>
  <c r="BJ217" i="48"/>
  <c r="BJ213" i="48"/>
  <c r="BJ220" i="48"/>
  <c r="BJ238" i="48"/>
  <c r="BJ219" i="48"/>
  <c r="BJ223" i="48"/>
  <c r="BJ239" i="48"/>
  <c r="BJ211" i="48"/>
  <c r="BJ229" i="48"/>
  <c r="BJ221" i="48"/>
  <c r="AM257" i="48"/>
  <c r="BJ245" i="48"/>
  <c r="BJ214" i="48"/>
  <c r="AM291" i="48"/>
  <c r="BJ227" i="48"/>
  <c r="AM272" i="48"/>
  <c r="AM282" i="48"/>
  <c r="BJ228" i="48"/>
  <c r="BJ236" i="48"/>
  <c r="BJ202" i="48"/>
  <c r="BJ203" i="48"/>
  <c r="BJ235" i="48"/>
  <c r="BJ242" i="48"/>
  <c r="BJ216" i="48"/>
  <c r="BJ251" i="48"/>
  <c r="BJ225" i="48"/>
  <c r="S168" i="55" l="1"/>
  <c r="S164" i="55"/>
  <c r="S163" i="55"/>
  <c r="S155" i="55"/>
  <c r="S148" i="55"/>
  <c r="S129" i="55"/>
  <c r="S167" i="55"/>
  <c r="S162" i="55"/>
  <c r="S154" i="55"/>
  <c r="S153" i="55"/>
  <c r="S151" i="55"/>
  <c r="S133" i="55"/>
  <c r="S130" i="55"/>
  <c r="S170" i="55"/>
  <c r="S165" i="55"/>
  <c r="S149" i="55"/>
  <c r="S138" i="55"/>
  <c r="S134" i="55"/>
  <c r="S161" i="55"/>
  <c r="S160" i="55"/>
  <c r="S158" i="55"/>
  <c r="S131" i="55"/>
  <c r="S120" i="55"/>
  <c r="S86" i="55"/>
  <c r="S85" i="55"/>
  <c r="S77" i="55"/>
  <c r="S57" i="55"/>
  <c r="S50" i="55"/>
  <c r="S46" i="55"/>
  <c r="S42" i="55"/>
  <c r="S22" i="55"/>
  <c r="S14" i="55"/>
  <c r="S20" i="55"/>
  <c r="S7" i="55"/>
  <c r="S128" i="55"/>
  <c r="S119" i="55"/>
  <c r="S94" i="55"/>
  <c r="S9" i="55"/>
  <c r="S166" i="55"/>
  <c r="S157" i="55"/>
  <c r="S150" i="55"/>
  <c r="S141" i="55"/>
  <c r="S125" i="55"/>
  <c r="S116" i="55"/>
  <c r="S109" i="55"/>
  <c r="S99" i="55"/>
  <c r="S98" i="55"/>
  <c r="S93" i="55"/>
  <c r="S91" i="55"/>
  <c r="S83" i="55"/>
  <c r="S56" i="55"/>
  <c r="S43" i="55"/>
  <c r="S33" i="55"/>
  <c r="S30" i="55"/>
  <c r="S12" i="55"/>
  <c r="S24" i="55"/>
  <c r="S101" i="55"/>
  <c r="S38" i="55"/>
  <c r="S35" i="55"/>
  <c r="S17" i="55"/>
  <c r="S169" i="55"/>
  <c r="S132" i="55"/>
  <c r="S79" i="55"/>
  <c r="S75" i="55"/>
  <c r="S72" i="55"/>
  <c r="S69" i="55"/>
  <c r="S67" i="55"/>
  <c r="S65" i="55"/>
  <c r="S61" i="55"/>
  <c r="S58" i="55"/>
  <c r="S54" i="55"/>
  <c r="S41" i="55"/>
  <c r="S39" i="55"/>
  <c r="S25" i="55"/>
  <c r="S152" i="55"/>
  <c r="S139" i="55"/>
  <c r="S121" i="55"/>
  <c r="S107" i="55"/>
  <c r="S97" i="55"/>
  <c r="S96" i="55"/>
  <c r="S90" i="55"/>
  <c r="S82" i="55"/>
  <c r="S78" i="55"/>
  <c r="S76" i="55"/>
  <c r="S59" i="55"/>
  <c r="S45" i="55"/>
  <c r="S44" i="55"/>
  <c r="S23" i="55"/>
  <c r="S18" i="55"/>
  <c r="S15" i="55"/>
  <c r="S10" i="55"/>
  <c r="S4" i="55"/>
  <c r="S2" i="55"/>
  <c r="S142" i="55"/>
  <c r="S124" i="55"/>
  <c r="S103" i="55"/>
  <c r="S95" i="55"/>
  <c r="S73" i="55"/>
  <c r="S60" i="55"/>
  <c r="S147" i="55"/>
  <c r="S137" i="55"/>
  <c r="S70" i="55"/>
  <c r="S27" i="55"/>
  <c r="S6" i="55"/>
  <c r="S156" i="55"/>
  <c r="S145" i="55"/>
  <c r="S140" i="55"/>
  <c r="S135" i="55"/>
  <c r="S127" i="55"/>
  <c r="S111" i="55"/>
  <c r="S89" i="55"/>
  <c r="S81" i="55"/>
  <c r="S74" i="55"/>
  <c r="S71" i="55"/>
  <c r="S48" i="55"/>
  <c r="S37" i="55"/>
  <c r="S36" i="55"/>
  <c r="S34" i="55"/>
  <c r="S31" i="55"/>
  <c r="S118" i="55"/>
  <c r="S100" i="55"/>
  <c r="S87" i="55"/>
  <c r="S64" i="55"/>
  <c r="S53" i="55"/>
  <c r="S49" i="55"/>
  <c r="S29" i="55"/>
  <c r="S3" i="55"/>
  <c r="S144" i="55"/>
  <c r="S123" i="55"/>
  <c r="S106" i="55"/>
  <c r="S84" i="55"/>
  <c r="S171" i="55"/>
  <c r="S159" i="55"/>
  <c r="S143" i="55"/>
  <c r="S136" i="55"/>
  <c r="S126" i="55"/>
  <c r="S122" i="55"/>
  <c r="S117" i="55"/>
  <c r="S115" i="55"/>
  <c r="S114" i="55"/>
  <c r="S112" i="55"/>
  <c r="S110" i="55"/>
  <c r="S108" i="55"/>
  <c r="S104" i="55"/>
  <c r="S102" i="55"/>
  <c r="S88" i="55"/>
  <c r="S80" i="55"/>
  <c r="S68" i="55"/>
  <c r="S66" i="55"/>
  <c r="S63" i="55"/>
  <c r="S55" i="55"/>
  <c r="S51" i="55"/>
  <c r="S47" i="55"/>
  <c r="S40" i="55"/>
  <c r="S28" i="55"/>
  <c r="S21" i="55"/>
  <c r="S19" i="55"/>
  <c r="S16" i="55"/>
  <c r="S13" i="55"/>
  <c r="S11" i="55"/>
  <c r="S8" i="55"/>
  <c r="S113" i="55"/>
  <c r="S105" i="55"/>
  <c r="S62" i="55"/>
  <c r="S52" i="55"/>
  <c r="S32" i="55"/>
  <c r="S26" i="55"/>
  <c r="S5" i="55"/>
  <c r="S146" i="55"/>
  <c r="S92" i="55"/>
  <c r="S171" i="54"/>
  <c r="AA170" i="54"/>
  <c r="AA169" i="54"/>
  <c r="S162" i="54"/>
  <c r="S161" i="54"/>
  <c r="AA160" i="54"/>
  <c r="S154" i="54"/>
  <c r="S153" i="54"/>
  <c r="AA152" i="54"/>
  <c r="S146" i="54"/>
  <c r="S145" i="54"/>
  <c r="AA144" i="54"/>
  <c r="S138" i="54"/>
  <c r="S137" i="54"/>
  <c r="AA136" i="54"/>
  <c r="S130" i="54"/>
  <c r="S129" i="54"/>
  <c r="AA128" i="54"/>
  <c r="Q123" i="54"/>
  <c r="R123" i="54" s="1"/>
  <c r="S121" i="54"/>
  <c r="S170" i="54"/>
  <c r="S169" i="54"/>
  <c r="AA168" i="54"/>
  <c r="Q163" i="54"/>
  <c r="R163" i="54" s="1"/>
  <c r="S160" i="54"/>
  <c r="Q155" i="54"/>
  <c r="R155" i="54" s="1"/>
  <c r="S152" i="54"/>
  <c r="Q147" i="54"/>
  <c r="R147" i="54" s="1"/>
  <c r="S144" i="54"/>
  <c r="Q139" i="54"/>
  <c r="R139" i="54" s="1"/>
  <c r="S136" i="54"/>
  <c r="Q131" i="54"/>
  <c r="R131" i="54" s="1"/>
  <c r="S128" i="54"/>
  <c r="Q122" i="54"/>
  <c r="R122" i="54" s="1"/>
  <c r="Q171" i="54"/>
  <c r="R171" i="54" s="1"/>
  <c r="S168" i="54"/>
  <c r="AA167" i="54"/>
  <c r="Q162" i="54"/>
  <c r="R162" i="54" s="1"/>
  <c r="Q161" i="54"/>
  <c r="R161" i="54" s="1"/>
  <c r="AA159" i="54"/>
  <c r="Q170" i="54"/>
  <c r="R170" i="54" s="1"/>
  <c r="Q169" i="54"/>
  <c r="R169" i="54" s="1"/>
  <c r="S167" i="54"/>
  <c r="AA166" i="54"/>
  <c r="AA165" i="54"/>
  <c r="Q160" i="54"/>
  <c r="R160" i="54" s="1"/>
  <c r="S159" i="54"/>
  <c r="AA158" i="54"/>
  <c r="AA157" i="54"/>
  <c r="Q152" i="54"/>
  <c r="R152" i="54" s="1"/>
  <c r="Q168" i="54"/>
  <c r="R168" i="54" s="1"/>
  <c r="S166" i="54"/>
  <c r="S165" i="54"/>
  <c r="AA164" i="54"/>
  <c r="S158" i="54"/>
  <c r="S157" i="54"/>
  <c r="AA156" i="54"/>
  <c r="Q167" i="54"/>
  <c r="R167" i="54" s="1"/>
  <c r="S164" i="54"/>
  <c r="Q159" i="54"/>
  <c r="R159" i="54" s="1"/>
  <c r="S156" i="54"/>
  <c r="Q151" i="54"/>
  <c r="R151" i="54" s="1"/>
  <c r="S148" i="54"/>
  <c r="Q143" i="54"/>
  <c r="R143" i="54" s="1"/>
  <c r="Q166" i="54"/>
  <c r="R166" i="54" s="1"/>
  <c r="Q165" i="54"/>
  <c r="R165" i="54" s="1"/>
  <c r="AA163" i="54"/>
  <c r="Q158" i="54"/>
  <c r="R158" i="54" s="1"/>
  <c r="Q157" i="54"/>
  <c r="R157" i="54" s="1"/>
  <c r="AA155" i="54"/>
  <c r="Q150" i="54"/>
  <c r="R150" i="54" s="1"/>
  <c r="Q149" i="54"/>
  <c r="R149" i="54" s="1"/>
  <c r="AA147" i="54"/>
  <c r="Q142" i="54"/>
  <c r="R142" i="54" s="1"/>
  <c r="Q141" i="54"/>
  <c r="R141" i="54" s="1"/>
  <c r="AA139" i="54"/>
  <c r="Q134" i="54"/>
  <c r="R134" i="54" s="1"/>
  <c r="Q133" i="54"/>
  <c r="R133" i="54" s="1"/>
  <c r="AA131" i="54"/>
  <c r="Q126" i="54"/>
  <c r="R126" i="54" s="1"/>
  <c r="Q125" i="54"/>
  <c r="R125" i="54" s="1"/>
  <c r="S123" i="54"/>
  <c r="AA122" i="54"/>
  <c r="S155" i="54"/>
  <c r="Q146" i="54"/>
  <c r="R146" i="54" s="1"/>
  <c r="Q138" i="54"/>
  <c r="R138" i="54" s="1"/>
  <c r="S135" i="54"/>
  <c r="AA132" i="54"/>
  <c r="Q128" i="54"/>
  <c r="R128" i="54" s="1"/>
  <c r="S125" i="54"/>
  <c r="Q119" i="54"/>
  <c r="R119" i="54" s="1"/>
  <c r="S117" i="54"/>
  <c r="AA116" i="54"/>
  <c r="Q111" i="54"/>
  <c r="R111" i="54" s="1"/>
  <c r="S109" i="54"/>
  <c r="AA162" i="54"/>
  <c r="Q153" i="54"/>
  <c r="R153" i="54" s="1"/>
  <c r="AA150" i="54"/>
  <c r="S143" i="54"/>
  <c r="AA141" i="54"/>
  <c r="Q140" i="54"/>
  <c r="R140" i="54" s="1"/>
  <c r="Q137" i="54"/>
  <c r="R137" i="54" s="1"/>
  <c r="AA134" i="54"/>
  <c r="Q130" i="54"/>
  <c r="R130" i="54" s="1"/>
  <c r="S127" i="54"/>
  <c r="AA124" i="54"/>
  <c r="S120" i="54"/>
  <c r="AA119" i="54"/>
  <c r="Q114" i="54"/>
  <c r="R114" i="54" s="1"/>
  <c r="S112" i="54"/>
  <c r="AA111" i="54"/>
  <c r="Q106" i="54"/>
  <c r="R106" i="54" s="1"/>
  <c r="S104" i="54"/>
  <c r="AA103" i="54"/>
  <c r="S101" i="54"/>
  <c r="S98" i="54"/>
  <c r="S95" i="54"/>
  <c r="Q94" i="54"/>
  <c r="R94" i="54" s="1"/>
  <c r="AA92" i="54"/>
  <c r="AA89" i="54"/>
  <c r="S85" i="54"/>
  <c r="S82" i="54"/>
  <c r="AA161" i="54"/>
  <c r="Q156" i="54"/>
  <c r="R156" i="54" s="1"/>
  <c r="S150" i="54"/>
  <c r="AA148" i="54"/>
  <c r="S141" i="54"/>
  <c r="S134" i="54"/>
  <c r="S124" i="54"/>
  <c r="AA121" i="54"/>
  <c r="S119" i="54"/>
  <c r="AA118" i="54"/>
  <c r="Q113" i="54"/>
  <c r="R113" i="54" s="1"/>
  <c r="S111" i="54"/>
  <c r="AA110" i="54"/>
  <c r="Q105" i="54"/>
  <c r="R105" i="54" s="1"/>
  <c r="Q164" i="54"/>
  <c r="R164" i="54" s="1"/>
  <c r="AA137" i="54"/>
  <c r="Q135" i="54"/>
  <c r="R135" i="54" s="1"/>
  <c r="Q121" i="54"/>
  <c r="R121" i="54" s="1"/>
  <c r="Q118" i="54"/>
  <c r="R118" i="54" s="1"/>
  <c r="S115" i="54"/>
  <c r="S108" i="54"/>
  <c r="Q101" i="54"/>
  <c r="R101" i="54" s="1"/>
  <c r="Q99" i="54"/>
  <c r="R99" i="54" s="1"/>
  <c r="AA96" i="54"/>
  <c r="AA94" i="54"/>
  <c r="S92" i="54"/>
  <c r="S90" i="54"/>
  <c r="S88" i="54"/>
  <c r="Q82" i="54"/>
  <c r="R82" i="54" s="1"/>
  <c r="Q80" i="54"/>
  <c r="R80" i="54" s="1"/>
  <c r="S79" i="54"/>
  <c r="Q76" i="54"/>
  <c r="R76" i="54" s="1"/>
  <c r="S75" i="54"/>
  <c r="Q72" i="54"/>
  <c r="R72" i="54" s="1"/>
  <c r="S71" i="54"/>
  <c r="S151" i="54"/>
  <c r="Q144" i="54"/>
  <c r="R144" i="54" s="1"/>
  <c r="Q136" i="54"/>
  <c r="R136" i="54" s="1"/>
  <c r="AA133" i="54"/>
  <c r="AA125" i="54"/>
  <c r="AA112" i="54"/>
  <c r="Q109" i="54"/>
  <c r="R109" i="54" s="1"/>
  <c r="AA106" i="54"/>
  <c r="AA102" i="54"/>
  <c r="Q100" i="54"/>
  <c r="R100" i="54" s="1"/>
  <c r="AA99" i="54"/>
  <c r="Q86" i="54"/>
  <c r="R86" i="54" s="1"/>
  <c r="Q83" i="54"/>
  <c r="R83" i="54" s="1"/>
  <c r="AA82" i="54"/>
  <c r="AA67" i="54"/>
  <c r="AA63" i="54"/>
  <c r="AA59" i="54"/>
  <c r="AA55" i="54"/>
  <c r="AA51" i="54"/>
  <c r="AA47" i="54"/>
  <c r="AA43" i="54"/>
  <c r="AA39" i="54"/>
  <c r="AA35" i="54"/>
  <c r="S33" i="54"/>
  <c r="Q32" i="54"/>
  <c r="R32" i="54" s="1"/>
  <c r="S30" i="54"/>
  <c r="S147" i="54"/>
  <c r="AA138" i="54"/>
  <c r="S133" i="54"/>
  <c r="AA120" i="54"/>
  <c r="Q117" i="54"/>
  <c r="R117" i="54" s="1"/>
  <c r="AA115" i="54"/>
  <c r="Q112" i="54"/>
  <c r="R112" i="54" s="1"/>
  <c r="S106" i="54"/>
  <c r="S102" i="54"/>
  <c r="S99" i="54"/>
  <c r="Q96" i="54"/>
  <c r="R96" i="54" s="1"/>
  <c r="AA95" i="54"/>
  <c r="Q93" i="54"/>
  <c r="R93" i="54" s="1"/>
  <c r="Q89" i="54"/>
  <c r="R89" i="54" s="1"/>
  <c r="AA85" i="54"/>
  <c r="AA81" i="54"/>
  <c r="Q68" i="54"/>
  <c r="R68" i="54" s="1"/>
  <c r="S67" i="54"/>
  <c r="Q64" i="54"/>
  <c r="R64" i="54" s="1"/>
  <c r="S63" i="54"/>
  <c r="Q60" i="54"/>
  <c r="R60" i="54" s="1"/>
  <c r="S59" i="54"/>
  <c r="Q56" i="54"/>
  <c r="R56" i="54" s="1"/>
  <c r="S55" i="54"/>
  <c r="Q52" i="54"/>
  <c r="R52" i="54" s="1"/>
  <c r="S51" i="54"/>
  <c r="Q48" i="54"/>
  <c r="R48" i="54" s="1"/>
  <c r="S47" i="54"/>
  <c r="Q44" i="54"/>
  <c r="R44" i="54" s="1"/>
  <c r="S43" i="54"/>
  <c r="Q40" i="54"/>
  <c r="R40" i="54" s="1"/>
  <c r="S39" i="54"/>
  <c r="Q36" i="54"/>
  <c r="R36" i="54" s="1"/>
  <c r="S35" i="54"/>
  <c r="AA135" i="54"/>
  <c r="AA130" i="54"/>
  <c r="S122" i="54"/>
  <c r="Q120" i="54"/>
  <c r="R120" i="54" s="1"/>
  <c r="S110" i="54"/>
  <c r="AA107" i="54"/>
  <c r="S103" i="54"/>
  <c r="AA98" i="54"/>
  <c r="Q92" i="54"/>
  <c r="R92" i="54" s="1"/>
  <c r="AA88" i="54"/>
  <c r="S81" i="54"/>
  <c r="AA74" i="54"/>
  <c r="AA73" i="54"/>
  <c r="AA72" i="54"/>
  <c r="AA71" i="54"/>
  <c r="AA70" i="54"/>
  <c r="AA154" i="54"/>
  <c r="AA149" i="54"/>
  <c r="AA146" i="54"/>
  <c r="AA143" i="54"/>
  <c r="AA140" i="54"/>
  <c r="S132" i="54"/>
  <c r="AA127" i="54"/>
  <c r="S118" i="54"/>
  <c r="Q115" i="54"/>
  <c r="R115" i="54" s="1"/>
  <c r="AA113" i="54"/>
  <c r="Q110" i="54"/>
  <c r="R110" i="54" s="1"/>
  <c r="S107" i="54"/>
  <c r="Q102" i="54"/>
  <c r="R102" i="54" s="1"/>
  <c r="Q95" i="54"/>
  <c r="R95" i="54" s="1"/>
  <c r="AA91" i="54"/>
  <c r="Q88" i="54"/>
  <c r="R88" i="54" s="1"/>
  <c r="AA87" i="54"/>
  <c r="Q85" i="54"/>
  <c r="R85" i="54" s="1"/>
  <c r="AA84" i="54"/>
  <c r="AA78" i="54"/>
  <c r="AA77" i="54"/>
  <c r="AA76" i="54"/>
  <c r="AA75" i="54"/>
  <c r="S74" i="54"/>
  <c r="S73" i="54"/>
  <c r="S72" i="54"/>
  <c r="S163" i="54"/>
  <c r="Q154" i="54"/>
  <c r="R154" i="54" s="1"/>
  <c r="S149" i="54"/>
  <c r="S140" i="54"/>
  <c r="Q132" i="54"/>
  <c r="R132" i="54" s="1"/>
  <c r="AA129" i="54"/>
  <c r="Q127" i="54"/>
  <c r="R127" i="54" s="1"/>
  <c r="S116" i="54"/>
  <c r="S113" i="54"/>
  <c r="AA108" i="54"/>
  <c r="Q107" i="54"/>
  <c r="R107" i="54" s="1"/>
  <c r="AA104" i="54"/>
  <c r="Q103" i="54"/>
  <c r="R103" i="54" s="1"/>
  <c r="AA101" i="54"/>
  <c r="Q98" i="54"/>
  <c r="R98" i="54" s="1"/>
  <c r="AA97" i="54"/>
  <c r="S94" i="54"/>
  <c r="S91" i="54"/>
  <c r="S87" i="54"/>
  <c r="S84" i="54"/>
  <c r="Q81" i="54"/>
  <c r="R81" i="54" s="1"/>
  <c r="AA80" i="54"/>
  <c r="AA79" i="54"/>
  <c r="S78" i="54"/>
  <c r="S77" i="54"/>
  <c r="S76" i="54"/>
  <c r="Q71" i="54"/>
  <c r="R71" i="54" s="1"/>
  <c r="AA153" i="54"/>
  <c r="AA142" i="54"/>
  <c r="Q129" i="54"/>
  <c r="R129" i="54" s="1"/>
  <c r="Q124" i="54"/>
  <c r="R124" i="54" s="1"/>
  <c r="Q104" i="54"/>
  <c r="R104" i="54" s="1"/>
  <c r="AA100" i="54"/>
  <c r="S97" i="54"/>
  <c r="Q91" i="54"/>
  <c r="R91" i="54" s="1"/>
  <c r="AA90" i="54"/>
  <c r="Q84" i="54"/>
  <c r="R84" i="54" s="1"/>
  <c r="AA83" i="54"/>
  <c r="S80" i="54"/>
  <c r="Q75" i="54"/>
  <c r="R75" i="54" s="1"/>
  <c r="Q74" i="54"/>
  <c r="R74" i="54" s="1"/>
  <c r="Q73" i="54"/>
  <c r="R73" i="54" s="1"/>
  <c r="Q70" i="54"/>
  <c r="R70" i="54" s="1"/>
  <c r="S69" i="54"/>
  <c r="AA145" i="54"/>
  <c r="S142" i="54"/>
  <c r="S139" i="54"/>
  <c r="AA126" i="54"/>
  <c r="Q116" i="54"/>
  <c r="R116" i="54" s="1"/>
  <c r="AA114" i="54"/>
  <c r="AA109" i="54"/>
  <c r="Q108" i="54"/>
  <c r="R108" i="54" s="1"/>
  <c r="AA105" i="54"/>
  <c r="S100" i="54"/>
  <c r="AA93" i="54"/>
  <c r="Q87" i="54"/>
  <c r="R87" i="54" s="1"/>
  <c r="AA86" i="54"/>
  <c r="S83" i="54"/>
  <c r="Q79" i="54"/>
  <c r="R79" i="54" s="1"/>
  <c r="Q78" i="54"/>
  <c r="R78" i="54" s="1"/>
  <c r="Q77" i="54"/>
  <c r="R77" i="54" s="1"/>
  <c r="AA68" i="54"/>
  <c r="AA64" i="54"/>
  <c r="AA60" i="54"/>
  <c r="AA56" i="54"/>
  <c r="AA52" i="54"/>
  <c r="AA48" i="54"/>
  <c r="AA44" i="54"/>
  <c r="AA40" i="54"/>
  <c r="AA36" i="54"/>
  <c r="S32" i="54"/>
  <c r="Q31" i="54"/>
  <c r="R31" i="54" s="1"/>
  <c r="AA117" i="54"/>
  <c r="S105" i="54"/>
  <c r="S131" i="54"/>
  <c r="S114" i="54"/>
  <c r="S96" i="54"/>
  <c r="Q90" i="54"/>
  <c r="R90" i="54" s="1"/>
  <c r="S68" i="54"/>
  <c r="AA65" i="54"/>
  <c r="Q63" i="54"/>
  <c r="R63" i="54" s="1"/>
  <c r="S53" i="54"/>
  <c r="AA50" i="54"/>
  <c r="S48" i="54"/>
  <c r="Q46" i="54"/>
  <c r="R46" i="54" s="1"/>
  <c r="Q41" i="54"/>
  <c r="R41" i="54" s="1"/>
  <c r="S38" i="54"/>
  <c r="AA27" i="54"/>
  <c r="S23" i="54"/>
  <c r="AA21" i="54"/>
  <c r="S93" i="54"/>
  <c r="AA66" i="54"/>
  <c r="S64" i="54"/>
  <c r="Q62" i="54"/>
  <c r="R62" i="54" s="1"/>
  <c r="Q57" i="54"/>
  <c r="R57" i="54" s="1"/>
  <c r="S54" i="54"/>
  <c r="AA49" i="54"/>
  <c r="Q47" i="54"/>
  <c r="R47" i="54" s="1"/>
  <c r="S37" i="54"/>
  <c r="AA34" i="54"/>
  <c r="AA28" i="54"/>
  <c r="S25" i="54"/>
  <c r="AA171" i="54"/>
  <c r="AA123" i="54"/>
  <c r="Q69" i="54"/>
  <c r="R69" i="54" s="1"/>
  <c r="Q61" i="54"/>
  <c r="R61" i="54" s="1"/>
  <c r="Q59" i="54"/>
  <c r="R59" i="54" s="1"/>
  <c r="S58" i="54"/>
  <c r="AA57" i="54"/>
  <c r="Q42" i="54"/>
  <c r="R42" i="54" s="1"/>
  <c r="S41" i="54"/>
  <c r="S40" i="54"/>
  <c r="AA38" i="54"/>
  <c r="AA23" i="54"/>
  <c r="S20" i="54"/>
  <c r="S12" i="54"/>
  <c r="AA151" i="54"/>
  <c r="Q58" i="54"/>
  <c r="R58" i="54" s="1"/>
  <c r="S57" i="54"/>
  <c r="S56" i="54"/>
  <c r="AA54" i="54"/>
  <c r="Q39" i="54"/>
  <c r="R39" i="54" s="1"/>
  <c r="AA37" i="54"/>
  <c r="AA30" i="54"/>
  <c r="AA18" i="54"/>
  <c r="Q17" i="54"/>
  <c r="R17" i="54" s="1"/>
  <c r="Q14" i="54"/>
  <c r="R14" i="54" s="1"/>
  <c r="AA10" i="54"/>
  <c r="Q9" i="54"/>
  <c r="R9" i="54" s="1"/>
  <c r="Q6" i="54"/>
  <c r="R6" i="54" s="1"/>
  <c r="AA2" i="54"/>
  <c r="Q148" i="54"/>
  <c r="R148" i="54" s="1"/>
  <c r="S89" i="54"/>
  <c r="S70" i="54"/>
  <c r="Q55" i="54"/>
  <c r="R55" i="54" s="1"/>
  <c r="AA53" i="54"/>
  <c r="Q38" i="54"/>
  <c r="R38" i="54" s="1"/>
  <c r="Q37" i="54"/>
  <c r="R37" i="54" s="1"/>
  <c r="S36" i="54"/>
  <c r="S34" i="54"/>
  <c r="AA32" i="54"/>
  <c r="Q30" i="54"/>
  <c r="R30" i="54" s="1"/>
  <c r="S28" i="54"/>
  <c r="S27" i="54"/>
  <c r="AA26" i="54"/>
  <c r="Q23" i="54"/>
  <c r="R23" i="54" s="1"/>
  <c r="AA22" i="54"/>
  <c r="Q20" i="54"/>
  <c r="R20" i="54" s="1"/>
  <c r="S18" i="54"/>
  <c r="AA15" i="54"/>
  <c r="Q12" i="54"/>
  <c r="R12" i="54" s="1"/>
  <c r="S10" i="54"/>
  <c r="Q145" i="54"/>
  <c r="R145" i="54" s="1"/>
  <c r="Q54" i="54"/>
  <c r="R54" i="54" s="1"/>
  <c r="Q53" i="54"/>
  <c r="R53" i="54" s="1"/>
  <c r="S52" i="54"/>
  <c r="S50" i="54"/>
  <c r="Q35" i="54"/>
  <c r="R35" i="54" s="1"/>
  <c r="S26" i="54"/>
  <c r="AA25" i="54"/>
  <c r="S22" i="54"/>
  <c r="AA19" i="54"/>
  <c r="S15" i="54"/>
  <c r="AA13" i="54"/>
  <c r="AA11" i="54"/>
  <c r="Q97" i="54"/>
  <c r="R97" i="54" s="1"/>
  <c r="S66" i="54"/>
  <c r="Q51" i="54"/>
  <c r="R51" i="54" s="1"/>
  <c r="S49" i="54"/>
  <c r="AA46" i="54"/>
  <c r="Q34" i="54"/>
  <c r="R34" i="54" s="1"/>
  <c r="Q28" i="54"/>
  <c r="R28" i="54" s="1"/>
  <c r="Q27" i="54"/>
  <c r="R27" i="54" s="1"/>
  <c r="Q26" i="54"/>
  <c r="R26" i="54" s="1"/>
  <c r="AA24" i="54"/>
  <c r="S19" i="54"/>
  <c r="Q18" i="54"/>
  <c r="R18" i="54" s="1"/>
  <c r="AA16" i="54"/>
  <c r="S13" i="54"/>
  <c r="S86" i="54"/>
  <c r="Q67" i="54"/>
  <c r="R67" i="54" s="1"/>
  <c r="S65" i="54"/>
  <c r="AA62" i="54"/>
  <c r="Q50" i="54"/>
  <c r="R50" i="54" s="1"/>
  <c r="Q49" i="54"/>
  <c r="R49" i="54" s="1"/>
  <c r="S46" i="54"/>
  <c r="AA45" i="54"/>
  <c r="AA33" i="54"/>
  <c r="AA29" i="54"/>
  <c r="Q25" i="54"/>
  <c r="R25" i="54" s="1"/>
  <c r="S24" i="54"/>
  <c r="Q22" i="54"/>
  <c r="R22" i="54" s="1"/>
  <c r="S21" i="54"/>
  <c r="S16" i="54"/>
  <c r="Q15" i="54"/>
  <c r="R15" i="54" s="1"/>
  <c r="Q66" i="54"/>
  <c r="R66" i="54" s="1"/>
  <c r="Q65" i="54"/>
  <c r="R65" i="54" s="1"/>
  <c r="S62" i="54"/>
  <c r="AA61" i="54"/>
  <c r="S45" i="54"/>
  <c r="S44" i="54"/>
  <c r="AA42" i="54"/>
  <c r="Q33" i="54"/>
  <c r="R33" i="54" s="1"/>
  <c r="AA31" i="54"/>
  <c r="S29" i="54"/>
  <c r="Q19" i="54"/>
  <c r="R19" i="54" s="1"/>
  <c r="AA17" i="54"/>
  <c r="AA14" i="54"/>
  <c r="Q13" i="54"/>
  <c r="R13" i="54" s="1"/>
  <c r="Q11" i="54"/>
  <c r="R11" i="54" s="1"/>
  <c r="AA9" i="54"/>
  <c r="AA6" i="54"/>
  <c r="Q5" i="54"/>
  <c r="R5" i="54" s="1"/>
  <c r="Q3" i="54"/>
  <c r="R3" i="54" s="1"/>
  <c r="S126" i="54"/>
  <c r="Q16" i="54"/>
  <c r="R16" i="54" s="1"/>
  <c r="AA8" i="54"/>
  <c r="AA4" i="54"/>
  <c r="AA3" i="54"/>
  <c r="AA58" i="54"/>
  <c r="Q43" i="54"/>
  <c r="R43" i="54" s="1"/>
  <c r="Q10" i="54"/>
  <c r="R10" i="54" s="1"/>
  <c r="S8" i="54"/>
  <c r="AA7" i="54"/>
  <c r="S6" i="54"/>
  <c r="AA5" i="54"/>
  <c r="S4" i="54"/>
  <c r="S5" i="54"/>
  <c r="AA20" i="54"/>
  <c r="AA41" i="54"/>
  <c r="Q7" i="54"/>
  <c r="R7" i="54" s="1"/>
  <c r="S42" i="54"/>
  <c r="S14" i="54"/>
  <c r="Q8" i="54"/>
  <c r="R8" i="54" s="1"/>
  <c r="Q4" i="54"/>
  <c r="R4" i="54" s="1"/>
  <c r="S2" i="54"/>
  <c r="S11" i="54"/>
  <c r="AA12" i="54"/>
  <c r="Q45" i="54"/>
  <c r="R45" i="54" s="1"/>
  <c r="S17" i="54"/>
  <c r="AA69" i="54"/>
  <c r="S61" i="54"/>
  <c r="S31" i="54"/>
  <c r="Q29" i="54"/>
  <c r="R29" i="54" s="1"/>
  <c r="Q21" i="54"/>
  <c r="R21" i="54" s="1"/>
  <c r="S60" i="54"/>
  <c r="Q24" i="54"/>
  <c r="R24" i="54" s="1"/>
  <c r="S9" i="54"/>
  <c r="S3" i="54"/>
  <c r="S7" i="54"/>
  <c r="Q2" i="54"/>
  <c r="R2" i="54" s="1"/>
  <c r="L141" i="48"/>
  <c r="L161" i="48"/>
  <c r="L150" i="48"/>
  <c r="L131" i="48"/>
  <c r="L106" i="48"/>
  <c r="L170" i="48"/>
  <c r="L105" i="48"/>
  <c r="L155" i="48"/>
  <c r="L173" i="48"/>
  <c r="L140" i="48"/>
  <c r="L126" i="48"/>
  <c r="L124" i="48"/>
  <c r="L166" i="48"/>
  <c r="L162" i="48"/>
  <c r="L101" i="48"/>
  <c r="L84" i="48"/>
  <c r="L54" i="48"/>
  <c r="L97" i="48"/>
  <c r="L7" i="48"/>
  <c r="L98" i="48"/>
  <c r="L44" i="48"/>
  <c r="L55" i="48"/>
  <c r="L4" i="48"/>
  <c r="L88" i="48"/>
  <c r="L17" i="48"/>
  <c r="L41" i="48"/>
  <c r="L25" i="48"/>
  <c r="L47" i="48"/>
  <c r="L75" i="48"/>
  <c r="L63" i="48"/>
  <c r="L77" i="48"/>
  <c r="L20" i="48"/>
  <c r="L13" i="48"/>
  <c r="L38" i="48"/>
  <c r="L23" i="48"/>
  <c r="L5" i="48"/>
  <c r="L33" i="48"/>
  <c r="L71" i="48"/>
  <c r="L74" i="48"/>
  <c r="L22" i="48"/>
  <c r="L12" i="48"/>
  <c r="L32" i="48"/>
  <c r="J47" i="44"/>
  <c r="J121" i="44"/>
  <c r="J63" i="44"/>
  <c r="I82" i="44"/>
  <c r="I83" i="44"/>
  <c r="L69" i="44"/>
  <c r="L37" i="44"/>
  <c r="I126" i="44"/>
  <c r="J30" i="44"/>
  <c r="I165" i="44"/>
  <c r="K40" i="48"/>
  <c r="AK80" i="48" s="1"/>
  <c r="K108" i="44"/>
  <c r="L174" i="48"/>
  <c r="L143" i="48"/>
  <c r="L116" i="48"/>
  <c r="L138" i="48"/>
  <c r="L168" i="48"/>
  <c r="L27" i="48"/>
  <c r="L62" i="48"/>
  <c r="L58" i="48"/>
  <c r="L45" i="48"/>
  <c r="L14" i="48"/>
  <c r="L50" i="48"/>
  <c r="L70" i="48"/>
  <c r="L92" i="48"/>
  <c r="L100" i="48"/>
  <c r="L81" i="48"/>
  <c r="L21" i="48"/>
  <c r="L28" i="48"/>
  <c r="L78" i="48"/>
  <c r="L57" i="48"/>
  <c r="L67" i="48"/>
  <c r="L61" i="48"/>
  <c r="L86" i="48"/>
  <c r="L31" i="48"/>
  <c r="L46" i="48"/>
  <c r="L68" i="48"/>
  <c r="L37" i="48"/>
  <c r="L60" i="48"/>
  <c r="L145" i="48"/>
  <c r="L139" i="48"/>
  <c r="L158" i="48"/>
  <c r="L118" i="48"/>
  <c r="L104" i="48"/>
  <c r="L127" i="48"/>
  <c r="L133" i="48"/>
  <c r="L154" i="48"/>
  <c r="L122" i="48"/>
  <c r="L69" i="48"/>
  <c r="L83" i="48"/>
  <c r="L91" i="48"/>
  <c r="L72" i="48"/>
  <c r="L87" i="48"/>
  <c r="L29" i="48"/>
  <c r="L95" i="48"/>
  <c r="L24" i="48"/>
  <c r="L93" i="48"/>
  <c r="L94" i="48"/>
  <c r="L43" i="48"/>
  <c r="L9" i="48"/>
  <c r="L15" i="48"/>
  <c r="L82" i="48"/>
  <c r="L66" i="48"/>
  <c r="L36" i="48"/>
  <c r="L11" i="48"/>
  <c r="L49" i="48"/>
  <c r="L79" i="48"/>
  <c r="L53" i="48"/>
  <c r="L85" i="48"/>
  <c r="L56" i="48"/>
  <c r="L52" i="48"/>
  <c r="L6" i="48"/>
  <c r="L42" i="48"/>
  <c r="L65" i="48"/>
  <c r="I33" i="44"/>
  <c r="I16" i="44"/>
  <c r="I7" i="44"/>
  <c r="J13" i="44"/>
  <c r="I3" i="44"/>
  <c r="J130" i="44"/>
  <c r="K61" i="44"/>
  <c r="J146" i="44"/>
  <c r="K53" i="44"/>
  <c r="L107" i="48"/>
  <c r="L113" i="48"/>
  <c r="L152" i="48"/>
  <c r="L137" i="48"/>
  <c r="L151" i="48"/>
  <c r="L110" i="48"/>
  <c r="L39" i="48"/>
  <c r="I93" i="48"/>
  <c r="AI133" i="48" s="1"/>
  <c r="I74" i="48"/>
  <c r="AI114" i="48" s="1"/>
  <c r="I24" i="48"/>
  <c r="AI64" i="48" s="1"/>
  <c r="J103" i="44"/>
  <c r="J37" i="48"/>
  <c r="I130" i="44"/>
  <c r="K59" i="44"/>
  <c r="I17" i="44"/>
  <c r="K114" i="44"/>
  <c r="J99" i="44"/>
  <c r="K94" i="44"/>
  <c r="I125" i="44"/>
  <c r="J56" i="44"/>
  <c r="K57" i="44"/>
  <c r="I8" i="44"/>
  <c r="L114" i="44"/>
  <c r="I148" i="44"/>
  <c r="L135" i="44"/>
  <c r="J68" i="44"/>
  <c r="I131" i="44"/>
  <c r="J3" i="44"/>
  <c r="J73" i="44"/>
  <c r="L66" i="44"/>
  <c r="J26" i="44"/>
  <c r="K142" i="44"/>
  <c r="J16" i="44"/>
  <c r="K8" i="44"/>
  <c r="L122" i="44"/>
  <c r="J37" i="44"/>
  <c r="I106" i="44"/>
  <c r="J20" i="44"/>
  <c r="K21" i="48"/>
  <c r="AK61" i="48" s="1"/>
  <c r="J4" i="44"/>
  <c r="I101" i="44"/>
  <c r="K118" i="44"/>
  <c r="K73" i="44"/>
  <c r="L8" i="44"/>
  <c r="L51" i="48"/>
  <c r="L112" i="48"/>
  <c r="L142" i="48"/>
  <c r="L108" i="48"/>
  <c r="L135" i="48"/>
  <c r="L175" i="48"/>
  <c r="L172" i="48"/>
  <c r="L176" i="48"/>
  <c r="I6" i="48"/>
  <c r="AI46" i="48" s="1"/>
  <c r="I35" i="48"/>
  <c r="AI75" i="48" s="1"/>
  <c r="I45" i="48"/>
  <c r="AI85" i="48" s="1"/>
  <c r="I2" i="44"/>
  <c r="I50" i="44"/>
  <c r="L116" i="44"/>
  <c r="J77" i="48"/>
  <c r="K120" i="44"/>
  <c r="J2" i="44"/>
  <c r="L164" i="44"/>
  <c r="L21" i="44"/>
  <c r="J134" i="44"/>
  <c r="L132" i="44"/>
  <c r="I25" i="44"/>
  <c r="J137" i="44"/>
  <c r="I58" i="44"/>
  <c r="K76" i="44"/>
  <c r="L18" i="44"/>
  <c r="J148" i="44"/>
  <c r="J12" i="44"/>
  <c r="I105" i="44"/>
  <c r="K14" i="44"/>
  <c r="J24" i="44"/>
  <c r="J138" i="44"/>
  <c r="I6" i="44"/>
  <c r="I116" i="44"/>
  <c r="J34" i="44"/>
  <c r="I15" i="44"/>
  <c r="I146" i="44"/>
  <c r="J120" i="44"/>
  <c r="J62" i="44"/>
  <c r="L158" i="44"/>
  <c r="K150" i="44"/>
  <c r="J152" i="48"/>
  <c r="J142" i="44"/>
  <c r="L85" i="44"/>
  <c r="L71" i="44"/>
  <c r="L72" i="44"/>
  <c r="L145" i="44"/>
  <c r="J109" i="44"/>
  <c r="I155" i="44"/>
  <c r="L159" i="44"/>
  <c r="I67" i="48"/>
  <c r="AI107" i="48" s="1"/>
  <c r="J94" i="48"/>
  <c r="J88" i="48"/>
  <c r="I136" i="44"/>
  <c r="L117" i="44"/>
  <c r="K148" i="44"/>
  <c r="I68" i="44"/>
  <c r="L134" i="48"/>
  <c r="L114" i="48"/>
  <c r="L144" i="48"/>
  <c r="L169" i="48"/>
  <c r="L117" i="48"/>
  <c r="L120" i="48"/>
  <c r="L130" i="48"/>
  <c r="I65" i="48"/>
  <c r="AI105" i="48" s="1"/>
  <c r="I39" i="48"/>
  <c r="AI79" i="48" s="1"/>
  <c r="L90" i="48"/>
  <c r="I72" i="48"/>
  <c r="AI112" i="48" s="1"/>
  <c r="I8" i="48"/>
  <c r="AI48" i="48" s="1"/>
  <c r="I51" i="44"/>
  <c r="J39" i="44"/>
  <c r="K128" i="44"/>
  <c r="K119" i="44"/>
  <c r="K3" i="44"/>
  <c r="I28" i="44"/>
  <c r="L113" i="44"/>
  <c r="I140" i="44"/>
  <c r="I74" i="44"/>
  <c r="J98" i="44"/>
  <c r="K71" i="44"/>
  <c r="K93" i="44"/>
  <c r="L35" i="44"/>
  <c r="I99" i="44"/>
  <c r="K98" i="44"/>
  <c r="L55" i="44"/>
  <c r="L68" i="44"/>
  <c r="J51" i="44"/>
  <c r="J86" i="44"/>
  <c r="K165" i="48"/>
  <c r="K72" i="44"/>
  <c r="L144" i="44"/>
  <c r="J67" i="44"/>
  <c r="I132" i="44"/>
  <c r="L83" i="44"/>
  <c r="L161" i="44"/>
  <c r="I109" i="44"/>
  <c r="J76" i="44"/>
  <c r="I143" i="44"/>
  <c r="K107" i="44"/>
  <c r="J54" i="44"/>
  <c r="J115" i="44"/>
  <c r="L123" i="48"/>
  <c r="L96" i="48"/>
  <c r="L16" i="48"/>
  <c r="L3" i="48"/>
  <c r="L80" i="48"/>
  <c r="L76" i="48"/>
  <c r="L64" i="48"/>
  <c r="L18" i="48"/>
  <c r="L48" i="48"/>
  <c r="L146" i="48"/>
  <c r="L163" i="48"/>
  <c r="I17" i="48"/>
  <c r="AI57" i="48" s="1"/>
  <c r="J79" i="44"/>
  <c r="J127" i="44"/>
  <c r="I12" i="44"/>
  <c r="J58" i="44"/>
  <c r="K131" i="44"/>
  <c r="I171" i="44"/>
  <c r="J50" i="48"/>
  <c r="I80" i="44"/>
  <c r="L14" i="44"/>
  <c r="L16" i="44"/>
  <c r="L4" i="44"/>
  <c r="K151" i="44"/>
  <c r="J151" i="44"/>
  <c r="I129" i="44"/>
  <c r="L76" i="44"/>
  <c r="J66" i="44"/>
  <c r="K43" i="44"/>
  <c r="I147" i="44"/>
  <c r="I119" i="44"/>
  <c r="K18" i="44"/>
  <c r="K116" i="44"/>
  <c r="L78" i="44"/>
  <c r="I154" i="44"/>
  <c r="I107" i="44"/>
  <c r="J110" i="44"/>
  <c r="K152" i="44"/>
  <c r="I55" i="44"/>
  <c r="J102" i="44"/>
  <c r="L67" i="44"/>
  <c r="J19" i="44"/>
  <c r="J118" i="44"/>
  <c r="L157" i="48"/>
  <c r="L121" i="48"/>
  <c r="L119" i="48"/>
  <c r="L164" i="48"/>
  <c r="L160" i="48"/>
  <c r="L171" i="48"/>
  <c r="L148" i="48"/>
  <c r="I32" i="48"/>
  <c r="AI72" i="48" s="1"/>
  <c r="I77" i="48"/>
  <c r="AI117" i="48" s="1"/>
  <c r="I7" i="48"/>
  <c r="AI47" i="48" s="1"/>
  <c r="I73" i="48"/>
  <c r="AI113" i="48" s="1"/>
  <c r="J77" i="44"/>
  <c r="J48" i="44"/>
  <c r="L50" i="44"/>
  <c r="J74" i="44"/>
  <c r="I41" i="44"/>
  <c r="L59" i="48"/>
  <c r="L30" i="48"/>
  <c r="L153" i="48"/>
  <c r="L129" i="48"/>
  <c r="L132" i="48"/>
  <c r="L111" i="48"/>
  <c r="L128" i="48"/>
  <c r="L159" i="48"/>
  <c r="I52" i="48"/>
  <c r="AI92" i="48" s="1"/>
  <c r="I70" i="48"/>
  <c r="AI110" i="48" s="1"/>
  <c r="I33" i="48"/>
  <c r="AI73" i="48" s="1"/>
  <c r="K110" i="44"/>
  <c r="J107" i="44"/>
  <c r="I72" i="44"/>
  <c r="I18" i="44"/>
  <c r="I150" i="44"/>
  <c r="L5" i="44"/>
  <c r="I144" i="44"/>
  <c r="I138" i="44"/>
  <c r="I44" i="44"/>
  <c r="K10" i="44"/>
  <c r="I66" i="44"/>
  <c r="K22" i="48"/>
  <c r="AK62" i="48" s="1"/>
  <c r="L13" i="44"/>
  <c r="L24" i="44"/>
  <c r="K62" i="44"/>
  <c r="L163" i="44"/>
  <c r="I79" i="44"/>
  <c r="I89" i="44"/>
  <c r="J81" i="44"/>
  <c r="I133" i="44"/>
  <c r="K155" i="44"/>
  <c r="J88" i="44"/>
  <c r="L10" i="44"/>
  <c r="L105" i="44"/>
  <c r="J119" i="44"/>
  <c r="I39" i="44"/>
  <c r="I162" i="48"/>
  <c r="L46" i="44"/>
  <c r="K92" i="44"/>
  <c r="K12" i="44"/>
  <c r="J27" i="44"/>
  <c r="L98" i="44"/>
  <c r="L148" i="44"/>
  <c r="I112" i="44"/>
  <c r="I19" i="44"/>
  <c r="J82" i="44"/>
  <c r="K28" i="44"/>
  <c r="L94" i="44"/>
  <c r="J158" i="44"/>
  <c r="J52" i="44"/>
  <c r="I143" i="48"/>
  <c r="K129" i="48"/>
  <c r="I120" i="48"/>
  <c r="I100" i="44"/>
  <c r="L160" i="44"/>
  <c r="L170" i="44"/>
  <c r="L81" i="44"/>
  <c r="L103" i="48"/>
  <c r="L115" i="48"/>
  <c r="L149" i="48"/>
  <c r="L109" i="48"/>
  <c r="J75" i="44"/>
  <c r="L61" i="44"/>
  <c r="K138" i="44"/>
  <c r="K17" i="44"/>
  <c r="L128" i="44"/>
  <c r="I137" i="44"/>
  <c r="J132" i="44"/>
  <c r="J55" i="44"/>
  <c r="L79" i="44"/>
  <c r="J93" i="44"/>
  <c r="I110" i="44"/>
  <c r="K70" i="44"/>
  <c r="L36" i="44"/>
  <c r="L56" i="44"/>
  <c r="I36" i="44"/>
  <c r="J21" i="48"/>
  <c r="J26" i="48"/>
  <c r="K26" i="44"/>
  <c r="K66" i="44"/>
  <c r="J105" i="44"/>
  <c r="I161" i="44"/>
  <c r="I69" i="44"/>
  <c r="K170" i="44"/>
  <c r="L40" i="44"/>
  <c r="I14" i="48"/>
  <c r="AI54" i="48" s="1"/>
  <c r="I127" i="48"/>
  <c r="I124" i="44"/>
  <c r="L97" i="44"/>
  <c r="L115" i="44"/>
  <c r="L152" i="44"/>
  <c r="J108" i="44"/>
  <c r="K23" i="44"/>
  <c r="J28" i="44"/>
  <c r="K101" i="48"/>
  <c r="AK141" i="48" s="1"/>
  <c r="I47" i="48"/>
  <c r="AI87" i="48" s="1"/>
  <c r="K127" i="44"/>
  <c r="J31" i="44"/>
  <c r="J44" i="44"/>
  <c r="L127" i="44"/>
  <c r="L64" i="44"/>
  <c r="J72" i="44"/>
  <c r="L48" i="44"/>
  <c r="K83" i="44"/>
  <c r="I121" i="48"/>
  <c r="J83" i="48"/>
  <c r="K156" i="44"/>
  <c r="K16" i="44"/>
  <c r="K21" i="44"/>
  <c r="J53" i="44"/>
  <c r="K75" i="44"/>
  <c r="L47" i="44"/>
  <c r="J126" i="44"/>
  <c r="K53" i="48"/>
  <c r="AK93" i="48" s="1"/>
  <c r="J39" i="48"/>
  <c r="J123" i="44"/>
  <c r="K117" i="44"/>
  <c r="I88" i="44"/>
  <c r="K35" i="44"/>
  <c r="K48" i="44"/>
  <c r="I13" i="44"/>
  <c r="I98" i="44"/>
  <c r="L93" i="44"/>
  <c r="K169" i="44"/>
  <c r="K89" i="44"/>
  <c r="L2" i="48"/>
  <c r="L136" i="48"/>
  <c r="I41" i="48"/>
  <c r="AI81" i="48" s="1"/>
  <c r="L110" i="44"/>
  <c r="K20" i="44"/>
  <c r="L2" i="44"/>
  <c r="I63" i="44"/>
  <c r="L9" i="44"/>
  <c r="K132" i="44"/>
  <c r="K158" i="44"/>
  <c r="I52" i="44"/>
  <c r="I62" i="44"/>
  <c r="K13" i="44"/>
  <c r="L140" i="44"/>
  <c r="I78" i="48"/>
  <c r="AI118" i="48" s="1"/>
  <c r="J125" i="44"/>
  <c r="J162" i="44"/>
  <c r="L129" i="44"/>
  <c r="K80" i="44"/>
  <c r="J100" i="48"/>
  <c r="K9" i="44"/>
  <c r="L41" i="44"/>
  <c r="K124" i="44"/>
  <c r="K97" i="44"/>
  <c r="L96" i="44"/>
  <c r="K116" i="48"/>
  <c r="K173" i="48"/>
  <c r="I36" i="48"/>
  <c r="AI76" i="48" s="1"/>
  <c r="K38" i="44"/>
  <c r="I65" i="44"/>
  <c r="I111" i="44"/>
  <c r="K159" i="44"/>
  <c r="J41" i="44"/>
  <c r="L84" i="44"/>
  <c r="K54" i="44"/>
  <c r="K167" i="44"/>
  <c r="J85" i="44"/>
  <c r="I131" i="48"/>
  <c r="I86" i="48"/>
  <c r="AI126" i="48" s="1"/>
  <c r="J167" i="48"/>
  <c r="I164" i="44"/>
  <c r="L125" i="44"/>
  <c r="I141" i="44"/>
  <c r="L3" i="44"/>
  <c r="J156" i="44"/>
  <c r="K157" i="44"/>
  <c r="J21" i="44"/>
  <c r="J165" i="48"/>
  <c r="I53" i="48"/>
  <c r="AI93" i="48" s="1"/>
  <c r="K71" i="48"/>
  <c r="AK111" i="48" s="1"/>
  <c r="I90" i="44"/>
  <c r="K56" i="44"/>
  <c r="J128" i="44"/>
  <c r="I163" i="44"/>
  <c r="K122" i="44"/>
  <c r="K19" i="44"/>
  <c r="K163" i="44"/>
  <c r="I110" i="48"/>
  <c r="I42" i="48"/>
  <c r="AI82" i="48" s="1"/>
  <c r="K19" i="48"/>
  <c r="AK59" i="48" s="1"/>
  <c r="J57" i="44"/>
  <c r="J113" i="44"/>
  <c r="J80" i="44"/>
  <c r="K4" i="44"/>
  <c r="J131" i="44"/>
  <c r="K42" i="44"/>
  <c r="L87" i="44"/>
  <c r="J82" i="48"/>
  <c r="I157" i="48"/>
  <c r="L108" i="44"/>
  <c r="I114" i="44"/>
  <c r="L123" i="44"/>
  <c r="I76" i="44"/>
  <c r="J83" i="44"/>
  <c r="I157" i="44"/>
  <c r="I60" i="44"/>
  <c r="K166" i="44"/>
  <c r="K82" i="44"/>
  <c r="J53" i="48"/>
  <c r="I25" i="48"/>
  <c r="AI65" i="48" s="1"/>
  <c r="K145" i="48"/>
  <c r="I149" i="48"/>
  <c r="L125" i="48"/>
  <c r="I76" i="48"/>
  <c r="AI116" i="48" s="1"/>
  <c r="I61" i="44"/>
  <c r="I23" i="44"/>
  <c r="L59" i="44"/>
  <c r="J154" i="48"/>
  <c r="K111" i="44"/>
  <c r="J65" i="48"/>
  <c r="I27" i="44"/>
  <c r="J155" i="44"/>
  <c r="I109" i="48"/>
  <c r="I117" i="44"/>
  <c r="K99" i="44"/>
  <c r="I73" i="44"/>
  <c r="L22" i="44"/>
  <c r="K78" i="44"/>
  <c r="L20" i="44"/>
  <c r="L106" i="44"/>
  <c r="I98" i="48"/>
  <c r="AI138" i="48" s="1"/>
  <c r="K171" i="44"/>
  <c r="J95" i="44"/>
  <c r="I115" i="44"/>
  <c r="J45" i="44"/>
  <c r="L95" i="44"/>
  <c r="J170" i="44"/>
  <c r="I166" i="48"/>
  <c r="J24" i="48"/>
  <c r="J122" i="44"/>
  <c r="J116" i="44"/>
  <c r="J165" i="44"/>
  <c r="K39" i="44"/>
  <c r="L74" i="44"/>
  <c r="L112" i="44"/>
  <c r="K51" i="44"/>
  <c r="K112" i="48"/>
  <c r="K147" i="48"/>
  <c r="J135" i="44"/>
  <c r="J38" i="44"/>
  <c r="I20" i="44"/>
  <c r="L89" i="48"/>
  <c r="L10" i="48"/>
  <c r="L99" i="48"/>
  <c r="I97" i="44"/>
  <c r="K41" i="44"/>
  <c r="L92" i="44"/>
  <c r="I149" i="44"/>
  <c r="I42" i="44"/>
  <c r="I145" i="44"/>
  <c r="J164" i="48"/>
  <c r="I90" i="48"/>
  <c r="AI130" i="48" s="1"/>
  <c r="I135" i="44"/>
  <c r="I121" i="44"/>
  <c r="K140" i="44"/>
  <c r="I102" i="44"/>
  <c r="L156" i="44"/>
  <c r="J96" i="44"/>
  <c r="L49" i="44"/>
  <c r="I160" i="48"/>
  <c r="I100" i="48"/>
  <c r="AI140" i="48" s="1"/>
  <c r="I9" i="44"/>
  <c r="J32" i="44"/>
  <c r="J15" i="44"/>
  <c r="K11" i="44"/>
  <c r="J167" i="44"/>
  <c r="I87" i="48"/>
  <c r="AI127" i="48" s="1"/>
  <c r="K124" i="48"/>
  <c r="K64" i="44"/>
  <c r="I46" i="44"/>
  <c r="K88" i="44"/>
  <c r="L7" i="44"/>
  <c r="I5" i="44"/>
  <c r="L168" i="44"/>
  <c r="J129" i="44"/>
  <c r="I3" i="48"/>
  <c r="AI43" i="48" s="1"/>
  <c r="I117" i="48"/>
  <c r="J147" i="48"/>
  <c r="K90" i="44"/>
  <c r="I26" i="44"/>
  <c r="K145" i="44"/>
  <c r="K44" i="44"/>
  <c r="J71" i="44"/>
  <c r="K69" i="44"/>
  <c r="L121" i="44"/>
  <c r="J65" i="44"/>
  <c r="L149" i="44"/>
  <c r="J147" i="44"/>
  <c r="I57" i="44"/>
  <c r="J92" i="44"/>
  <c r="L156" i="48"/>
  <c r="L147" i="48"/>
  <c r="J152" i="44"/>
  <c r="K22" i="44"/>
  <c r="L150" i="44"/>
  <c r="I153" i="44"/>
  <c r="K96" i="44"/>
  <c r="I86" i="44"/>
  <c r="I71" i="44"/>
  <c r="I37" i="44"/>
  <c r="L141" i="44"/>
  <c r="I22" i="44"/>
  <c r="K30" i="44"/>
  <c r="K7" i="44"/>
  <c r="J163" i="44"/>
  <c r="J49" i="48"/>
  <c r="L30" i="44"/>
  <c r="L124" i="44"/>
  <c r="K135" i="44"/>
  <c r="J89" i="44"/>
  <c r="K115" i="44"/>
  <c r="I79" i="48"/>
  <c r="AI119" i="48" s="1"/>
  <c r="K113" i="48"/>
  <c r="K73" i="48"/>
  <c r="AK113" i="48" s="1"/>
  <c r="L39" i="44"/>
  <c r="K125" i="44"/>
  <c r="I91" i="44"/>
  <c r="I84" i="44"/>
  <c r="I158" i="44"/>
  <c r="J159" i="44"/>
  <c r="L134" i="44"/>
  <c r="K33" i="44"/>
  <c r="L27" i="44"/>
  <c r="K100" i="48"/>
  <c r="AK140" i="48" s="1"/>
  <c r="K157" i="48"/>
  <c r="K135" i="48"/>
  <c r="L136" i="44"/>
  <c r="J36" i="44"/>
  <c r="L100" i="44"/>
  <c r="I75" i="44"/>
  <c r="J117" i="44"/>
  <c r="I113" i="44"/>
  <c r="L31" i="44"/>
  <c r="L12" i="44"/>
  <c r="K63" i="44"/>
  <c r="I13" i="48"/>
  <c r="AI53" i="48" s="1"/>
  <c r="I94" i="48"/>
  <c r="AI134" i="48" s="1"/>
  <c r="L60" i="44"/>
  <c r="J101" i="44"/>
  <c r="J133" i="44"/>
  <c r="I94" i="44"/>
  <c r="K154" i="44"/>
  <c r="L33" i="44"/>
  <c r="J144" i="44"/>
  <c r="L17" i="44"/>
  <c r="K153" i="44"/>
  <c r="I2" i="48"/>
  <c r="AI42" i="48" s="1"/>
  <c r="I83" i="48"/>
  <c r="AI123" i="48" s="1"/>
  <c r="K84" i="44"/>
  <c r="L126" i="44"/>
  <c r="I170" i="44"/>
  <c r="L153" i="44"/>
  <c r="J33" i="44"/>
  <c r="J154" i="44"/>
  <c r="J22" i="48"/>
  <c r="L26" i="48"/>
  <c r="L19" i="48"/>
  <c r="I15" i="48"/>
  <c r="AI55" i="48" s="1"/>
  <c r="K164" i="44"/>
  <c r="I10" i="44"/>
  <c r="J141" i="44"/>
  <c r="I168" i="48"/>
  <c r="I139" i="44"/>
  <c r="I64" i="44"/>
  <c r="I134" i="44"/>
  <c r="I120" i="44"/>
  <c r="K2" i="48"/>
  <c r="AK42" i="48" s="1"/>
  <c r="I160" i="44"/>
  <c r="K162" i="44"/>
  <c r="K50" i="44"/>
  <c r="J153" i="44"/>
  <c r="J61" i="48"/>
  <c r="J50" i="44"/>
  <c r="J91" i="44"/>
  <c r="K27" i="44"/>
  <c r="L65" i="44"/>
  <c r="L52" i="44"/>
  <c r="J33" i="48"/>
  <c r="J36" i="48"/>
  <c r="J9" i="44"/>
  <c r="J78" i="44"/>
  <c r="K2" i="44"/>
  <c r="K149" i="44"/>
  <c r="I4" i="44"/>
  <c r="J90" i="44"/>
  <c r="J25" i="44"/>
  <c r="L118" i="44"/>
  <c r="I26" i="48"/>
  <c r="AI66" i="48" s="1"/>
  <c r="K97" i="48"/>
  <c r="AK137" i="48" s="1"/>
  <c r="J29" i="44"/>
  <c r="I40" i="44"/>
  <c r="I24" i="44"/>
  <c r="I47" i="44"/>
  <c r="L157" i="44"/>
  <c r="K129" i="44"/>
  <c r="I162" i="44"/>
  <c r="I142" i="44"/>
  <c r="L165" i="44"/>
  <c r="I45" i="44"/>
  <c r="K85" i="48"/>
  <c r="AK125" i="48" s="1"/>
  <c r="K96" i="48"/>
  <c r="AK136" i="48" s="1"/>
  <c r="K83" i="48"/>
  <c r="AK123" i="48" s="1"/>
  <c r="L58" i="44"/>
  <c r="L54" i="44"/>
  <c r="I34" i="44"/>
  <c r="L80" i="44"/>
  <c r="I11" i="44"/>
  <c r="K136" i="44"/>
  <c r="I49" i="44"/>
  <c r="K49" i="44"/>
  <c r="L142" i="44"/>
  <c r="J54" i="48"/>
  <c r="K80" i="48"/>
  <c r="AK120" i="48" s="1"/>
  <c r="I49" i="48"/>
  <c r="AI89" i="48" s="1"/>
  <c r="K60" i="44"/>
  <c r="I128" i="44"/>
  <c r="J69" i="44"/>
  <c r="I30" i="44"/>
  <c r="J59" i="44"/>
  <c r="L104" i="44"/>
  <c r="J161" i="44"/>
  <c r="J69" i="48"/>
  <c r="L147" i="44"/>
  <c r="K74" i="44"/>
  <c r="L77" i="44"/>
  <c r="K46" i="44"/>
  <c r="J106" i="44"/>
  <c r="L119" i="44"/>
  <c r="J84" i="44"/>
  <c r="K105" i="44"/>
  <c r="J112" i="44"/>
  <c r="J126" i="48"/>
  <c r="K66" i="48"/>
  <c r="AK106" i="48" s="1"/>
  <c r="I34" i="48"/>
  <c r="AI74" i="48" s="1"/>
  <c r="J14" i="44"/>
  <c r="J17" i="44"/>
  <c r="I38" i="44"/>
  <c r="K87" i="44"/>
  <c r="J6" i="44"/>
  <c r="K133" i="44"/>
  <c r="I105" i="48"/>
  <c r="K144" i="44"/>
  <c r="L11" i="44"/>
  <c r="I159" i="44"/>
  <c r="I75" i="48"/>
  <c r="AI115" i="48" s="1"/>
  <c r="K104" i="44"/>
  <c r="J97" i="44"/>
  <c r="I156" i="44"/>
  <c r="J149" i="48"/>
  <c r="J19" i="48"/>
  <c r="I123" i="44"/>
  <c r="L6" i="44"/>
  <c r="K141" i="44"/>
  <c r="L137" i="44"/>
  <c r="I31" i="48"/>
  <c r="AI71" i="48" s="1"/>
  <c r="K32" i="44"/>
  <c r="J35" i="44"/>
  <c r="I67" i="44"/>
  <c r="L103" i="44"/>
  <c r="L15" i="44"/>
  <c r="J161" i="48"/>
  <c r="K69" i="48"/>
  <c r="AK109" i="48" s="1"/>
  <c r="J142" i="48"/>
  <c r="K140" i="48"/>
  <c r="I128" i="48"/>
  <c r="K30" i="48"/>
  <c r="AK70" i="48" s="1"/>
  <c r="I44" i="48"/>
  <c r="AI84" i="48" s="1"/>
  <c r="J96" i="48"/>
  <c r="J138" i="48"/>
  <c r="K152" i="48"/>
  <c r="K142" i="48"/>
  <c r="K11" i="48"/>
  <c r="AK51" i="48" s="1"/>
  <c r="J11" i="48"/>
  <c r="J172" i="48"/>
  <c r="J122" i="48"/>
  <c r="K136" i="48"/>
  <c r="K134" i="48"/>
  <c r="K3" i="48"/>
  <c r="AK43" i="48" s="1"/>
  <c r="J3" i="48"/>
  <c r="K68" i="48"/>
  <c r="AK108" i="48" s="1"/>
  <c r="J17" i="48"/>
  <c r="I158" i="48"/>
  <c r="K153" i="48"/>
  <c r="J15" i="48"/>
  <c r="I140" i="48"/>
  <c r="J128" i="48"/>
  <c r="J5" i="48"/>
  <c r="I175" i="48"/>
  <c r="I147" i="48"/>
  <c r="J57" i="48"/>
  <c r="K118" i="48"/>
  <c r="K51" i="48"/>
  <c r="AK91" i="48" s="1"/>
  <c r="K162" i="48"/>
  <c r="J130" i="48"/>
  <c r="K160" i="48"/>
  <c r="K5" i="48"/>
  <c r="AK45" i="48" s="1"/>
  <c r="I81" i="48"/>
  <c r="AI121" i="48" s="1"/>
  <c r="I16" i="48"/>
  <c r="AI56" i="48" s="1"/>
  <c r="K171" i="48"/>
  <c r="J43" i="48"/>
  <c r="K95" i="48"/>
  <c r="AK135" i="48" s="1"/>
  <c r="K33" i="48"/>
  <c r="AK73" i="48" s="1"/>
  <c r="J30" i="48"/>
  <c r="K102" i="44"/>
  <c r="I81" i="44"/>
  <c r="K36" i="44"/>
  <c r="K34" i="44"/>
  <c r="I169" i="44"/>
  <c r="K68" i="44"/>
  <c r="L25" i="44"/>
  <c r="I56" i="48"/>
  <c r="AI96" i="48" s="1"/>
  <c r="L53" i="44"/>
  <c r="L99" i="44"/>
  <c r="K108" i="48"/>
  <c r="L171" i="44"/>
  <c r="K141" i="48"/>
  <c r="I48" i="44"/>
  <c r="K95" i="44"/>
  <c r="K79" i="44"/>
  <c r="K7" i="48"/>
  <c r="AK47" i="48" s="1"/>
  <c r="J22" i="44"/>
  <c r="L107" i="44"/>
  <c r="L28" i="44"/>
  <c r="I168" i="44"/>
  <c r="K29" i="48"/>
  <c r="AK69" i="48" s="1"/>
  <c r="L88" i="44"/>
  <c r="J136" i="44"/>
  <c r="I29" i="44"/>
  <c r="K147" i="44"/>
  <c r="K77" i="44"/>
  <c r="I87" i="44"/>
  <c r="L38" i="44"/>
  <c r="J166" i="44"/>
  <c r="I171" i="48"/>
  <c r="J85" i="48"/>
  <c r="I107" i="48"/>
  <c r="J14" i="48"/>
  <c r="K12" i="48"/>
  <c r="AK52" i="48" s="1"/>
  <c r="I101" i="48"/>
  <c r="AI141" i="48" s="1"/>
  <c r="J108" i="48"/>
  <c r="J155" i="48"/>
  <c r="J32" i="48"/>
  <c r="J10" i="48"/>
  <c r="K24" i="48"/>
  <c r="AK64" i="48" s="1"/>
  <c r="K78" i="48"/>
  <c r="AK118" i="48" s="1"/>
  <c r="I156" i="48"/>
  <c r="K122" i="48"/>
  <c r="J45" i="48"/>
  <c r="K169" i="48"/>
  <c r="K8" i="48"/>
  <c r="AK48" i="48" s="1"/>
  <c r="K70" i="48"/>
  <c r="AK110" i="48" s="1"/>
  <c r="I148" i="48"/>
  <c r="K114" i="48"/>
  <c r="I161" i="48"/>
  <c r="K64" i="48"/>
  <c r="AK104" i="48" s="1"/>
  <c r="J157" i="48"/>
  <c r="K25" i="48"/>
  <c r="AK65" i="48" s="1"/>
  <c r="K126" i="48"/>
  <c r="L8" i="48"/>
  <c r="L102" i="48"/>
  <c r="I31" i="44"/>
  <c r="K81" i="44"/>
  <c r="L62" i="44"/>
  <c r="K29" i="44"/>
  <c r="K149" i="48"/>
  <c r="I85" i="44"/>
  <c r="J114" i="44"/>
  <c r="K112" i="44"/>
  <c r="I21" i="44"/>
  <c r="L26" i="44"/>
  <c r="L90" i="44"/>
  <c r="K134" i="44"/>
  <c r="I134" i="48"/>
  <c r="J8" i="44"/>
  <c r="J143" i="44"/>
  <c r="L57" i="44"/>
  <c r="I53" i="44"/>
  <c r="K101" i="44"/>
  <c r="L86" i="44"/>
  <c r="K31" i="44"/>
  <c r="K15" i="44"/>
  <c r="I19" i="48"/>
  <c r="AI59" i="48" s="1"/>
  <c r="K40" i="44"/>
  <c r="J5" i="44"/>
  <c r="L45" i="44"/>
  <c r="L42" i="44"/>
  <c r="L167" i="44"/>
  <c r="J6" i="48"/>
  <c r="K13" i="48"/>
  <c r="AK53" i="48" s="1"/>
  <c r="K132" i="48"/>
  <c r="K61" i="48"/>
  <c r="AK101" i="48" s="1"/>
  <c r="I165" i="48"/>
  <c r="I145" i="48"/>
  <c r="I64" i="48"/>
  <c r="AI104" i="48" s="1"/>
  <c r="J44" i="48"/>
  <c r="J91" i="48"/>
  <c r="K143" i="48"/>
  <c r="K57" i="48"/>
  <c r="AK97" i="48" s="1"/>
  <c r="I112" i="48"/>
  <c r="K14" i="48"/>
  <c r="AK54" i="48" s="1"/>
  <c r="K58" i="48"/>
  <c r="AK98" i="48" s="1"/>
  <c r="K92" i="48"/>
  <c r="AK132" i="48" s="1"/>
  <c r="K41" i="48"/>
  <c r="AK81" i="48" s="1"/>
  <c r="I104" i="48"/>
  <c r="K6" i="48"/>
  <c r="AK46" i="48" s="1"/>
  <c r="K50" i="48"/>
  <c r="AK90" i="48" s="1"/>
  <c r="J162" i="48"/>
  <c r="K117" i="48"/>
  <c r="J29" i="48"/>
  <c r="K37" i="48"/>
  <c r="AK77" i="48" s="1"/>
  <c r="K62" i="48"/>
  <c r="AK102" i="48" s="1"/>
  <c r="I12" i="48"/>
  <c r="AI52" i="48" s="1"/>
  <c r="K175" i="48"/>
  <c r="I151" i="48"/>
  <c r="I139" i="48"/>
  <c r="I95" i="48"/>
  <c r="AI135" i="48" s="1"/>
  <c r="I62" i="48"/>
  <c r="AI102" i="48" s="1"/>
  <c r="J90" i="48"/>
  <c r="I152" i="48"/>
  <c r="L40" i="48"/>
  <c r="L35" i="48"/>
  <c r="I167" i="44"/>
  <c r="J110" i="48"/>
  <c r="K130" i="44"/>
  <c r="I153" i="48"/>
  <c r="J61" i="44"/>
  <c r="J149" i="44"/>
  <c r="L131" i="44"/>
  <c r="K24" i="44"/>
  <c r="K165" i="44"/>
  <c r="I70" i="44"/>
  <c r="L29" i="44"/>
  <c r="J23" i="44"/>
  <c r="L139" i="44"/>
  <c r="J103" i="48"/>
  <c r="L143" i="44"/>
  <c r="J171" i="44"/>
  <c r="I11" i="48"/>
  <c r="AI51" i="48" s="1"/>
  <c r="J164" i="44"/>
  <c r="L154" i="44"/>
  <c r="L166" i="44"/>
  <c r="J168" i="44"/>
  <c r="I99" i="48"/>
  <c r="AI139" i="48" s="1"/>
  <c r="J121" i="48"/>
  <c r="I95" i="44"/>
  <c r="J49" i="44"/>
  <c r="L146" i="44"/>
  <c r="K121" i="44"/>
  <c r="K123" i="44"/>
  <c r="I170" i="48"/>
  <c r="I9" i="48"/>
  <c r="AI49" i="48" s="1"/>
  <c r="K4" i="48"/>
  <c r="AK44" i="48" s="1"/>
  <c r="I22" i="48"/>
  <c r="AI62" i="48" s="1"/>
  <c r="J118" i="48"/>
  <c r="J175" i="48"/>
  <c r="K155" i="48"/>
  <c r="J27" i="48"/>
  <c r="K79" i="48"/>
  <c r="AK119" i="48" s="1"/>
  <c r="J166" i="48"/>
  <c r="J156" i="48"/>
  <c r="I92" i="48"/>
  <c r="AI132" i="48" s="1"/>
  <c r="J144" i="48"/>
  <c r="J86" i="48"/>
  <c r="J148" i="48"/>
  <c r="I84" i="48"/>
  <c r="AI124" i="48" s="1"/>
  <c r="J136" i="48"/>
  <c r="J34" i="48"/>
  <c r="I106" i="48"/>
  <c r="K76" i="48"/>
  <c r="AK116" i="48" s="1"/>
  <c r="I102" i="48"/>
  <c r="J140" i="48"/>
  <c r="J123" i="48"/>
  <c r="K111" i="48"/>
  <c r="J141" i="48"/>
  <c r="K137" i="48"/>
  <c r="L165" i="48"/>
  <c r="I68" i="48"/>
  <c r="AI108" i="48" s="1"/>
  <c r="J120" i="48"/>
  <c r="K164" i="48"/>
  <c r="J150" i="48"/>
  <c r="I18" i="48"/>
  <c r="AI58" i="48" s="1"/>
  <c r="K88" i="48"/>
  <c r="AK128" i="48" s="1"/>
  <c r="K174" i="48"/>
  <c r="I124" i="48"/>
  <c r="K26" i="48"/>
  <c r="AK66" i="48" s="1"/>
  <c r="K148" i="48"/>
  <c r="J97" i="48"/>
  <c r="L73" i="48"/>
  <c r="K137" i="44"/>
  <c r="J18" i="44"/>
  <c r="J70" i="44"/>
  <c r="I138" i="48"/>
  <c r="L34" i="44"/>
  <c r="K133" i="48"/>
  <c r="J169" i="44"/>
  <c r="J10" i="44"/>
  <c r="K168" i="44"/>
  <c r="I96" i="44"/>
  <c r="J94" i="44"/>
  <c r="L155" i="44"/>
  <c r="J42" i="44"/>
  <c r="K65" i="44"/>
  <c r="I78" i="44"/>
  <c r="K109" i="44"/>
  <c r="K45" i="48"/>
  <c r="AK85" i="48" s="1"/>
  <c r="J100" i="44"/>
  <c r="I56" i="44"/>
  <c r="L109" i="44"/>
  <c r="L167" i="48"/>
  <c r="I96" i="48"/>
  <c r="AI136" i="48" s="1"/>
  <c r="L82" i="44"/>
  <c r="J139" i="44"/>
  <c r="L101" i="44"/>
  <c r="I174" i="48"/>
  <c r="L138" i="44"/>
  <c r="I142" i="48"/>
  <c r="L120" i="44"/>
  <c r="K85" i="44"/>
  <c r="I59" i="44"/>
  <c r="J134" i="48"/>
  <c r="I108" i="44"/>
  <c r="K86" i="44"/>
  <c r="L63" i="44"/>
  <c r="K139" i="44"/>
  <c r="L75" i="44"/>
  <c r="K91" i="44"/>
  <c r="J43" i="44"/>
  <c r="K58" i="44"/>
  <c r="I151" i="44"/>
  <c r="J40" i="44"/>
  <c r="I163" i="48"/>
  <c r="K130" i="48"/>
  <c r="J124" i="44"/>
  <c r="I104" i="44"/>
  <c r="J157" i="44"/>
  <c r="J160" i="44"/>
  <c r="L130" i="44"/>
  <c r="K100" i="44"/>
  <c r="I169" i="48"/>
  <c r="I71" i="48"/>
  <c r="AI111" i="48" s="1"/>
  <c r="K128" i="48"/>
  <c r="J170" i="48"/>
  <c r="J137" i="48"/>
  <c r="J47" i="48"/>
  <c r="K27" i="48"/>
  <c r="AK67" i="48" s="1"/>
  <c r="K74" i="48"/>
  <c r="AK114" i="48" s="1"/>
  <c r="I146" i="48"/>
  <c r="J159" i="48"/>
  <c r="J28" i="48"/>
  <c r="I28" i="48"/>
  <c r="AI68" i="48" s="1"/>
  <c r="J16" i="48"/>
  <c r="I135" i="48"/>
  <c r="J151" i="48"/>
  <c r="J20" i="48"/>
  <c r="I20" i="48"/>
  <c r="AI60" i="48" s="1"/>
  <c r="J8" i="48"/>
  <c r="I111" i="48"/>
  <c r="I21" i="48"/>
  <c r="AI61" i="48" s="1"/>
  <c r="I5" i="48"/>
  <c r="AI45" i="48" s="1"/>
  <c r="K120" i="48"/>
  <c r="J12" i="48"/>
  <c r="K170" i="48"/>
  <c r="J146" i="48"/>
  <c r="J129" i="48"/>
  <c r="J62" i="48"/>
  <c r="L34" i="48"/>
  <c r="J64" i="44"/>
  <c r="K55" i="44"/>
  <c r="K67" i="44"/>
  <c r="L151" i="44"/>
  <c r="L44" i="44"/>
  <c r="J174" i="48"/>
  <c r="K146" i="44"/>
  <c r="L133" i="44"/>
  <c r="I119" i="48"/>
  <c r="J93" i="48"/>
  <c r="K158" i="48"/>
  <c r="K15" i="48"/>
  <c r="AK55" i="48" s="1"/>
  <c r="J31" i="48"/>
  <c r="K127" i="48"/>
  <c r="I40" i="48"/>
  <c r="AI80" i="48" s="1"/>
  <c r="J67" i="48"/>
  <c r="J78" i="48"/>
  <c r="J76" i="48"/>
  <c r="K47" i="48"/>
  <c r="AK87" i="48" s="1"/>
  <c r="I54" i="48"/>
  <c r="AI94" i="48" s="1"/>
  <c r="J13" i="48"/>
  <c r="I91" i="48"/>
  <c r="AI131" i="48" s="1"/>
  <c r="J68" i="48"/>
  <c r="K98" i="48"/>
  <c r="AK138" i="48" s="1"/>
  <c r="K36" i="48"/>
  <c r="AK76" i="48" s="1"/>
  <c r="I43" i="48"/>
  <c r="AI83" i="48" s="1"/>
  <c r="I58" i="48"/>
  <c r="AI98" i="48" s="1"/>
  <c r="J74" i="48"/>
  <c r="I80" i="48"/>
  <c r="AI120" i="48" s="1"/>
  <c r="K107" i="48"/>
  <c r="J176" i="48"/>
  <c r="J114" i="48"/>
  <c r="K77" i="48"/>
  <c r="AK117" i="48" s="1"/>
  <c r="I154" i="48"/>
  <c r="K166" i="48"/>
  <c r="I116" i="48"/>
  <c r="J104" i="48"/>
  <c r="I77" i="44"/>
  <c r="I35" i="44"/>
  <c r="K39" i="48"/>
  <c r="AK79" i="48" s="1"/>
  <c r="K46" i="48"/>
  <c r="AK86" i="48" s="1"/>
  <c r="I136" i="48"/>
  <c r="I48" i="48"/>
  <c r="AI88" i="48" s="1"/>
  <c r="J143" i="48"/>
  <c r="J115" i="48"/>
  <c r="J46" i="48"/>
  <c r="K20" i="48"/>
  <c r="AK60" i="48" s="1"/>
  <c r="K18" i="48"/>
  <c r="AK58" i="48" s="1"/>
  <c r="J104" i="44"/>
  <c r="I97" i="48"/>
  <c r="AI137" i="48" s="1"/>
  <c r="J87" i="44"/>
  <c r="L162" i="44"/>
  <c r="K161" i="44"/>
  <c r="J140" i="44"/>
  <c r="K25" i="44"/>
  <c r="J98" i="48"/>
  <c r="I82" i="48"/>
  <c r="AI122" i="48" s="1"/>
  <c r="K94" i="48"/>
  <c r="AK134" i="48" s="1"/>
  <c r="J92" i="48"/>
  <c r="K63" i="48"/>
  <c r="AK103" i="48" s="1"/>
  <c r="J87" i="48"/>
  <c r="J72" i="48"/>
  <c r="K125" i="48"/>
  <c r="K123" i="48"/>
  <c r="I57" i="48"/>
  <c r="AI97" i="48" s="1"/>
  <c r="K176" i="48"/>
  <c r="K60" i="48"/>
  <c r="AK100" i="48" s="1"/>
  <c r="K104" i="48"/>
  <c r="J4" i="48"/>
  <c r="K34" i="48"/>
  <c r="AK74" i="48" s="1"/>
  <c r="I141" i="48"/>
  <c r="J113" i="48"/>
  <c r="I137" i="48"/>
  <c r="K121" i="48"/>
  <c r="K43" i="48"/>
  <c r="AK83" i="48" s="1"/>
  <c r="J112" i="48"/>
  <c r="K161" i="48"/>
  <c r="I126" i="48"/>
  <c r="I155" i="48"/>
  <c r="K102" i="48"/>
  <c r="J163" i="48"/>
  <c r="J40" i="48"/>
  <c r="I152" i="44"/>
  <c r="I103" i="44"/>
  <c r="J9" i="48"/>
  <c r="I113" i="48"/>
  <c r="J73" i="48"/>
  <c r="K9" i="48"/>
  <c r="AK49" i="48" s="1"/>
  <c r="K49" i="48"/>
  <c r="AK89" i="48" s="1"/>
  <c r="J41" i="48"/>
  <c r="K163" i="48"/>
  <c r="I32" i="44"/>
  <c r="K5" i="44"/>
  <c r="L169" i="44"/>
  <c r="K56" i="48"/>
  <c r="AK96" i="48" s="1"/>
  <c r="J75" i="48"/>
  <c r="K42" i="48"/>
  <c r="AK82" i="48" s="1"/>
  <c r="I46" i="48"/>
  <c r="AI86" i="48" s="1"/>
  <c r="I144" i="48"/>
  <c r="J58" i="48"/>
  <c r="I43" i="44"/>
  <c r="J60" i="44"/>
  <c r="J145" i="44"/>
  <c r="L51" i="44"/>
  <c r="L32" i="44"/>
  <c r="I133" i="48"/>
  <c r="I14" i="44"/>
  <c r="K150" i="48"/>
  <c r="K103" i="44"/>
  <c r="I122" i="44"/>
  <c r="I89" i="48"/>
  <c r="AI129" i="48" s="1"/>
  <c r="K17" i="48"/>
  <c r="AK57" i="48" s="1"/>
  <c r="J42" i="48"/>
  <c r="K91" i="48"/>
  <c r="AK131" i="48" s="1"/>
  <c r="I61" i="48"/>
  <c r="AI101" i="48" s="1"/>
  <c r="K139" i="48"/>
  <c r="I69" i="48"/>
  <c r="AI109" i="48" s="1"/>
  <c r="J23" i="48"/>
  <c r="K119" i="48"/>
  <c r="K59" i="48"/>
  <c r="AK99" i="48" s="1"/>
  <c r="J133" i="48"/>
  <c r="K48" i="48"/>
  <c r="AK88" i="48" s="1"/>
  <c r="J102" i="48"/>
  <c r="I88" i="48"/>
  <c r="AI128" i="48" s="1"/>
  <c r="K115" i="48"/>
  <c r="J56" i="48"/>
  <c r="K32" i="48"/>
  <c r="AK72" i="48" s="1"/>
  <c r="I51" i="48"/>
  <c r="AI91" i="48" s="1"/>
  <c r="I164" i="48"/>
  <c r="J127" i="48"/>
  <c r="J48" i="48"/>
  <c r="J70" i="48"/>
  <c r="J109" i="48"/>
  <c r="J153" i="48"/>
  <c r="K38" i="48"/>
  <c r="AK78" i="48" s="1"/>
  <c r="J99" i="48"/>
  <c r="K151" i="48"/>
  <c r="L111" i="44"/>
  <c r="I127" i="44"/>
  <c r="I63" i="48"/>
  <c r="AI103" i="48" s="1"/>
  <c r="J139" i="48"/>
  <c r="K106" i="48"/>
  <c r="J7" i="48"/>
  <c r="J107" i="48"/>
  <c r="I173" i="48"/>
  <c r="K82" i="48"/>
  <c r="AK122" i="48" s="1"/>
  <c r="K84" i="48"/>
  <c r="AK124" i="48" s="1"/>
  <c r="I115" i="48"/>
  <c r="I27" i="48"/>
  <c r="AI67" i="48" s="1"/>
  <c r="K65" i="48"/>
  <c r="AK105" i="48" s="1"/>
  <c r="I172" i="48"/>
  <c r="I129" i="48"/>
  <c r="K154" i="48"/>
  <c r="K99" i="48"/>
  <c r="AK139" i="48" s="1"/>
  <c r="K37" i="44"/>
  <c r="K160" i="44"/>
  <c r="L102" i="44"/>
  <c r="K52" i="44"/>
  <c r="L19" i="44"/>
  <c r="K6" i="44"/>
  <c r="K143" i="44"/>
  <c r="K47" i="44"/>
  <c r="J46" i="44"/>
  <c r="J66" i="48"/>
  <c r="J81" i="48"/>
  <c r="K89" i="48"/>
  <c r="AK129" i="48" s="1"/>
  <c r="I108" i="48"/>
  <c r="I123" i="48"/>
  <c r="K75" i="48"/>
  <c r="AK115" i="48" s="1"/>
  <c r="J84" i="48"/>
  <c r="K55" i="48"/>
  <c r="AK95" i="48" s="1"/>
  <c r="I125" i="48"/>
  <c r="K52" i="48"/>
  <c r="AK92" i="48" s="1"/>
  <c r="I114" i="48"/>
  <c r="J135" i="48"/>
  <c r="I132" i="48"/>
  <c r="K167" i="48"/>
  <c r="I55" i="48"/>
  <c r="AI95" i="48" s="1"/>
  <c r="I167" i="48"/>
  <c r="J125" i="48"/>
  <c r="J63" i="48"/>
  <c r="I60" i="48"/>
  <c r="AI100" i="48" s="1"/>
  <c r="K159" i="48"/>
  <c r="I118" i="48"/>
  <c r="K156" i="48"/>
  <c r="J25" i="48"/>
  <c r="J116" i="48"/>
  <c r="J35" i="48"/>
  <c r="K87" i="48"/>
  <c r="AK127" i="48" s="1"/>
  <c r="I150" i="48"/>
  <c r="L70" i="44"/>
  <c r="J111" i="44"/>
  <c r="K113" i="44"/>
  <c r="L91" i="44"/>
  <c r="I118" i="44"/>
  <c r="K126" i="44"/>
  <c r="L23" i="44"/>
  <c r="I176" i="48"/>
  <c r="I59" i="48"/>
  <c r="AI99" i="48" s="1"/>
  <c r="I38" i="48"/>
  <c r="AI78" i="48" s="1"/>
  <c r="I50" i="48"/>
  <c r="AI90" i="48" s="1"/>
  <c r="K131" i="48"/>
  <c r="K81" i="48"/>
  <c r="AK121" i="48" s="1"/>
  <c r="J106" i="48"/>
  <c r="J59" i="48"/>
  <c r="I66" i="48"/>
  <c r="AI106" i="48" s="1"/>
  <c r="I10" i="48"/>
  <c r="AI50" i="48" s="1"/>
  <c r="I29" i="48"/>
  <c r="AI69" i="48" s="1"/>
  <c r="J71" i="48"/>
  <c r="K103" i="48"/>
  <c r="J2" i="48"/>
  <c r="I85" i="48"/>
  <c r="AI125" i="48" s="1"/>
  <c r="K172" i="48"/>
  <c r="J169" i="48"/>
  <c r="K110" i="48"/>
  <c r="J171" i="48"/>
  <c r="K31" i="48"/>
  <c r="AK71" i="48" s="1"/>
  <c r="K144" i="48"/>
  <c r="K28" i="48"/>
  <c r="AK68" i="48" s="1"/>
  <c r="K72" i="48"/>
  <c r="AK112" i="48" s="1"/>
  <c r="J52" i="48"/>
  <c r="K146" i="48"/>
  <c r="K138" i="48"/>
  <c r="K109" i="48"/>
  <c r="J173" i="48"/>
  <c r="J101" i="48"/>
  <c r="L89" i="44"/>
  <c r="I122" i="48"/>
  <c r="J124" i="48"/>
  <c r="J119" i="48"/>
  <c r="J150" i="44"/>
  <c r="J11" i="44"/>
  <c r="I23" i="48"/>
  <c r="AI63" i="48" s="1"/>
  <c r="K106" i="44"/>
  <c r="J7" i="44"/>
  <c r="J38" i="48"/>
  <c r="L43" i="44"/>
  <c r="I166" i="44"/>
  <c r="I54" i="44"/>
  <c r="K86" i="48"/>
  <c r="AK126" i="48" s="1"/>
  <c r="I30" i="48"/>
  <c r="AI70" i="48" s="1"/>
  <c r="J111" i="48"/>
  <c r="J160" i="48"/>
  <c r="J95" i="48"/>
  <c r="J80" i="48"/>
  <c r="J89" i="48"/>
  <c r="J131" i="48"/>
  <c r="J79" i="48"/>
  <c r="J64" i="48"/>
  <c r="I37" i="48"/>
  <c r="AI77" i="48" s="1"/>
  <c r="J132" i="48"/>
  <c r="J51" i="48"/>
  <c r="J117" i="48"/>
  <c r="K93" i="48"/>
  <c r="AK133" i="48" s="1"/>
  <c r="J60" i="48"/>
  <c r="K90" i="48"/>
  <c r="AK130" i="48" s="1"/>
  <c r="I130" i="48"/>
  <c r="J158" i="48"/>
  <c r="K105" i="48"/>
  <c r="J55" i="48"/>
  <c r="K35" i="48"/>
  <c r="AK75" i="48" s="1"/>
  <c r="J168" i="48"/>
  <c r="L73" i="44"/>
  <c r="J105" i="48"/>
  <c r="K67" i="48"/>
  <c r="AK107" i="48" s="1"/>
  <c r="J18" i="48"/>
  <c r="I4" i="48"/>
  <c r="AI44" i="48" s="1"/>
  <c r="K44" i="48"/>
  <c r="AK84" i="48" s="1"/>
  <c r="K16" i="48"/>
  <c r="AK56" i="48" s="1"/>
  <c r="K23" i="48"/>
  <c r="AK63" i="48" s="1"/>
  <c r="I92" i="44"/>
  <c r="I93" i="44"/>
  <c r="K45" i="44"/>
  <c r="K168" i="48"/>
  <c r="K10" i="48"/>
  <c r="AK50" i="48" s="1"/>
  <c r="J145" i="48"/>
  <c r="K54" i="48"/>
  <c r="AK94" i="48" s="1"/>
  <c r="I103" i="48"/>
  <c r="I159" i="48"/>
  <c r="T2" i="54" l="1"/>
  <c r="Y2" i="54"/>
  <c r="Z2" i="54"/>
  <c r="X2" i="54"/>
  <c r="W2" i="54"/>
  <c r="V2" i="54"/>
  <c r="U2" i="54"/>
  <c r="T46" i="54"/>
  <c r="W46" i="54"/>
  <c r="Y46" i="54"/>
  <c r="X46" i="54"/>
  <c r="U46" i="54"/>
  <c r="V46" i="54"/>
  <c r="Z46" i="54"/>
  <c r="Z75" i="54"/>
  <c r="Y75" i="54"/>
  <c r="T75" i="54"/>
  <c r="X75" i="54"/>
  <c r="V75" i="54"/>
  <c r="W75" i="54"/>
  <c r="U75" i="54"/>
  <c r="T103" i="54"/>
  <c r="Z103" i="54"/>
  <c r="U103" i="54"/>
  <c r="X103" i="54"/>
  <c r="V103" i="54"/>
  <c r="Y103" i="54"/>
  <c r="W103" i="54"/>
  <c r="T21" i="54"/>
  <c r="Z21" i="54"/>
  <c r="W21" i="54"/>
  <c r="Y21" i="54"/>
  <c r="X21" i="54"/>
  <c r="V21" i="54"/>
  <c r="U21" i="54"/>
  <c r="T19" i="54"/>
  <c r="Y19" i="54"/>
  <c r="X19" i="54"/>
  <c r="Z19" i="54"/>
  <c r="W19" i="54"/>
  <c r="V19" i="54"/>
  <c r="U19" i="54"/>
  <c r="T15" i="54"/>
  <c r="Z15" i="54"/>
  <c r="Y15" i="54"/>
  <c r="U15" i="54"/>
  <c r="X15" i="54"/>
  <c r="W15" i="54"/>
  <c r="V15" i="54"/>
  <c r="T54" i="54"/>
  <c r="W54" i="54"/>
  <c r="X54" i="54"/>
  <c r="U54" i="54"/>
  <c r="Z54" i="54"/>
  <c r="V54" i="54"/>
  <c r="Y54" i="54"/>
  <c r="T88" i="54"/>
  <c r="X88" i="54"/>
  <c r="Z88" i="54"/>
  <c r="Y88" i="54"/>
  <c r="U88" i="54"/>
  <c r="W88" i="54"/>
  <c r="V88" i="54"/>
  <c r="T86" i="54"/>
  <c r="W86" i="54"/>
  <c r="Z86" i="54"/>
  <c r="Y86" i="54"/>
  <c r="X86" i="54"/>
  <c r="V86" i="54"/>
  <c r="U86" i="54"/>
  <c r="T109" i="54"/>
  <c r="U109" i="54"/>
  <c r="Z109" i="54"/>
  <c r="X109" i="54"/>
  <c r="W109" i="54"/>
  <c r="Y109" i="54"/>
  <c r="V109" i="54"/>
  <c r="T136" i="54"/>
  <c r="X136" i="54"/>
  <c r="Z136" i="54"/>
  <c r="Y136" i="54"/>
  <c r="V136" i="54"/>
  <c r="W136" i="54"/>
  <c r="U136" i="54"/>
  <c r="T121" i="54"/>
  <c r="Z121" i="54"/>
  <c r="V121" i="54"/>
  <c r="W121" i="54"/>
  <c r="U121" i="54"/>
  <c r="Y121" i="54"/>
  <c r="X121" i="54"/>
  <c r="T137" i="54"/>
  <c r="Y137" i="54"/>
  <c r="V137" i="54"/>
  <c r="U137" i="54"/>
  <c r="X137" i="54"/>
  <c r="Z137" i="54"/>
  <c r="W137" i="54"/>
  <c r="T143" i="54"/>
  <c r="Z143" i="54"/>
  <c r="Y143" i="54"/>
  <c r="U143" i="54"/>
  <c r="W143" i="54"/>
  <c r="V143" i="54"/>
  <c r="X143" i="54"/>
  <c r="T159" i="54"/>
  <c r="U159" i="54"/>
  <c r="Z159" i="54"/>
  <c r="Y159" i="54"/>
  <c r="X159" i="54"/>
  <c r="W159" i="54"/>
  <c r="V159" i="54"/>
  <c r="T169" i="54"/>
  <c r="W169" i="54"/>
  <c r="V169" i="54"/>
  <c r="Z169" i="54"/>
  <c r="Y169" i="54"/>
  <c r="U169" i="54"/>
  <c r="X169" i="54"/>
  <c r="T131" i="54"/>
  <c r="Y131" i="54"/>
  <c r="W131" i="54"/>
  <c r="Z131" i="54"/>
  <c r="U131" i="54"/>
  <c r="X131" i="54"/>
  <c r="V131" i="54"/>
  <c r="T147" i="54"/>
  <c r="Y147" i="54"/>
  <c r="X147" i="54"/>
  <c r="Z147" i="54"/>
  <c r="V147" i="54"/>
  <c r="W147" i="54"/>
  <c r="U147" i="54"/>
  <c r="T163" i="54"/>
  <c r="W163" i="54"/>
  <c r="Y163" i="54"/>
  <c r="X163" i="54"/>
  <c r="Z163" i="54"/>
  <c r="U163" i="54"/>
  <c r="V163" i="54"/>
  <c r="T47" i="54"/>
  <c r="U47" i="54"/>
  <c r="Y47" i="54"/>
  <c r="X47" i="54"/>
  <c r="V47" i="54"/>
  <c r="W47" i="54"/>
  <c r="Z47" i="54"/>
  <c r="T118" i="54"/>
  <c r="W118" i="54"/>
  <c r="X118" i="54"/>
  <c r="Z118" i="54"/>
  <c r="Y118" i="54"/>
  <c r="U118" i="54"/>
  <c r="V118" i="54"/>
  <c r="T29" i="54"/>
  <c r="V29" i="54"/>
  <c r="U29" i="54"/>
  <c r="Y29" i="54"/>
  <c r="X29" i="54"/>
  <c r="W29" i="54"/>
  <c r="Z29" i="54"/>
  <c r="T67" i="54"/>
  <c r="X67" i="54"/>
  <c r="W67" i="54"/>
  <c r="U67" i="54"/>
  <c r="Y67" i="54"/>
  <c r="V67" i="54"/>
  <c r="Z67" i="54"/>
  <c r="T23" i="54"/>
  <c r="W23" i="54"/>
  <c r="U23" i="54"/>
  <c r="X23" i="54"/>
  <c r="V23" i="54"/>
  <c r="Y23" i="54"/>
  <c r="Z23" i="54"/>
  <c r="T14" i="54"/>
  <c r="W14" i="54"/>
  <c r="Z14" i="54"/>
  <c r="Y14" i="54"/>
  <c r="X14" i="54"/>
  <c r="V14" i="54"/>
  <c r="U14" i="54"/>
  <c r="T39" i="54"/>
  <c r="Z39" i="54"/>
  <c r="U39" i="54"/>
  <c r="Y39" i="54"/>
  <c r="X39" i="54"/>
  <c r="V39" i="54"/>
  <c r="W39" i="54"/>
  <c r="T87" i="54"/>
  <c r="W87" i="54"/>
  <c r="U87" i="54"/>
  <c r="Z87" i="54"/>
  <c r="Y87" i="54"/>
  <c r="X87" i="54"/>
  <c r="V87" i="54"/>
  <c r="T91" i="54"/>
  <c r="U91" i="54"/>
  <c r="V91" i="54"/>
  <c r="Z91" i="54"/>
  <c r="X91" i="54"/>
  <c r="Y91" i="54"/>
  <c r="W91" i="54"/>
  <c r="T124" i="54"/>
  <c r="Z124" i="54"/>
  <c r="Y124" i="54"/>
  <c r="X124" i="54"/>
  <c r="V124" i="54"/>
  <c r="U124" i="54"/>
  <c r="W124" i="54"/>
  <c r="Y107" i="54"/>
  <c r="X107" i="54"/>
  <c r="T107" i="54"/>
  <c r="W107" i="54"/>
  <c r="V107" i="54"/>
  <c r="Z107" i="54"/>
  <c r="U107" i="54"/>
  <c r="T115" i="54"/>
  <c r="Z115" i="54"/>
  <c r="V115" i="54"/>
  <c r="Y115" i="54"/>
  <c r="X115" i="54"/>
  <c r="U115" i="54"/>
  <c r="W115" i="54"/>
  <c r="T44" i="54"/>
  <c r="Z44" i="54"/>
  <c r="X44" i="54"/>
  <c r="Y44" i="54"/>
  <c r="W44" i="54"/>
  <c r="V44" i="54"/>
  <c r="U44" i="54"/>
  <c r="T60" i="54"/>
  <c r="Z60" i="54"/>
  <c r="V60" i="54"/>
  <c r="Y60" i="54"/>
  <c r="X60" i="54"/>
  <c r="U60" i="54"/>
  <c r="W60" i="54"/>
  <c r="V89" i="54"/>
  <c r="T89" i="54"/>
  <c r="X89" i="54"/>
  <c r="U89" i="54"/>
  <c r="Y89" i="54"/>
  <c r="Z89" i="54"/>
  <c r="W89" i="54"/>
  <c r="T112" i="54"/>
  <c r="X112" i="54"/>
  <c r="Z112" i="54"/>
  <c r="Y112" i="54"/>
  <c r="V112" i="54"/>
  <c r="U112" i="54"/>
  <c r="W112" i="54"/>
  <c r="T80" i="54"/>
  <c r="X80" i="54"/>
  <c r="W80" i="54"/>
  <c r="V80" i="54"/>
  <c r="Y80" i="54"/>
  <c r="U80" i="54"/>
  <c r="Z80" i="54"/>
  <c r="T114" i="54"/>
  <c r="Y114" i="54"/>
  <c r="W114" i="54"/>
  <c r="X114" i="54"/>
  <c r="Z114" i="54"/>
  <c r="V114" i="54"/>
  <c r="U114" i="54"/>
  <c r="Z140" i="54"/>
  <c r="T140" i="54"/>
  <c r="X140" i="54"/>
  <c r="U140" i="54"/>
  <c r="W140" i="54"/>
  <c r="Y140" i="54"/>
  <c r="V140" i="54"/>
  <c r="T111" i="54"/>
  <c r="U111" i="54"/>
  <c r="Y111" i="54"/>
  <c r="Z111" i="54"/>
  <c r="W111" i="54"/>
  <c r="V111" i="54"/>
  <c r="X111" i="54"/>
  <c r="Z125" i="54"/>
  <c r="Y125" i="54"/>
  <c r="X125" i="54"/>
  <c r="V125" i="54"/>
  <c r="T125" i="54"/>
  <c r="U125" i="54"/>
  <c r="W125" i="54"/>
  <c r="W141" i="54"/>
  <c r="T141" i="54"/>
  <c r="X141" i="54"/>
  <c r="U141" i="54"/>
  <c r="Y141" i="54"/>
  <c r="Z141" i="54"/>
  <c r="V141" i="54"/>
  <c r="T157" i="54"/>
  <c r="Y157" i="54"/>
  <c r="X157" i="54"/>
  <c r="V157" i="54"/>
  <c r="Z157" i="54"/>
  <c r="W157" i="54"/>
  <c r="U157" i="54"/>
  <c r="T170" i="54"/>
  <c r="Y170" i="54"/>
  <c r="Z170" i="54"/>
  <c r="X170" i="54"/>
  <c r="V170" i="54"/>
  <c r="W170" i="54"/>
  <c r="U170" i="54"/>
  <c r="T31" i="54"/>
  <c r="U31" i="54"/>
  <c r="W31" i="54"/>
  <c r="Z31" i="54"/>
  <c r="V31" i="54"/>
  <c r="X31" i="54"/>
  <c r="Y31" i="54"/>
  <c r="Z108" i="54"/>
  <c r="T108" i="54"/>
  <c r="X108" i="54"/>
  <c r="U108" i="54"/>
  <c r="W108" i="54"/>
  <c r="Y108" i="54"/>
  <c r="V108" i="54"/>
  <c r="T132" i="54"/>
  <c r="Z132" i="54"/>
  <c r="W132" i="54"/>
  <c r="V132" i="54"/>
  <c r="X132" i="54"/>
  <c r="U132" i="54"/>
  <c r="Y132" i="54"/>
  <c r="T128" i="54"/>
  <c r="X128" i="54"/>
  <c r="Y128" i="54"/>
  <c r="U128" i="54"/>
  <c r="Z128" i="54"/>
  <c r="W128" i="54"/>
  <c r="V128" i="54"/>
  <c r="T7" i="54"/>
  <c r="U7" i="54"/>
  <c r="W7" i="54"/>
  <c r="V7" i="54"/>
  <c r="X7" i="54"/>
  <c r="Y7" i="54"/>
  <c r="Z7" i="54"/>
  <c r="T145" i="54"/>
  <c r="V145" i="54"/>
  <c r="X145" i="54"/>
  <c r="W145" i="54"/>
  <c r="Y145" i="54"/>
  <c r="U145" i="54"/>
  <c r="Z145" i="54"/>
  <c r="T37" i="54"/>
  <c r="Y37" i="54"/>
  <c r="X37" i="54"/>
  <c r="Z37" i="54"/>
  <c r="W37" i="54"/>
  <c r="U37" i="54"/>
  <c r="V37" i="54"/>
  <c r="T148" i="54"/>
  <c r="Z148" i="54"/>
  <c r="Y148" i="54"/>
  <c r="V148" i="54"/>
  <c r="X148" i="54"/>
  <c r="U148" i="54"/>
  <c r="W148" i="54"/>
  <c r="T17" i="54"/>
  <c r="V17" i="54"/>
  <c r="W17" i="54"/>
  <c r="Y17" i="54"/>
  <c r="Z17" i="54"/>
  <c r="U17" i="54"/>
  <c r="X17" i="54"/>
  <c r="T42" i="54"/>
  <c r="Y42" i="54"/>
  <c r="Z42" i="54"/>
  <c r="W42" i="54"/>
  <c r="V42" i="54"/>
  <c r="X42" i="54"/>
  <c r="U42" i="54"/>
  <c r="T57" i="54"/>
  <c r="Z57" i="54"/>
  <c r="V57" i="54"/>
  <c r="X57" i="54"/>
  <c r="Y57" i="54"/>
  <c r="U57" i="54"/>
  <c r="W57" i="54"/>
  <c r="T129" i="54"/>
  <c r="X129" i="54"/>
  <c r="V129" i="54"/>
  <c r="Z129" i="54"/>
  <c r="W129" i="54"/>
  <c r="U129" i="54"/>
  <c r="Y129" i="54"/>
  <c r="T154" i="54"/>
  <c r="Y154" i="54"/>
  <c r="Z154" i="54"/>
  <c r="X154" i="54"/>
  <c r="V154" i="54"/>
  <c r="W154" i="54"/>
  <c r="U154" i="54"/>
  <c r="T95" i="54"/>
  <c r="U95" i="54"/>
  <c r="Y95" i="54"/>
  <c r="Z95" i="54"/>
  <c r="W95" i="54"/>
  <c r="X95" i="54"/>
  <c r="V95" i="54"/>
  <c r="T32" i="54"/>
  <c r="X32" i="54"/>
  <c r="W32" i="54"/>
  <c r="Z32" i="54"/>
  <c r="Y32" i="54"/>
  <c r="V32" i="54"/>
  <c r="U32" i="54"/>
  <c r="T144" i="54"/>
  <c r="X144" i="54"/>
  <c r="V144" i="54"/>
  <c r="W144" i="54"/>
  <c r="U144" i="54"/>
  <c r="Y144" i="54"/>
  <c r="Z144" i="54"/>
  <c r="T82" i="54"/>
  <c r="Y82" i="54"/>
  <c r="X82" i="54"/>
  <c r="U82" i="54"/>
  <c r="W82" i="54"/>
  <c r="V82" i="54"/>
  <c r="Z82" i="54"/>
  <c r="T99" i="54"/>
  <c r="Y99" i="54"/>
  <c r="Z99" i="54"/>
  <c r="U99" i="54"/>
  <c r="X99" i="54"/>
  <c r="W99" i="54"/>
  <c r="V99" i="54"/>
  <c r="T135" i="54"/>
  <c r="U135" i="54"/>
  <c r="Z135" i="54"/>
  <c r="Y135" i="54"/>
  <c r="V135" i="54"/>
  <c r="W135" i="54"/>
  <c r="X135" i="54"/>
  <c r="T113" i="54"/>
  <c r="V113" i="54"/>
  <c r="Z113" i="54"/>
  <c r="U113" i="54"/>
  <c r="X113" i="54"/>
  <c r="Y113" i="54"/>
  <c r="W113" i="54"/>
  <c r="T138" i="54"/>
  <c r="Y138" i="54"/>
  <c r="X138" i="54"/>
  <c r="Z138" i="54"/>
  <c r="V138" i="54"/>
  <c r="W138" i="54"/>
  <c r="U138" i="54"/>
  <c r="W126" i="54"/>
  <c r="X126" i="54"/>
  <c r="V126" i="54"/>
  <c r="Y126" i="54"/>
  <c r="T126" i="54"/>
  <c r="U126" i="54"/>
  <c r="Z126" i="54"/>
  <c r="T142" i="54"/>
  <c r="W142" i="54"/>
  <c r="Z142" i="54"/>
  <c r="Y142" i="54"/>
  <c r="V142" i="54"/>
  <c r="X142" i="54"/>
  <c r="U142" i="54"/>
  <c r="W158" i="54"/>
  <c r="Z158" i="54"/>
  <c r="T158" i="54"/>
  <c r="Y158" i="54"/>
  <c r="X158" i="54"/>
  <c r="V158" i="54"/>
  <c r="U158" i="54"/>
  <c r="T171" i="54"/>
  <c r="Y171" i="54"/>
  <c r="Z171" i="54"/>
  <c r="X171" i="54"/>
  <c r="U171" i="54"/>
  <c r="W171" i="54"/>
  <c r="V171" i="54"/>
  <c r="T90" i="54"/>
  <c r="Y90" i="54"/>
  <c r="W90" i="54"/>
  <c r="Z90" i="54"/>
  <c r="X90" i="54"/>
  <c r="U90" i="54"/>
  <c r="V90" i="54"/>
  <c r="T81" i="54"/>
  <c r="V81" i="54"/>
  <c r="Z81" i="54"/>
  <c r="Y81" i="54"/>
  <c r="W81" i="54"/>
  <c r="U81" i="54"/>
  <c r="X81" i="54"/>
  <c r="T123" i="54"/>
  <c r="W123" i="54"/>
  <c r="Y123" i="54"/>
  <c r="Z123" i="54"/>
  <c r="X123" i="54"/>
  <c r="V123" i="54"/>
  <c r="U123" i="54"/>
  <c r="T11" i="54"/>
  <c r="Z11" i="54"/>
  <c r="W11" i="54"/>
  <c r="X11" i="54"/>
  <c r="V11" i="54"/>
  <c r="Y11" i="54"/>
  <c r="U11" i="54"/>
  <c r="T51" i="54"/>
  <c r="Z51" i="54"/>
  <c r="Y51" i="54"/>
  <c r="X51" i="54"/>
  <c r="V51" i="54"/>
  <c r="W51" i="54"/>
  <c r="U51" i="54"/>
  <c r="T35" i="54"/>
  <c r="X35" i="54"/>
  <c r="W35" i="54"/>
  <c r="U35" i="54"/>
  <c r="Z35" i="54"/>
  <c r="V35" i="54"/>
  <c r="Y35" i="54"/>
  <c r="T38" i="54"/>
  <c r="W38" i="54"/>
  <c r="Y38" i="54"/>
  <c r="Z38" i="54"/>
  <c r="X38" i="54"/>
  <c r="V38" i="54"/>
  <c r="U38" i="54"/>
  <c r="T77" i="54"/>
  <c r="W77" i="54"/>
  <c r="X77" i="54"/>
  <c r="Y77" i="54"/>
  <c r="U77" i="54"/>
  <c r="Z77" i="54"/>
  <c r="V77" i="54"/>
  <c r="T116" i="54"/>
  <c r="Z116" i="54"/>
  <c r="Y116" i="54"/>
  <c r="W116" i="54"/>
  <c r="V116" i="54"/>
  <c r="X116" i="54"/>
  <c r="U116" i="54"/>
  <c r="T92" i="54"/>
  <c r="Z92" i="54"/>
  <c r="Y92" i="54"/>
  <c r="X92" i="54"/>
  <c r="W92" i="54"/>
  <c r="V92" i="54"/>
  <c r="U92" i="54"/>
  <c r="T48" i="54"/>
  <c r="X48" i="54"/>
  <c r="Z48" i="54"/>
  <c r="W48" i="54"/>
  <c r="V48" i="54"/>
  <c r="U48" i="54"/>
  <c r="Y48" i="54"/>
  <c r="T64" i="54"/>
  <c r="X64" i="54"/>
  <c r="Y64" i="54"/>
  <c r="W64" i="54"/>
  <c r="U64" i="54"/>
  <c r="V64" i="54"/>
  <c r="Z64" i="54"/>
  <c r="T93" i="54"/>
  <c r="Z93" i="54"/>
  <c r="X93" i="54"/>
  <c r="W93" i="54"/>
  <c r="V93" i="54"/>
  <c r="U93" i="54"/>
  <c r="Y93" i="54"/>
  <c r="T117" i="54"/>
  <c r="X117" i="54"/>
  <c r="Y117" i="54"/>
  <c r="W117" i="54"/>
  <c r="Z117" i="54"/>
  <c r="V117" i="54"/>
  <c r="U117" i="54"/>
  <c r="T101" i="54"/>
  <c r="Y101" i="54"/>
  <c r="X101" i="54"/>
  <c r="V101" i="54"/>
  <c r="U101" i="54"/>
  <c r="Z101" i="54"/>
  <c r="W101" i="54"/>
  <c r="T160" i="54"/>
  <c r="X160" i="54"/>
  <c r="W160" i="54"/>
  <c r="Z160" i="54"/>
  <c r="Y160" i="54"/>
  <c r="V160" i="54"/>
  <c r="U160" i="54"/>
  <c r="T20" i="54"/>
  <c r="Z20" i="54"/>
  <c r="W20" i="54"/>
  <c r="X20" i="54"/>
  <c r="Y20" i="54"/>
  <c r="V20" i="54"/>
  <c r="U20" i="54"/>
  <c r="T69" i="54"/>
  <c r="Z69" i="54"/>
  <c r="Y69" i="54"/>
  <c r="W69" i="54"/>
  <c r="V69" i="54"/>
  <c r="U69" i="54"/>
  <c r="X69" i="54"/>
  <c r="T152" i="54"/>
  <c r="X152" i="54"/>
  <c r="Z152" i="54"/>
  <c r="Y152" i="54"/>
  <c r="W152" i="54"/>
  <c r="U152" i="54"/>
  <c r="V152" i="54"/>
  <c r="T10" i="54"/>
  <c r="Y10" i="54"/>
  <c r="X10" i="54"/>
  <c r="W10" i="54"/>
  <c r="Z10" i="54"/>
  <c r="V10" i="54"/>
  <c r="U10" i="54"/>
  <c r="T16" i="54"/>
  <c r="X16" i="54"/>
  <c r="Z16" i="54"/>
  <c r="U16" i="54"/>
  <c r="W16" i="54"/>
  <c r="Y16" i="54"/>
  <c r="V16" i="54"/>
  <c r="W13" i="54"/>
  <c r="Z13" i="54"/>
  <c r="Y13" i="54"/>
  <c r="X13" i="54"/>
  <c r="T13" i="54"/>
  <c r="V13" i="54"/>
  <c r="U13" i="54"/>
  <c r="T22" i="54"/>
  <c r="W22" i="54"/>
  <c r="X22" i="54"/>
  <c r="Y22" i="54"/>
  <c r="Z22" i="54"/>
  <c r="V22" i="54"/>
  <c r="U22" i="54"/>
  <c r="T49" i="54"/>
  <c r="V49" i="54"/>
  <c r="Z49" i="54"/>
  <c r="Y49" i="54"/>
  <c r="U49" i="54"/>
  <c r="X49" i="54"/>
  <c r="W49" i="54"/>
  <c r="T26" i="54"/>
  <c r="Y26" i="54"/>
  <c r="Z26" i="54"/>
  <c r="U26" i="54"/>
  <c r="X26" i="54"/>
  <c r="W26" i="54"/>
  <c r="V26" i="54"/>
  <c r="Z12" i="54"/>
  <c r="V12" i="54"/>
  <c r="T12" i="54"/>
  <c r="X12" i="54"/>
  <c r="W12" i="54"/>
  <c r="Y12" i="54"/>
  <c r="U12" i="54"/>
  <c r="T62" i="54"/>
  <c r="W62" i="54"/>
  <c r="Z62" i="54"/>
  <c r="Y62" i="54"/>
  <c r="V62" i="54"/>
  <c r="X62" i="54"/>
  <c r="U62" i="54"/>
  <c r="T63" i="54"/>
  <c r="U63" i="54"/>
  <c r="W63" i="54"/>
  <c r="Z63" i="54"/>
  <c r="Y63" i="54"/>
  <c r="V63" i="54"/>
  <c r="X63" i="54"/>
  <c r="T78" i="54"/>
  <c r="W78" i="54"/>
  <c r="V78" i="54"/>
  <c r="Y78" i="54"/>
  <c r="U78" i="54"/>
  <c r="Z78" i="54"/>
  <c r="X78" i="54"/>
  <c r="T70" i="54"/>
  <c r="W70" i="54"/>
  <c r="Z70" i="54"/>
  <c r="Y70" i="54"/>
  <c r="X70" i="54"/>
  <c r="V70" i="54"/>
  <c r="U70" i="54"/>
  <c r="T102" i="54"/>
  <c r="W102" i="54"/>
  <c r="V102" i="54"/>
  <c r="Y102" i="54"/>
  <c r="U102" i="54"/>
  <c r="Z102" i="54"/>
  <c r="X102" i="54"/>
  <c r="T164" i="54"/>
  <c r="Z164" i="54"/>
  <c r="U164" i="54"/>
  <c r="W164" i="54"/>
  <c r="V164" i="54"/>
  <c r="Y164" i="54"/>
  <c r="X164" i="54"/>
  <c r="T146" i="54"/>
  <c r="Y146" i="54"/>
  <c r="Z146" i="54"/>
  <c r="U146" i="54"/>
  <c r="V146" i="54"/>
  <c r="X146" i="54"/>
  <c r="W146" i="54"/>
  <c r="T151" i="54"/>
  <c r="W151" i="54"/>
  <c r="U151" i="54"/>
  <c r="V151" i="54"/>
  <c r="Z151" i="54"/>
  <c r="Y151" i="54"/>
  <c r="X151" i="54"/>
  <c r="T167" i="54"/>
  <c r="Z167" i="54"/>
  <c r="U167" i="54"/>
  <c r="Y167" i="54"/>
  <c r="W167" i="54"/>
  <c r="V167" i="54"/>
  <c r="X167" i="54"/>
  <c r="Z161" i="54"/>
  <c r="Y161" i="54"/>
  <c r="V161" i="54"/>
  <c r="X161" i="54"/>
  <c r="T161" i="54"/>
  <c r="U161" i="54"/>
  <c r="W161" i="54"/>
  <c r="T122" i="54"/>
  <c r="Y122" i="54"/>
  <c r="Z122" i="54"/>
  <c r="X122" i="54"/>
  <c r="V122" i="54"/>
  <c r="W122" i="54"/>
  <c r="U122" i="54"/>
  <c r="T139" i="54"/>
  <c r="Z139" i="54"/>
  <c r="X139" i="54"/>
  <c r="W139" i="54"/>
  <c r="Y139" i="54"/>
  <c r="V139" i="54"/>
  <c r="U139" i="54"/>
  <c r="T155" i="54"/>
  <c r="Y155" i="54"/>
  <c r="X155" i="54"/>
  <c r="U155" i="54"/>
  <c r="V155" i="54"/>
  <c r="W155" i="54"/>
  <c r="Z155" i="54"/>
  <c r="T8" i="54"/>
  <c r="X8" i="54"/>
  <c r="V8" i="54"/>
  <c r="Z8" i="54"/>
  <c r="Y8" i="54"/>
  <c r="W8" i="54"/>
  <c r="U8" i="54"/>
  <c r="T18" i="54"/>
  <c r="Y18" i="54"/>
  <c r="U18" i="54"/>
  <c r="W18" i="54"/>
  <c r="V18" i="54"/>
  <c r="Z18" i="54"/>
  <c r="X18" i="54"/>
  <c r="T40" i="54"/>
  <c r="X40" i="54"/>
  <c r="Y40" i="54"/>
  <c r="V40" i="54"/>
  <c r="Z40" i="54"/>
  <c r="W40" i="54"/>
  <c r="U40" i="54"/>
  <c r="T76" i="54"/>
  <c r="Z76" i="54"/>
  <c r="X76" i="54"/>
  <c r="Y76" i="54"/>
  <c r="V76" i="54"/>
  <c r="W76" i="54"/>
  <c r="U76" i="54"/>
  <c r="T4" i="54"/>
  <c r="Z4" i="54"/>
  <c r="V4" i="54"/>
  <c r="X4" i="54"/>
  <c r="W4" i="54"/>
  <c r="U4" i="54"/>
  <c r="Y4" i="54"/>
  <c r="T43" i="54"/>
  <c r="Y43" i="54"/>
  <c r="W43" i="54"/>
  <c r="X43" i="54"/>
  <c r="V43" i="54"/>
  <c r="Z43" i="54"/>
  <c r="U43" i="54"/>
  <c r="T33" i="54"/>
  <c r="Z33" i="54"/>
  <c r="Y33" i="54"/>
  <c r="V33" i="54"/>
  <c r="W33" i="54"/>
  <c r="X33" i="54"/>
  <c r="U33" i="54"/>
  <c r="T65" i="54"/>
  <c r="X65" i="54"/>
  <c r="V65" i="54"/>
  <c r="Y65" i="54"/>
  <c r="U65" i="54"/>
  <c r="Z65" i="54"/>
  <c r="W65" i="54"/>
  <c r="T50" i="54"/>
  <c r="Y50" i="54"/>
  <c r="W50" i="54"/>
  <c r="Z50" i="54"/>
  <c r="V50" i="54"/>
  <c r="U50" i="54"/>
  <c r="X50" i="54"/>
  <c r="T27" i="54"/>
  <c r="Y27" i="54"/>
  <c r="W27" i="54"/>
  <c r="U27" i="54"/>
  <c r="X27" i="54"/>
  <c r="Z27" i="54"/>
  <c r="V27" i="54"/>
  <c r="T30" i="54"/>
  <c r="W30" i="54"/>
  <c r="Z30" i="54"/>
  <c r="X30" i="54"/>
  <c r="V30" i="54"/>
  <c r="U30" i="54"/>
  <c r="Y30" i="54"/>
  <c r="T6" i="54"/>
  <c r="W6" i="54"/>
  <c r="Z6" i="54"/>
  <c r="Y6" i="54"/>
  <c r="V6" i="54"/>
  <c r="X6" i="54"/>
  <c r="U6" i="54"/>
  <c r="T59" i="54"/>
  <c r="W59" i="54"/>
  <c r="V59" i="54"/>
  <c r="Y59" i="54"/>
  <c r="X59" i="54"/>
  <c r="U59" i="54"/>
  <c r="Z59" i="54"/>
  <c r="T41" i="54"/>
  <c r="W41" i="54"/>
  <c r="V41" i="54"/>
  <c r="X41" i="54"/>
  <c r="Y41" i="54"/>
  <c r="Z41" i="54"/>
  <c r="U41" i="54"/>
  <c r="T79" i="54"/>
  <c r="Z79" i="54"/>
  <c r="Y79" i="54"/>
  <c r="U79" i="54"/>
  <c r="X79" i="54"/>
  <c r="W79" i="54"/>
  <c r="V79" i="54"/>
  <c r="T73" i="54"/>
  <c r="Y73" i="54"/>
  <c r="V73" i="54"/>
  <c r="Z73" i="54"/>
  <c r="U73" i="54"/>
  <c r="X73" i="54"/>
  <c r="W73" i="54"/>
  <c r="T71" i="54"/>
  <c r="U71" i="54"/>
  <c r="X71" i="54"/>
  <c r="Z71" i="54"/>
  <c r="W71" i="54"/>
  <c r="V71" i="54"/>
  <c r="Y71" i="54"/>
  <c r="T98" i="54"/>
  <c r="Y98" i="54"/>
  <c r="Z98" i="54"/>
  <c r="X98" i="54"/>
  <c r="U98" i="54"/>
  <c r="W98" i="54"/>
  <c r="V98" i="54"/>
  <c r="T127" i="54"/>
  <c r="U127" i="54"/>
  <c r="X127" i="54"/>
  <c r="V127" i="54"/>
  <c r="Y127" i="54"/>
  <c r="W127" i="54"/>
  <c r="Z127" i="54"/>
  <c r="T120" i="54"/>
  <c r="X120" i="54"/>
  <c r="U120" i="54"/>
  <c r="Y120" i="54"/>
  <c r="W120" i="54"/>
  <c r="Z120" i="54"/>
  <c r="V120" i="54"/>
  <c r="Z36" i="54"/>
  <c r="T36" i="54"/>
  <c r="U36" i="54"/>
  <c r="Y36" i="54"/>
  <c r="W36" i="54"/>
  <c r="X36" i="54"/>
  <c r="V36" i="54"/>
  <c r="Z52" i="54"/>
  <c r="Y52" i="54"/>
  <c r="T52" i="54"/>
  <c r="W52" i="54"/>
  <c r="V52" i="54"/>
  <c r="U52" i="54"/>
  <c r="X52" i="54"/>
  <c r="T68" i="54"/>
  <c r="Z68" i="54"/>
  <c r="W68" i="54"/>
  <c r="U68" i="54"/>
  <c r="Y68" i="54"/>
  <c r="X68" i="54"/>
  <c r="V68" i="54"/>
  <c r="T96" i="54"/>
  <c r="X96" i="54"/>
  <c r="W96" i="54"/>
  <c r="V96" i="54"/>
  <c r="Y96" i="54"/>
  <c r="Z96" i="54"/>
  <c r="U96" i="54"/>
  <c r="T100" i="54"/>
  <c r="Z100" i="54"/>
  <c r="Y100" i="54"/>
  <c r="W100" i="54"/>
  <c r="U100" i="54"/>
  <c r="V100" i="54"/>
  <c r="X100" i="54"/>
  <c r="T72" i="54"/>
  <c r="X72" i="54"/>
  <c r="Z72" i="54"/>
  <c r="W72" i="54"/>
  <c r="V72" i="54"/>
  <c r="U72" i="54"/>
  <c r="Y72" i="54"/>
  <c r="T106" i="54"/>
  <c r="Y106" i="54"/>
  <c r="Z106" i="54"/>
  <c r="V106" i="54"/>
  <c r="X106" i="54"/>
  <c r="W106" i="54"/>
  <c r="U106" i="54"/>
  <c r="T153" i="54"/>
  <c r="V153" i="54"/>
  <c r="W153" i="54"/>
  <c r="Y153" i="54"/>
  <c r="Z153" i="54"/>
  <c r="U153" i="54"/>
  <c r="X153" i="54"/>
  <c r="T119" i="54"/>
  <c r="Y119" i="54"/>
  <c r="X119" i="54"/>
  <c r="U119" i="54"/>
  <c r="W119" i="54"/>
  <c r="Z119" i="54"/>
  <c r="V119" i="54"/>
  <c r="T133" i="54"/>
  <c r="V133" i="54"/>
  <c r="Y133" i="54"/>
  <c r="Z133" i="54"/>
  <c r="W133" i="54"/>
  <c r="U133" i="54"/>
  <c r="X133" i="54"/>
  <c r="T149" i="54"/>
  <c r="Z149" i="54"/>
  <c r="X149" i="54"/>
  <c r="Y149" i="54"/>
  <c r="V149" i="54"/>
  <c r="U149" i="54"/>
  <c r="W149" i="54"/>
  <c r="T165" i="54"/>
  <c r="Y165" i="54"/>
  <c r="X165" i="54"/>
  <c r="W165" i="54"/>
  <c r="V165" i="54"/>
  <c r="Z165" i="54"/>
  <c r="U165" i="54"/>
  <c r="T162" i="54"/>
  <c r="Y162" i="54"/>
  <c r="X162" i="54"/>
  <c r="Z162" i="54"/>
  <c r="U162" i="54"/>
  <c r="W162" i="54"/>
  <c r="V162" i="54"/>
  <c r="T5" i="54"/>
  <c r="X5" i="54"/>
  <c r="U5" i="54"/>
  <c r="W5" i="54"/>
  <c r="Y5" i="54"/>
  <c r="Z5" i="54"/>
  <c r="V5" i="54"/>
  <c r="Y34" i="54"/>
  <c r="X34" i="54"/>
  <c r="Z34" i="54"/>
  <c r="T34" i="54"/>
  <c r="V34" i="54"/>
  <c r="U34" i="54"/>
  <c r="W34" i="54"/>
  <c r="T53" i="54"/>
  <c r="W53" i="54"/>
  <c r="Z53" i="54"/>
  <c r="X53" i="54"/>
  <c r="V53" i="54"/>
  <c r="U53" i="54"/>
  <c r="Y53" i="54"/>
  <c r="T110" i="54"/>
  <c r="W110" i="54"/>
  <c r="Y110" i="54"/>
  <c r="X110" i="54"/>
  <c r="Z110" i="54"/>
  <c r="U110" i="54"/>
  <c r="V110" i="54"/>
  <c r="T56" i="54"/>
  <c r="X56" i="54"/>
  <c r="Z56" i="54"/>
  <c r="Y56" i="54"/>
  <c r="W56" i="54"/>
  <c r="V56" i="54"/>
  <c r="U56" i="54"/>
  <c r="T83" i="54"/>
  <c r="Y83" i="54"/>
  <c r="X83" i="54"/>
  <c r="W83" i="54"/>
  <c r="V83" i="54"/>
  <c r="U83" i="54"/>
  <c r="Z83" i="54"/>
  <c r="T24" i="54"/>
  <c r="X24" i="54"/>
  <c r="Z24" i="54"/>
  <c r="Y24" i="54"/>
  <c r="W24" i="54"/>
  <c r="V24" i="54"/>
  <c r="U24" i="54"/>
  <c r="T45" i="54"/>
  <c r="X45" i="54"/>
  <c r="Z45" i="54"/>
  <c r="Y45" i="54"/>
  <c r="U45" i="54"/>
  <c r="W45" i="54"/>
  <c r="V45" i="54"/>
  <c r="T3" i="54"/>
  <c r="Y3" i="54"/>
  <c r="X3" i="54"/>
  <c r="V3" i="54"/>
  <c r="W3" i="54"/>
  <c r="Z3" i="54"/>
  <c r="U3" i="54"/>
  <c r="T66" i="54"/>
  <c r="Y66" i="54"/>
  <c r="Z66" i="54"/>
  <c r="X66" i="54"/>
  <c r="V66" i="54"/>
  <c r="W66" i="54"/>
  <c r="U66" i="54"/>
  <c r="T25" i="54"/>
  <c r="V25" i="54"/>
  <c r="Z25" i="54"/>
  <c r="Y25" i="54"/>
  <c r="X25" i="54"/>
  <c r="U25" i="54"/>
  <c r="W25" i="54"/>
  <c r="T28" i="54"/>
  <c r="Z28" i="54"/>
  <c r="Y28" i="54"/>
  <c r="X28" i="54"/>
  <c r="V28" i="54"/>
  <c r="U28" i="54"/>
  <c r="W28" i="54"/>
  <c r="T97" i="54"/>
  <c r="Z97" i="54"/>
  <c r="Y97" i="54"/>
  <c r="V97" i="54"/>
  <c r="X97" i="54"/>
  <c r="W97" i="54"/>
  <c r="U97" i="54"/>
  <c r="T55" i="54"/>
  <c r="Y55" i="54"/>
  <c r="X55" i="54"/>
  <c r="U55" i="54"/>
  <c r="W55" i="54"/>
  <c r="Z55" i="54"/>
  <c r="V55" i="54"/>
  <c r="T9" i="54"/>
  <c r="Y9" i="54"/>
  <c r="X9" i="54"/>
  <c r="U9" i="54"/>
  <c r="V9" i="54"/>
  <c r="W9" i="54"/>
  <c r="Z9" i="54"/>
  <c r="T58" i="54"/>
  <c r="Y58" i="54"/>
  <c r="W58" i="54"/>
  <c r="X58" i="54"/>
  <c r="U58" i="54"/>
  <c r="Z58" i="54"/>
  <c r="V58" i="54"/>
  <c r="T61" i="54"/>
  <c r="Z61" i="54"/>
  <c r="Y61" i="54"/>
  <c r="X61" i="54"/>
  <c r="V61" i="54"/>
  <c r="U61" i="54"/>
  <c r="W61" i="54"/>
  <c r="Y74" i="54"/>
  <c r="T74" i="54"/>
  <c r="X74" i="54"/>
  <c r="Z74" i="54"/>
  <c r="V74" i="54"/>
  <c r="W74" i="54"/>
  <c r="U74" i="54"/>
  <c r="T84" i="54"/>
  <c r="Z84" i="54"/>
  <c r="Y84" i="54"/>
  <c r="W84" i="54"/>
  <c r="V84" i="54"/>
  <c r="U84" i="54"/>
  <c r="X84" i="54"/>
  <c r="T104" i="54"/>
  <c r="X104" i="54"/>
  <c r="W104" i="54"/>
  <c r="V104" i="54"/>
  <c r="Y104" i="54"/>
  <c r="U104" i="54"/>
  <c r="Z104" i="54"/>
  <c r="T85" i="54"/>
  <c r="Z85" i="54"/>
  <c r="Y85" i="54"/>
  <c r="W85" i="54"/>
  <c r="V85" i="54"/>
  <c r="U85" i="54"/>
  <c r="X85" i="54"/>
  <c r="T105" i="54"/>
  <c r="W105" i="54"/>
  <c r="V105" i="54"/>
  <c r="Z105" i="54"/>
  <c r="Y105" i="54"/>
  <c r="X105" i="54"/>
  <c r="U105" i="54"/>
  <c r="T156" i="54"/>
  <c r="Z156" i="54"/>
  <c r="Y156" i="54"/>
  <c r="X156" i="54"/>
  <c r="V156" i="54"/>
  <c r="W156" i="54"/>
  <c r="U156" i="54"/>
  <c r="T94" i="54"/>
  <c r="W94" i="54"/>
  <c r="Z94" i="54"/>
  <c r="Y94" i="54"/>
  <c r="X94" i="54"/>
  <c r="V94" i="54"/>
  <c r="U94" i="54"/>
  <c r="T130" i="54"/>
  <c r="Y130" i="54"/>
  <c r="Z130" i="54"/>
  <c r="X130" i="54"/>
  <c r="U130" i="54"/>
  <c r="W130" i="54"/>
  <c r="V130" i="54"/>
  <c r="T134" i="54"/>
  <c r="W134" i="54"/>
  <c r="Z134" i="54"/>
  <c r="Y134" i="54"/>
  <c r="X134" i="54"/>
  <c r="V134" i="54"/>
  <c r="U134" i="54"/>
  <c r="T150" i="54"/>
  <c r="W150" i="54"/>
  <c r="X150" i="54"/>
  <c r="Z150" i="54"/>
  <c r="U150" i="54"/>
  <c r="Y150" i="54"/>
  <c r="V150" i="54"/>
  <c r="T166" i="54"/>
  <c r="W166" i="54"/>
  <c r="Z166" i="54"/>
  <c r="X166" i="54"/>
  <c r="V166" i="54"/>
  <c r="Y166" i="54"/>
  <c r="U166" i="54"/>
  <c r="T168" i="54"/>
  <c r="X168" i="54"/>
  <c r="Z168" i="54"/>
  <c r="W168" i="54"/>
  <c r="V168" i="54"/>
  <c r="U168" i="54"/>
  <c r="Y168" i="54"/>
  <c r="AL260" i="47"/>
  <c r="AO157" i="47"/>
  <c r="AO196" i="47"/>
  <c r="AL186" i="47"/>
  <c r="AO324" i="47"/>
  <c r="AO212" i="47"/>
  <c r="AP222" i="47"/>
  <c r="AO117" i="47"/>
  <c r="AN270" i="47"/>
  <c r="AO213" i="47"/>
  <c r="AL203" i="47"/>
  <c r="AP240" i="47"/>
  <c r="AO120" i="47"/>
  <c r="AO279" i="47"/>
  <c r="AO276" i="47"/>
  <c r="AO229" i="47"/>
  <c r="AN253" i="47"/>
  <c r="AL305" i="47"/>
  <c r="AP283" i="47"/>
  <c r="AO183" i="47"/>
  <c r="AN151" i="47"/>
  <c r="AP201" i="47"/>
  <c r="AL221" i="47"/>
  <c r="AL180" i="47"/>
  <c r="AP145" i="47"/>
  <c r="AL290" i="47"/>
  <c r="AN314" i="47"/>
  <c r="AN246" i="47"/>
  <c r="AN324" i="47"/>
  <c r="AL263" i="47"/>
  <c r="AN172" i="47"/>
  <c r="AP140" i="47"/>
  <c r="AL291" i="47"/>
  <c r="AL270" i="47"/>
  <c r="AN137" i="47"/>
  <c r="AO245" i="47"/>
  <c r="AP184" i="47"/>
  <c r="AP323" i="47"/>
  <c r="AL114" i="47"/>
  <c r="AN251" i="47"/>
  <c r="AN282" i="47"/>
  <c r="AL188" i="47"/>
  <c r="AP147" i="47"/>
  <c r="AP143" i="47"/>
  <c r="AN316" i="47"/>
  <c r="AN231" i="47"/>
  <c r="AO173" i="47"/>
  <c r="AP327" i="47"/>
  <c r="AO208" i="47"/>
  <c r="AL211" i="47"/>
  <c r="AL304" i="47"/>
  <c r="AN257" i="47"/>
  <c r="AL282" i="47"/>
  <c r="AL274" i="47"/>
  <c r="AP139" i="47"/>
  <c r="AL280" i="47"/>
  <c r="AN280" i="47"/>
  <c r="AN207" i="47"/>
  <c r="AN267" i="47"/>
  <c r="AL165" i="47"/>
  <c r="AO121" i="47"/>
  <c r="AL111" i="47"/>
  <c r="AN152" i="47"/>
  <c r="AL307" i="47"/>
  <c r="AP129" i="47"/>
  <c r="AN187" i="47"/>
  <c r="AL163" i="47"/>
  <c r="AL298" i="47"/>
  <c r="AN122" i="47"/>
  <c r="AO300" i="47"/>
  <c r="AO118" i="47"/>
  <c r="AL299" i="47"/>
  <c r="AN309" i="47"/>
  <c r="AN132" i="47"/>
  <c r="AO115" i="47"/>
  <c r="AO195" i="47"/>
  <c r="AP112" i="47"/>
  <c r="AN304" i="47"/>
  <c r="AN217" i="47"/>
  <c r="AL231" i="47"/>
  <c r="AN119" i="47"/>
  <c r="AP260" i="47"/>
  <c r="AL176" i="47"/>
  <c r="AL264" i="47"/>
  <c r="AP225" i="47"/>
  <c r="AP313" i="47"/>
  <c r="AP216" i="47"/>
  <c r="AP253" i="47"/>
  <c r="AL152" i="47"/>
  <c r="AL293" i="47"/>
  <c r="AN185" i="47"/>
  <c r="AL217" i="47"/>
  <c r="AO194" i="47"/>
  <c r="AP156" i="47"/>
  <c r="AN154" i="47"/>
  <c r="AL266" i="47"/>
  <c r="AN212" i="47"/>
  <c r="AL256" i="47"/>
  <c r="AP121" i="47"/>
  <c r="AP272" i="47"/>
  <c r="AO296" i="47"/>
  <c r="AO155" i="47"/>
  <c r="AO167" i="47"/>
  <c r="AP276" i="47"/>
  <c r="AP158" i="47"/>
  <c r="AL320" i="47"/>
  <c r="AO299" i="47"/>
  <c r="AO164" i="47"/>
  <c r="AO207" i="47"/>
  <c r="AO221" i="47"/>
  <c r="AP279" i="47"/>
  <c r="AL327" i="47"/>
  <c r="AL225" i="47"/>
  <c r="AO129" i="47"/>
  <c r="AP181" i="47"/>
  <c r="AP141" i="47"/>
  <c r="AP123" i="47"/>
  <c r="AO198" i="47"/>
  <c r="AN204" i="47"/>
  <c r="AP113" i="47"/>
  <c r="AN297" i="47"/>
  <c r="AO223" i="47"/>
  <c r="AL133" i="47"/>
  <c r="AN326" i="47"/>
  <c r="AN138" i="47"/>
  <c r="AO285" i="47"/>
  <c r="AL292" i="47"/>
  <c r="AL250" i="47"/>
  <c r="AO297" i="47"/>
  <c r="AP176" i="47"/>
  <c r="AP273" i="47"/>
  <c r="AO189" i="47"/>
  <c r="AO277" i="47"/>
  <c r="AN133" i="47"/>
  <c r="AN237" i="47"/>
  <c r="AP177" i="47"/>
  <c r="AL296" i="47"/>
  <c r="AN135" i="47"/>
  <c r="AP306" i="47"/>
  <c r="AP198" i="47"/>
  <c r="AO153" i="47"/>
  <c r="AN235" i="47"/>
  <c r="AN281" i="47"/>
  <c r="AN121" i="47"/>
  <c r="AN142" i="47"/>
  <c r="AL192" i="47"/>
  <c r="AL130" i="47"/>
  <c r="AP316" i="47"/>
  <c r="AP188" i="47"/>
  <c r="AP153" i="47"/>
  <c r="AO179" i="47"/>
  <c r="AL278" i="47"/>
  <c r="AO111" i="47"/>
  <c r="AP314" i="47"/>
  <c r="AN317" i="47"/>
  <c r="AP247" i="47"/>
  <c r="AN318" i="47"/>
  <c r="AL297" i="47"/>
  <c r="AO305" i="47"/>
  <c r="AL236" i="47"/>
  <c r="AN243" i="47"/>
  <c r="AP204" i="47"/>
  <c r="AO270" i="47"/>
  <c r="AN126" i="47"/>
  <c r="AL288" i="47"/>
  <c r="AL313" i="47"/>
  <c r="AO188" i="47"/>
  <c r="AO258" i="47"/>
  <c r="AP326" i="47"/>
  <c r="AL197" i="47"/>
  <c r="AL285" i="47"/>
  <c r="AL218" i="47"/>
  <c r="AL216" i="47"/>
  <c r="AO143" i="47"/>
  <c r="AN120" i="47"/>
  <c r="AO152" i="47"/>
  <c r="AO307" i="47"/>
  <c r="AO206" i="47"/>
  <c r="AO141" i="47"/>
  <c r="AL269" i="47"/>
  <c r="AP311" i="47"/>
  <c r="AN307" i="47"/>
  <c r="AO254" i="47"/>
  <c r="AP238" i="47"/>
  <c r="AL310" i="47"/>
  <c r="AL283" i="47"/>
  <c r="AP229" i="47"/>
  <c r="AN296" i="47"/>
  <c r="AL126" i="47"/>
  <c r="AL276" i="47"/>
  <c r="AO267" i="47"/>
  <c r="AN209" i="47"/>
  <c r="AO197" i="47"/>
  <c r="AN248" i="47"/>
  <c r="AO174" i="47"/>
  <c r="AO176" i="47"/>
  <c r="AO199" i="47"/>
  <c r="AN201" i="47"/>
  <c r="AN227" i="47"/>
  <c r="AP208" i="47"/>
  <c r="AL120" i="47"/>
  <c r="AP297" i="47"/>
  <c r="AN183" i="47"/>
  <c r="AL134" i="47"/>
  <c r="AN118" i="47"/>
  <c r="AP155" i="47"/>
  <c r="AO228" i="47"/>
  <c r="AP162" i="47"/>
  <c r="AP111" i="47"/>
  <c r="AL149" i="47"/>
  <c r="AN180" i="47"/>
  <c r="AL312" i="47"/>
  <c r="AL258" i="47"/>
  <c r="AP300" i="47"/>
  <c r="AL202" i="47"/>
  <c r="AP284" i="47"/>
  <c r="AO265" i="47"/>
  <c r="AL316" i="47"/>
  <c r="AL226" i="47"/>
  <c r="AO144" i="47"/>
  <c r="AO161" i="47"/>
  <c r="AP218" i="47"/>
  <c r="AN127" i="47"/>
  <c r="AP234" i="47"/>
  <c r="AO149" i="47"/>
  <c r="AL171" i="47"/>
  <c r="AL271" i="47"/>
  <c r="AL132" i="47"/>
  <c r="AO309" i="47"/>
  <c r="AP115" i="47"/>
  <c r="AN218" i="47"/>
  <c r="AO150" i="47"/>
  <c r="AN278" i="47"/>
  <c r="AP250" i="47"/>
  <c r="AL117" i="47"/>
  <c r="AL146" i="47"/>
  <c r="AO159" i="47"/>
  <c r="AO124" i="47"/>
  <c r="AL311" i="47"/>
  <c r="AN219" i="47"/>
  <c r="AN193" i="47"/>
  <c r="AN129" i="47"/>
  <c r="AN305" i="47"/>
  <c r="AL159" i="47"/>
  <c r="AL173" i="47"/>
  <c r="AN279" i="47"/>
  <c r="AO275" i="47"/>
  <c r="AO249" i="47"/>
  <c r="AP165" i="47"/>
  <c r="AP125" i="47"/>
  <c r="AN195" i="47"/>
  <c r="AO182" i="47"/>
  <c r="AN311" i="47"/>
  <c r="AO274" i="47"/>
  <c r="AP244" i="47"/>
  <c r="AN260" i="47"/>
  <c r="AN157" i="47"/>
  <c r="AO222" i="47"/>
  <c r="AP258" i="47"/>
  <c r="AP120" i="47"/>
  <c r="AO158" i="47"/>
  <c r="AP124" i="47"/>
  <c r="AN148" i="47"/>
  <c r="AP288" i="47"/>
  <c r="AL244" i="47"/>
  <c r="AO114" i="47"/>
  <c r="AN312" i="47"/>
  <c r="AL131" i="47"/>
  <c r="AN134" i="47"/>
  <c r="AO209" i="47"/>
  <c r="AO211" i="47"/>
  <c r="AL196" i="47"/>
  <c r="AL179" i="47"/>
  <c r="AP133" i="47"/>
  <c r="AL240" i="47"/>
  <c r="AL161" i="47"/>
  <c r="AO283" i="47"/>
  <c r="AN146" i="47"/>
  <c r="AO190" i="47"/>
  <c r="AO204" i="47"/>
  <c r="AO215" i="47"/>
  <c r="AL315" i="47"/>
  <c r="AP167" i="47"/>
  <c r="AP207" i="47"/>
  <c r="AN194" i="47"/>
  <c r="AL212" i="47"/>
  <c r="AL162" i="47"/>
  <c r="AP149" i="47"/>
  <c r="AN155" i="47"/>
  <c r="AP286" i="47"/>
  <c r="AL325" i="47"/>
  <c r="AL147" i="47"/>
  <c r="AN165" i="47"/>
  <c r="AN284" i="47"/>
  <c r="AN153" i="47"/>
  <c r="AP122" i="47"/>
  <c r="AP160" i="47"/>
  <c r="AN286" i="47"/>
  <c r="AP302" i="47"/>
  <c r="AP114" i="47"/>
  <c r="AP291" i="47"/>
  <c r="AN226" i="47"/>
  <c r="AP235" i="47"/>
  <c r="AL154" i="47"/>
  <c r="AO146" i="47"/>
  <c r="AN319" i="47"/>
  <c r="AN143" i="47"/>
  <c r="AP320" i="47"/>
  <c r="AN313" i="47"/>
  <c r="AP324" i="47"/>
  <c r="AO288" i="47"/>
  <c r="AL314" i="47"/>
  <c r="AO178" i="47"/>
  <c r="AL182" i="47"/>
  <c r="AP151" i="47"/>
  <c r="AL238" i="47"/>
  <c r="AN223" i="47"/>
  <c r="AP230" i="47"/>
  <c r="AL170" i="47"/>
  <c r="AP175" i="47"/>
  <c r="AN206" i="47"/>
  <c r="AN294" i="47"/>
  <c r="AL123" i="47"/>
  <c r="AO319" i="47"/>
  <c r="AL261" i="47"/>
  <c r="AN114" i="47"/>
  <c r="AP130" i="47"/>
  <c r="AP119" i="47"/>
  <c r="AL249" i="47"/>
  <c r="AN125" i="47"/>
  <c r="AO235" i="47"/>
  <c r="AO227" i="47"/>
  <c r="AP227" i="47"/>
  <c r="AN124" i="47"/>
  <c r="AN222" i="47"/>
  <c r="AL224" i="47"/>
  <c r="AP259" i="47"/>
  <c r="AP213" i="47"/>
  <c r="AO284" i="47"/>
  <c r="AN291" i="47"/>
  <c r="AO248" i="47"/>
  <c r="AP274" i="47"/>
  <c r="AP319" i="47"/>
  <c r="AL156" i="47"/>
  <c r="AP294" i="47"/>
  <c r="AP146" i="47"/>
  <c r="AN198" i="47"/>
  <c r="AP174" i="47"/>
  <c r="AL300" i="47"/>
  <c r="AP142" i="47"/>
  <c r="AO154" i="47"/>
  <c r="AP271" i="47"/>
  <c r="AP138" i="47"/>
  <c r="AN128" i="47"/>
  <c r="AN256" i="47"/>
  <c r="AO138" i="47"/>
  <c r="AL184" i="47"/>
  <c r="AP305" i="47"/>
  <c r="AP171" i="47"/>
  <c r="AO171" i="47"/>
  <c r="AO180" i="47"/>
  <c r="AP159" i="47"/>
  <c r="AN190" i="47"/>
  <c r="AL109" i="47"/>
  <c r="AP217" i="47"/>
  <c r="AL206" i="47"/>
  <c r="AP196" i="47"/>
  <c r="AO237" i="47"/>
  <c r="AN161" i="47"/>
  <c r="AO112" i="47"/>
  <c r="AL237" i="47"/>
  <c r="AO280" i="47"/>
  <c r="AN245" i="47"/>
  <c r="AL268" i="47"/>
  <c r="AP228" i="47"/>
  <c r="AO191" i="47"/>
  <c r="AO314" i="47"/>
  <c r="AO165" i="47"/>
  <c r="AN112" i="47"/>
  <c r="AL223" i="47"/>
  <c r="AN202" i="47"/>
  <c r="AN224" i="47"/>
  <c r="AO311" i="47"/>
  <c r="AO244" i="47"/>
  <c r="AL135" i="47"/>
  <c r="AL198" i="47"/>
  <c r="AP220" i="47"/>
  <c r="AN167" i="47"/>
  <c r="AP256" i="47"/>
  <c r="AP282" i="47"/>
  <c r="AL243" i="47"/>
  <c r="AN110" i="47"/>
  <c r="AN177" i="47"/>
  <c r="AL115" i="47"/>
  <c r="AL213" i="47"/>
  <c r="AO193" i="47"/>
  <c r="AO322" i="47"/>
  <c r="AP301" i="47"/>
  <c r="AN200" i="47"/>
  <c r="AL143" i="47"/>
  <c r="AN287" i="47"/>
  <c r="AP263" i="47"/>
  <c r="AN184" i="47"/>
  <c r="AN182" i="47"/>
  <c r="AP318" i="47"/>
  <c r="AN306" i="47"/>
  <c r="AN236" i="47"/>
  <c r="AO148" i="47"/>
  <c r="AO163" i="47"/>
  <c r="AN238" i="47"/>
  <c r="AP315" i="47"/>
  <c r="AO250" i="47"/>
  <c r="AL219" i="47"/>
  <c r="AL267" i="47"/>
  <c r="AN288" i="47"/>
  <c r="AN275" i="47"/>
  <c r="AO151" i="47"/>
  <c r="AP152" i="47"/>
  <c r="AO142" i="47"/>
  <c r="AL136" i="47"/>
  <c r="AN258" i="47"/>
  <c r="AP178" i="47"/>
  <c r="AO140" i="47"/>
  <c r="AP257" i="47"/>
  <c r="AN239" i="47"/>
  <c r="AL160" i="47"/>
  <c r="AO293" i="47"/>
  <c r="AP237" i="47"/>
  <c r="AL164" i="47"/>
  <c r="AP303" i="47"/>
  <c r="AP248" i="47"/>
  <c r="AN240" i="47"/>
  <c r="AL246" i="47"/>
  <c r="AO168" i="47"/>
  <c r="AO273" i="47"/>
  <c r="AL168" i="47"/>
  <c r="AO236" i="47"/>
  <c r="AP172" i="47"/>
  <c r="AL199" i="47"/>
  <c r="AN272" i="47"/>
  <c r="AL242" i="47"/>
  <c r="AL185" i="47"/>
  <c r="AP285" i="47"/>
  <c r="AN186" i="47"/>
  <c r="AN242" i="47"/>
  <c r="AN301" i="47"/>
  <c r="AO205" i="47"/>
  <c r="AL125" i="47"/>
  <c r="AP127" i="47"/>
  <c r="AN196" i="47"/>
  <c r="AN262" i="47"/>
  <c r="AN321" i="47"/>
  <c r="AO126" i="47"/>
  <c r="AO220" i="47"/>
  <c r="AL169" i="47"/>
  <c r="AP214" i="47"/>
  <c r="AO110" i="47"/>
  <c r="AO232" i="47"/>
  <c r="AP170" i="47"/>
  <c r="AN163" i="47"/>
  <c r="AP206" i="47"/>
  <c r="AN158" i="47"/>
  <c r="AL289" i="47"/>
  <c r="AO216" i="47"/>
  <c r="AN111" i="47"/>
  <c r="AL189" i="47"/>
  <c r="AO278" i="47"/>
  <c r="AP239" i="47"/>
  <c r="AP157" i="47"/>
  <c r="AN320" i="47"/>
  <c r="AL187" i="47"/>
  <c r="AN171" i="47"/>
  <c r="AO113" i="47"/>
  <c r="AP187" i="47"/>
  <c r="AL255" i="47"/>
  <c r="AP136" i="47"/>
  <c r="AP293" i="47"/>
  <c r="AP266" i="47"/>
  <c r="AN323" i="47"/>
  <c r="AL309" i="47"/>
  <c r="AO145" i="47"/>
  <c r="AO239" i="47"/>
  <c r="AL195" i="47"/>
  <c r="AP132" i="47"/>
  <c r="AO186" i="47"/>
  <c r="AN265" i="47"/>
  <c r="AP304" i="47"/>
  <c r="AN254" i="47"/>
  <c r="AO301" i="47"/>
  <c r="AP249" i="47"/>
  <c r="AN250" i="47"/>
  <c r="AL247" i="47"/>
  <c r="AL245" i="47"/>
  <c r="AP193" i="47"/>
  <c r="AO326" i="47"/>
  <c r="AL150" i="47"/>
  <c r="AL287" i="47"/>
  <c r="AO218" i="47"/>
  <c r="AP295" i="47"/>
  <c r="AN216" i="47"/>
  <c r="AL204" i="47"/>
  <c r="AP179" i="47"/>
  <c r="AL181" i="47"/>
  <c r="AO156" i="47"/>
  <c r="AL177" i="47"/>
  <c r="AN162" i="47"/>
  <c r="AP173" i="47"/>
  <c r="AP209" i="47"/>
  <c r="AL121" i="47"/>
  <c r="AO282" i="47"/>
  <c r="AP310" i="47"/>
  <c r="AL215" i="47"/>
  <c r="AO286" i="47"/>
  <c r="AL277" i="47"/>
  <c r="AN130" i="47"/>
  <c r="AN266" i="47"/>
  <c r="AN168" i="47"/>
  <c r="AL222" i="47"/>
  <c r="AN244" i="47"/>
  <c r="AL230" i="47"/>
  <c r="AP251" i="47"/>
  <c r="AN199" i="47"/>
  <c r="AN268" i="47"/>
  <c r="AP254" i="47"/>
  <c r="AP110" i="47"/>
  <c r="AP241" i="47"/>
  <c r="AL141" i="47"/>
  <c r="AL308" i="47"/>
  <c r="AO147" i="47"/>
  <c r="AL110" i="47"/>
  <c r="AP128" i="47"/>
  <c r="AO132" i="47"/>
  <c r="AO133" i="47"/>
  <c r="AO294" i="47"/>
  <c r="AP219" i="47"/>
  <c r="AN303" i="47"/>
  <c r="AN274" i="47"/>
  <c r="AL284" i="47"/>
  <c r="AP137" i="47"/>
  <c r="AL241" i="47"/>
  <c r="AN210" i="47"/>
  <c r="AO210" i="47"/>
  <c r="AO289" i="47"/>
  <c r="AO262" i="47"/>
  <c r="AO242" i="47"/>
  <c r="AL119" i="47"/>
  <c r="AL200" i="47"/>
  <c r="AN205" i="47"/>
  <c r="AL124" i="47"/>
  <c r="AO177" i="47"/>
  <c r="AN166" i="47"/>
  <c r="AO260" i="47"/>
  <c r="AO217" i="47"/>
  <c r="AN141" i="47"/>
  <c r="AL142" i="47"/>
  <c r="AP233" i="47"/>
  <c r="AO200" i="47"/>
  <c r="AN228" i="47"/>
  <c r="AL144" i="47"/>
  <c r="AL209" i="47"/>
  <c r="AL208" i="47"/>
  <c r="AN233" i="47"/>
  <c r="AP223" i="47"/>
  <c r="AN247" i="47"/>
  <c r="AO170" i="47"/>
  <c r="AN310" i="47"/>
  <c r="AP126" i="47"/>
  <c r="AN139" i="47"/>
  <c r="AO172" i="47"/>
  <c r="AL113" i="47"/>
  <c r="AL275" i="47"/>
  <c r="AP309" i="47"/>
  <c r="AL228" i="47"/>
  <c r="AL273" i="47"/>
  <c r="AN179" i="47"/>
  <c r="AL301" i="47"/>
  <c r="AN213" i="47"/>
  <c r="AO246" i="47"/>
  <c r="AP191" i="47"/>
  <c r="AO313" i="47"/>
  <c r="AP168" i="47"/>
  <c r="AO252" i="47"/>
  <c r="AP186" i="47"/>
  <c r="AP298" i="47"/>
  <c r="AL252" i="47"/>
  <c r="AP215" i="47"/>
  <c r="AL232" i="47"/>
  <c r="AL118" i="47"/>
  <c r="AO306" i="47"/>
  <c r="AP312" i="47"/>
  <c r="AN255" i="47"/>
  <c r="AP268" i="47"/>
  <c r="AN123" i="47"/>
  <c r="AN208" i="47"/>
  <c r="AN116" i="47"/>
  <c r="AP194" i="47"/>
  <c r="AL286" i="47"/>
  <c r="AO287" i="47"/>
  <c r="AP280" i="47"/>
  <c r="AL253" i="47"/>
  <c r="AN197" i="47"/>
  <c r="AO224" i="47"/>
  <c r="AN220" i="47"/>
  <c r="AP131" i="47"/>
  <c r="AP226" i="47"/>
  <c r="AL128" i="47"/>
  <c r="AO137" i="47"/>
  <c r="AO139" i="47"/>
  <c r="AO128" i="47"/>
  <c r="AL172" i="47"/>
  <c r="AL248" i="47"/>
  <c r="AO317" i="47"/>
  <c r="AO166" i="47"/>
  <c r="AO325" i="47"/>
  <c r="AL166" i="47"/>
  <c r="AN145" i="47"/>
  <c r="AN298" i="47"/>
  <c r="AN285" i="47"/>
  <c r="AN117" i="47"/>
  <c r="AN174" i="47"/>
  <c r="AL127" i="47"/>
  <c r="AL319" i="47"/>
  <c r="AN164" i="47"/>
  <c r="AO202" i="47"/>
  <c r="AO263" i="47"/>
  <c r="AP203" i="47"/>
  <c r="AN232" i="47"/>
  <c r="AP183" i="47"/>
  <c r="AP197" i="47"/>
  <c r="AL234" i="47"/>
  <c r="AO122" i="47"/>
  <c r="AN271" i="47"/>
  <c r="AO240" i="47"/>
  <c r="AL148" i="47"/>
  <c r="AO181" i="47"/>
  <c r="AP180" i="47"/>
  <c r="AP245" i="47"/>
  <c r="AP190" i="47"/>
  <c r="AP210" i="47"/>
  <c r="AP163" i="47"/>
  <c r="AO261" i="47"/>
  <c r="AN211" i="47"/>
  <c r="AN315" i="47"/>
  <c r="AL153" i="47"/>
  <c r="AN214" i="47"/>
  <c r="AO323" i="47"/>
  <c r="AO175" i="47"/>
  <c r="AN259" i="47"/>
  <c r="AP192" i="47"/>
  <c r="AP278" i="47"/>
  <c r="AN189" i="47"/>
  <c r="AN302" i="47"/>
  <c r="AN276" i="47"/>
  <c r="AO230" i="47"/>
  <c r="AP270" i="47"/>
  <c r="AN147" i="47"/>
  <c r="AO131" i="47"/>
  <c r="AP243" i="47"/>
  <c r="AP202" i="47"/>
  <c r="AL322" i="47"/>
  <c r="AL210" i="47"/>
  <c r="AP317" i="47"/>
  <c r="AO241" i="47"/>
  <c r="AO257" i="47"/>
  <c r="AL138" i="47"/>
  <c r="AP182" i="47"/>
  <c r="AN289" i="47"/>
  <c r="AP195" i="47"/>
  <c r="AN191" i="47"/>
  <c r="AP281" i="47"/>
  <c r="AN215" i="47"/>
  <c r="AL151" i="47"/>
  <c r="AO187" i="47"/>
  <c r="AN261" i="47"/>
  <c r="AP134" i="47"/>
  <c r="AO135" i="47"/>
  <c r="AO116" i="47"/>
  <c r="AP265" i="47"/>
  <c r="AO302" i="47"/>
  <c r="AL324" i="47"/>
  <c r="AP199" i="47"/>
  <c r="AP212" i="47"/>
  <c r="AP262" i="47"/>
  <c r="AO321" i="47"/>
  <c r="AP211" i="47"/>
  <c r="AO225" i="47"/>
  <c r="AN203" i="47"/>
  <c r="AO298" i="47"/>
  <c r="AL140" i="47"/>
  <c r="AL295" i="47"/>
  <c r="AP321" i="47"/>
  <c r="AL272" i="47"/>
  <c r="AO160" i="47"/>
  <c r="AP148" i="47"/>
  <c r="AL175" i="47"/>
  <c r="AO123" i="47"/>
  <c r="AO295" i="47"/>
  <c r="AO238" i="47"/>
  <c r="AL191" i="47"/>
  <c r="AN300" i="47"/>
  <c r="AL279" i="47"/>
  <c r="AN283" i="47"/>
  <c r="AN241" i="47"/>
  <c r="AL233" i="47"/>
  <c r="AP231" i="47"/>
  <c r="AN136" i="47"/>
  <c r="AO272" i="47"/>
  <c r="AO304" i="47"/>
  <c r="AP221" i="47"/>
  <c r="AP296" i="47"/>
  <c r="AN170" i="47"/>
  <c r="AN299" i="47"/>
  <c r="AP269" i="47"/>
  <c r="AO201" i="47"/>
  <c r="AO169" i="47"/>
  <c r="AP264" i="47"/>
  <c r="AO136" i="47"/>
  <c r="AN263" i="47"/>
  <c r="AP205" i="47"/>
  <c r="AO130" i="47"/>
  <c r="AP189" i="47"/>
  <c r="AP252" i="47"/>
  <c r="AL294" i="47"/>
  <c r="AL190" i="47"/>
  <c r="AO255" i="47"/>
  <c r="AP242" i="47"/>
  <c r="AN144" i="47"/>
  <c r="AL193" i="47"/>
  <c r="AP307" i="47"/>
  <c r="AO266" i="47"/>
  <c r="AN230" i="47"/>
  <c r="AN149" i="47"/>
  <c r="AO320" i="47"/>
  <c r="AP261" i="47"/>
  <c r="AP118" i="47"/>
  <c r="AN113" i="47"/>
  <c r="AL265" i="47"/>
  <c r="AL145" i="47"/>
  <c r="AO271" i="47"/>
  <c r="AN225" i="47"/>
  <c r="AO251" i="47"/>
  <c r="AL323" i="47"/>
  <c r="AP246" i="47"/>
  <c r="AP308" i="47"/>
  <c r="AO310" i="47"/>
  <c r="AP232" i="47"/>
  <c r="AN290" i="47"/>
  <c r="AP116" i="47"/>
  <c r="AL229" i="47"/>
  <c r="AL122" i="47"/>
  <c r="AL194" i="47"/>
  <c r="AO264" i="47"/>
  <c r="AN188" i="47"/>
  <c r="AO162" i="47"/>
  <c r="AO268" i="47"/>
  <c r="AL235" i="47"/>
  <c r="AN229" i="47"/>
  <c r="AL306" i="47"/>
  <c r="AL302" i="47"/>
  <c r="AO247" i="47"/>
  <c r="AO327" i="47"/>
  <c r="AL137" i="47"/>
  <c r="AO253" i="47"/>
  <c r="AO231" i="47"/>
  <c r="AL157" i="47"/>
  <c r="AP166" i="47"/>
  <c r="AN178" i="47"/>
  <c r="AL214" i="47"/>
  <c r="AN131" i="47"/>
  <c r="AL139" i="47"/>
  <c r="AP169" i="47"/>
  <c r="AN264" i="47"/>
  <c r="AL116" i="47"/>
  <c r="AO233" i="47"/>
  <c r="AL262" i="47"/>
  <c r="AL174" i="47"/>
  <c r="AL257" i="47"/>
  <c r="AO315" i="47"/>
  <c r="AP150" i="47"/>
  <c r="AO312" i="47"/>
  <c r="AL158" i="47"/>
  <c r="AN192" i="47"/>
  <c r="AN234" i="47"/>
  <c r="AN277" i="47"/>
  <c r="AL178" i="47"/>
  <c r="AL201" i="47"/>
  <c r="AN221" i="47"/>
  <c r="AP164" i="47"/>
  <c r="AN115" i="47"/>
  <c r="AN159" i="47"/>
  <c r="AO134" i="47"/>
  <c r="AP144" i="47"/>
  <c r="AN181" i="47"/>
  <c r="AL183" i="47"/>
  <c r="AP322" i="47"/>
  <c r="AN322" i="47"/>
  <c r="AP135" i="47"/>
  <c r="AN252" i="47"/>
  <c r="AN249" i="47"/>
  <c r="AP275" i="47"/>
  <c r="AO269" i="47"/>
  <c r="AL318" i="47"/>
  <c r="AN140" i="47"/>
  <c r="AL254" i="47"/>
  <c r="AP292" i="47"/>
  <c r="AO290" i="47"/>
  <c r="AL220" i="47"/>
  <c r="AL251" i="47"/>
  <c r="AP200" i="47"/>
  <c r="AO184" i="47"/>
  <c r="AN273" i="47"/>
  <c r="AL155" i="47"/>
  <c r="AN292" i="47"/>
  <c r="AL326" i="47"/>
  <c r="AO192" i="47"/>
  <c r="AO127" i="47"/>
  <c r="AO308" i="47"/>
  <c r="AP154" i="47"/>
  <c r="AO203" i="47"/>
  <c r="AL321" i="47"/>
  <c r="AO226" i="47"/>
  <c r="AN327" i="47"/>
  <c r="AN175" i="47"/>
  <c r="AL205" i="47"/>
  <c r="AL112" i="47"/>
  <c r="AP289" i="47"/>
  <c r="AP255" i="47"/>
  <c r="AL239" i="47"/>
  <c r="AP287" i="47"/>
  <c r="AN269" i="47"/>
  <c r="AO119" i="47"/>
  <c r="AP117" i="47"/>
  <c r="AN176" i="47"/>
  <c r="AO185" i="47"/>
  <c r="AL167" i="47"/>
  <c r="AL227" i="47"/>
  <c r="AP267" i="47"/>
  <c r="AN169" i="47"/>
  <c r="AO292" i="47"/>
  <c r="AN150" i="47"/>
  <c r="AO259" i="47"/>
  <c r="AO303" i="47"/>
  <c r="AN293" i="47"/>
  <c r="AL303" i="47"/>
  <c r="AL317" i="47"/>
  <c r="AP299" i="47"/>
  <c r="AP290" i="47"/>
  <c r="AO316" i="47"/>
  <c r="AO219" i="47"/>
  <c r="AO256" i="47"/>
  <c r="AO281" i="47"/>
  <c r="AN325" i="47"/>
  <c r="AN173" i="47"/>
  <c r="AN156" i="47"/>
  <c r="AL281" i="47"/>
  <c r="AP236" i="47"/>
  <c r="AP325" i="47"/>
  <c r="AP185" i="47"/>
  <c r="AN295" i="47"/>
  <c r="AO318" i="47"/>
  <c r="AP277" i="47"/>
  <c r="AO234" i="47"/>
  <c r="AO291" i="47"/>
  <c r="AN308" i="47"/>
  <c r="AO214" i="47"/>
  <c r="AO125" i="47"/>
  <c r="AO243" i="47"/>
  <c r="AP161" i="47"/>
  <c r="AL259" i="47"/>
  <c r="AN160" i="47"/>
  <c r="AL207" i="47"/>
  <c r="AL129" i="47"/>
  <c r="AP224" i="47"/>
  <c r="M128" i="48"/>
  <c r="M148" i="48"/>
  <c r="M146" i="48"/>
  <c r="M120" i="48"/>
  <c r="M172" i="48"/>
  <c r="M152" i="48"/>
  <c r="M133" i="48"/>
  <c r="M165" i="48"/>
  <c r="M102" i="48"/>
  <c r="M109" i="48"/>
  <c r="M111" i="48"/>
  <c r="M171" i="48"/>
  <c r="M123" i="48"/>
  <c r="M117" i="48"/>
  <c r="M175" i="48"/>
  <c r="M113" i="48"/>
  <c r="M127" i="48"/>
  <c r="M174" i="48"/>
  <c r="M105" i="48"/>
  <c r="M149" i="48"/>
  <c r="M132" i="48"/>
  <c r="M160" i="48"/>
  <c r="M169" i="48"/>
  <c r="M135" i="48"/>
  <c r="M107" i="48"/>
  <c r="M104" i="48"/>
  <c r="M162" i="48"/>
  <c r="M170" i="48"/>
  <c r="M115" i="48"/>
  <c r="M129" i="48"/>
  <c r="M164" i="48"/>
  <c r="M144" i="48"/>
  <c r="M108" i="48"/>
  <c r="M118" i="48"/>
  <c r="M167" i="48"/>
  <c r="M103" i="48"/>
  <c r="M153" i="48"/>
  <c r="M119" i="48"/>
  <c r="M114" i="48"/>
  <c r="M142" i="48"/>
  <c r="M158" i="48"/>
  <c r="M124" i="48"/>
  <c r="M131" i="48"/>
  <c r="M147" i="48"/>
  <c r="M121" i="48"/>
  <c r="M134" i="48"/>
  <c r="M112" i="48"/>
  <c r="M110" i="48"/>
  <c r="M139" i="48"/>
  <c r="M168" i="48"/>
  <c r="M156" i="48"/>
  <c r="M125" i="48"/>
  <c r="M157" i="48"/>
  <c r="M151" i="48"/>
  <c r="M122" i="48"/>
  <c r="M145" i="48"/>
  <c r="M138" i="48"/>
  <c r="M136" i="48"/>
  <c r="M159" i="48"/>
  <c r="M163" i="48"/>
  <c r="M130" i="48"/>
  <c r="M176" i="48"/>
  <c r="M137" i="48"/>
  <c r="M154" i="48"/>
  <c r="M116" i="48"/>
  <c r="AL66" i="48"/>
  <c r="M26" i="48"/>
  <c r="F26" i="48" s="1"/>
  <c r="AL42" i="48"/>
  <c r="M2" i="48"/>
  <c r="M96" i="48"/>
  <c r="F96" i="48" s="1"/>
  <c r="AL136" i="48"/>
  <c r="M56" i="48"/>
  <c r="F56" i="48" s="1"/>
  <c r="AL96" i="48"/>
  <c r="M82" i="48"/>
  <c r="F82" i="48" s="1"/>
  <c r="AL122" i="48"/>
  <c r="M29" i="48"/>
  <c r="F29" i="48" s="1"/>
  <c r="AL69" i="48"/>
  <c r="M37" i="48"/>
  <c r="F37" i="48" s="1"/>
  <c r="AL77" i="48"/>
  <c r="M78" i="48"/>
  <c r="F78" i="48" s="1"/>
  <c r="AL118" i="48"/>
  <c r="M14" i="48"/>
  <c r="F14" i="48" s="1"/>
  <c r="AL54" i="48"/>
  <c r="M143" i="48"/>
  <c r="M22" i="48"/>
  <c r="F22" i="48" s="1"/>
  <c r="AL62" i="48"/>
  <c r="M20" i="48"/>
  <c r="F20" i="48" s="1"/>
  <c r="AL60" i="48"/>
  <c r="M88" i="48"/>
  <c r="F88" i="48" s="1"/>
  <c r="AL128" i="48"/>
  <c r="AL124" i="48"/>
  <c r="M84" i="48"/>
  <c r="F84" i="48" s="1"/>
  <c r="M155" i="48"/>
  <c r="M85" i="48"/>
  <c r="F85" i="48" s="1"/>
  <c r="AL125" i="48"/>
  <c r="M15" i="48"/>
  <c r="F15" i="48" s="1"/>
  <c r="AL55" i="48"/>
  <c r="M87" i="48"/>
  <c r="F87" i="48" s="1"/>
  <c r="AL127" i="48"/>
  <c r="M68" i="48"/>
  <c r="F68" i="48" s="1"/>
  <c r="AL108" i="48"/>
  <c r="M28" i="48"/>
  <c r="F28" i="48" s="1"/>
  <c r="AL68" i="48"/>
  <c r="M45" i="48"/>
  <c r="F45" i="48" s="1"/>
  <c r="AL85" i="48"/>
  <c r="M74" i="48"/>
  <c r="F74" i="48" s="1"/>
  <c r="AL114" i="48"/>
  <c r="M77" i="48"/>
  <c r="F77" i="48" s="1"/>
  <c r="AL117" i="48"/>
  <c r="M4" i="48"/>
  <c r="F4" i="48" s="1"/>
  <c r="AL44" i="48"/>
  <c r="M101" i="48"/>
  <c r="F101" i="48" s="1"/>
  <c r="AL141" i="48"/>
  <c r="M8" i="48"/>
  <c r="F8" i="48" s="1"/>
  <c r="AL48" i="48"/>
  <c r="M18" i="48"/>
  <c r="F18" i="48" s="1"/>
  <c r="AL58" i="48"/>
  <c r="M53" i="48"/>
  <c r="F53" i="48" s="1"/>
  <c r="AL93" i="48"/>
  <c r="M9" i="48"/>
  <c r="F9" i="48" s="1"/>
  <c r="AL49" i="48"/>
  <c r="M72" i="48"/>
  <c r="F72" i="48" s="1"/>
  <c r="AL112" i="48"/>
  <c r="M46" i="48"/>
  <c r="F46" i="48" s="1"/>
  <c r="AL86" i="48"/>
  <c r="M21" i="48"/>
  <c r="F21" i="48" s="1"/>
  <c r="AL61" i="48"/>
  <c r="M58" i="48"/>
  <c r="F58" i="48" s="1"/>
  <c r="AL98" i="48"/>
  <c r="M71" i="48"/>
  <c r="F71" i="48" s="1"/>
  <c r="AL111" i="48"/>
  <c r="M63" i="48"/>
  <c r="F63" i="48" s="1"/>
  <c r="AL103" i="48"/>
  <c r="M55" i="48"/>
  <c r="F55" i="48" s="1"/>
  <c r="AL95" i="48"/>
  <c r="M34" i="48"/>
  <c r="F34" i="48" s="1"/>
  <c r="AL74" i="48"/>
  <c r="M64" i="48"/>
  <c r="F64" i="48" s="1"/>
  <c r="AL104" i="48"/>
  <c r="M79" i="48"/>
  <c r="F79" i="48" s="1"/>
  <c r="AL119" i="48"/>
  <c r="M43" i="48"/>
  <c r="F43" i="48" s="1"/>
  <c r="AL83" i="48"/>
  <c r="M91" i="48"/>
  <c r="F91" i="48" s="1"/>
  <c r="AL131" i="48"/>
  <c r="M31" i="48"/>
  <c r="F31" i="48" s="1"/>
  <c r="AL71" i="48"/>
  <c r="M81" i="48"/>
  <c r="F81" i="48" s="1"/>
  <c r="AL121" i="48"/>
  <c r="M62" i="48"/>
  <c r="F62" i="48" s="1"/>
  <c r="AL102" i="48"/>
  <c r="M33" i="48"/>
  <c r="F33" i="48" s="1"/>
  <c r="AL73" i="48"/>
  <c r="M75" i="48"/>
  <c r="F75" i="48" s="1"/>
  <c r="AL115" i="48"/>
  <c r="M44" i="48"/>
  <c r="F44" i="48" s="1"/>
  <c r="AL84" i="48"/>
  <c r="M166" i="48"/>
  <c r="M106" i="48"/>
  <c r="M73" i="48"/>
  <c r="F73" i="48" s="1"/>
  <c r="AL113" i="48"/>
  <c r="M35" i="48"/>
  <c r="F35" i="48" s="1"/>
  <c r="AL75" i="48"/>
  <c r="M19" i="48"/>
  <c r="F19" i="48" s="1"/>
  <c r="AL59" i="48"/>
  <c r="M76" i="48"/>
  <c r="F76" i="48" s="1"/>
  <c r="AL116" i="48"/>
  <c r="M90" i="48"/>
  <c r="F90" i="48" s="1"/>
  <c r="AL130" i="48"/>
  <c r="M39" i="48"/>
  <c r="F39" i="48" s="1"/>
  <c r="AL79" i="48"/>
  <c r="M65" i="48"/>
  <c r="F65" i="48" s="1"/>
  <c r="AL105" i="48"/>
  <c r="M49" i="48"/>
  <c r="F49" i="48" s="1"/>
  <c r="AL89" i="48"/>
  <c r="M94" i="48"/>
  <c r="F94" i="48" s="1"/>
  <c r="AL134" i="48"/>
  <c r="M83" i="48"/>
  <c r="F83" i="48" s="1"/>
  <c r="AL123" i="48"/>
  <c r="M86" i="48"/>
  <c r="F86" i="48" s="1"/>
  <c r="AL126" i="48"/>
  <c r="M100" i="48"/>
  <c r="F100" i="48" s="1"/>
  <c r="AL140" i="48"/>
  <c r="M27" i="48"/>
  <c r="F27" i="48" s="1"/>
  <c r="AL67" i="48"/>
  <c r="M5" i="48"/>
  <c r="F5" i="48" s="1"/>
  <c r="AL45" i="48"/>
  <c r="M47" i="48"/>
  <c r="F47" i="48" s="1"/>
  <c r="AL87" i="48"/>
  <c r="M98" i="48"/>
  <c r="F98" i="48" s="1"/>
  <c r="AL138" i="48"/>
  <c r="M40" i="48"/>
  <c r="F40" i="48" s="1"/>
  <c r="AL80" i="48"/>
  <c r="M99" i="48"/>
  <c r="F99" i="48" s="1"/>
  <c r="AL139" i="48"/>
  <c r="M30" i="48"/>
  <c r="F30" i="48" s="1"/>
  <c r="AL70" i="48"/>
  <c r="M80" i="48"/>
  <c r="F80" i="48" s="1"/>
  <c r="AL120" i="48"/>
  <c r="M42" i="48"/>
  <c r="F42" i="48" s="1"/>
  <c r="AL82" i="48"/>
  <c r="M11" i="48"/>
  <c r="F11" i="48" s="1"/>
  <c r="AL51" i="48"/>
  <c r="M93" i="48"/>
  <c r="F93" i="48" s="1"/>
  <c r="AL133" i="48"/>
  <c r="M69" i="48"/>
  <c r="F69" i="48" s="1"/>
  <c r="AL109" i="48"/>
  <c r="M61" i="48"/>
  <c r="F61" i="48" s="1"/>
  <c r="AL101" i="48"/>
  <c r="M92" i="48"/>
  <c r="F92" i="48" s="1"/>
  <c r="AL132" i="48"/>
  <c r="M23" i="48"/>
  <c r="F23" i="48" s="1"/>
  <c r="AL63" i="48"/>
  <c r="M25" i="48"/>
  <c r="F25" i="48" s="1"/>
  <c r="AL65" i="48"/>
  <c r="M7" i="48"/>
  <c r="F7" i="48" s="1"/>
  <c r="AL47" i="48"/>
  <c r="M126" i="48"/>
  <c r="M150" i="48"/>
  <c r="M48" i="48"/>
  <c r="F48" i="48" s="1"/>
  <c r="AL88" i="48"/>
  <c r="AL50" i="48"/>
  <c r="M10" i="48"/>
  <c r="F10" i="48" s="1"/>
  <c r="M59" i="48"/>
  <c r="F59" i="48" s="1"/>
  <c r="AL99" i="48"/>
  <c r="AL43" i="48"/>
  <c r="M3" i="48"/>
  <c r="F3" i="48" s="1"/>
  <c r="M51" i="48"/>
  <c r="F51" i="48" s="1"/>
  <c r="AL91" i="48"/>
  <c r="M6" i="48"/>
  <c r="F6" i="48" s="1"/>
  <c r="AL46" i="48"/>
  <c r="M36" i="48"/>
  <c r="F36" i="48" s="1"/>
  <c r="AL76" i="48"/>
  <c r="M24" i="48"/>
  <c r="F24" i="48" s="1"/>
  <c r="AL64" i="48"/>
  <c r="M67" i="48"/>
  <c r="F67" i="48" s="1"/>
  <c r="AL107" i="48"/>
  <c r="M70" i="48"/>
  <c r="F70" i="48" s="1"/>
  <c r="AL110" i="48"/>
  <c r="M32" i="48"/>
  <c r="F32" i="48" s="1"/>
  <c r="AL72" i="48"/>
  <c r="M38" i="48"/>
  <c r="F38" i="48" s="1"/>
  <c r="AL78" i="48"/>
  <c r="M41" i="48"/>
  <c r="F41" i="48" s="1"/>
  <c r="AL81" i="48"/>
  <c r="M97" i="48"/>
  <c r="F97" i="48" s="1"/>
  <c r="AL137" i="48"/>
  <c r="M140" i="48"/>
  <c r="M161" i="48"/>
  <c r="M89" i="48"/>
  <c r="F89" i="48" s="1"/>
  <c r="AL129" i="48"/>
  <c r="M16" i="48"/>
  <c r="F16" i="48" s="1"/>
  <c r="AL56" i="48"/>
  <c r="M52" i="48"/>
  <c r="F52" i="48" s="1"/>
  <c r="AL92" i="48"/>
  <c r="M66" i="48"/>
  <c r="F66" i="48" s="1"/>
  <c r="AL106" i="48"/>
  <c r="M95" i="48"/>
  <c r="F95" i="48" s="1"/>
  <c r="AL135" i="48"/>
  <c r="M60" i="48"/>
  <c r="F60" i="48" s="1"/>
  <c r="AL100" i="48"/>
  <c r="M57" i="48"/>
  <c r="F57" i="48" s="1"/>
  <c r="AL97" i="48"/>
  <c r="M50" i="48"/>
  <c r="F50" i="48" s="1"/>
  <c r="AL90" i="48"/>
  <c r="M12" i="48"/>
  <c r="F12" i="48" s="1"/>
  <c r="AL52" i="48"/>
  <c r="M13" i="48"/>
  <c r="F13" i="48" s="1"/>
  <c r="AL53" i="48"/>
  <c r="M17" i="48"/>
  <c r="F17" i="48" s="1"/>
  <c r="AL57" i="48"/>
  <c r="M54" i="48"/>
  <c r="F54" i="48" s="1"/>
  <c r="AL94" i="48"/>
  <c r="M173" i="48"/>
  <c r="M141" i="48"/>
  <c r="F2" i="48" l="1"/>
  <c r="BM2" i="48" s="1"/>
  <c r="BM3" i="48"/>
  <c r="AM94" i="48"/>
  <c r="AM60" i="48"/>
  <c r="AM20" i="48"/>
  <c r="AM57" i="48"/>
  <c r="AM17" i="48"/>
  <c r="AM92" i="48"/>
  <c r="AM110" i="48"/>
  <c r="AM65" i="48"/>
  <c r="AM25" i="48"/>
  <c r="AM120" i="48"/>
  <c r="AM140" i="48"/>
  <c r="AM116" i="48"/>
  <c r="AM102" i="48"/>
  <c r="AM95" i="48"/>
  <c r="AM93" i="48"/>
  <c r="AM44" i="48"/>
  <c r="AM4" i="48"/>
  <c r="AM68" i="48"/>
  <c r="AM28" i="48"/>
  <c r="AM125" i="48"/>
  <c r="AM77" i="48"/>
  <c r="AM37" i="48"/>
  <c r="AM136" i="48"/>
  <c r="AM50" i="48"/>
  <c r="AM10" i="48"/>
  <c r="AM97" i="48"/>
  <c r="AM137" i="48"/>
  <c r="AM46" i="48"/>
  <c r="AM6" i="48"/>
  <c r="AM109" i="48"/>
  <c r="AM138" i="48"/>
  <c r="AM89" i="48"/>
  <c r="AM83" i="48"/>
  <c r="AM61" i="48"/>
  <c r="AM21" i="48"/>
  <c r="AM62" i="48"/>
  <c r="AM22" i="48"/>
  <c r="AM42" i="48"/>
  <c r="AM53" i="48"/>
  <c r="AM13" i="48"/>
  <c r="AM56" i="48"/>
  <c r="AM16" i="48"/>
  <c r="AM107" i="48"/>
  <c r="AM88" i="48"/>
  <c r="AM133" i="48"/>
  <c r="AM87" i="48"/>
  <c r="AM105" i="48"/>
  <c r="AM84" i="48"/>
  <c r="AM119" i="48"/>
  <c r="AM86" i="48"/>
  <c r="AM117" i="48"/>
  <c r="AM108" i="48"/>
  <c r="AM124" i="48"/>
  <c r="AM69" i="48"/>
  <c r="AM29" i="48"/>
  <c r="AM100" i="48"/>
  <c r="AM81" i="48"/>
  <c r="AM41" i="48"/>
  <c r="AM91" i="48"/>
  <c r="AM63" i="48"/>
  <c r="AM23" i="48"/>
  <c r="AM70" i="48"/>
  <c r="AM30" i="48"/>
  <c r="AM126" i="48"/>
  <c r="AM59" i="48"/>
  <c r="AM19" i="48"/>
  <c r="AM121" i="48"/>
  <c r="AM103" i="48"/>
  <c r="AM58" i="48"/>
  <c r="AM18" i="48"/>
  <c r="AM43" i="48"/>
  <c r="AM3" i="48"/>
  <c r="AM66" i="48"/>
  <c r="AM26" i="48"/>
  <c r="AM90" i="48"/>
  <c r="AM135" i="48"/>
  <c r="AM78" i="48"/>
  <c r="AM38" i="48"/>
  <c r="AM132" i="48"/>
  <c r="AM139" i="48"/>
  <c r="AM79" i="48"/>
  <c r="AM39" i="48"/>
  <c r="AM71" i="48"/>
  <c r="AM31" i="48"/>
  <c r="AM111" i="48"/>
  <c r="AM114" i="48"/>
  <c r="AM52" i="48"/>
  <c r="AM12" i="48"/>
  <c r="AM129" i="48"/>
  <c r="AM64" i="48"/>
  <c r="AM24" i="48"/>
  <c r="AM51" i="48"/>
  <c r="AM11" i="48"/>
  <c r="AM45" i="48"/>
  <c r="AM5" i="48"/>
  <c r="AM123" i="48"/>
  <c r="AM75" i="48"/>
  <c r="AM35" i="48"/>
  <c r="AM115" i="48"/>
  <c r="AM104" i="48"/>
  <c r="AM112" i="48"/>
  <c r="AM48" i="48"/>
  <c r="AM8" i="48"/>
  <c r="AM127" i="48"/>
  <c r="AM54" i="48"/>
  <c r="AM14" i="48"/>
  <c r="AM122" i="48"/>
  <c r="AM128" i="48"/>
  <c r="AM106" i="48"/>
  <c r="AM72" i="48"/>
  <c r="AM32" i="48"/>
  <c r="AM76" i="48"/>
  <c r="AM36" i="48"/>
  <c r="AM99" i="48"/>
  <c r="AM47" i="48"/>
  <c r="AM7" i="48"/>
  <c r="AM101" i="48"/>
  <c r="AM82" i="48"/>
  <c r="AM80" i="48"/>
  <c r="AM40" i="48"/>
  <c r="AM67" i="48"/>
  <c r="AM27" i="48"/>
  <c r="AM134" i="48"/>
  <c r="AM130" i="48"/>
  <c r="AM113" i="48"/>
  <c r="AM73" i="48"/>
  <c r="AM33" i="48"/>
  <c r="AM131" i="48"/>
  <c r="AM74" i="48"/>
  <c r="AM34" i="48"/>
  <c r="AM98" i="48"/>
  <c r="AM49" i="48"/>
  <c r="AM9" i="48"/>
  <c r="AM141" i="48"/>
  <c r="AM85" i="48"/>
  <c r="AM55" i="48"/>
  <c r="AM15" i="48"/>
  <c r="AM118" i="48"/>
  <c r="AM96" i="48"/>
  <c r="O3" i="47"/>
  <c r="AJ3" i="47"/>
  <c r="AJ185" i="47"/>
  <c r="AJ289" i="47"/>
  <c r="AJ252" i="47"/>
  <c r="AJ236" i="47"/>
  <c r="AJ117" i="47"/>
  <c r="AJ275" i="47"/>
  <c r="AJ144" i="47"/>
  <c r="AJ308" i="47"/>
  <c r="AJ163" i="47"/>
  <c r="AJ268" i="47"/>
  <c r="AJ298" i="47"/>
  <c r="AJ214" i="47"/>
  <c r="AJ257" i="47"/>
  <c r="AJ271" i="47"/>
  <c r="AJ119" i="47"/>
  <c r="AJ175" i="47"/>
  <c r="AJ122" i="47"/>
  <c r="AJ149" i="47"/>
  <c r="AJ288" i="47"/>
  <c r="AJ234" i="47"/>
  <c r="AJ284" i="47"/>
  <c r="AJ162" i="47"/>
  <c r="AJ208" i="47"/>
  <c r="AJ238" i="47"/>
  <c r="AJ177" i="47"/>
  <c r="AJ113" i="47"/>
  <c r="AJ276" i="47"/>
  <c r="AJ253" i="47"/>
  <c r="AJ327" i="47"/>
  <c r="AJ140" i="47"/>
  <c r="AJ154" i="47"/>
  <c r="AJ182" i="47"/>
  <c r="AJ290" i="47"/>
  <c r="AJ246" i="47"/>
  <c r="AJ118" i="47"/>
  <c r="AJ205" i="47"/>
  <c r="AJ270" i="47"/>
  <c r="AJ210" i="47"/>
  <c r="AJ280" i="47"/>
  <c r="AJ186" i="47"/>
  <c r="AJ126" i="47"/>
  <c r="AJ219" i="47"/>
  <c r="AJ310" i="47"/>
  <c r="AJ304" i="47"/>
  <c r="AJ248" i="47"/>
  <c r="AJ228" i="47"/>
  <c r="AJ196" i="47"/>
  <c r="AJ171" i="47"/>
  <c r="AJ319" i="47"/>
  <c r="AJ130" i="47"/>
  <c r="AJ235" i="47"/>
  <c r="AJ244" i="47"/>
  <c r="AJ279" i="47"/>
  <c r="AJ216" i="47"/>
  <c r="AJ139" i="47"/>
  <c r="AJ222" i="47"/>
  <c r="AJ299" i="47"/>
  <c r="AJ166" i="47"/>
  <c r="AJ261" i="47"/>
  <c r="AJ242" i="47"/>
  <c r="AJ296" i="47"/>
  <c r="AJ148" i="47"/>
  <c r="AJ265" i="47"/>
  <c r="AJ281" i="47"/>
  <c r="AJ317" i="47"/>
  <c r="AJ190" i="47"/>
  <c r="AJ312" i="47"/>
  <c r="AJ241" i="47"/>
  <c r="AJ179" i="47"/>
  <c r="AJ193" i="47"/>
  <c r="AJ266" i="47"/>
  <c r="AJ172" i="47"/>
  <c r="AJ303" i="47"/>
  <c r="AJ178" i="47"/>
  <c r="AJ301" i="47"/>
  <c r="AJ282" i="47"/>
  <c r="AJ305" i="47"/>
  <c r="AJ142" i="47"/>
  <c r="AJ274" i="47"/>
  <c r="AJ230" i="47"/>
  <c r="AJ324" i="47"/>
  <c r="AJ124" i="47"/>
  <c r="AJ115" i="47"/>
  <c r="AJ218" i="47"/>
  <c r="AJ300" i="47"/>
  <c r="AJ155" i="47"/>
  <c r="AJ153" i="47"/>
  <c r="AJ156" i="47"/>
  <c r="AJ313" i="47"/>
  <c r="AJ323" i="47"/>
  <c r="AJ201" i="47"/>
  <c r="AJ277" i="47"/>
  <c r="AJ267" i="47"/>
  <c r="AJ287" i="47"/>
  <c r="AJ292" i="47"/>
  <c r="AJ135" i="47"/>
  <c r="AJ221" i="47"/>
  <c r="AJ211" i="47"/>
  <c r="AJ245" i="47"/>
  <c r="AJ197" i="47"/>
  <c r="AJ226" i="47"/>
  <c r="AJ168" i="47"/>
  <c r="AJ110" i="47"/>
  <c r="AJ5" i="47"/>
  <c r="AJ92" i="47"/>
  <c r="AJ48" i="47"/>
  <c r="AJ40" i="47"/>
  <c r="AJ15" i="47"/>
  <c r="AJ94" i="47"/>
  <c r="AJ52" i="47"/>
  <c r="AJ28" i="47"/>
  <c r="AJ80" i="47"/>
  <c r="AJ76" i="47"/>
  <c r="AJ12" i="47"/>
  <c r="AJ49" i="47"/>
  <c r="AJ6" i="47"/>
  <c r="AJ108" i="47"/>
  <c r="AJ61" i="47"/>
  <c r="AJ38" i="47"/>
  <c r="AJ29" i="47"/>
  <c r="AJ17" i="47"/>
  <c r="AJ63" i="47"/>
  <c r="AJ53" i="47"/>
  <c r="AJ72" i="47"/>
  <c r="AJ7" i="47"/>
  <c r="AJ44" i="47"/>
  <c r="AJ90" i="47"/>
  <c r="AJ70" i="47"/>
  <c r="AJ42" i="47"/>
  <c r="AJ103" i="47"/>
  <c r="AJ104" i="47"/>
  <c r="AJ30" i="47"/>
  <c r="AJ32" i="47"/>
  <c r="AJ39" i="47"/>
  <c r="AJ10" i="47"/>
  <c r="AJ75" i="47"/>
  <c r="AJ23" i="47"/>
  <c r="AJ71" i="47"/>
  <c r="AJ14" i="47"/>
  <c r="AJ8" i="47"/>
  <c r="AJ84" i="47"/>
  <c r="AJ37" i="47"/>
  <c r="AJ50" i="47"/>
  <c r="AJ4" i="47"/>
  <c r="AJ62" i="47"/>
  <c r="AJ19" i="47"/>
  <c r="AJ87" i="47"/>
  <c r="AJ74" i="47"/>
  <c r="AJ22" i="47"/>
  <c r="AJ97" i="47"/>
  <c r="AJ83" i="47"/>
  <c r="AJ27" i="47"/>
  <c r="AJ56" i="47"/>
  <c r="AJ57" i="47"/>
  <c r="AJ95" i="47"/>
  <c r="AJ93" i="47"/>
  <c r="AJ106" i="47"/>
  <c r="AJ51" i="47"/>
  <c r="AJ85" i="47"/>
  <c r="AJ45" i="47"/>
  <c r="AJ65" i="47"/>
  <c r="AJ81" i="47"/>
  <c r="AJ18" i="47"/>
  <c r="AJ69" i="47"/>
  <c r="AJ66" i="47"/>
  <c r="AJ82" i="47"/>
  <c r="AJ55" i="47"/>
  <c r="AJ73" i="47"/>
  <c r="AJ9" i="47"/>
  <c r="AJ105" i="47"/>
  <c r="AJ47" i="47"/>
  <c r="AJ21" i="47"/>
  <c r="AJ26" i="47"/>
  <c r="AJ79" i="47"/>
  <c r="AJ68" i="47"/>
  <c r="AJ41" i="47"/>
  <c r="AJ67" i="47"/>
  <c r="AJ16" i="47"/>
  <c r="AJ59" i="47"/>
  <c r="AJ96" i="47"/>
  <c r="AJ64" i="47"/>
  <c r="AJ109" i="47"/>
  <c r="AJ107" i="47"/>
  <c r="AJ78" i="47"/>
  <c r="AJ31" i="47"/>
  <c r="AJ43" i="47"/>
  <c r="AJ35" i="47"/>
  <c r="AJ34" i="47"/>
  <c r="AJ60" i="47"/>
  <c r="AJ46" i="47"/>
  <c r="AJ13" i="47"/>
  <c r="AJ54" i="47"/>
  <c r="AJ11" i="47"/>
  <c r="AJ33" i="47"/>
  <c r="AJ77" i="47"/>
  <c r="AJ36" i="47"/>
  <c r="AJ25" i="47"/>
  <c r="AJ20" i="47"/>
  <c r="AJ24" i="47"/>
  <c r="AJ88" i="47"/>
  <c r="AJ91" i="47"/>
  <c r="AJ89" i="47"/>
  <c r="AJ86" i="47"/>
  <c r="AJ98" i="47"/>
  <c r="AJ58" i="47"/>
  <c r="AJ293" i="47"/>
  <c r="AJ157" i="47"/>
  <c r="AJ206" i="47"/>
  <c r="AJ318" i="47"/>
  <c r="AJ256" i="47"/>
  <c r="AJ217" i="47"/>
  <c r="AJ227" i="47"/>
  <c r="AJ291" i="47"/>
  <c r="AJ311" i="47"/>
  <c r="AJ188" i="47"/>
  <c r="AJ123" i="47"/>
  <c r="AJ225" i="47"/>
  <c r="AJ112" i="47"/>
  <c r="AJ184" i="47"/>
  <c r="AJ161" i="47"/>
  <c r="AJ164" i="47"/>
  <c r="AJ116" i="47"/>
  <c r="AJ264" i="47"/>
  <c r="AJ195" i="47"/>
  <c r="AJ180" i="47"/>
  <c r="AJ183" i="47"/>
  <c r="AJ131" i="47"/>
  <c r="AJ194" i="47"/>
  <c r="AJ309" i="47"/>
  <c r="AJ233" i="47"/>
  <c r="AJ254" i="47"/>
  <c r="AJ209" i="47"/>
  <c r="AJ132" i="47"/>
  <c r="AJ136" i="47"/>
  <c r="AJ239" i="47"/>
  <c r="AJ237" i="47"/>
  <c r="AJ174" i="47"/>
  <c r="AJ320" i="47"/>
  <c r="AJ114" i="47"/>
  <c r="AJ207" i="47"/>
  <c r="AJ120" i="47"/>
  <c r="AJ247" i="47"/>
  <c r="AJ316" i="47"/>
  <c r="AJ198" i="47"/>
  <c r="AJ141" i="47"/>
  <c r="AJ272" i="47"/>
  <c r="AJ143" i="47"/>
  <c r="AJ240" i="47"/>
  <c r="AJ255" i="47"/>
  <c r="AJ322" i="47"/>
  <c r="AJ150" i="47"/>
  <c r="AJ169" i="47"/>
  <c r="AJ321" i="47"/>
  <c r="AJ262" i="47"/>
  <c r="AJ134" i="47"/>
  <c r="AJ202" i="47"/>
  <c r="AJ191" i="47"/>
  <c r="AJ223" i="47"/>
  <c r="AJ137" i="47"/>
  <c r="AJ128" i="47"/>
  <c r="AJ173" i="47"/>
  <c r="AJ295" i="47"/>
  <c r="AJ170" i="47"/>
  <c r="AJ285" i="47"/>
  <c r="AJ315" i="47"/>
  <c r="AJ220" i="47"/>
  <c r="AJ151" i="47"/>
  <c r="AJ302" i="47"/>
  <c r="AJ167" i="47"/>
  <c r="AJ258" i="47"/>
  <c r="AJ229" i="47"/>
  <c r="AJ306" i="47"/>
  <c r="AJ273" i="47"/>
  <c r="AJ181" i="47"/>
  <c r="AJ121" i="47"/>
  <c r="AJ147" i="47"/>
  <c r="AJ283" i="47"/>
  <c r="AJ232" i="47"/>
  <c r="AJ243" i="47"/>
  <c r="AJ278" i="47"/>
  <c r="AJ203" i="47"/>
  <c r="AJ215" i="47"/>
  <c r="AJ249" i="47"/>
  <c r="AJ187" i="47"/>
  <c r="AJ152" i="47"/>
  <c r="AJ263" i="47"/>
  <c r="AJ159" i="47"/>
  <c r="AJ146" i="47"/>
  <c r="AJ213" i="47"/>
  <c r="AJ286" i="47"/>
  <c r="AJ133" i="47"/>
  <c r="AJ125" i="47"/>
  <c r="AJ250" i="47"/>
  <c r="AJ297" i="47"/>
  <c r="AJ204" i="47"/>
  <c r="AJ314" i="47"/>
  <c r="AJ176" i="47"/>
  <c r="AJ260" i="47"/>
  <c r="AJ212" i="47"/>
  <c r="AJ224" i="47"/>
  <c r="AJ325" i="47"/>
  <c r="AJ200" i="47"/>
  <c r="AJ307" i="47"/>
  <c r="AJ189" i="47"/>
  <c r="AJ269" i="47"/>
  <c r="AJ231" i="47"/>
  <c r="AJ199" i="47"/>
  <c r="AJ192" i="47"/>
  <c r="AJ251" i="47"/>
  <c r="AJ127" i="47"/>
  <c r="AJ138" i="47"/>
  <c r="AJ294" i="47"/>
  <c r="AJ259" i="47"/>
  <c r="AJ160" i="47"/>
  <c r="AJ165" i="47"/>
  <c r="AJ111" i="47"/>
  <c r="AJ326" i="47"/>
  <c r="AJ158" i="47"/>
  <c r="AJ129" i="47"/>
  <c r="AJ145" i="47"/>
  <c r="AM2" i="48" l="1"/>
  <c r="AG221" i="55"/>
  <c r="AG213" i="55"/>
  <c r="AG205" i="55"/>
  <c r="AG197" i="55"/>
  <c r="AG189" i="55"/>
  <c r="AG181" i="55"/>
  <c r="AG178" i="55"/>
  <c r="AG174" i="55"/>
  <c r="AG158" i="55"/>
  <c r="AG150" i="55"/>
  <c r="AG147" i="55"/>
  <c r="AG144" i="55"/>
  <c r="AG137" i="55"/>
  <c r="AG133" i="55"/>
  <c r="AG130" i="55"/>
  <c r="AG220" i="55"/>
  <c r="AG212" i="55"/>
  <c r="AG204" i="55"/>
  <c r="AG196" i="55"/>
  <c r="AG188" i="55"/>
  <c r="AG183" i="55"/>
  <c r="AG180" i="55"/>
  <c r="AG168" i="55"/>
  <c r="AG166" i="55"/>
  <c r="AG161" i="55"/>
  <c r="AG155" i="55"/>
  <c r="AG142" i="55"/>
  <c r="AG139" i="55"/>
  <c r="AG127" i="55"/>
  <c r="AG125" i="55"/>
  <c r="AG123" i="55"/>
  <c r="AG120" i="55"/>
  <c r="AG219" i="55"/>
  <c r="AG211" i="55"/>
  <c r="AG203" i="55"/>
  <c r="AG195" i="55"/>
  <c r="AG187" i="55"/>
  <c r="AG185" i="55"/>
  <c r="AG173" i="55"/>
  <c r="AG170" i="55"/>
  <c r="AG163" i="55"/>
  <c r="AG218" i="55"/>
  <c r="AG210" i="55"/>
  <c r="AG202" i="55"/>
  <c r="AG194" i="55"/>
  <c r="AG175" i="55"/>
  <c r="AG172" i="55"/>
  <c r="AG159" i="55"/>
  <c r="AG157" i="55"/>
  <c r="AG149" i="55"/>
  <c r="AG141" i="55"/>
  <c r="AG217" i="55"/>
  <c r="AG209" i="55"/>
  <c r="AG201" i="55"/>
  <c r="AG193" i="55"/>
  <c r="AG184" i="55"/>
  <c r="AG179" i="55"/>
  <c r="AG171" i="55"/>
  <c r="AG216" i="55"/>
  <c r="AG208" i="55"/>
  <c r="AG200" i="55"/>
  <c r="AG192" i="55"/>
  <c r="AG186" i="55"/>
  <c r="AG177" i="55"/>
  <c r="AG164" i="55"/>
  <c r="AG160" i="55"/>
  <c r="AG148" i="55"/>
  <c r="AG131" i="55"/>
  <c r="AG215" i="55"/>
  <c r="AG207" i="55"/>
  <c r="AG199" i="55"/>
  <c r="AG191" i="55"/>
  <c r="AG182" i="55"/>
  <c r="AG176" i="55"/>
  <c r="AG167" i="55"/>
  <c r="AG152" i="55"/>
  <c r="AG134" i="55"/>
  <c r="AG214" i="55"/>
  <c r="AG206" i="55"/>
  <c r="AG198" i="55"/>
  <c r="AG190" i="55"/>
  <c r="AG169" i="55"/>
  <c r="AG162" i="55"/>
  <c r="AG154" i="55"/>
  <c r="AG151" i="55"/>
  <c r="AG145" i="55"/>
  <c r="AG165" i="55"/>
  <c r="AG156" i="55"/>
  <c r="AG138" i="55"/>
  <c r="AG114" i="55"/>
  <c r="AG98" i="55"/>
  <c r="AG96" i="55"/>
  <c r="AG90" i="55"/>
  <c r="AG85" i="55"/>
  <c r="AG82" i="55"/>
  <c r="AG71" i="55"/>
  <c r="AG66" i="55"/>
  <c r="AG63" i="55"/>
  <c r="AG50" i="55"/>
  <c r="AG49" i="55"/>
  <c r="AG28" i="55"/>
  <c r="AG11" i="55"/>
  <c r="AG8" i="55"/>
  <c r="AG6" i="55"/>
  <c r="AG2" i="55"/>
  <c r="AG108" i="55"/>
  <c r="AG52" i="55"/>
  <c r="AG9" i="55"/>
  <c r="AG136" i="55"/>
  <c r="AG128" i="55"/>
  <c r="AG124" i="55"/>
  <c r="AG101" i="55"/>
  <c r="AG93" i="55"/>
  <c r="AG79" i="55"/>
  <c r="AG67" i="55"/>
  <c r="AG61" i="55"/>
  <c r="AG60" i="55"/>
  <c r="AG59" i="55"/>
  <c r="AG51" i="55"/>
  <c r="AG48" i="55"/>
  <c r="AG40" i="55"/>
  <c r="AG36" i="55"/>
  <c r="AG17" i="55"/>
  <c r="AG10" i="55"/>
  <c r="AG7" i="55"/>
  <c r="AG4" i="55"/>
  <c r="AG146" i="55"/>
  <c r="AG126" i="55"/>
  <c r="AG87" i="55"/>
  <c r="AG64" i="55"/>
  <c r="AG56" i="55"/>
  <c r="AG34" i="55"/>
  <c r="AG29" i="55"/>
  <c r="AG3" i="55"/>
  <c r="AG122" i="55"/>
  <c r="AG119" i="55"/>
  <c r="AG117" i="55"/>
  <c r="AG107" i="55"/>
  <c r="AG104" i="55"/>
  <c r="AG91" i="55"/>
  <c r="AG88" i="55"/>
  <c r="AG83" i="55"/>
  <c r="AG80" i="55"/>
  <c r="AG74" i="55"/>
  <c r="AG68" i="55"/>
  <c r="AG46" i="55"/>
  <c r="AG44" i="55"/>
  <c r="AG41" i="55"/>
  <c r="AG19" i="55"/>
  <c r="AG16" i="55"/>
  <c r="AG14" i="55"/>
  <c r="AG12" i="55"/>
  <c r="AG5" i="55"/>
  <c r="AG95" i="55"/>
  <c r="AG140" i="55"/>
  <c r="AG116" i="55"/>
  <c r="AG112" i="55"/>
  <c r="AG106" i="55"/>
  <c r="AG102" i="55"/>
  <c r="AG99" i="55"/>
  <c r="AG76" i="55"/>
  <c r="AG62" i="55"/>
  <c r="AG57" i="55"/>
  <c r="AG47" i="55"/>
  <c r="AG43" i="55"/>
  <c r="AG18" i="55"/>
  <c r="AG15" i="55"/>
  <c r="AG13" i="55"/>
  <c r="AG103" i="55"/>
  <c r="AG70" i="55"/>
  <c r="AG65" i="55"/>
  <c r="AG135" i="55"/>
  <c r="AG121" i="55"/>
  <c r="AG115" i="55"/>
  <c r="AG100" i="55"/>
  <c r="AG92" i="55"/>
  <c r="AG86" i="55"/>
  <c r="AG84" i="55"/>
  <c r="AG75" i="55"/>
  <c r="AG72" i="55"/>
  <c r="AG69" i="55"/>
  <c r="AG58" i="55"/>
  <c r="AG24" i="55"/>
  <c r="AG22" i="55"/>
  <c r="AG20" i="55"/>
  <c r="AG45" i="55"/>
  <c r="AG26" i="55"/>
  <c r="AG143" i="55"/>
  <c r="AG132" i="55"/>
  <c r="AG129" i="55"/>
  <c r="AG118" i="55"/>
  <c r="AG110" i="55"/>
  <c r="AG97" i="55"/>
  <c r="AG94" i="55"/>
  <c r="AG89" i="55"/>
  <c r="AG81" i="55"/>
  <c r="AG78" i="55"/>
  <c r="AG77" i="55"/>
  <c r="AG73" i="55"/>
  <c r="AG54" i="55"/>
  <c r="AG53" i="55"/>
  <c r="AG25" i="55"/>
  <c r="AG23" i="55"/>
  <c r="AG21" i="55"/>
  <c r="AG153" i="55"/>
  <c r="AG113" i="55"/>
  <c r="AG111" i="55"/>
  <c r="AG109" i="55"/>
  <c r="AG105" i="55"/>
  <c r="AG55" i="55"/>
  <c r="AG42" i="55"/>
  <c r="AG39" i="55"/>
  <c r="AG38" i="55"/>
  <c r="AG37" i="55"/>
  <c r="AG33" i="55"/>
  <c r="AG32" i="55"/>
  <c r="AG27" i="55"/>
  <c r="AG35" i="55"/>
  <c r="AG31" i="55"/>
  <c r="AG30" i="55"/>
  <c r="AN221" i="54"/>
  <c r="AE218" i="54"/>
  <c r="AF218" i="54" s="1"/>
  <c r="AG212" i="54"/>
  <c r="AN210" i="54"/>
  <c r="AE207" i="54"/>
  <c r="AF207" i="54" s="1"/>
  <c r="AG203" i="54"/>
  <c r="AG201" i="54"/>
  <c r="AN199" i="54"/>
  <c r="AE196" i="54"/>
  <c r="AF196" i="54" s="1"/>
  <c r="AG192" i="54"/>
  <c r="AG190" i="54"/>
  <c r="AN188" i="54"/>
  <c r="AE187" i="54"/>
  <c r="AF187" i="54" s="1"/>
  <c r="AE185" i="54"/>
  <c r="AF185" i="54" s="1"/>
  <c r="AG181" i="54"/>
  <c r="AN179" i="54"/>
  <c r="AN177" i="54"/>
  <c r="AE176" i="54"/>
  <c r="AF176" i="54" s="1"/>
  <c r="AE174" i="54"/>
  <c r="AF174" i="54" s="1"/>
  <c r="AE168" i="54"/>
  <c r="AF168" i="54" s="1"/>
  <c r="AG165" i="54"/>
  <c r="AN164" i="54"/>
  <c r="AE159" i="54"/>
  <c r="AF159" i="54" s="1"/>
  <c r="AG157" i="54"/>
  <c r="AN156" i="54"/>
  <c r="AE151" i="54"/>
  <c r="AF151" i="54" s="1"/>
  <c r="AG149" i="54"/>
  <c r="AN148" i="54"/>
  <c r="AE143" i="54"/>
  <c r="AF143" i="54" s="1"/>
  <c r="AG141" i="54"/>
  <c r="AN140" i="54"/>
  <c r="AE135" i="54"/>
  <c r="AF135" i="54" s="1"/>
  <c r="AG133" i="54"/>
  <c r="AN132" i="54"/>
  <c r="AE127" i="54"/>
  <c r="AF127" i="54" s="1"/>
  <c r="AG125" i="54"/>
  <c r="AN124" i="54"/>
  <c r="AN123" i="54"/>
  <c r="AG221" i="54"/>
  <c r="AN219" i="54"/>
  <c r="AN217" i="54"/>
  <c r="AE216" i="54"/>
  <c r="AF216" i="54" s="1"/>
  <c r="AE214" i="54"/>
  <c r="AF214" i="54" s="1"/>
  <c r="AG210" i="54"/>
  <c r="AN208" i="54"/>
  <c r="AN206" i="54"/>
  <c r="AE205" i="54"/>
  <c r="AF205" i="54" s="1"/>
  <c r="AG199" i="54"/>
  <c r="AN197" i="54"/>
  <c r="AE194" i="54"/>
  <c r="AF194" i="54" s="1"/>
  <c r="AG188" i="54"/>
  <c r="AN186" i="54"/>
  <c r="AE183" i="54"/>
  <c r="AF183" i="54" s="1"/>
  <c r="AG179" i="54"/>
  <c r="AG177" i="54"/>
  <c r="AN175" i="54"/>
  <c r="AE172" i="54"/>
  <c r="AF172" i="54" s="1"/>
  <c r="AE167" i="54"/>
  <c r="AF167" i="54" s="1"/>
  <c r="AE166" i="54"/>
  <c r="AF166" i="54" s="1"/>
  <c r="AG164" i="54"/>
  <c r="AN163" i="54"/>
  <c r="AE158" i="54"/>
  <c r="AF158" i="54" s="1"/>
  <c r="AG156" i="54"/>
  <c r="AN155" i="54"/>
  <c r="AE150" i="54"/>
  <c r="AF150" i="54" s="1"/>
  <c r="AG148" i="54"/>
  <c r="AN147" i="54"/>
  <c r="AE142" i="54"/>
  <c r="AF142" i="54" s="1"/>
  <c r="AG140" i="54"/>
  <c r="AN139" i="54"/>
  <c r="AE134" i="54"/>
  <c r="AF134" i="54" s="1"/>
  <c r="AG132" i="54"/>
  <c r="AN131" i="54"/>
  <c r="AE126" i="54"/>
  <c r="AF126" i="54" s="1"/>
  <c r="AG124" i="54"/>
  <c r="AG123" i="54"/>
  <c r="AN122" i="54"/>
  <c r="AG219" i="54"/>
  <c r="AG217" i="54"/>
  <c r="AN215" i="54"/>
  <c r="AE212" i="54"/>
  <c r="AF212" i="54" s="1"/>
  <c r="AG208" i="54"/>
  <c r="AG206" i="54"/>
  <c r="AN204" i="54"/>
  <c r="AE203" i="54"/>
  <c r="AF203" i="54" s="1"/>
  <c r="AE201" i="54"/>
  <c r="AF201" i="54" s="1"/>
  <c r="AG197" i="54"/>
  <c r="AN195" i="54"/>
  <c r="AN193" i="54"/>
  <c r="AE192" i="54"/>
  <c r="AF192" i="54" s="1"/>
  <c r="AE190" i="54"/>
  <c r="AF190" i="54" s="1"/>
  <c r="AG186" i="54"/>
  <c r="AN184" i="54"/>
  <c r="AN182" i="54"/>
  <c r="AE181" i="54"/>
  <c r="AF181" i="54" s="1"/>
  <c r="AG175" i="54"/>
  <c r="AN173" i="54"/>
  <c r="AE165" i="54"/>
  <c r="AF165" i="54" s="1"/>
  <c r="AG163" i="54"/>
  <c r="AN162" i="54"/>
  <c r="AE221" i="54"/>
  <c r="AF221" i="54" s="1"/>
  <c r="AG215" i="54"/>
  <c r="AN213" i="54"/>
  <c r="AE210" i="54"/>
  <c r="AF210" i="54" s="1"/>
  <c r="AG204" i="54"/>
  <c r="AN202" i="54"/>
  <c r="AE199" i="54"/>
  <c r="AF199" i="54" s="1"/>
  <c r="AG195" i="54"/>
  <c r="AG193" i="54"/>
  <c r="AN191" i="54"/>
  <c r="AE188" i="54"/>
  <c r="AF188" i="54" s="1"/>
  <c r="AG184" i="54"/>
  <c r="AG182" i="54"/>
  <c r="AN180" i="54"/>
  <c r="AE179" i="54"/>
  <c r="AF179" i="54" s="1"/>
  <c r="AE177" i="54"/>
  <c r="AF177" i="54" s="1"/>
  <c r="AG173" i="54"/>
  <c r="AN171" i="54"/>
  <c r="AN170" i="54"/>
  <c r="AE164" i="54"/>
  <c r="AF164" i="54" s="1"/>
  <c r="AG162" i="54"/>
  <c r="AN161" i="54"/>
  <c r="AE156" i="54"/>
  <c r="AF156" i="54" s="1"/>
  <c r="AG154" i="54"/>
  <c r="AN153" i="54"/>
  <c r="AN220" i="54"/>
  <c r="AE219" i="54"/>
  <c r="AF219" i="54" s="1"/>
  <c r="AE217" i="54"/>
  <c r="AF217" i="54" s="1"/>
  <c r="AG213" i="54"/>
  <c r="AN211" i="54"/>
  <c r="AN209" i="54"/>
  <c r="AE208" i="54"/>
  <c r="AF208" i="54" s="1"/>
  <c r="AE206" i="54"/>
  <c r="AF206" i="54" s="1"/>
  <c r="AG202" i="54"/>
  <c r="AN200" i="54"/>
  <c r="AN198" i="54"/>
  <c r="AE197" i="54"/>
  <c r="AF197" i="54" s="1"/>
  <c r="AG191" i="54"/>
  <c r="AN189" i="54"/>
  <c r="AE186" i="54"/>
  <c r="AF186" i="54" s="1"/>
  <c r="AG180" i="54"/>
  <c r="AN178" i="54"/>
  <c r="AE175" i="54"/>
  <c r="AF175" i="54" s="1"/>
  <c r="AG171" i="54"/>
  <c r="AG170" i="54"/>
  <c r="AN169" i="54"/>
  <c r="AE163" i="54"/>
  <c r="AF163" i="54" s="1"/>
  <c r="AG161" i="54"/>
  <c r="AN160" i="54"/>
  <c r="AE155" i="54"/>
  <c r="AF155" i="54" s="1"/>
  <c r="AG153" i="54"/>
  <c r="AN152" i="54"/>
  <c r="AG220" i="54"/>
  <c r="AN218" i="54"/>
  <c r="AE215" i="54"/>
  <c r="AF215" i="54" s="1"/>
  <c r="AG211" i="54"/>
  <c r="AG209" i="54"/>
  <c r="AN207" i="54"/>
  <c r="AE204" i="54"/>
  <c r="AF204" i="54" s="1"/>
  <c r="AG200" i="54"/>
  <c r="AG198" i="54"/>
  <c r="AN196" i="54"/>
  <c r="AE195" i="54"/>
  <c r="AF195" i="54" s="1"/>
  <c r="AE193" i="54"/>
  <c r="AF193" i="54" s="1"/>
  <c r="AG189" i="54"/>
  <c r="AN187" i="54"/>
  <c r="AN185" i="54"/>
  <c r="AE184" i="54"/>
  <c r="AF184" i="54" s="1"/>
  <c r="AE182" i="54"/>
  <c r="AF182" i="54" s="1"/>
  <c r="AG178" i="54"/>
  <c r="AN176" i="54"/>
  <c r="AN174" i="54"/>
  <c r="AE173" i="54"/>
  <c r="AF173" i="54" s="1"/>
  <c r="AG169" i="54"/>
  <c r="AN168" i="54"/>
  <c r="AE162" i="54"/>
  <c r="AF162" i="54" s="1"/>
  <c r="AG160" i="54"/>
  <c r="AN159" i="54"/>
  <c r="AE154" i="54"/>
  <c r="AF154" i="54" s="1"/>
  <c r="AG152" i="54"/>
  <c r="AN151" i="54"/>
  <c r="AE146" i="54"/>
  <c r="AF146" i="54" s="1"/>
  <c r="AG144" i="54"/>
  <c r="AN143" i="54"/>
  <c r="AG218" i="54"/>
  <c r="AN216" i="54"/>
  <c r="AN214" i="54"/>
  <c r="AE213" i="54"/>
  <c r="AF213" i="54" s="1"/>
  <c r="AG207" i="54"/>
  <c r="AN205" i="54"/>
  <c r="AE202" i="54"/>
  <c r="AF202" i="54" s="1"/>
  <c r="AG196" i="54"/>
  <c r="AN194" i="54"/>
  <c r="AE191" i="54"/>
  <c r="AF191" i="54" s="1"/>
  <c r="AG187" i="54"/>
  <c r="AG185" i="54"/>
  <c r="AN183" i="54"/>
  <c r="AE180" i="54"/>
  <c r="AF180" i="54" s="1"/>
  <c r="AG176" i="54"/>
  <c r="AG174" i="54"/>
  <c r="AN172" i="54"/>
  <c r="AE171" i="54"/>
  <c r="AF171" i="54" s="1"/>
  <c r="AE170" i="54"/>
  <c r="AF170" i="54" s="1"/>
  <c r="AG168" i="54"/>
  <c r="AN167" i="54"/>
  <c r="AN166" i="54"/>
  <c r="AE161" i="54"/>
  <c r="AF161" i="54" s="1"/>
  <c r="AG159" i="54"/>
  <c r="AN158" i="54"/>
  <c r="AE153" i="54"/>
  <c r="AF153" i="54" s="1"/>
  <c r="AG151" i="54"/>
  <c r="AN150" i="54"/>
  <c r="AE145" i="54"/>
  <c r="AF145" i="54" s="1"/>
  <c r="AG143" i="54"/>
  <c r="AN142" i="54"/>
  <c r="AE137" i="54"/>
  <c r="AF137" i="54" s="1"/>
  <c r="AG135" i="54"/>
  <c r="AN134" i="54"/>
  <c r="AE129" i="54"/>
  <c r="AF129" i="54" s="1"/>
  <c r="AG127" i="54"/>
  <c r="AN126" i="54"/>
  <c r="AE121" i="54"/>
  <c r="AF121" i="54" s="1"/>
  <c r="AE220" i="54"/>
  <c r="AF220" i="54" s="1"/>
  <c r="AG205" i="54"/>
  <c r="AN190" i="54"/>
  <c r="AG166" i="54"/>
  <c r="AE149" i="54"/>
  <c r="AF149" i="54" s="1"/>
  <c r="AG147" i="54"/>
  <c r="AE139" i="54"/>
  <c r="AF139" i="54" s="1"/>
  <c r="AG136" i="54"/>
  <c r="AN133" i="54"/>
  <c r="AN130" i="54"/>
  <c r="AG126" i="54"/>
  <c r="AN119" i="54"/>
  <c r="AE114" i="54"/>
  <c r="AF114" i="54" s="1"/>
  <c r="AG113" i="54"/>
  <c r="AN112" i="54"/>
  <c r="AN111" i="54"/>
  <c r="AE211" i="54"/>
  <c r="AF211" i="54" s="1"/>
  <c r="AN181" i="54"/>
  <c r="AE169" i="54"/>
  <c r="AF169" i="54" s="1"/>
  <c r="AE148" i="54"/>
  <c r="AF148" i="54" s="1"/>
  <c r="AG146" i="54"/>
  <c r="AN135" i="54"/>
  <c r="AE131" i="54"/>
  <c r="AF131" i="54" s="1"/>
  <c r="AG128" i="54"/>
  <c r="AN125" i="54"/>
  <c r="AG122" i="54"/>
  <c r="AG116" i="54"/>
  <c r="AG115" i="54"/>
  <c r="AN114" i="54"/>
  <c r="AG108" i="54"/>
  <c r="AG107" i="54"/>
  <c r="AN106" i="54"/>
  <c r="AG100" i="54"/>
  <c r="AE99" i="54"/>
  <c r="AF99" i="54" s="1"/>
  <c r="AN97" i="54"/>
  <c r="AN94" i="54"/>
  <c r="AG90" i="54"/>
  <c r="AG87" i="54"/>
  <c r="AG84" i="54"/>
  <c r="AE83" i="54"/>
  <c r="AF83" i="54" s="1"/>
  <c r="AN81" i="54"/>
  <c r="AE209" i="54"/>
  <c r="AF209" i="54" s="1"/>
  <c r="AG194" i="54"/>
  <c r="AE152" i="54"/>
  <c r="AF152" i="54" s="1"/>
  <c r="AN144" i="54"/>
  <c r="AG139" i="54"/>
  <c r="AE138" i="54"/>
  <c r="AF138" i="54" s="1"/>
  <c r="AN129" i="54"/>
  <c r="AE128" i="54"/>
  <c r="AF128" i="54" s="1"/>
  <c r="AE125" i="54"/>
  <c r="AF125" i="54" s="1"/>
  <c r="AE117" i="54"/>
  <c r="AF117" i="54" s="1"/>
  <c r="AG114" i="54"/>
  <c r="AE109" i="54"/>
  <c r="AF109" i="54" s="1"/>
  <c r="AG106" i="54"/>
  <c r="AN201" i="54"/>
  <c r="AE178" i="54"/>
  <c r="AF178" i="54" s="1"/>
  <c r="AN154" i="54"/>
  <c r="AE147" i="54"/>
  <c r="AF147" i="54" s="1"/>
  <c r="AE144" i="54"/>
  <c r="AF144" i="54" s="1"/>
  <c r="AN141" i="54"/>
  <c r="AE132" i="54"/>
  <c r="AF132" i="54" s="1"/>
  <c r="AE130" i="54"/>
  <c r="AF130" i="54" s="1"/>
  <c r="AE119" i="54"/>
  <c r="AF119" i="54" s="1"/>
  <c r="AN116" i="54"/>
  <c r="AN113" i="54"/>
  <c r="AE112" i="54"/>
  <c r="AF112" i="54" s="1"/>
  <c r="AN110" i="54"/>
  <c r="AG109" i="54"/>
  <c r="AN105" i="54"/>
  <c r="AG104" i="54"/>
  <c r="AE103" i="54"/>
  <c r="AF103" i="54" s="1"/>
  <c r="AE102" i="54"/>
  <c r="AF102" i="54" s="1"/>
  <c r="AE98" i="54"/>
  <c r="AF98" i="54" s="1"/>
  <c r="AN95" i="54"/>
  <c r="AN93" i="54"/>
  <c r="AG91" i="54"/>
  <c r="AG89" i="54"/>
  <c r="AE81" i="54"/>
  <c r="AF81" i="54" s="1"/>
  <c r="AE78" i="54"/>
  <c r="AF78" i="54" s="1"/>
  <c r="AE74" i="54"/>
  <c r="AF74" i="54" s="1"/>
  <c r="AN192" i="54"/>
  <c r="AE157" i="54"/>
  <c r="AF157" i="54" s="1"/>
  <c r="AG138" i="54"/>
  <c r="AG130" i="54"/>
  <c r="AE120" i="54"/>
  <c r="AF120" i="54" s="1"/>
  <c r="AG118" i="54"/>
  <c r="AE115" i="54"/>
  <c r="AF115" i="54" s="1"/>
  <c r="AE107" i="54"/>
  <c r="AF107" i="54" s="1"/>
  <c r="AG101" i="54"/>
  <c r="AG98" i="54"/>
  <c r="AE95" i="54"/>
  <c r="AF95" i="54" s="1"/>
  <c r="AG94" i="54"/>
  <c r="AG79" i="54"/>
  <c r="AN78" i="54"/>
  <c r="AG77" i="54"/>
  <c r="AG76" i="54"/>
  <c r="AG74" i="54"/>
  <c r="AE73" i="54"/>
  <c r="AF73" i="54" s="1"/>
  <c r="AE71" i="54"/>
  <c r="AF71" i="54" s="1"/>
  <c r="AG69" i="54"/>
  <c r="AG65" i="54"/>
  <c r="AG61" i="54"/>
  <c r="AG57" i="54"/>
  <c r="AG53" i="54"/>
  <c r="AG49" i="54"/>
  <c r="AG45" i="54"/>
  <c r="AG41" i="54"/>
  <c r="AG37" i="54"/>
  <c r="AN32" i="54"/>
  <c r="AG29" i="54"/>
  <c r="AG216" i="54"/>
  <c r="AE189" i="54"/>
  <c r="AF189" i="54" s="1"/>
  <c r="AG167" i="54"/>
  <c r="AG150" i="54"/>
  <c r="AN127" i="54"/>
  <c r="AE122" i="54"/>
  <c r="AF122" i="54" s="1"/>
  <c r="AE110" i="54"/>
  <c r="AF110" i="54" s="1"/>
  <c r="AN104" i="54"/>
  <c r="AG97" i="54"/>
  <c r="AE91" i="54"/>
  <c r="AF91" i="54" s="1"/>
  <c r="AE88" i="54"/>
  <c r="AF88" i="54" s="1"/>
  <c r="AN87" i="54"/>
  <c r="AE84" i="54"/>
  <c r="AF84" i="54" s="1"/>
  <c r="AN80" i="54"/>
  <c r="AG78" i="54"/>
  <c r="AE77" i="54"/>
  <c r="AF77" i="54" s="1"/>
  <c r="AE75" i="54"/>
  <c r="AF75" i="54" s="1"/>
  <c r="AE72" i="54"/>
  <c r="AF72" i="54" s="1"/>
  <c r="AE70" i="54"/>
  <c r="AF70" i="54" s="1"/>
  <c r="AE66" i="54"/>
  <c r="AF66" i="54" s="1"/>
  <c r="AE62" i="54"/>
  <c r="AF62" i="54" s="1"/>
  <c r="AE58" i="54"/>
  <c r="AF58" i="54" s="1"/>
  <c r="AE54" i="54"/>
  <c r="AF54" i="54" s="1"/>
  <c r="AE50" i="54"/>
  <c r="AF50" i="54" s="1"/>
  <c r="AE46" i="54"/>
  <c r="AF46" i="54" s="1"/>
  <c r="AE42" i="54"/>
  <c r="AF42" i="54" s="1"/>
  <c r="AE38" i="54"/>
  <c r="AF38" i="54" s="1"/>
  <c r="AE34" i="54"/>
  <c r="AF34" i="54" s="1"/>
  <c r="AG32" i="54"/>
  <c r="AE31" i="54"/>
  <c r="AF31" i="54" s="1"/>
  <c r="AG214" i="54"/>
  <c r="AN165" i="54"/>
  <c r="AG155" i="54"/>
  <c r="AN149" i="54"/>
  <c r="AN146" i="54"/>
  <c r="AE140" i="54"/>
  <c r="AF140" i="54" s="1"/>
  <c r="AN137" i="54"/>
  <c r="AE118" i="54"/>
  <c r="AF118" i="54" s="1"/>
  <c r="AE113" i="54"/>
  <c r="AF113" i="54" s="1"/>
  <c r="AG111" i="54"/>
  <c r="AN108" i="54"/>
  <c r="AE101" i="54"/>
  <c r="AF101" i="54" s="1"/>
  <c r="AN100" i="54"/>
  <c r="AE94" i="54"/>
  <c r="AF94" i="54" s="1"/>
  <c r="AN90" i="54"/>
  <c r="AE87" i="54"/>
  <c r="AF87" i="54" s="1"/>
  <c r="AN86" i="54"/>
  <c r="AN83" i="54"/>
  <c r="AG80" i="54"/>
  <c r="AE79" i="54"/>
  <c r="AF79" i="54" s="1"/>
  <c r="AE76" i="54"/>
  <c r="AF76" i="54" s="1"/>
  <c r="AE69" i="54"/>
  <c r="AF69" i="54" s="1"/>
  <c r="AN68" i="54"/>
  <c r="AN212" i="54"/>
  <c r="AG137" i="54"/>
  <c r="AG129" i="54"/>
  <c r="AG119" i="54"/>
  <c r="AE116" i="54"/>
  <c r="AF116" i="54" s="1"/>
  <c r="AE108" i="54"/>
  <c r="AF108" i="54" s="1"/>
  <c r="AG105" i="54"/>
  <c r="AE104" i="54"/>
  <c r="AF104" i="54" s="1"/>
  <c r="AE97" i="54"/>
  <c r="AF97" i="54" s="1"/>
  <c r="AG93" i="54"/>
  <c r="AG86" i="54"/>
  <c r="AG83" i="54"/>
  <c r="AE80" i="54"/>
  <c r="AF80" i="54" s="1"/>
  <c r="AG183" i="54"/>
  <c r="AN145" i="54"/>
  <c r="AG142" i="54"/>
  <c r="AG134" i="54"/>
  <c r="AE124" i="54"/>
  <c r="AF124" i="54" s="1"/>
  <c r="AN121" i="54"/>
  <c r="AE111" i="54"/>
  <c r="AF111" i="54" s="1"/>
  <c r="AE100" i="54"/>
  <c r="AF100" i="54" s="1"/>
  <c r="AN99" i="54"/>
  <c r="AN96" i="54"/>
  <c r="AE93" i="54"/>
  <c r="AF93" i="54" s="1"/>
  <c r="AN92" i="54"/>
  <c r="AE90" i="54"/>
  <c r="AF90" i="54" s="1"/>
  <c r="AN89" i="54"/>
  <c r="AN82" i="54"/>
  <c r="AN203" i="54"/>
  <c r="AE160" i="54"/>
  <c r="AF160" i="54" s="1"/>
  <c r="AG145" i="54"/>
  <c r="AN136" i="54"/>
  <c r="AG131" i="54"/>
  <c r="AG121" i="54"/>
  <c r="AN117" i="54"/>
  <c r="AN109" i="54"/>
  <c r="AE105" i="54"/>
  <c r="AF105" i="54" s="1"/>
  <c r="AN102" i="54"/>
  <c r="AG99" i="54"/>
  <c r="AG96" i="54"/>
  <c r="AG92" i="54"/>
  <c r="AE86" i="54"/>
  <c r="AF86" i="54" s="1"/>
  <c r="AN85" i="54"/>
  <c r="AG82" i="54"/>
  <c r="AN71" i="54"/>
  <c r="AE68" i="54"/>
  <c r="AF68" i="54" s="1"/>
  <c r="AE200" i="54"/>
  <c r="AF200" i="54" s="1"/>
  <c r="AG172" i="54"/>
  <c r="AG158" i="54"/>
  <c r="AE136" i="54"/>
  <c r="AF136" i="54" s="1"/>
  <c r="AE123" i="54"/>
  <c r="AF123" i="54" s="1"/>
  <c r="AN120" i="54"/>
  <c r="AG117" i="54"/>
  <c r="AG112" i="54"/>
  <c r="AE106" i="54"/>
  <c r="AF106" i="54" s="1"/>
  <c r="AN103" i="54"/>
  <c r="AG102" i="54"/>
  <c r="AE96" i="54"/>
  <c r="AF96" i="54" s="1"/>
  <c r="AG95" i="54"/>
  <c r="AE89" i="54"/>
  <c r="AF89" i="54" s="1"/>
  <c r="AN88" i="54"/>
  <c r="AG85" i="54"/>
  <c r="AN75" i="54"/>
  <c r="AN73" i="54"/>
  <c r="AN72" i="54"/>
  <c r="AG71" i="54"/>
  <c r="AN70" i="54"/>
  <c r="AE67" i="54"/>
  <c r="AF67" i="54" s="1"/>
  <c r="AN66" i="54"/>
  <c r="AE63" i="54"/>
  <c r="AF63" i="54" s="1"/>
  <c r="AN62" i="54"/>
  <c r="AE59" i="54"/>
  <c r="AF59" i="54" s="1"/>
  <c r="AN58" i="54"/>
  <c r="AE55" i="54"/>
  <c r="AF55" i="54" s="1"/>
  <c r="AN54" i="54"/>
  <c r="AE51" i="54"/>
  <c r="AF51" i="54" s="1"/>
  <c r="AN50" i="54"/>
  <c r="AE47" i="54"/>
  <c r="AF47" i="54" s="1"/>
  <c r="AN46" i="54"/>
  <c r="AE43" i="54"/>
  <c r="AF43" i="54" s="1"/>
  <c r="AN42" i="54"/>
  <c r="AE39" i="54"/>
  <c r="AF39" i="54" s="1"/>
  <c r="AN38" i="54"/>
  <c r="AE35" i="54"/>
  <c r="AF35" i="54" s="1"/>
  <c r="AN34" i="54"/>
  <c r="AE33" i="54"/>
  <c r="AF33" i="54" s="1"/>
  <c r="AN31" i="54"/>
  <c r="AE198" i="54"/>
  <c r="AF198" i="54" s="1"/>
  <c r="AN91" i="54"/>
  <c r="AE85" i="54"/>
  <c r="AF85" i="54" s="1"/>
  <c r="AN157" i="54"/>
  <c r="AN74" i="54"/>
  <c r="AN64" i="54"/>
  <c r="AG62" i="54"/>
  <c r="AE60" i="54"/>
  <c r="AF60" i="54" s="1"/>
  <c r="AN59" i="54"/>
  <c r="AE57" i="54"/>
  <c r="AF57" i="54" s="1"/>
  <c r="AG52" i="54"/>
  <c r="AG47" i="54"/>
  <c r="AN37" i="54"/>
  <c r="AG33" i="54"/>
  <c r="AE32" i="54"/>
  <c r="AF32" i="54" s="1"/>
  <c r="AG25" i="54"/>
  <c r="AN20" i="54"/>
  <c r="AE141" i="54"/>
  <c r="AF141" i="54" s="1"/>
  <c r="AG120" i="54"/>
  <c r="AN107" i="54"/>
  <c r="AN76" i="54"/>
  <c r="AG72" i="54"/>
  <c r="AG63" i="54"/>
  <c r="AN53" i="54"/>
  <c r="AN48" i="54"/>
  <c r="AG46" i="54"/>
  <c r="AE44" i="54"/>
  <c r="AF44" i="54" s="1"/>
  <c r="AN43" i="54"/>
  <c r="AE41" i="54"/>
  <c r="AF41" i="54" s="1"/>
  <c r="AG36" i="54"/>
  <c r="AN27" i="54"/>
  <c r="AN24" i="54"/>
  <c r="AN101" i="54"/>
  <c r="AE92" i="54"/>
  <c r="AF92" i="54" s="1"/>
  <c r="AE82" i="54"/>
  <c r="AF82" i="54" s="1"/>
  <c r="AE56" i="54"/>
  <c r="AF56" i="54" s="1"/>
  <c r="AG54" i="54"/>
  <c r="AE53" i="54"/>
  <c r="AF53" i="54" s="1"/>
  <c r="AN52" i="54"/>
  <c r="AN51" i="54"/>
  <c r="AG35" i="54"/>
  <c r="AE30" i="54"/>
  <c r="AF30" i="54" s="1"/>
  <c r="AG28" i="54"/>
  <c r="AG26" i="54"/>
  <c r="AN25" i="54"/>
  <c r="AE22" i="54"/>
  <c r="AF22" i="54" s="1"/>
  <c r="AN21" i="54"/>
  <c r="AG19" i="54"/>
  <c r="AE18" i="54"/>
  <c r="AF18" i="54" s="1"/>
  <c r="AG16" i="54"/>
  <c r="AE15" i="54"/>
  <c r="AF15" i="54" s="1"/>
  <c r="AG11" i="54"/>
  <c r="AE10" i="54"/>
  <c r="AF10" i="54" s="1"/>
  <c r="AN118" i="54"/>
  <c r="AG81" i="54"/>
  <c r="AG75" i="54"/>
  <c r="AG70" i="54"/>
  <c r="AN67" i="54"/>
  <c r="AG51" i="54"/>
  <c r="AN49" i="54"/>
  <c r="AE36" i="54"/>
  <c r="AF36" i="54" s="1"/>
  <c r="AG34" i="54"/>
  <c r="AE28" i="54"/>
  <c r="AF28" i="54" s="1"/>
  <c r="AE27" i="54"/>
  <c r="AF27" i="54" s="1"/>
  <c r="AE26" i="54"/>
  <c r="AF26" i="54" s="1"/>
  <c r="AG24" i="54"/>
  <c r="AG21" i="54"/>
  <c r="AN14" i="54"/>
  <c r="AE13" i="54"/>
  <c r="AF13" i="54" s="1"/>
  <c r="AN6" i="54"/>
  <c r="AE5" i="54"/>
  <c r="AF5" i="54" s="1"/>
  <c r="AN115" i="54"/>
  <c r="AG67" i="54"/>
  <c r="AN65" i="54"/>
  <c r="AE52" i="54"/>
  <c r="AF52" i="54" s="1"/>
  <c r="AG50" i="54"/>
  <c r="AE49" i="54"/>
  <c r="AF49" i="54" s="1"/>
  <c r="AG48" i="54"/>
  <c r="AN47" i="54"/>
  <c r="AE25" i="54"/>
  <c r="AF25" i="54" s="1"/>
  <c r="AE19" i="54"/>
  <c r="AF19" i="54" s="1"/>
  <c r="AN17" i="54"/>
  <c r="AE16" i="54"/>
  <c r="AF16" i="54" s="1"/>
  <c r="AG14" i="54"/>
  <c r="AE11" i="54"/>
  <c r="AF11" i="54" s="1"/>
  <c r="AN98" i="54"/>
  <c r="AG88" i="54"/>
  <c r="AN79" i="54"/>
  <c r="AG68" i="54"/>
  <c r="AG66" i="54"/>
  <c r="AE65" i="54"/>
  <c r="AF65" i="54" s="1"/>
  <c r="AG64" i="54"/>
  <c r="AN63" i="54"/>
  <c r="AN45" i="54"/>
  <c r="AN44" i="54"/>
  <c r="AN33" i="54"/>
  <c r="AN29" i="54"/>
  <c r="AE24" i="54"/>
  <c r="AF24" i="54" s="1"/>
  <c r="AN23" i="54"/>
  <c r="AE21" i="54"/>
  <c r="AF21" i="54" s="1"/>
  <c r="AG17" i="54"/>
  <c r="AN12" i="54"/>
  <c r="AN138" i="54"/>
  <c r="AG110" i="54"/>
  <c r="AG73" i="54"/>
  <c r="AN61" i="54"/>
  <c r="AN60" i="54"/>
  <c r="AE48" i="54"/>
  <c r="AF48" i="54" s="1"/>
  <c r="AE45" i="54"/>
  <c r="AF45" i="54" s="1"/>
  <c r="AG44" i="54"/>
  <c r="AG43" i="54"/>
  <c r="AE29" i="54"/>
  <c r="AF29" i="54" s="1"/>
  <c r="AG23" i="54"/>
  <c r="AG20" i="54"/>
  <c r="AE14" i="54"/>
  <c r="AF14" i="54" s="1"/>
  <c r="AG12" i="54"/>
  <c r="AE133" i="54"/>
  <c r="AF133" i="54" s="1"/>
  <c r="AE64" i="54"/>
  <c r="AF64" i="54" s="1"/>
  <c r="AE61" i="54"/>
  <c r="AF61" i="54" s="1"/>
  <c r="AG60" i="54"/>
  <c r="AG59" i="54"/>
  <c r="AG42" i="54"/>
  <c r="AN41" i="54"/>
  <c r="AN40" i="54"/>
  <c r="AN39" i="54"/>
  <c r="AG31" i="54"/>
  <c r="AN18" i="54"/>
  <c r="AE17" i="54"/>
  <c r="AF17" i="54" s="1"/>
  <c r="AN15" i="54"/>
  <c r="AN128" i="54"/>
  <c r="AN84" i="54"/>
  <c r="AN77" i="54"/>
  <c r="AN69" i="54"/>
  <c r="AG58" i="54"/>
  <c r="AN57" i="54"/>
  <c r="AN56" i="54"/>
  <c r="AN55" i="54"/>
  <c r="AG40" i="54"/>
  <c r="AG39" i="54"/>
  <c r="AN30" i="54"/>
  <c r="AE23" i="54"/>
  <c r="AF23" i="54" s="1"/>
  <c r="AN22" i="54"/>
  <c r="AE20" i="54"/>
  <c r="AF20" i="54" s="1"/>
  <c r="AG18" i="54"/>
  <c r="AG15" i="54"/>
  <c r="AN13" i="54"/>
  <c r="AE12" i="54"/>
  <c r="AF12" i="54" s="1"/>
  <c r="AG10" i="54"/>
  <c r="AG7" i="54"/>
  <c r="AN5" i="54"/>
  <c r="AE4" i="54"/>
  <c r="AF4" i="54" s="1"/>
  <c r="AG2" i="54"/>
  <c r="AN36" i="54"/>
  <c r="AG22" i="54"/>
  <c r="AE7" i="54"/>
  <c r="AF7" i="54" s="1"/>
  <c r="AG103" i="54"/>
  <c r="AN35" i="54"/>
  <c r="AE2" i="54"/>
  <c r="AF2" i="54" s="1"/>
  <c r="AG56" i="54"/>
  <c r="AN11" i="54"/>
  <c r="AG30" i="54"/>
  <c r="AN28" i="54"/>
  <c r="AN9" i="54"/>
  <c r="AG55" i="54"/>
  <c r="AE40" i="54"/>
  <c r="AF40" i="54" s="1"/>
  <c r="AN26" i="54"/>
  <c r="AN8" i="54"/>
  <c r="AG8" i="54"/>
  <c r="AG6" i="54"/>
  <c r="AN4" i="54"/>
  <c r="AN3" i="54"/>
  <c r="AG27" i="54"/>
  <c r="AN19" i="54"/>
  <c r="AE3" i="54"/>
  <c r="AF3" i="54" s="1"/>
  <c r="AG9" i="54"/>
  <c r="AG38" i="54"/>
  <c r="AG13" i="54"/>
  <c r="AN10" i="54"/>
  <c r="AE9" i="54"/>
  <c r="AF9" i="54" s="1"/>
  <c r="AE8" i="54"/>
  <c r="AF8" i="54" s="1"/>
  <c r="AN7" i="54"/>
  <c r="AG5" i="54"/>
  <c r="AG4" i="54"/>
  <c r="AG3" i="54"/>
  <c r="AE37" i="54"/>
  <c r="AF37" i="54" s="1"/>
  <c r="AN16" i="54"/>
  <c r="AE6" i="54"/>
  <c r="AF6" i="54" s="1"/>
  <c r="AN2" i="54"/>
  <c r="AZ281" i="48"/>
  <c r="AW279" i="48"/>
  <c r="AY276" i="48"/>
  <c r="AZ273" i="48"/>
  <c r="AW271" i="48"/>
  <c r="AY268" i="48"/>
  <c r="AZ265" i="48"/>
  <c r="AW263" i="48"/>
  <c r="AY260" i="48"/>
  <c r="AZ257" i="48"/>
  <c r="AW255" i="48"/>
  <c r="AY252" i="48"/>
  <c r="AZ249" i="48"/>
  <c r="AW247" i="48"/>
  <c r="AY244" i="48"/>
  <c r="AY281" i="48"/>
  <c r="AW281" i="48"/>
  <c r="AZ280" i="48"/>
  <c r="AW278" i="48"/>
  <c r="AY275" i="48"/>
  <c r="AZ272" i="48"/>
  <c r="AW270" i="48"/>
  <c r="AY267" i="48"/>
  <c r="AZ264" i="48"/>
  <c r="AW262" i="48"/>
  <c r="AY259" i="48"/>
  <c r="AZ256" i="48"/>
  <c r="AW254" i="48"/>
  <c r="AY251" i="48"/>
  <c r="AZ248" i="48"/>
  <c r="AW246" i="48"/>
  <c r="AY243" i="48"/>
  <c r="AZ240" i="48"/>
  <c r="AW238" i="48"/>
  <c r="AY235" i="48"/>
  <c r="AZ232" i="48"/>
  <c r="AW230" i="48"/>
  <c r="AY227" i="48"/>
  <c r="AZ224" i="48"/>
  <c r="AW222" i="48"/>
  <c r="AY219" i="48"/>
  <c r="AZ216" i="48"/>
  <c r="AW214" i="48"/>
  <c r="AY211" i="48"/>
  <c r="AZ208" i="48"/>
  <c r="AW206" i="48"/>
  <c r="AY203" i="48"/>
  <c r="AZ200" i="48"/>
  <c r="AW198" i="48"/>
  <c r="AY195" i="48"/>
  <c r="AZ192" i="48"/>
  <c r="AW190" i="48"/>
  <c r="AY187" i="48"/>
  <c r="AZ184" i="48"/>
  <c r="AW182" i="48"/>
  <c r="AY179" i="48"/>
  <c r="AZ176" i="48"/>
  <c r="AW174" i="48"/>
  <c r="AY171" i="48"/>
  <c r="AZ168" i="48"/>
  <c r="AW166" i="48"/>
  <c r="AY163" i="48"/>
  <c r="AZ160" i="48"/>
  <c r="AW158" i="48"/>
  <c r="AY155" i="48"/>
  <c r="AZ152" i="48"/>
  <c r="AW150" i="48"/>
  <c r="AY147" i="48"/>
  <c r="AZ144" i="48"/>
  <c r="AW142" i="48"/>
  <c r="AY139" i="48"/>
  <c r="AZ136" i="48"/>
  <c r="AW134" i="48"/>
  <c r="AY131" i="48"/>
  <c r="AZ128" i="48"/>
  <c r="AW126" i="48"/>
  <c r="AY123" i="48"/>
  <c r="AZ120" i="48"/>
  <c r="AW118" i="48"/>
  <c r="AY115" i="48"/>
  <c r="AZ112" i="48"/>
  <c r="AW110" i="48"/>
  <c r="AY107" i="48"/>
  <c r="AZ104" i="48"/>
  <c r="AW102" i="48"/>
  <c r="AY99" i="48"/>
  <c r="AZ96" i="48"/>
  <c r="AW94" i="48"/>
  <c r="AY91" i="48"/>
  <c r="AZ88" i="48"/>
  <c r="AW86" i="48"/>
  <c r="AY83" i="48"/>
  <c r="AZ80" i="48"/>
  <c r="AW78" i="48"/>
  <c r="AY75" i="48"/>
  <c r="AZ72" i="48"/>
  <c r="AW70" i="48"/>
  <c r="AY67" i="48"/>
  <c r="AZ64" i="48"/>
  <c r="AW62" i="48"/>
  <c r="AY59" i="48"/>
  <c r="AZ56" i="48"/>
  <c r="AY280" i="48"/>
  <c r="AZ277" i="48"/>
  <c r="AW275" i="48"/>
  <c r="AY272" i="48"/>
  <c r="AZ269" i="48"/>
  <c r="AW267" i="48"/>
  <c r="AY264" i="48"/>
  <c r="AZ261" i="48"/>
  <c r="AW259" i="48"/>
  <c r="AY256" i="48"/>
  <c r="AZ253" i="48"/>
  <c r="AW251" i="48"/>
  <c r="AY248" i="48"/>
  <c r="AZ245" i="48"/>
  <c r="AW243" i="48"/>
  <c r="AY240" i="48"/>
  <c r="AZ237" i="48"/>
  <c r="AW235" i="48"/>
  <c r="AY232" i="48"/>
  <c r="AZ229" i="48"/>
  <c r="AW227" i="48"/>
  <c r="AY224" i="48"/>
  <c r="AZ221" i="48"/>
  <c r="AW219" i="48"/>
  <c r="AY216" i="48"/>
  <c r="AZ213" i="48"/>
  <c r="AW211" i="48"/>
  <c r="AY208" i="48"/>
  <c r="AZ205" i="48"/>
  <c r="AW203" i="48"/>
  <c r="AY200" i="48"/>
  <c r="AZ197" i="48"/>
  <c r="AW195" i="48"/>
  <c r="AY192" i="48"/>
  <c r="AZ189" i="48"/>
  <c r="AW187" i="48"/>
  <c r="AY184" i="48"/>
  <c r="AZ181" i="48"/>
  <c r="AW179" i="48"/>
  <c r="AY176" i="48"/>
  <c r="AZ173" i="48"/>
  <c r="AW171" i="48"/>
  <c r="AY168" i="48"/>
  <c r="AZ165" i="48"/>
  <c r="AW163" i="48"/>
  <c r="AY160" i="48"/>
  <c r="AZ157" i="48"/>
  <c r="AW155" i="48"/>
  <c r="AY152" i="48"/>
  <c r="AZ149" i="48"/>
  <c r="AW147" i="48"/>
  <c r="AY144" i="48"/>
  <c r="AZ141" i="48"/>
  <c r="AW139" i="48"/>
  <c r="AY136" i="48"/>
  <c r="AZ133" i="48"/>
  <c r="AW131" i="48"/>
  <c r="AY128" i="48"/>
  <c r="AZ125" i="48"/>
  <c r="AW123" i="48"/>
  <c r="AY120" i="48"/>
  <c r="AZ117" i="48"/>
  <c r="AW115" i="48"/>
  <c r="AY112" i="48"/>
  <c r="AZ109" i="48"/>
  <c r="AW107" i="48"/>
  <c r="AY104" i="48"/>
  <c r="AZ101" i="48"/>
  <c r="AW99" i="48"/>
  <c r="AY96" i="48"/>
  <c r="AZ93" i="48"/>
  <c r="AW91" i="48"/>
  <c r="AY88" i="48"/>
  <c r="AZ85" i="48"/>
  <c r="AW280" i="48"/>
  <c r="AY277" i="48"/>
  <c r="AZ274" i="48"/>
  <c r="AW272" i="48"/>
  <c r="AY269" i="48"/>
  <c r="AZ266" i="48"/>
  <c r="AW264" i="48"/>
  <c r="AY261" i="48"/>
  <c r="AZ258" i="48"/>
  <c r="AW256" i="48"/>
  <c r="AY253" i="48"/>
  <c r="AZ250" i="48"/>
  <c r="AW248" i="48"/>
  <c r="AY245" i="48"/>
  <c r="AZ242" i="48"/>
  <c r="AW240" i="48"/>
  <c r="AY237" i="48"/>
  <c r="AZ234" i="48"/>
  <c r="AW232" i="48"/>
  <c r="AY229" i="48"/>
  <c r="AZ226" i="48"/>
  <c r="AW224" i="48"/>
  <c r="AY221" i="48"/>
  <c r="AZ218" i="48"/>
  <c r="AW216" i="48"/>
  <c r="AY213" i="48"/>
  <c r="AZ210" i="48"/>
  <c r="AW208" i="48"/>
  <c r="AY205" i="48"/>
  <c r="AZ202" i="48"/>
  <c r="AW200" i="48"/>
  <c r="AY197" i="48"/>
  <c r="AZ194" i="48"/>
  <c r="AW192" i="48"/>
  <c r="AY189" i="48"/>
  <c r="AZ186" i="48"/>
  <c r="AW184" i="48"/>
  <c r="AY181" i="48"/>
  <c r="AZ178" i="48"/>
  <c r="AW176" i="48"/>
  <c r="AY173" i="48"/>
  <c r="AZ170" i="48"/>
  <c r="AW168" i="48"/>
  <c r="AY165" i="48"/>
  <c r="AZ162" i="48"/>
  <c r="AW160" i="48"/>
  <c r="AY157" i="48"/>
  <c r="AZ154" i="48"/>
  <c r="AW152" i="48"/>
  <c r="AY149" i="48"/>
  <c r="AZ146" i="48"/>
  <c r="AW144" i="48"/>
  <c r="AY141" i="48"/>
  <c r="AZ138" i="48"/>
  <c r="AW136" i="48"/>
  <c r="AY133" i="48"/>
  <c r="AZ130" i="48"/>
  <c r="AW128" i="48"/>
  <c r="AY125" i="48"/>
  <c r="AZ122" i="48"/>
  <c r="AW120" i="48"/>
  <c r="AY117" i="48"/>
  <c r="AZ114" i="48"/>
  <c r="AW112" i="48"/>
  <c r="AY109" i="48"/>
  <c r="AZ106" i="48"/>
  <c r="AW104" i="48"/>
  <c r="AZ279" i="48"/>
  <c r="AW277" i="48"/>
  <c r="AY274" i="48"/>
  <c r="AZ271" i="48"/>
  <c r="AW269" i="48"/>
  <c r="AY266" i="48"/>
  <c r="AZ263" i="48"/>
  <c r="AW261" i="48"/>
  <c r="AY258" i="48"/>
  <c r="AZ255" i="48"/>
  <c r="AW253" i="48"/>
  <c r="AY250" i="48"/>
  <c r="AZ247" i="48"/>
  <c r="AW245" i="48"/>
  <c r="AY242" i="48"/>
  <c r="AZ239" i="48"/>
  <c r="AW237" i="48"/>
  <c r="AY234" i="48"/>
  <c r="AZ231" i="48"/>
  <c r="AW229" i="48"/>
  <c r="AY226" i="48"/>
  <c r="AZ223" i="48"/>
  <c r="AW221" i="48"/>
  <c r="AY218" i="48"/>
  <c r="AZ215" i="48"/>
  <c r="AW213" i="48"/>
  <c r="AY210" i="48"/>
  <c r="AZ207" i="48"/>
  <c r="AW205" i="48"/>
  <c r="AY202" i="48"/>
  <c r="AZ199" i="48"/>
  <c r="AW197" i="48"/>
  <c r="AY194" i="48"/>
  <c r="AZ191" i="48"/>
  <c r="AW189" i="48"/>
  <c r="AY186" i="48"/>
  <c r="AZ183" i="48"/>
  <c r="AW181" i="48"/>
  <c r="AY178" i="48"/>
  <c r="AZ175" i="48"/>
  <c r="AW173" i="48"/>
  <c r="AY170" i="48"/>
  <c r="AZ167" i="48"/>
  <c r="AW165" i="48"/>
  <c r="AY162" i="48"/>
  <c r="AZ159" i="48"/>
  <c r="AW157" i="48"/>
  <c r="AY154" i="48"/>
  <c r="AZ151" i="48"/>
  <c r="AW149" i="48"/>
  <c r="AY146" i="48"/>
  <c r="AZ143" i="48"/>
  <c r="AW141" i="48"/>
  <c r="AY138" i="48"/>
  <c r="AZ135" i="48"/>
  <c r="AW133" i="48"/>
  <c r="AY130" i="48"/>
  <c r="AZ127" i="48"/>
  <c r="AW125" i="48"/>
  <c r="AY122" i="48"/>
  <c r="AZ119" i="48"/>
  <c r="AW117" i="48"/>
  <c r="AY114" i="48"/>
  <c r="AZ111" i="48"/>
  <c r="AW109" i="48"/>
  <c r="AY106" i="48"/>
  <c r="AZ103" i="48"/>
  <c r="AW101" i="48"/>
  <c r="AY98" i="48"/>
  <c r="AZ95" i="48"/>
  <c r="AW93" i="48"/>
  <c r="AY90" i="48"/>
  <c r="AZ87" i="48"/>
  <c r="AW85" i="48"/>
  <c r="AY82" i="48"/>
  <c r="AZ79" i="48"/>
  <c r="AW77" i="48"/>
  <c r="AY74" i="48"/>
  <c r="AZ71" i="48"/>
  <c r="AW69" i="48"/>
  <c r="AY66" i="48"/>
  <c r="AZ63" i="48"/>
  <c r="AW61" i="48"/>
  <c r="AY58" i="48"/>
  <c r="AZ55" i="48"/>
  <c r="AY279" i="48"/>
  <c r="AZ276" i="48"/>
  <c r="AW274" i="48"/>
  <c r="AY271" i="48"/>
  <c r="AZ268" i="48"/>
  <c r="AW266" i="48"/>
  <c r="AY263" i="48"/>
  <c r="AZ260" i="48"/>
  <c r="AW258" i="48"/>
  <c r="AY255" i="48"/>
  <c r="AZ252" i="48"/>
  <c r="AW250" i="48"/>
  <c r="AY247" i="48"/>
  <c r="AZ244" i="48"/>
  <c r="AW242" i="48"/>
  <c r="AY239" i="48"/>
  <c r="AZ236" i="48"/>
  <c r="AW234" i="48"/>
  <c r="AY231" i="48"/>
  <c r="AZ228" i="48"/>
  <c r="AW226" i="48"/>
  <c r="AY223" i="48"/>
  <c r="AZ220" i="48"/>
  <c r="AW218" i="48"/>
  <c r="AY215" i="48"/>
  <c r="AZ212" i="48"/>
  <c r="AW210" i="48"/>
  <c r="AY207" i="48"/>
  <c r="AZ204" i="48"/>
  <c r="AW202" i="48"/>
  <c r="AY199" i="48"/>
  <c r="AZ196" i="48"/>
  <c r="AW194" i="48"/>
  <c r="AY191" i="48"/>
  <c r="AZ188" i="48"/>
  <c r="AW186" i="48"/>
  <c r="AY183" i="48"/>
  <c r="AZ180" i="48"/>
  <c r="AW178" i="48"/>
  <c r="AY175" i="48"/>
  <c r="AZ172" i="48"/>
  <c r="AW170" i="48"/>
  <c r="AY167" i="48"/>
  <c r="AZ164" i="48"/>
  <c r="AW162" i="48"/>
  <c r="AY159" i="48"/>
  <c r="AZ156" i="48"/>
  <c r="AZ278" i="48"/>
  <c r="AW268" i="48"/>
  <c r="AY257" i="48"/>
  <c r="AZ246" i="48"/>
  <c r="AZ238" i="48"/>
  <c r="AW231" i="48"/>
  <c r="AW225" i="48"/>
  <c r="AY217" i="48"/>
  <c r="AZ209" i="48"/>
  <c r="AZ203" i="48"/>
  <c r="AW196" i="48"/>
  <c r="AY188" i="48"/>
  <c r="AY182" i="48"/>
  <c r="AZ174" i="48"/>
  <c r="AW167" i="48"/>
  <c r="AW161" i="48"/>
  <c r="AZ153" i="48"/>
  <c r="AY148" i="48"/>
  <c r="AW143" i="48"/>
  <c r="AZ137" i="48"/>
  <c r="AY132" i="48"/>
  <c r="AW127" i="48"/>
  <c r="AZ121" i="48"/>
  <c r="AY116" i="48"/>
  <c r="AW111" i="48"/>
  <c r="AZ105" i="48"/>
  <c r="AZ100" i="48"/>
  <c r="AW97" i="48"/>
  <c r="AY92" i="48"/>
  <c r="AW88" i="48"/>
  <c r="AW84" i="48"/>
  <c r="AY80" i="48"/>
  <c r="AZ76" i="48"/>
  <c r="AY73" i="48"/>
  <c r="AZ69" i="48"/>
  <c r="AW66" i="48"/>
  <c r="AZ62" i="48"/>
  <c r="AW59" i="48"/>
  <c r="AY55" i="48"/>
  <c r="AZ52" i="48"/>
  <c r="AW50" i="48"/>
  <c r="AY47" i="48"/>
  <c r="AZ44" i="48"/>
  <c r="AW42" i="48"/>
  <c r="AY39" i="48"/>
  <c r="AZ36" i="48"/>
  <c r="AW34" i="48"/>
  <c r="AY31" i="48"/>
  <c r="AZ28" i="48"/>
  <c r="AW26" i="48"/>
  <c r="AY23" i="48"/>
  <c r="AZ20" i="48"/>
  <c r="AW18" i="48"/>
  <c r="AY15" i="48"/>
  <c r="AZ12" i="48"/>
  <c r="AW10" i="48"/>
  <c r="AY7" i="48"/>
  <c r="AZ4" i="48"/>
  <c r="AW2" i="48"/>
  <c r="AY278" i="48"/>
  <c r="AZ267" i="48"/>
  <c r="AW257" i="48"/>
  <c r="AY246" i="48"/>
  <c r="AY238" i="48"/>
  <c r="AZ230" i="48"/>
  <c r="AW223" i="48"/>
  <c r="AW217" i="48"/>
  <c r="AY209" i="48"/>
  <c r="AZ201" i="48"/>
  <c r="AZ195" i="48"/>
  <c r="AW188" i="48"/>
  <c r="AY180" i="48"/>
  <c r="AY174" i="48"/>
  <c r="AZ166" i="48"/>
  <c r="AW159" i="48"/>
  <c r="AY153" i="48"/>
  <c r="AW148" i="48"/>
  <c r="AZ142" i="48"/>
  <c r="AY137" i="48"/>
  <c r="AW132" i="48"/>
  <c r="AZ126" i="48"/>
  <c r="AY121" i="48"/>
  <c r="AW116" i="48"/>
  <c r="AZ110" i="48"/>
  <c r="AY105" i="48"/>
  <c r="AY100" i="48"/>
  <c r="AW96" i="48"/>
  <c r="AW92" i="48"/>
  <c r="AY87" i="48"/>
  <c r="AZ83" i="48"/>
  <c r="AW80" i="48"/>
  <c r="AY76" i="48"/>
  <c r="AW73" i="48"/>
  <c r="AY69" i="48"/>
  <c r="AZ65" i="48"/>
  <c r="AY62" i="48"/>
  <c r="AZ58" i="48"/>
  <c r="AW55" i="48"/>
  <c r="AY52" i="48"/>
  <c r="AZ49" i="48"/>
  <c r="AW47" i="48"/>
  <c r="AY44" i="48"/>
  <c r="AZ41" i="48"/>
  <c r="AW39" i="48"/>
  <c r="AY36" i="48"/>
  <c r="AZ33" i="48"/>
  <c r="AW31" i="48"/>
  <c r="AY28" i="48"/>
  <c r="AZ25" i="48"/>
  <c r="AW23" i="48"/>
  <c r="AY20" i="48"/>
  <c r="AZ17" i="48"/>
  <c r="AW15" i="48"/>
  <c r="AY12" i="48"/>
  <c r="AZ9" i="48"/>
  <c r="AW7" i="48"/>
  <c r="AY4" i="48"/>
  <c r="AW276" i="48"/>
  <c r="AY265" i="48"/>
  <c r="AZ254" i="48"/>
  <c r="AW244" i="48"/>
  <c r="AY236" i="48"/>
  <c r="AY230" i="48"/>
  <c r="AZ222" i="48"/>
  <c r="AW215" i="48"/>
  <c r="AW209" i="48"/>
  <c r="AY201" i="48"/>
  <c r="AZ193" i="48"/>
  <c r="AZ187" i="48"/>
  <c r="AW180" i="48"/>
  <c r="AY172" i="48"/>
  <c r="AY166" i="48"/>
  <c r="AZ158" i="48"/>
  <c r="AW153" i="48"/>
  <c r="AZ147" i="48"/>
  <c r="AY142" i="48"/>
  <c r="AW137" i="48"/>
  <c r="AZ131" i="48"/>
  <c r="AY126" i="48"/>
  <c r="AW121" i="48"/>
  <c r="AZ115" i="48"/>
  <c r="AY110" i="48"/>
  <c r="AW105" i="48"/>
  <c r="AW100" i="48"/>
  <c r="AY95" i="48"/>
  <c r="AZ91" i="48"/>
  <c r="AW87" i="48"/>
  <c r="AW83" i="48"/>
  <c r="AY79" i="48"/>
  <c r="AW76" i="48"/>
  <c r="AY72" i="48"/>
  <c r="AZ68" i="48"/>
  <c r="AY65" i="48"/>
  <c r="AZ61" i="48"/>
  <c r="AW58" i="48"/>
  <c r="AZ54" i="48"/>
  <c r="AW52" i="48"/>
  <c r="AY49" i="48"/>
  <c r="AZ46" i="48"/>
  <c r="AW44" i="48"/>
  <c r="AY41" i="48"/>
  <c r="AZ38" i="48"/>
  <c r="AW36" i="48"/>
  <c r="AY33" i="48"/>
  <c r="AZ30" i="48"/>
  <c r="AW28" i="48"/>
  <c r="AY25" i="48"/>
  <c r="AZ22" i="48"/>
  <c r="AW20" i="48"/>
  <c r="AY17" i="48"/>
  <c r="AZ14" i="48"/>
  <c r="AW12" i="48"/>
  <c r="AY9" i="48"/>
  <c r="AZ6" i="48"/>
  <c r="AW4" i="48"/>
  <c r="AZ275" i="48"/>
  <c r="AW265" i="48"/>
  <c r="AY254" i="48"/>
  <c r="AZ243" i="48"/>
  <c r="AW236" i="48"/>
  <c r="AY228" i="48"/>
  <c r="AY222" i="48"/>
  <c r="AZ214" i="48"/>
  <c r="AW207" i="48"/>
  <c r="AW201" i="48"/>
  <c r="AY193" i="48"/>
  <c r="AZ185" i="48"/>
  <c r="AZ179" i="48"/>
  <c r="AW172" i="48"/>
  <c r="AY164" i="48"/>
  <c r="AY158" i="48"/>
  <c r="AY151" i="48"/>
  <c r="AW146" i="48"/>
  <c r="AZ140" i="48"/>
  <c r="AY135" i="48"/>
  <c r="AW130" i="48"/>
  <c r="AZ124" i="48"/>
  <c r="AY119" i="48"/>
  <c r="AW114" i="48"/>
  <c r="AZ108" i="48"/>
  <c r="AY103" i="48"/>
  <c r="AZ99" i="48"/>
  <c r="AW95" i="48"/>
  <c r="AZ90" i="48"/>
  <c r="AZ86" i="48"/>
  <c r="AZ82" i="48"/>
  <c r="AW79" i="48"/>
  <c r="AZ75" i="48"/>
  <c r="AW72" i="48"/>
  <c r="AY68" i="48"/>
  <c r="AW65" i="48"/>
  <c r="AY61" i="48"/>
  <c r="AZ57" i="48"/>
  <c r="AY54" i="48"/>
  <c r="AZ51" i="48"/>
  <c r="AW49" i="48"/>
  <c r="AY46" i="48"/>
  <c r="AZ43" i="48"/>
  <c r="AW41" i="48"/>
  <c r="AY38" i="48"/>
  <c r="AZ35" i="48"/>
  <c r="AW33" i="48"/>
  <c r="AY30" i="48"/>
  <c r="AZ27" i="48"/>
  <c r="AW25" i="48"/>
  <c r="AY22" i="48"/>
  <c r="AZ19" i="48"/>
  <c r="AW17" i="48"/>
  <c r="AY14" i="48"/>
  <c r="AZ11" i="48"/>
  <c r="AW9" i="48"/>
  <c r="AY6" i="48"/>
  <c r="AZ3" i="48"/>
  <c r="AY273" i="48"/>
  <c r="AZ262" i="48"/>
  <c r="AW252" i="48"/>
  <c r="AZ241" i="48"/>
  <c r="AZ235" i="48"/>
  <c r="AW228" i="48"/>
  <c r="AY220" i="48"/>
  <c r="AY214" i="48"/>
  <c r="AZ206" i="48"/>
  <c r="AW199" i="48"/>
  <c r="AW193" i="48"/>
  <c r="AY185" i="48"/>
  <c r="AZ177" i="48"/>
  <c r="AZ171" i="48"/>
  <c r="AW164" i="48"/>
  <c r="AY156" i="48"/>
  <c r="AW151" i="48"/>
  <c r="AZ145" i="48"/>
  <c r="AY140" i="48"/>
  <c r="AW135" i="48"/>
  <c r="AZ129" i="48"/>
  <c r="AY124" i="48"/>
  <c r="AW119" i="48"/>
  <c r="AZ113" i="48"/>
  <c r="AY108" i="48"/>
  <c r="AW103" i="48"/>
  <c r="AZ98" i="48"/>
  <c r="AZ94" i="48"/>
  <c r="AW90" i="48"/>
  <c r="AY86" i="48"/>
  <c r="AW82" i="48"/>
  <c r="AZ78" i="48"/>
  <c r="AW75" i="48"/>
  <c r="AY71" i="48"/>
  <c r="AW68" i="48"/>
  <c r="AY64" i="48"/>
  <c r="AZ60" i="48"/>
  <c r="AY57" i="48"/>
  <c r="AW54" i="48"/>
  <c r="AY51" i="48"/>
  <c r="AZ48" i="48"/>
  <c r="AW46" i="48"/>
  <c r="AY43" i="48"/>
  <c r="AZ40" i="48"/>
  <c r="AW38" i="48"/>
  <c r="AY35" i="48"/>
  <c r="AZ32" i="48"/>
  <c r="AW30" i="48"/>
  <c r="AY27" i="48"/>
  <c r="AZ24" i="48"/>
  <c r="AW22" i="48"/>
  <c r="AY19" i="48"/>
  <c r="AZ16" i="48"/>
  <c r="AW14" i="48"/>
  <c r="AY11" i="48"/>
  <c r="AZ8" i="48"/>
  <c r="AW6" i="48"/>
  <c r="AY3" i="48"/>
  <c r="AW273" i="48"/>
  <c r="AY262" i="48"/>
  <c r="AZ251" i="48"/>
  <c r="AY241" i="48"/>
  <c r="AZ233" i="48"/>
  <c r="AZ227" i="48"/>
  <c r="AW220" i="48"/>
  <c r="AY212" i="48"/>
  <c r="AY206" i="48"/>
  <c r="AZ198" i="48"/>
  <c r="AW191" i="48"/>
  <c r="AW185" i="48"/>
  <c r="AY177" i="48"/>
  <c r="AZ169" i="48"/>
  <c r="AZ163" i="48"/>
  <c r="AW156" i="48"/>
  <c r="AZ150" i="48"/>
  <c r="AY145" i="48"/>
  <c r="AW140" i="48"/>
  <c r="AZ134" i="48"/>
  <c r="AY129" i="48"/>
  <c r="AW124" i="48"/>
  <c r="AZ118" i="48"/>
  <c r="AY113" i="48"/>
  <c r="AW108" i="48"/>
  <c r="AZ102" i="48"/>
  <c r="AW98" i="48"/>
  <c r="AY94" i="48"/>
  <c r="AZ89" i="48"/>
  <c r="AY85" i="48"/>
  <c r="AZ81" i="48"/>
  <c r="AY78" i="48"/>
  <c r="AZ74" i="48"/>
  <c r="AW71" i="48"/>
  <c r="AZ67" i="48"/>
  <c r="AW64" i="48"/>
  <c r="AY60" i="48"/>
  <c r="AW57" i="48"/>
  <c r="AZ53" i="48"/>
  <c r="AW51" i="48"/>
  <c r="AY48" i="48"/>
  <c r="AZ45" i="48"/>
  <c r="AW43" i="48"/>
  <c r="AY40" i="48"/>
  <c r="AZ37" i="48"/>
  <c r="AW35" i="48"/>
  <c r="AY32" i="48"/>
  <c r="AZ29" i="48"/>
  <c r="AW27" i="48"/>
  <c r="AY24" i="48"/>
  <c r="AZ21" i="48"/>
  <c r="AW19" i="48"/>
  <c r="AY16" i="48"/>
  <c r="AZ13" i="48"/>
  <c r="AW11" i="48"/>
  <c r="AY8" i="48"/>
  <c r="AZ5" i="48"/>
  <c r="AW3" i="48"/>
  <c r="AZ270" i="48"/>
  <c r="AW260" i="48"/>
  <c r="AY249" i="48"/>
  <c r="AW241" i="48"/>
  <c r="AY233" i="48"/>
  <c r="AZ225" i="48"/>
  <c r="AZ219" i="48"/>
  <c r="AW212" i="48"/>
  <c r="AY204" i="48"/>
  <c r="AY198" i="48"/>
  <c r="AZ190" i="48"/>
  <c r="AW183" i="48"/>
  <c r="AW177" i="48"/>
  <c r="AY169" i="48"/>
  <c r="AZ161" i="48"/>
  <c r="AZ155" i="48"/>
  <c r="AY150" i="48"/>
  <c r="AW145" i="48"/>
  <c r="AZ139" i="48"/>
  <c r="AY134" i="48"/>
  <c r="AW129" i="48"/>
  <c r="AZ123" i="48"/>
  <c r="AY118" i="48"/>
  <c r="AW113" i="48"/>
  <c r="AZ107" i="48"/>
  <c r="AY102" i="48"/>
  <c r="AZ97" i="48"/>
  <c r="AY93" i="48"/>
  <c r="AY89" i="48"/>
  <c r="AZ84" i="48"/>
  <c r="AY81" i="48"/>
  <c r="AZ77" i="48"/>
  <c r="AW74" i="48"/>
  <c r="AZ70" i="48"/>
  <c r="AW67" i="48"/>
  <c r="AY63" i="48"/>
  <c r="AW60" i="48"/>
  <c r="AY56" i="48"/>
  <c r="AY53" i="48"/>
  <c r="AZ50" i="48"/>
  <c r="AW48" i="48"/>
  <c r="AY45" i="48"/>
  <c r="AZ42" i="48"/>
  <c r="AW40" i="48"/>
  <c r="AY37" i="48"/>
  <c r="AZ34" i="48"/>
  <c r="AW32" i="48"/>
  <c r="AY29" i="48"/>
  <c r="AZ26" i="48"/>
  <c r="AW24" i="48"/>
  <c r="AY21" i="48"/>
  <c r="AZ18" i="48"/>
  <c r="AW16" i="48"/>
  <c r="AY13" i="48"/>
  <c r="AZ10" i="48"/>
  <c r="AW8" i="48"/>
  <c r="AY5" i="48"/>
  <c r="AZ2" i="48"/>
  <c r="AY270" i="48"/>
  <c r="AZ259" i="48"/>
  <c r="AW249" i="48"/>
  <c r="AW239" i="48"/>
  <c r="AW233" i="48"/>
  <c r="AY225" i="48"/>
  <c r="AZ217" i="48"/>
  <c r="AZ211" i="48"/>
  <c r="AW204" i="48"/>
  <c r="AY196" i="48"/>
  <c r="AY190" i="48"/>
  <c r="AZ182" i="48"/>
  <c r="AW175" i="48"/>
  <c r="AW169" i="48"/>
  <c r="AY161" i="48"/>
  <c r="AW154" i="48"/>
  <c r="AZ148" i="48"/>
  <c r="AY143" i="48"/>
  <c r="AW138" i="48"/>
  <c r="AZ132" i="48"/>
  <c r="AY127" i="48"/>
  <c r="AW122" i="48"/>
  <c r="AZ116" i="48"/>
  <c r="AY111" i="48"/>
  <c r="AW106" i="48"/>
  <c r="AY101" i="48"/>
  <c r="AY97" i="48"/>
  <c r="AZ92" i="48"/>
  <c r="AW89" i="48"/>
  <c r="AY84" i="48"/>
  <c r="AW81" i="48"/>
  <c r="AY77" i="48"/>
  <c r="AY50" i="48"/>
  <c r="AW29" i="48"/>
  <c r="AZ7" i="48"/>
  <c r="AZ73" i="48"/>
  <c r="AZ47" i="48"/>
  <c r="AY26" i="48"/>
  <c r="AW5" i="48"/>
  <c r="AY70" i="48"/>
  <c r="AW45" i="48"/>
  <c r="AZ23" i="48"/>
  <c r="AY2" i="48"/>
  <c r="AZ66" i="48"/>
  <c r="AY42" i="48"/>
  <c r="AW21" i="48"/>
  <c r="AW63" i="48"/>
  <c r="AZ39" i="48"/>
  <c r="AY18" i="48"/>
  <c r="AZ59" i="48"/>
  <c r="AW37" i="48"/>
  <c r="AZ15" i="48"/>
  <c r="AW56" i="48"/>
  <c r="AY34" i="48"/>
  <c r="AW13" i="48"/>
  <c r="AW53" i="48"/>
  <c r="AZ31" i="48"/>
  <c r="AY10" i="48"/>
  <c r="S42" i="48"/>
  <c r="BI42" i="48" s="1"/>
  <c r="S106" i="48"/>
  <c r="BI106" i="48" s="1"/>
  <c r="S170" i="48"/>
  <c r="BI170" i="48" s="1"/>
  <c r="R9" i="48"/>
  <c r="S58" i="48"/>
  <c r="BI58" i="48" s="1"/>
  <c r="S122" i="48"/>
  <c r="BI122" i="48" s="1"/>
  <c r="S186" i="48"/>
  <c r="BI186" i="48" s="1"/>
  <c r="S10" i="48"/>
  <c r="BI10" i="48" s="1"/>
  <c r="S74" i="48"/>
  <c r="BI74" i="48" s="1"/>
  <c r="S138" i="48"/>
  <c r="BI138" i="48" s="1"/>
  <c r="S202" i="48"/>
  <c r="S26" i="48"/>
  <c r="BI26" i="48" s="1"/>
  <c r="S90" i="48"/>
  <c r="BI90" i="48" s="1"/>
  <c r="S154" i="48"/>
  <c r="BI154" i="48" s="1"/>
  <c r="S218" i="48"/>
  <c r="S34" i="48"/>
  <c r="BI34" i="48" s="1"/>
  <c r="S98" i="48"/>
  <c r="BI98" i="48" s="1"/>
  <c r="S162" i="48"/>
  <c r="BI162" i="48" s="1"/>
  <c r="S226" i="48"/>
  <c r="S66" i="48"/>
  <c r="BI66" i="48" s="1"/>
  <c r="R17" i="48"/>
  <c r="R81" i="48"/>
  <c r="R145" i="48"/>
  <c r="BH145" i="48" s="1"/>
  <c r="R209" i="48"/>
  <c r="Q48" i="48"/>
  <c r="Q112" i="48"/>
  <c r="S59" i="48"/>
  <c r="BI59" i="48" s="1"/>
  <c r="S123" i="48"/>
  <c r="BI123" i="48" s="1"/>
  <c r="S187" i="48"/>
  <c r="BI187" i="48" s="1"/>
  <c r="R26" i="48"/>
  <c r="R90" i="48"/>
  <c r="S36" i="48"/>
  <c r="BI36" i="48" s="1"/>
  <c r="S100" i="48"/>
  <c r="BI100" i="48" s="1"/>
  <c r="S164" i="48"/>
  <c r="BI164" i="48" s="1"/>
  <c r="R3" i="48"/>
  <c r="R67" i="48"/>
  <c r="S5" i="48"/>
  <c r="BI5" i="48" s="1"/>
  <c r="S69" i="48"/>
  <c r="BI69" i="48" s="1"/>
  <c r="S133" i="48"/>
  <c r="BI133" i="48" s="1"/>
  <c r="S197" i="48"/>
  <c r="BI197" i="48" s="1"/>
  <c r="R36" i="48"/>
  <c r="R100" i="48"/>
  <c r="R164" i="48"/>
  <c r="BH164" i="48" s="1"/>
  <c r="Q3" i="48"/>
  <c r="Q67" i="48"/>
  <c r="Q131" i="48"/>
  <c r="Q195" i="48"/>
  <c r="S30" i="48"/>
  <c r="BI30" i="48" s="1"/>
  <c r="S94" i="48"/>
  <c r="BI94" i="48" s="1"/>
  <c r="S158" i="48"/>
  <c r="BI158" i="48" s="1"/>
  <c r="S222" i="48"/>
  <c r="R61" i="48"/>
  <c r="R125" i="48"/>
  <c r="BH125" i="48" s="1"/>
  <c r="R189" i="48"/>
  <c r="BH189" i="48" s="1"/>
  <c r="Q28" i="48"/>
  <c r="Q92" i="48"/>
  <c r="S63" i="48"/>
  <c r="BI63" i="48" s="1"/>
  <c r="S127" i="48"/>
  <c r="BI127" i="48" s="1"/>
  <c r="S191" i="48"/>
  <c r="BI191" i="48" s="1"/>
  <c r="R30" i="48"/>
  <c r="R94" i="48"/>
  <c r="S56" i="48"/>
  <c r="BI56" i="48" s="1"/>
  <c r="S120" i="48"/>
  <c r="BI120" i="48" s="1"/>
  <c r="S184" i="48"/>
  <c r="BI184" i="48" s="1"/>
  <c r="R23" i="48"/>
  <c r="R87" i="48"/>
  <c r="S33" i="48"/>
  <c r="BI33" i="48" s="1"/>
  <c r="S97" i="48"/>
  <c r="BI97" i="48" s="1"/>
  <c r="S161" i="48"/>
  <c r="BI161" i="48" s="1"/>
  <c r="S225" i="48"/>
  <c r="R64" i="48"/>
  <c r="R128" i="48"/>
  <c r="BH128" i="48" s="1"/>
  <c r="R192" i="48"/>
  <c r="BH192" i="48" s="1"/>
  <c r="Q31" i="48"/>
  <c r="Q95" i="48"/>
  <c r="Q159" i="48"/>
  <c r="Q223" i="48"/>
  <c r="Q6" i="48"/>
  <c r="Q125" i="48"/>
  <c r="Q210" i="48"/>
  <c r="P54" i="48"/>
  <c r="P118" i="48"/>
  <c r="BF118" i="48" s="1"/>
  <c r="P182" i="48"/>
  <c r="BF182" i="48" s="1"/>
  <c r="R154" i="48"/>
  <c r="BH154" i="48" s="1"/>
  <c r="Q57" i="48"/>
  <c r="Q158" i="48"/>
  <c r="P15" i="48"/>
  <c r="P79" i="48"/>
  <c r="P143" i="48"/>
  <c r="BF143" i="48" s="1"/>
  <c r="P207" i="48"/>
  <c r="R203" i="48"/>
  <c r="Q105" i="48"/>
  <c r="Q192" i="48"/>
  <c r="P40" i="48"/>
  <c r="P104" i="48"/>
  <c r="P168" i="48"/>
  <c r="BF168" i="48" s="1"/>
  <c r="R126" i="48"/>
  <c r="BH126" i="48" s="1"/>
  <c r="Q29" i="48"/>
  <c r="Q140" i="48"/>
  <c r="Q225" i="48"/>
  <c r="P65" i="48"/>
  <c r="P129" i="48"/>
  <c r="BF129" i="48" s="1"/>
  <c r="P193" i="48"/>
  <c r="BF193" i="48" s="1"/>
  <c r="S82" i="48"/>
  <c r="BI82" i="48" s="1"/>
  <c r="R25" i="48"/>
  <c r="R89" i="48"/>
  <c r="R153" i="48"/>
  <c r="BH153" i="48" s="1"/>
  <c r="R217" i="48"/>
  <c r="Q56" i="48"/>
  <c r="S3" i="48"/>
  <c r="BI3" i="48" s="1"/>
  <c r="S67" i="48"/>
  <c r="BI67" i="48" s="1"/>
  <c r="S131" i="48"/>
  <c r="BI131" i="48" s="1"/>
  <c r="S195" i="48"/>
  <c r="BI195" i="48" s="1"/>
  <c r="R34" i="48"/>
  <c r="R98" i="48"/>
  <c r="S44" i="48"/>
  <c r="BI44" i="48" s="1"/>
  <c r="S108" i="48"/>
  <c r="BI108" i="48" s="1"/>
  <c r="S172" i="48"/>
  <c r="BI172" i="48" s="1"/>
  <c r="R11" i="48"/>
  <c r="R75" i="48"/>
  <c r="S13" i="48"/>
  <c r="BI13" i="48" s="1"/>
  <c r="S77" i="48"/>
  <c r="BI77" i="48" s="1"/>
  <c r="S141" i="48"/>
  <c r="BI141" i="48" s="1"/>
  <c r="S205" i="48"/>
  <c r="R44" i="48"/>
  <c r="R108" i="48"/>
  <c r="R172" i="48"/>
  <c r="BH172" i="48" s="1"/>
  <c r="Q11" i="48"/>
  <c r="Q75" i="48"/>
  <c r="Q139" i="48"/>
  <c r="Q203" i="48"/>
  <c r="S38" i="48"/>
  <c r="BI38" i="48" s="1"/>
  <c r="S102" i="48"/>
  <c r="BI102" i="48" s="1"/>
  <c r="S166" i="48"/>
  <c r="BI166" i="48" s="1"/>
  <c r="R5" i="48"/>
  <c r="R69" i="48"/>
  <c r="R133" i="48"/>
  <c r="BH133" i="48" s="1"/>
  <c r="R197" i="48"/>
  <c r="BH197" i="48" s="1"/>
  <c r="Q36" i="48"/>
  <c r="S7" i="48"/>
  <c r="BI7" i="48" s="1"/>
  <c r="S71" i="48"/>
  <c r="BI71" i="48" s="1"/>
  <c r="S135" i="48"/>
  <c r="BI135" i="48" s="1"/>
  <c r="S114" i="48"/>
  <c r="BI114" i="48" s="1"/>
  <c r="R33" i="48"/>
  <c r="R97" i="48"/>
  <c r="R161" i="48"/>
  <c r="BH161" i="48" s="1"/>
  <c r="R225" i="48"/>
  <c r="Q64" i="48"/>
  <c r="S11" i="48"/>
  <c r="BI11" i="48" s="1"/>
  <c r="S75" i="48"/>
  <c r="BI75" i="48" s="1"/>
  <c r="S139" i="48"/>
  <c r="BI139" i="48" s="1"/>
  <c r="S203" i="48"/>
  <c r="R42" i="48"/>
  <c r="R106" i="48"/>
  <c r="S52" i="48"/>
  <c r="BI52" i="48" s="1"/>
  <c r="S116" i="48"/>
  <c r="BI116" i="48" s="1"/>
  <c r="S180" i="48"/>
  <c r="BI180" i="48" s="1"/>
  <c r="R19" i="48"/>
  <c r="R83" i="48"/>
  <c r="S21" i="48"/>
  <c r="BI21" i="48" s="1"/>
  <c r="S85" i="48"/>
  <c r="BI85" i="48" s="1"/>
  <c r="S149" i="48"/>
  <c r="BI149" i="48" s="1"/>
  <c r="S213" i="48"/>
  <c r="R52" i="48"/>
  <c r="R116" i="48"/>
  <c r="BH116" i="48" s="1"/>
  <c r="R180" i="48"/>
  <c r="BH180" i="48" s="1"/>
  <c r="Q19" i="48"/>
  <c r="Q83" i="48"/>
  <c r="Q147" i="48"/>
  <c r="Q211" i="48"/>
  <c r="S46" i="48"/>
  <c r="BI46" i="48" s="1"/>
  <c r="S110" i="48"/>
  <c r="BI110" i="48" s="1"/>
  <c r="S174" i="48"/>
  <c r="BI174" i="48" s="1"/>
  <c r="R13" i="48"/>
  <c r="R77" i="48"/>
  <c r="R141" i="48"/>
  <c r="BH141" i="48" s="1"/>
  <c r="R205" i="48"/>
  <c r="Q44" i="48"/>
  <c r="S15" i="48"/>
  <c r="BI15" i="48" s="1"/>
  <c r="S79" i="48"/>
  <c r="BI79" i="48" s="1"/>
  <c r="S143" i="48"/>
  <c r="BI143" i="48" s="1"/>
  <c r="S207" i="48"/>
  <c r="R46" i="48"/>
  <c r="S8" i="48"/>
  <c r="BI8" i="48" s="1"/>
  <c r="S72" i="48"/>
  <c r="BI72" i="48" s="1"/>
  <c r="S136" i="48"/>
  <c r="BI136" i="48" s="1"/>
  <c r="S200" i="48"/>
  <c r="BI200" i="48" s="1"/>
  <c r="R39" i="48"/>
  <c r="R103" i="48"/>
  <c r="S49" i="48"/>
  <c r="BI49" i="48" s="1"/>
  <c r="S113" i="48"/>
  <c r="BI113" i="48" s="1"/>
  <c r="S177" i="48"/>
  <c r="BI177" i="48" s="1"/>
  <c r="R16" i="48"/>
  <c r="R80" i="48"/>
  <c r="R144" i="48"/>
  <c r="BH144" i="48" s="1"/>
  <c r="R208" i="48"/>
  <c r="Q47" i="48"/>
  <c r="Q111" i="48"/>
  <c r="Q175" i="48"/>
  <c r="R135" i="48"/>
  <c r="BH135" i="48" s="1"/>
  <c r="Q38" i="48"/>
  <c r="Q146" i="48"/>
  <c r="P6" i="48"/>
  <c r="P70" i="48"/>
  <c r="P134" i="48"/>
  <c r="BF134" i="48" s="1"/>
  <c r="P198" i="48"/>
  <c r="BF198" i="48" s="1"/>
  <c r="R186" i="48"/>
  <c r="BH186" i="48" s="1"/>
  <c r="Q89" i="48"/>
  <c r="Q180" i="48"/>
  <c r="P31" i="48"/>
  <c r="P95" i="48"/>
  <c r="P159" i="48"/>
  <c r="BF159" i="48" s="1"/>
  <c r="P223" i="48"/>
  <c r="Q10" i="48"/>
  <c r="Q128" i="48"/>
  <c r="Q213" i="48"/>
  <c r="P56" i="48"/>
  <c r="P120" i="48"/>
  <c r="BF120" i="48" s="1"/>
  <c r="P184" i="48"/>
  <c r="BF184" i="48" s="1"/>
  <c r="R158" i="48"/>
  <c r="BH158" i="48" s="1"/>
  <c r="Q61" i="48"/>
  <c r="Q161" i="48"/>
  <c r="P17" i="48"/>
  <c r="P81" i="48"/>
  <c r="P145" i="48"/>
  <c r="BF145" i="48" s="1"/>
  <c r="P209" i="48"/>
  <c r="S130" i="48"/>
  <c r="BI130" i="48" s="1"/>
  <c r="R41" i="48"/>
  <c r="R105" i="48"/>
  <c r="R169" i="48"/>
  <c r="BH169" i="48" s="1"/>
  <c r="Q8" i="48"/>
  <c r="Q72" i="48"/>
  <c r="S19" i="48"/>
  <c r="BI19" i="48" s="1"/>
  <c r="S83" i="48"/>
  <c r="BI83" i="48" s="1"/>
  <c r="S147" i="48"/>
  <c r="BI147" i="48" s="1"/>
  <c r="S211" i="48"/>
  <c r="R50" i="48"/>
  <c r="R114" i="48"/>
  <c r="BH114" i="48" s="1"/>
  <c r="S60" i="48"/>
  <c r="BI60" i="48" s="1"/>
  <c r="S124" i="48"/>
  <c r="BI124" i="48" s="1"/>
  <c r="S188" i="48"/>
  <c r="BI188" i="48" s="1"/>
  <c r="R27" i="48"/>
  <c r="R91" i="48"/>
  <c r="S29" i="48"/>
  <c r="BI29" i="48" s="1"/>
  <c r="S93" i="48"/>
  <c r="BI93" i="48" s="1"/>
  <c r="S157" i="48"/>
  <c r="S221" i="48"/>
  <c r="R60" i="48"/>
  <c r="R124" i="48"/>
  <c r="BH124" i="48" s="1"/>
  <c r="R188" i="48"/>
  <c r="BH188" i="48" s="1"/>
  <c r="Q27" i="48"/>
  <c r="Q91" i="48"/>
  <c r="Q155" i="48"/>
  <c r="Q219" i="48"/>
  <c r="S54" i="48"/>
  <c r="BI54" i="48" s="1"/>
  <c r="S118" i="48"/>
  <c r="BI118" i="48" s="1"/>
  <c r="S182" i="48"/>
  <c r="BI182" i="48" s="1"/>
  <c r="R21" i="48"/>
  <c r="R85" i="48"/>
  <c r="R149" i="48"/>
  <c r="BH149" i="48" s="1"/>
  <c r="R213" i="48"/>
  <c r="Q52" i="48"/>
  <c r="S23" i="48"/>
  <c r="BI23" i="48" s="1"/>
  <c r="S87" i="48"/>
  <c r="BI87" i="48" s="1"/>
  <c r="S151" i="48"/>
  <c r="BI151" i="48" s="1"/>
  <c r="S215" i="48"/>
  <c r="R54" i="48"/>
  <c r="S16" i="48"/>
  <c r="BI16" i="48" s="1"/>
  <c r="S80" i="48"/>
  <c r="BI80" i="48" s="1"/>
  <c r="S144" i="48"/>
  <c r="S208" i="48"/>
  <c r="R47" i="48"/>
  <c r="R111" i="48"/>
  <c r="S57" i="48"/>
  <c r="BI57" i="48" s="1"/>
  <c r="S121" i="48"/>
  <c r="BI121" i="48" s="1"/>
  <c r="S185" i="48"/>
  <c r="BI185" i="48" s="1"/>
  <c r="R24" i="48"/>
  <c r="R88" i="48"/>
  <c r="R152" i="48"/>
  <c r="BH152" i="48" s="1"/>
  <c r="R216" i="48"/>
  <c r="Q55" i="48"/>
  <c r="Q119" i="48"/>
  <c r="Q183" i="48"/>
  <c r="R151" i="48"/>
  <c r="BH151" i="48" s="1"/>
  <c r="Q54" i="48"/>
  <c r="Q157" i="48"/>
  <c r="P14" i="48"/>
  <c r="P78" i="48"/>
  <c r="P142" i="48"/>
  <c r="BF142" i="48" s="1"/>
  <c r="P206" i="48"/>
  <c r="R202" i="48"/>
  <c r="Q102" i="48"/>
  <c r="Q190" i="48"/>
  <c r="P39" i="48"/>
  <c r="P103" i="48"/>
  <c r="P167" i="48"/>
  <c r="BF167" i="48" s="1"/>
  <c r="R122" i="48"/>
  <c r="BH122" i="48" s="1"/>
  <c r="Q26" i="48"/>
  <c r="Q138" i="48"/>
  <c r="Q224" i="48"/>
  <c r="P64" i="48"/>
  <c r="P128" i="48"/>
  <c r="BF128" i="48" s="1"/>
  <c r="P192" i="48"/>
  <c r="BF192" i="48" s="1"/>
  <c r="R174" i="48"/>
  <c r="BH174" i="48" s="1"/>
  <c r="Q77" i="48"/>
  <c r="Q172" i="48"/>
  <c r="P25" i="48"/>
  <c r="P89" i="48"/>
  <c r="P153" i="48"/>
  <c r="BF153" i="48" s="1"/>
  <c r="P217" i="48"/>
  <c r="S146" i="48"/>
  <c r="BI146" i="48" s="1"/>
  <c r="R49" i="48"/>
  <c r="R113" i="48"/>
  <c r="BH113" i="48" s="1"/>
  <c r="R177" i="48"/>
  <c r="BH177" i="48" s="1"/>
  <c r="Q16" i="48"/>
  <c r="Q80" i="48"/>
  <c r="S27" i="48"/>
  <c r="BI27" i="48" s="1"/>
  <c r="S91" i="48"/>
  <c r="BI91" i="48" s="1"/>
  <c r="S155" i="48"/>
  <c r="BI155" i="48" s="1"/>
  <c r="S219" i="48"/>
  <c r="R58" i="48"/>
  <c r="S4" i="48"/>
  <c r="BI4" i="48" s="1"/>
  <c r="S68" i="48"/>
  <c r="BI68" i="48" s="1"/>
  <c r="S132" i="48"/>
  <c r="BI132" i="48" s="1"/>
  <c r="S196" i="48"/>
  <c r="BI196" i="48" s="1"/>
  <c r="R35" i="48"/>
  <c r="R99" i="48"/>
  <c r="S37" i="48"/>
  <c r="BI37" i="48" s="1"/>
  <c r="S101" i="48"/>
  <c r="BI101" i="48" s="1"/>
  <c r="S165" i="48"/>
  <c r="BI165" i="48" s="1"/>
  <c r="R4" i="48"/>
  <c r="R68" i="48"/>
  <c r="R132" i="48"/>
  <c r="BH132" i="48" s="1"/>
  <c r="R196" i="48"/>
  <c r="BH196" i="48" s="1"/>
  <c r="Q35" i="48"/>
  <c r="Q99" i="48"/>
  <c r="Q163" i="48"/>
  <c r="P2" i="48"/>
  <c r="S62" i="48"/>
  <c r="BI62" i="48" s="1"/>
  <c r="S126" i="48"/>
  <c r="BI126" i="48" s="1"/>
  <c r="S190" i="48"/>
  <c r="BI190" i="48" s="1"/>
  <c r="R29" i="48"/>
  <c r="R93" i="48"/>
  <c r="R157" i="48"/>
  <c r="BH157" i="48" s="1"/>
  <c r="R221" i="48"/>
  <c r="Q60" i="48"/>
  <c r="S31" i="48"/>
  <c r="BI31" i="48" s="1"/>
  <c r="S95" i="48"/>
  <c r="BI95" i="48" s="1"/>
  <c r="S159" i="48"/>
  <c r="BI159" i="48" s="1"/>
  <c r="S223" i="48"/>
  <c r="R62" i="48"/>
  <c r="S24" i="48"/>
  <c r="BI24" i="48" s="1"/>
  <c r="S88" i="48"/>
  <c r="BI88" i="48" s="1"/>
  <c r="S152" i="48"/>
  <c r="BI152" i="48" s="1"/>
  <c r="S216" i="48"/>
  <c r="R55" i="48"/>
  <c r="R119" i="48"/>
  <c r="BH119" i="48" s="1"/>
  <c r="S65" i="48"/>
  <c r="BI65" i="48" s="1"/>
  <c r="S129" i="48"/>
  <c r="BI129" i="48" s="1"/>
  <c r="S193" i="48"/>
  <c r="BI193" i="48" s="1"/>
  <c r="R32" i="48"/>
  <c r="R96" i="48"/>
  <c r="R160" i="48"/>
  <c r="BH160" i="48" s="1"/>
  <c r="R224" i="48"/>
  <c r="Q63" i="48"/>
  <c r="Q127" i="48"/>
  <c r="Q191" i="48"/>
  <c r="R167" i="48"/>
  <c r="BH167" i="48" s="1"/>
  <c r="Q70" i="48"/>
  <c r="Q168" i="48"/>
  <c r="P22" i="48"/>
  <c r="P86" i="48"/>
  <c r="P150" i="48"/>
  <c r="BF150" i="48" s="1"/>
  <c r="P214" i="48"/>
  <c r="R218" i="48"/>
  <c r="Q116" i="48"/>
  <c r="Q201" i="48"/>
  <c r="P47" i="48"/>
  <c r="P111" i="48"/>
  <c r="P175" i="48"/>
  <c r="BF175" i="48" s="1"/>
  <c r="R139" i="48"/>
  <c r="BH139" i="48" s="1"/>
  <c r="Q42" i="48"/>
  <c r="Q149" i="48"/>
  <c r="P8" i="48"/>
  <c r="P72" i="48"/>
  <c r="P136" i="48"/>
  <c r="BF136" i="48" s="1"/>
  <c r="P200" i="48"/>
  <c r="BF200" i="48" s="1"/>
  <c r="R190" i="48"/>
  <c r="BH190" i="48" s="1"/>
  <c r="Q93" i="48"/>
  <c r="Q182" i="48"/>
  <c r="P33" i="48"/>
  <c r="P97" i="48"/>
  <c r="P161" i="48"/>
  <c r="BF161" i="48" s="1"/>
  <c r="S2" i="48"/>
  <c r="BI2" i="48" s="1"/>
  <c r="S178" i="48"/>
  <c r="BI178" i="48" s="1"/>
  <c r="R57" i="48"/>
  <c r="R121" i="48"/>
  <c r="BH121" i="48" s="1"/>
  <c r="R185" i="48"/>
  <c r="BH185" i="48" s="1"/>
  <c r="Q24" i="48"/>
  <c r="Q88" i="48"/>
  <c r="S35" i="48"/>
  <c r="BI35" i="48" s="1"/>
  <c r="S99" i="48"/>
  <c r="BI99" i="48" s="1"/>
  <c r="S163" i="48"/>
  <c r="BI163" i="48" s="1"/>
  <c r="R2" i="48"/>
  <c r="R66" i="48"/>
  <c r="S12" i="48"/>
  <c r="BI12" i="48" s="1"/>
  <c r="S76" i="48"/>
  <c r="BI76" i="48" s="1"/>
  <c r="S140" i="48"/>
  <c r="BI140" i="48" s="1"/>
  <c r="S204" i="48"/>
  <c r="R43" i="48"/>
  <c r="R107" i="48"/>
  <c r="S45" i="48"/>
  <c r="BI45" i="48" s="1"/>
  <c r="S109" i="48"/>
  <c r="BI109" i="48" s="1"/>
  <c r="S173" i="48"/>
  <c r="R12" i="48"/>
  <c r="R76" i="48"/>
  <c r="R140" i="48"/>
  <c r="BH140" i="48" s="1"/>
  <c r="R204" i="48"/>
  <c r="Q43" i="48"/>
  <c r="Q107" i="48"/>
  <c r="Q171" i="48"/>
  <c r="S6" i="48"/>
  <c r="BI6" i="48" s="1"/>
  <c r="S70" i="48"/>
  <c r="BI70" i="48" s="1"/>
  <c r="S134" i="48"/>
  <c r="BI134" i="48" s="1"/>
  <c r="S198" i="48"/>
  <c r="BI198" i="48" s="1"/>
  <c r="R37" i="48"/>
  <c r="R101" i="48"/>
  <c r="R165" i="48"/>
  <c r="BH165" i="48" s="1"/>
  <c r="Q4" i="48"/>
  <c r="Q68" i="48"/>
  <c r="S39" i="48"/>
  <c r="BI39" i="48" s="1"/>
  <c r="S103" i="48"/>
  <c r="BI103" i="48" s="1"/>
  <c r="S167" i="48"/>
  <c r="BI167" i="48" s="1"/>
  <c r="R6" i="48"/>
  <c r="R70" i="48"/>
  <c r="S32" i="48"/>
  <c r="BI32" i="48" s="1"/>
  <c r="S96" i="48"/>
  <c r="BI96" i="48" s="1"/>
  <c r="S160" i="48"/>
  <c r="S224" i="48"/>
  <c r="R63" i="48"/>
  <c r="S9" i="48"/>
  <c r="BI9" i="48" s="1"/>
  <c r="S73" i="48"/>
  <c r="BI73" i="48" s="1"/>
  <c r="S137" i="48"/>
  <c r="BI137" i="48" s="1"/>
  <c r="S201" i="48"/>
  <c r="BI201" i="48" s="1"/>
  <c r="R40" i="48"/>
  <c r="R104" i="48"/>
  <c r="R168" i="48"/>
  <c r="BH168" i="48" s="1"/>
  <c r="Q7" i="48"/>
  <c r="Q71" i="48"/>
  <c r="Q135" i="48"/>
  <c r="Q199" i="48"/>
  <c r="R183" i="48"/>
  <c r="BH183" i="48" s="1"/>
  <c r="Q86" i="48"/>
  <c r="Q178" i="48"/>
  <c r="P30" i="48"/>
  <c r="P94" i="48"/>
  <c r="P158" i="48"/>
  <c r="BF158" i="48" s="1"/>
  <c r="P222" i="48"/>
  <c r="Q9" i="48"/>
  <c r="Q126" i="48"/>
  <c r="Q212" i="48"/>
  <c r="P55" i="48"/>
  <c r="P119" i="48"/>
  <c r="BF119" i="48" s="1"/>
  <c r="P183" i="48"/>
  <c r="BF183" i="48" s="1"/>
  <c r="R155" i="48"/>
  <c r="BH155" i="48" s="1"/>
  <c r="Q58" i="48"/>
  <c r="Q160" i="48"/>
  <c r="P16" i="48"/>
  <c r="P80" i="48"/>
  <c r="P144" i="48"/>
  <c r="BF144" i="48" s="1"/>
  <c r="P208" i="48"/>
  <c r="R206" i="48"/>
  <c r="Q106" i="48"/>
  <c r="Q193" i="48"/>
  <c r="P41" i="48"/>
  <c r="P105" i="48"/>
  <c r="P169" i="48"/>
  <c r="BF169" i="48" s="1"/>
  <c r="S18" i="48"/>
  <c r="BI18" i="48" s="1"/>
  <c r="S194" i="48"/>
  <c r="BI194" i="48" s="1"/>
  <c r="R65" i="48"/>
  <c r="R129" i="48"/>
  <c r="BH129" i="48" s="1"/>
  <c r="R193" i="48"/>
  <c r="BH193" i="48" s="1"/>
  <c r="Q32" i="48"/>
  <c r="Q96" i="48"/>
  <c r="S43" i="48"/>
  <c r="BI43" i="48" s="1"/>
  <c r="S107" i="48"/>
  <c r="BI107" i="48" s="1"/>
  <c r="S171" i="48"/>
  <c r="BI171" i="48" s="1"/>
  <c r="R10" i="48"/>
  <c r="R74" i="48"/>
  <c r="S20" i="48"/>
  <c r="BI20" i="48" s="1"/>
  <c r="S84" i="48"/>
  <c r="BI84" i="48" s="1"/>
  <c r="S148" i="48"/>
  <c r="BI148" i="48" s="1"/>
  <c r="S212" i="48"/>
  <c r="R51" i="48"/>
  <c r="R115" i="48"/>
  <c r="BH115" i="48" s="1"/>
  <c r="S53" i="48"/>
  <c r="BI53" i="48" s="1"/>
  <c r="S117" i="48"/>
  <c r="BI117" i="48" s="1"/>
  <c r="S181" i="48"/>
  <c r="BI181" i="48" s="1"/>
  <c r="R20" i="48"/>
  <c r="R84" i="48"/>
  <c r="R148" i="48"/>
  <c r="BH148" i="48" s="1"/>
  <c r="R212" i="48"/>
  <c r="Q51" i="48"/>
  <c r="Q115" i="48"/>
  <c r="Q179" i="48"/>
  <c r="S14" i="48"/>
  <c r="BI14" i="48" s="1"/>
  <c r="S78" i="48"/>
  <c r="BI78" i="48" s="1"/>
  <c r="S142" i="48"/>
  <c r="BI142" i="48" s="1"/>
  <c r="S206" i="48"/>
  <c r="R45" i="48"/>
  <c r="R109" i="48"/>
  <c r="R173" i="48"/>
  <c r="BH173" i="48" s="1"/>
  <c r="Q12" i="48"/>
  <c r="Q76" i="48"/>
  <c r="S47" i="48"/>
  <c r="BI47" i="48" s="1"/>
  <c r="S111" i="48"/>
  <c r="BI111" i="48" s="1"/>
  <c r="S175" i="48"/>
  <c r="BI175" i="48" s="1"/>
  <c r="R14" i="48"/>
  <c r="R78" i="48"/>
  <c r="S40" i="48"/>
  <c r="BI40" i="48" s="1"/>
  <c r="S104" i="48"/>
  <c r="BI104" i="48" s="1"/>
  <c r="S168" i="48"/>
  <c r="BI168" i="48" s="1"/>
  <c r="R7" i="48"/>
  <c r="R71" i="48"/>
  <c r="S17" i="48"/>
  <c r="BI17" i="48" s="1"/>
  <c r="S81" i="48"/>
  <c r="BI81" i="48" s="1"/>
  <c r="S145" i="48"/>
  <c r="BI145" i="48" s="1"/>
  <c r="S209" i="48"/>
  <c r="R48" i="48"/>
  <c r="R112" i="48"/>
  <c r="BH112" i="48" s="1"/>
  <c r="R176" i="48"/>
  <c r="BH176" i="48" s="1"/>
  <c r="Q15" i="48"/>
  <c r="Q79" i="48"/>
  <c r="Q143" i="48"/>
  <c r="Q207" i="48"/>
  <c r="R199" i="48"/>
  <c r="BH199" i="48" s="1"/>
  <c r="Q101" i="48"/>
  <c r="Q189" i="48"/>
  <c r="P38" i="48"/>
  <c r="P102" i="48"/>
  <c r="P166" i="48"/>
  <c r="BF166" i="48" s="1"/>
  <c r="R118" i="48"/>
  <c r="BH118" i="48" s="1"/>
  <c r="Q25" i="48"/>
  <c r="Q137" i="48"/>
  <c r="Q222" i="48"/>
  <c r="P63" i="48"/>
  <c r="P127" i="48"/>
  <c r="BF127" i="48" s="1"/>
  <c r="P191" i="48"/>
  <c r="BF191" i="48" s="1"/>
  <c r="R171" i="48"/>
  <c r="BH171" i="48" s="1"/>
  <c r="Q74" i="48"/>
  <c r="Q170" i="48"/>
  <c r="P24" i="48"/>
  <c r="P88" i="48"/>
  <c r="P152" i="48"/>
  <c r="BF152" i="48" s="1"/>
  <c r="P216" i="48"/>
  <c r="R222" i="48"/>
  <c r="Q118" i="48"/>
  <c r="Q204" i="48"/>
  <c r="P49" i="48"/>
  <c r="P113" i="48"/>
  <c r="BF113" i="48" s="1"/>
  <c r="P177" i="48"/>
  <c r="BF177" i="48" s="1"/>
  <c r="S50" i="48"/>
  <c r="BI50" i="48" s="1"/>
  <c r="S210" i="48"/>
  <c r="R73" i="48"/>
  <c r="R137" i="48"/>
  <c r="BH137" i="48" s="1"/>
  <c r="R201" i="48"/>
  <c r="BH201" i="48" s="1"/>
  <c r="Q40" i="48"/>
  <c r="Q104" i="48"/>
  <c r="S51" i="48"/>
  <c r="BI51" i="48" s="1"/>
  <c r="S115" i="48"/>
  <c r="BI115" i="48" s="1"/>
  <c r="S179" i="48"/>
  <c r="BI179" i="48" s="1"/>
  <c r="R18" i="48"/>
  <c r="R82" i="48"/>
  <c r="S28" i="48"/>
  <c r="BI28" i="48" s="1"/>
  <c r="S92" i="48"/>
  <c r="BI92" i="48" s="1"/>
  <c r="S156" i="48"/>
  <c r="BI156" i="48" s="1"/>
  <c r="S220" i="48"/>
  <c r="R59" i="48"/>
  <c r="R123" i="48"/>
  <c r="BH123" i="48" s="1"/>
  <c r="S61" i="48"/>
  <c r="BI61" i="48" s="1"/>
  <c r="S125" i="48"/>
  <c r="BI125" i="48" s="1"/>
  <c r="S189" i="48"/>
  <c r="R28" i="48"/>
  <c r="R92" i="48"/>
  <c r="R156" i="48"/>
  <c r="BH156" i="48" s="1"/>
  <c r="R220" i="48"/>
  <c r="Q59" i="48"/>
  <c r="Q123" i="48"/>
  <c r="Q187" i="48"/>
  <c r="S22" i="48"/>
  <c r="BI22" i="48" s="1"/>
  <c r="S86" i="48"/>
  <c r="BI86" i="48" s="1"/>
  <c r="S150" i="48"/>
  <c r="BI150" i="48" s="1"/>
  <c r="S214" i="48"/>
  <c r="R53" i="48"/>
  <c r="R117" i="48"/>
  <c r="BH117" i="48" s="1"/>
  <c r="R181" i="48"/>
  <c r="BH181" i="48" s="1"/>
  <c r="Q20" i="48"/>
  <c r="Q84" i="48"/>
  <c r="S55" i="48"/>
  <c r="BI55" i="48" s="1"/>
  <c r="S119" i="48"/>
  <c r="BI119" i="48" s="1"/>
  <c r="S183" i="48"/>
  <c r="BI183" i="48" s="1"/>
  <c r="R22" i="48"/>
  <c r="R86" i="48"/>
  <c r="S48" i="48"/>
  <c r="BI48" i="48" s="1"/>
  <c r="S112" i="48"/>
  <c r="BI112" i="48" s="1"/>
  <c r="S176" i="48"/>
  <c r="R15" i="48"/>
  <c r="R79" i="48"/>
  <c r="S25" i="48"/>
  <c r="BI25" i="48" s="1"/>
  <c r="S89" i="48"/>
  <c r="BI89" i="48" s="1"/>
  <c r="S153" i="48"/>
  <c r="BI153" i="48" s="1"/>
  <c r="S217" i="48"/>
  <c r="R56" i="48"/>
  <c r="R120" i="48"/>
  <c r="BH120" i="48" s="1"/>
  <c r="R184" i="48"/>
  <c r="BH184" i="48" s="1"/>
  <c r="Q23" i="48"/>
  <c r="Q87" i="48"/>
  <c r="Q151" i="48"/>
  <c r="Q215" i="48"/>
  <c r="R215" i="48"/>
  <c r="Q114" i="48"/>
  <c r="Q200" i="48"/>
  <c r="P46" i="48"/>
  <c r="P110" i="48"/>
  <c r="P174" i="48"/>
  <c r="BF174" i="48" s="1"/>
  <c r="R138" i="48"/>
  <c r="BH138" i="48" s="1"/>
  <c r="Q41" i="48"/>
  <c r="Q148" i="48"/>
  <c r="P7" i="48"/>
  <c r="P71" i="48"/>
  <c r="P135" i="48"/>
  <c r="BF135" i="48" s="1"/>
  <c r="P199" i="48"/>
  <c r="BF199" i="48" s="1"/>
  <c r="R187" i="48"/>
  <c r="BH187" i="48" s="1"/>
  <c r="Q90" i="48"/>
  <c r="Q181" i="48"/>
  <c r="P32" i="48"/>
  <c r="P96" i="48"/>
  <c r="P160" i="48"/>
  <c r="BF160" i="48" s="1"/>
  <c r="P224" i="48"/>
  <c r="Q13" i="48"/>
  <c r="Q129" i="48"/>
  <c r="Q214" i="48"/>
  <c r="P57" i="48"/>
  <c r="P121" i="48"/>
  <c r="BF121" i="48" s="1"/>
  <c r="P185" i="48"/>
  <c r="BF185" i="48" s="1"/>
  <c r="S199" i="48"/>
  <c r="S41" i="48"/>
  <c r="BI41" i="48" s="1"/>
  <c r="Q103" i="48"/>
  <c r="P190" i="48"/>
  <c r="BF190" i="48" s="1"/>
  <c r="R219" i="48"/>
  <c r="Q150" i="48"/>
  <c r="R159" i="48"/>
  <c r="BH159" i="48" s="1"/>
  <c r="Q62" i="48"/>
  <c r="Q162" i="48"/>
  <c r="P18" i="48"/>
  <c r="P82" i="48"/>
  <c r="P146" i="48"/>
  <c r="BF146" i="48" s="1"/>
  <c r="P210" i="48"/>
  <c r="R210" i="48"/>
  <c r="Q109" i="48"/>
  <c r="Q196" i="48"/>
  <c r="P43" i="48"/>
  <c r="P107" i="48"/>
  <c r="P171" i="48"/>
  <c r="BF171" i="48" s="1"/>
  <c r="R147" i="48"/>
  <c r="BH147" i="48" s="1"/>
  <c r="Q50" i="48"/>
  <c r="Q154" i="48"/>
  <c r="P12" i="48"/>
  <c r="P76" i="48"/>
  <c r="P140" i="48"/>
  <c r="BF140" i="48" s="1"/>
  <c r="P204" i="48"/>
  <c r="R214" i="48"/>
  <c r="Q134" i="48"/>
  <c r="P69" i="48"/>
  <c r="P205" i="48"/>
  <c r="P45" i="48"/>
  <c r="Q100" i="48"/>
  <c r="P212" i="44"/>
  <c r="P214" i="44"/>
  <c r="Q219" i="44"/>
  <c r="Q221" i="44"/>
  <c r="R207" i="44"/>
  <c r="R209" i="44"/>
  <c r="Q214" i="44"/>
  <c r="P215" i="44"/>
  <c r="P219" i="44"/>
  <c r="S105" i="48"/>
  <c r="BI105" i="48" s="1"/>
  <c r="P51" i="48"/>
  <c r="P212" i="48"/>
  <c r="Q188" i="48"/>
  <c r="P211" i="44"/>
  <c r="R38" i="48"/>
  <c r="Q173" i="48"/>
  <c r="P20" i="48"/>
  <c r="R102" i="48"/>
  <c r="S169" i="48"/>
  <c r="BI169" i="48" s="1"/>
  <c r="R110" i="48"/>
  <c r="Q73" i="48"/>
  <c r="Q202" i="48"/>
  <c r="P73" i="48"/>
  <c r="R191" i="48"/>
  <c r="BH191" i="48" s="1"/>
  <c r="Q94" i="48"/>
  <c r="Q184" i="48"/>
  <c r="P34" i="48"/>
  <c r="P98" i="48"/>
  <c r="P162" i="48"/>
  <c r="BF162" i="48" s="1"/>
  <c r="P226" i="48"/>
  <c r="Q17" i="48"/>
  <c r="Q132" i="48"/>
  <c r="Q217" i="48"/>
  <c r="P59" i="48"/>
  <c r="P123" i="48"/>
  <c r="BF123" i="48" s="1"/>
  <c r="P187" i="48"/>
  <c r="BF187" i="48" s="1"/>
  <c r="R179" i="48"/>
  <c r="BH179" i="48" s="1"/>
  <c r="Q82" i="48"/>
  <c r="Q176" i="48"/>
  <c r="P28" i="48"/>
  <c r="P92" i="48"/>
  <c r="P156" i="48"/>
  <c r="BF156" i="48" s="1"/>
  <c r="P220" i="48"/>
  <c r="Q124" i="48"/>
  <c r="P61" i="48"/>
  <c r="P197" i="48"/>
  <c r="BF197" i="48" s="1"/>
  <c r="Q166" i="48"/>
  <c r="Q177" i="48"/>
  <c r="P37" i="48"/>
  <c r="Q206" i="44"/>
  <c r="R219" i="44"/>
  <c r="P205" i="44"/>
  <c r="R214" i="44"/>
  <c r="P209" i="44"/>
  <c r="Q216" i="44"/>
  <c r="S207" i="44"/>
  <c r="P218" i="44"/>
  <c r="P204" i="44"/>
  <c r="Q78" i="48"/>
  <c r="Q121" i="48"/>
  <c r="Q165" i="48"/>
  <c r="P133" i="48"/>
  <c r="BF133" i="48" s="1"/>
  <c r="S204" i="44"/>
  <c r="R212" i="44"/>
  <c r="S64" i="48"/>
  <c r="BI64" i="48" s="1"/>
  <c r="R8" i="48"/>
  <c r="Q22" i="48"/>
  <c r="Q169" i="48"/>
  <c r="P48" i="48"/>
  <c r="P137" i="48"/>
  <c r="BF137" i="48" s="1"/>
  <c r="R207" i="48"/>
  <c r="Q108" i="48"/>
  <c r="Q194" i="48"/>
  <c r="P42" i="48"/>
  <c r="P106" i="48"/>
  <c r="P170" i="48"/>
  <c r="BF170" i="48" s="1"/>
  <c r="R130" i="48"/>
  <c r="BH130" i="48" s="1"/>
  <c r="Q33" i="48"/>
  <c r="Q142" i="48"/>
  <c r="P3" i="48"/>
  <c r="P67" i="48"/>
  <c r="P131" i="48"/>
  <c r="BF131" i="48" s="1"/>
  <c r="P195" i="48"/>
  <c r="BF195" i="48" s="1"/>
  <c r="R195" i="48"/>
  <c r="BH195" i="48" s="1"/>
  <c r="Q98" i="48"/>
  <c r="Q186" i="48"/>
  <c r="P36" i="48"/>
  <c r="P100" i="48"/>
  <c r="P164" i="48"/>
  <c r="BF164" i="48" s="1"/>
  <c r="R134" i="48"/>
  <c r="BH134" i="48" s="1"/>
  <c r="Q209" i="48"/>
  <c r="P125" i="48"/>
  <c r="BF125" i="48" s="1"/>
  <c r="Q53" i="48"/>
  <c r="P21" i="48"/>
  <c r="P29" i="48"/>
  <c r="P101" i="48"/>
  <c r="P207" i="44"/>
  <c r="R206" i="44"/>
  <c r="S209" i="44"/>
  <c r="S205" i="44"/>
  <c r="S214" i="44"/>
  <c r="Q211" i="44"/>
  <c r="R208" i="44"/>
  <c r="S208" i="44"/>
  <c r="R221" i="44"/>
  <c r="R175" i="48"/>
  <c r="BH175" i="48" s="1"/>
  <c r="Q206" i="48"/>
  <c r="P84" i="48"/>
  <c r="Q85" i="48"/>
  <c r="P217" i="44"/>
  <c r="S128" i="48"/>
  <c r="BI128" i="48" s="1"/>
  <c r="R72" i="48"/>
  <c r="Q136" i="48"/>
  <c r="P23" i="48"/>
  <c r="P112" i="48"/>
  <c r="BF112" i="48" s="1"/>
  <c r="P201" i="48"/>
  <c r="BF201" i="48" s="1"/>
  <c r="R223" i="48"/>
  <c r="Q120" i="48"/>
  <c r="Q205" i="48"/>
  <c r="P50" i="48"/>
  <c r="P114" i="48"/>
  <c r="BF114" i="48" s="1"/>
  <c r="P178" i="48"/>
  <c r="BF178" i="48" s="1"/>
  <c r="R146" i="48"/>
  <c r="BH146" i="48" s="1"/>
  <c r="Q49" i="48"/>
  <c r="Q153" i="48"/>
  <c r="P11" i="48"/>
  <c r="P75" i="48"/>
  <c r="P139" i="48"/>
  <c r="BF139" i="48" s="1"/>
  <c r="P203" i="48"/>
  <c r="R211" i="48"/>
  <c r="Q110" i="48"/>
  <c r="Q197" i="48"/>
  <c r="P44" i="48"/>
  <c r="P108" i="48"/>
  <c r="P172" i="48"/>
  <c r="BF172" i="48" s="1"/>
  <c r="R150" i="48"/>
  <c r="BH150" i="48" s="1"/>
  <c r="P53" i="48"/>
  <c r="P189" i="48"/>
  <c r="BF189" i="48" s="1"/>
  <c r="Q156" i="48"/>
  <c r="P85" i="48"/>
  <c r="P93" i="48"/>
  <c r="P165" i="48"/>
  <c r="BF165" i="48" s="1"/>
  <c r="S220" i="44"/>
  <c r="Q207" i="44"/>
  <c r="Q213" i="44"/>
  <c r="S212" i="44"/>
  <c r="R217" i="44"/>
  <c r="Q217" i="44"/>
  <c r="Q209" i="44"/>
  <c r="Q210" i="44"/>
  <c r="S210" i="44"/>
  <c r="P9" i="48"/>
  <c r="R226" i="48"/>
  <c r="Q66" i="48"/>
  <c r="Q69" i="48"/>
  <c r="Q208" i="44"/>
  <c r="S192" i="48"/>
  <c r="BI192" i="48" s="1"/>
  <c r="R136" i="48"/>
  <c r="BH136" i="48" s="1"/>
  <c r="Q221" i="48"/>
  <c r="P87" i="48"/>
  <c r="P176" i="48"/>
  <c r="BF176" i="48" s="1"/>
  <c r="P225" i="48"/>
  <c r="Q14" i="48"/>
  <c r="Q130" i="48"/>
  <c r="Q216" i="48"/>
  <c r="P58" i="48"/>
  <c r="P122" i="48"/>
  <c r="BF122" i="48" s="1"/>
  <c r="P186" i="48"/>
  <c r="BF186" i="48" s="1"/>
  <c r="R162" i="48"/>
  <c r="BH162" i="48" s="1"/>
  <c r="Q65" i="48"/>
  <c r="Q164" i="48"/>
  <c r="P19" i="48"/>
  <c r="P83" i="48"/>
  <c r="P147" i="48"/>
  <c r="BF147" i="48" s="1"/>
  <c r="P211" i="48"/>
  <c r="Q2" i="48"/>
  <c r="Q122" i="48"/>
  <c r="Q208" i="48"/>
  <c r="P52" i="48"/>
  <c r="P116" i="48"/>
  <c r="BF116" i="48" s="1"/>
  <c r="P180" i="48"/>
  <c r="BF180" i="48" s="1"/>
  <c r="R166" i="48"/>
  <c r="BH166" i="48" s="1"/>
  <c r="P117" i="48"/>
  <c r="BF117" i="48" s="1"/>
  <c r="Q37" i="48"/>
  <c r="P13" i="48"/>
  <c r="P149" i="48"/>
  <c r="BF149" i="48" s="1"/>
  <c r="P157" i="48"/>
  <c r="BF157" i="48" s="1"/>
  <c r="Q198" i="48"/>
  <c r="S213" i="44"/>
  <c r="P208" i="44"/>
  <c r="S218" i="44"/>
  <c r="S211" i="44"/>
  <c r="Q220" i="44"/>
  <c r="Q204" i="44"/>
  <c r="P210" i="44"/>
  <c r="S216" i="44"/>
  <c r="S219" i="44"/>
  <c r="Q117" i="48"/>
  <c r="P26" i="48"/>
  <c r="P90" i="48"/>
  <c r="P115" i="48"/>
  <c r="BF115" i="48" s="1"/>
  <c r="P148" i="48"/>
  <c r="BF148" i="48" s="1"/>
  <c r="P220" i="44"/>
  <c r="R210" i="44"/>
  <c r="R31" i="48"/>
  <c r="R200" i="48"/>
  <c r="BH200" i="48" s="1"/>
  <c r="P62" i="48"/>
  <c r="P151" i="48"/>
  <c r="BF151" i="48" s="1"/>
  <c r="R142" i="48"/>
  <c r="BH142" i="48" s="1"/>
  <c r="R127" i="48"/>
  <c r="BH127" i="48" s="1"/>
  <c r="Q30" i="48"/>
  <c r="Q141" i="48"/>
  <c r="Q226" i="48"/>
  <c r="P66" i="48"/>
  <c r="P130" i="48"/>
  <c r="BF130" i="48" s="1"/>
  <c r="P194" i="48"/>
  <c r="BF194" i="48" s="1"/>
  <c r="R178" i="48"/>
  <c r="BH178" i="48" s="1"/>
  <c r="Q81" i="48"/>
  <c r="Q174" i="48"/>
  <c r="P27" i="48"/>
  <c r="P91" i="48"/>
  <c r="P155" i="48"/>
  <c r="BF155" i="48" s="1"/>
  <c r="P219" i="48"/>
  <c r="Q18" i="48"/>
  <c r="Q133" i="48"/>
  <c r="Q218" i="48"/>
  <c r="P60" i="48"/>
  <c r="P124" i="48"/>
  <c r="BF124" i="48" s="1"/>
  <c r="P188" i="48"/>
  <c r="BF188" i="48" s="1"/>
  <c r="R182" i="48"/>
  <c r="BH182" i="48" s="1"/>
  <c r="P181" i="48"/>
  <c r="BF181" i="48" s="1"/>
  <c r="Q145" i="48"/>
  <c r="P77" i="48"/>
  <c r="P213" i="48"/>
  <c r="P221" i="48"/>
  <c r="P109" i="48"/>
  <c r="Q218" i="44"/>
  <c r="S221" i="44"/>
  <c r="R211" i="44"/>
  <c r="P216" i="44"/>
  <c r="Q205" i="44"/>
  <c r="P206" i="44"/>
  <c r="S215" i="44"/>
  <c r="R205" i="44"/>
  <c r="R204" i="44"/>
  <c r="R170" i="48"/>
  <c r="BH170" i="48" s="1"/>
  <c r="P154" i="48"/>
  <c r="BF154" i="48" s="1"/>
  <c r="P179" i="48"/>
  <c r="BF179" i="48" s="1"/>
  <c r="Q5" i="48"/>
  <c r="Q212" i="44"/>
  <c r="R95" i="48"/>
  <c r="Q39" i="48"/>
  <c r="P126" i="48"/>
  <c r="BF126" i="48" s="1"/>
  <c r="P215" i="48"/>
  <c r="Q45" i="48"/>
  <c r="R143" i="48"/>
  <c r="BH143" i="48" s="1"/>
  <c r="Q46" i="48"/>
  <c r="Q152" i="48"/>
  <c r="P10" i="48"/>
  <c r="P74" i="48"/>
  <c r="P138" i="48"/>
  <c r="BF138" i="48" s="1"/>
  <c r="P202" i="48"/>
  <c r="R194" i="48"/>
  <c r="BH194" i="48" s="1"/>
  <c r="Q97" i="48"/>
  <c r="Q185" i="48"/>
  <c r="P35" i="48"/>
  <c r="P99" i="48"/>
  <c r="P163" i="48"/>
  <c r="BF163" i="48" s="1"/>
  <c r="R131" i="48"/>
  <c r="BH131" i="48" s="1"/>
  <c r="Q34" i="48"/>
  <c r="Q144" i="48"/>
  <c r="P4" i="48"/>
  <c r="P68" i="48"/>
  <c r="P132" i="48"/>
  <c r="BF132" i="48" s="1"/>
  <c r="P196" i="48"/>
  <c r="BF196" i="48" s="1"/>
  <c r="R198" i="48"/>
  <c r="BH198" i="48" s="1"/>
  <c r="Q21" i="48"/>
  <c r="P5" i="48"/>
  <c r="P141" i="48"/>
  <c r="BF141" i="48" s="1"/>
  <c r="Q113" i="48"/>
  <c r="P173" i="48"/>
  <c r="BF173" i="48" s="1"/>
  <c r="R220" i="44"/>
  <c r="P221" i="44"/>
  <c r="R216" i="44"/>
  <c r="R215" i="44"/>
  <c r="S206" i="44"/>
  <c r="Q215" i="44"/>
  <c r="P213" i="44"/>
  <c r="R218" i="44"/>
  <c r="R213" i="44"/>
  <c r="Q167" i="48"/>
  <c r="P218" i="48"/>
  <c r="R163" i="48"/>
  <c r="BH163" i="48" s="1"/>
  <c r="Q220" i="48"/>
  <c r="S217" i="44"/>
  <c r="Q2" i="44"/>
  <c r="P4" i="44"/>
  <c r="P81" i="44"/>
  <c r="P181" i="44"/>
  <c r="P52" i="44"/>
  <c r="Q158" i="44"/>
  <c r="Q52" i="44"/>
  <c r="Q62" i="44"/>
  <c r="S194" i="44"/>
  <c r="S190" i="44"/>
  <c r="S158" i="44"/>
  <c r="R170" i="44"/>
  <c r="P192" i="44"/>
  <c r="R31" i="44"/>
  <c r="S97" i="44"/>
  <c r="P5" i="44"/>
  <c r="P3" i="44"/>
  <c r="P110" i="44"/>
  <c r="P62" i="44"/>
  <c r="P146" i="44"/>
  <c r="P31" i="44"/>
  <c r="Q5" i="44"/>
  <c r="R3" i="44"/>
  <c r="P128" i="44"/>
  <c r="P78" i="44"/>
  <c r="P148" i="44"/>
  <c r="P162" i="44"/>
  <c r="Q61" i="44"/>
  <c r="R52" i="44"/>
  <c r="S65" i="44"/>
  <c r="Q181" i="44"/>
  <c r="Q110" i="44"/>
  <c r="Q148" i="44"/>
  <c r="P91" i="44"/>
  <c r="Q71" i="44"/>
  <c r="P152" i="44"/>
  <c r="S5" i="44"/>
  <c r="S3" i="44"/>
  <c r="P97" i="44"/>
  <c r="P65" i="44"/>
  <c r="P179" i="44"/>
  <c r="P80" i="44"/>
  <c r="S61" i="44"/>
  <c r="R40" i="44"/>
  <c r="R65" i="44"/>
  <c r="S181" i="44"/>
  <c r="S110" i="44"/>
  <c r="R5" i="44"/>
  <c r="Q3" i="44"/>
  <c r="P61" i="44"/>
  <c r="P38" i="44"/>
  <c r="P190" i="44"/>
  <c r="P113" i="44"/>
  <c r="R61" i="44"/>
  <c r="S40" i="44"/>
  <c r="Q38" i="44"/>
  <c r="R181" i="44"/>
  <c r="R110" i="44"/>
  <c r="R148" i="44"/>
  <c r="Q94" i="44"/>
  <c r="P22" i="44"/>
  <c r="R7" i="44"/>
  <c r="P2" i="44"/>
  <c r="Q4" i="44"/>
  <c r="P108" i="44"/>
  <c r="P48" i="44"/>
  <c r="P117" i="44"/>
  <c r="R142" i="44"/>
  <c r="R108" i="44"/>
  <c r="Q40" i="44"/>
  <c r="S38" i="44"/>
  <c r="S142" i="44"/>
  <c r="R2" i="44"/>
  <c r="R4" i="44"/>
  <c r="P177" i="44"/>
  <c r="P130" i="44"/>
  <c r="P40" i="44"/>
  <c r="Q142" i="44"/>
  <c r="S108" i="44"/>
  <c r="R62" i="44"/>
  <c r="R38" i="44"/>
  <c r="P142" i="44"/>
  <c r="S48" i="44"/>
  <c r="Q170" i="44"/>
  <c r="P103" i="44"/>
  <c r="Q31" i="44"/>
  <c r="S2" i="44"/>
  <c r="S4" i="44"/>
  <c r="P60" i="44"/>
  <c r="P194" i="44"/>
  <c r="P170" i="44"/>
  <c r="R158" i="44"/>
  <c r="Q108" i="44"/>
  <c r="S62" i="44"/>
  <c r="Q194" i="44"/>
  <c r="Q190" i="44"/>
  <c r="R48" i="44"/>
  <c r="S170" i="44"/>
  <c r="P95" i="44"/>
  <c r="S31" i="44"/>
  <c r="S148" i="44"/>
  <c r="P203" i="44"/>
  <c r="R177" i="44"/>
  <c r="Q162" i="44"/>
  <c r="S192" i="44"/>
  <c r="Q113" i="44"/>
  <c r="Q22" i="44"/>
  <c r="S80" i="44"/>
  <c r="S7" i="44"/>
  <c r="S101" i="44"/>
  <c r="P115" i="44"/>
  <c r="P116" i="44"/>
  <c r="P123" i="44"/>
  <c r="Q111" i="44"/>
  <c r="P17" i="44"/>
  <c r="Q55" i="44"/>
  <c r="P8" i="44"/>
  <c r="Q24" i="44"/>
  <c r="S134" i="44"/>
  <c r="R153" i="44"/>
  <c r="P55" i="44"/>
  <c r="S159" i="44"/>
  <c r="S24" i="44"/>
  <c r="P41" i="44"/>
  <c r="R126" i="44"/>
  <c r="P149" i="44"/>
  <c r="P168" i="44"/>
  <c r="R147" i="44"/>
  <c r="Q36" i="44"/>
  <c r="Q203" i="44"/>
  <c r="S186" i="44"/>
  <c r="S102" i="44"/>
  <c r="S132" i="44"/>
  <c r="R41" i="44"/>
  <c r="R127" i="44"/>
  <c r="Q173" i="44"/>
  <c r="S85" i="44"/>
  <c r="P147" i="44"/>
  <c r="S15" i="44"/>
  <c r="P182" i="44"/>
  <c r="P172" i="44"/>
  <c r="R120" i="44"/>
  <c r="P74" i="44"/>
  <c r="Q193" i="44"/>
  <c r="P54" i="44"/>
  <c r="Q18" i="44"/>
  <c r="R34" i="44"/>
  <c r="R28" i="44"/>
  <c r="P53" i="44"/>
  <c r="S161" i="44"/>
  <c r="R66" i="44"/>
  <c r="Q139" i="44"/>
  <c r="R21" i="44"/>
  <c r="S44" i="44"/>
  <c r="R168" i="44"/>
  <c r="R11" i="44"/>
  <c r="Q135" i="44"/>
  <c r="R54" i="44"/>
  <c r="R57" i="44"/>
  <c r="S156" i="44"/>
  <c r="Q74" i="44"/>
  <c r="R160" i="44"/>
  <c r="P185" i="44"/>
  <c r="P160" i="44"/>
  <c r="R152" i="44"/>
  <c r="R197" i="44"/>
  <c r="R27" i="44"/>
  <c r="S153" i="44"/>
  <c r="S67" i="44"/>
  <c r="S137" i="44"/>
  <c r="Q69" i="44"/>
  <c r="S105" i="44"/>
  <c r="S13" i="44"/>
  <c r="Q42" i="44"/>
  <c r="S151" i="44"/>
  <c r="R178" i="44"/>
  <c r="Q32" i="44"/>
  <c r="S63" i="44"/>
  <c r="R185" i="44"/>
  <c r="R49" i="44"/>
  <c r="Q114" i="44"/>
  <c r="S10" i="44"/>
  <c r="R6" i="44"/>
  <c r="Q172" i="44"/>
  <c r="S93" i="44"/>
  <c r="Q188" i="44"/>
  <c r="P111" i="44"/>
  <c r="P70" i="44"/>
  <c r="Q7" i="44"/>
  <c r="Q91" i="44"/>
  <c r="Q103" i="44"/>
  <c r="R192" i="44"/>
  <c r="S113" i="44"/>
  <c r="Q90" i="44"/>
  <c r="R80" i="44"/>
  <c r="P7" i="44"/>
  <c r="P101" i="44"/>
  <c r="P42" i="44"/>
  <c r="P10" i="44"/>
  <c r="P188" i="44"/>
  <c r="S111" i="44"/>
  <c r="Q106" i="44"/>
  <c r="R55" i="44"/>
  <c r="P47" i="44"/>
  <c r="R24" i="44"/>
  <c r="P134" i="44"/>
  <c r="Q46" i="44"/>
  <c r="S107" i="44"/>
  <c r="P159" i="44"/>
  <c r="P24" i="44"/>
  <c r="P16" i="44"/>
  <c r="R186" i="44"/>
  <c r="R184" i="44"/>
  <c r="Q26" i="44"/>
  <c r="Q147" i="44"/>
  <c r="R36" i="44"/>
  <c r="S203" i="44"/>
  <c r="P186" i="44"/>
  <c r="P102" i="44"/>
  <c r="Q132" i="44"/>
  <c r="S41" i="44"/>
  <c r="Q127" i="44"/>
  <c r="R19" i="44"/>
  <c r="P85" i="44"/>
  <c r="Q86" i="44"/>
  <c r="P15" i="44"/>
  <c r="S19" i="44"/>
  <c r="P30" i="44"/>
  <c r="R98" i="44"/>
  <c r="S52" i="44"/>
  <c r="P155" i="44"/>
  <c r="Q101" i="44"/>
  <c r="S91" i="44"/>
  <c r="S103" i="44"/>
  <c r="R95" i="44"/>
  <c r="R113" i="44"/>
  <c r="S90" i="44"/>
  <c r="Q130" i="44"/>
  <c r="Q179" i="44"/>
  <c r="P164" i="44"/>
  <c r="P59" i="44"/>
  <c r="P64" i="44"/>
  <c r="P163" i="44"/>
  <c r="R111" i="44"/>
  <c r="R106" i="44"/>
  <c r="P135" i="44"/>
  <c r="R159" i="44"/>
  <c r="Q87" i="44"/>
  <c r="Q81" i="44"/>
  <c r="R46" i="44"/>
  <c r="P107" i="44"/>
  <c r="S119" i="44"/>
  <c r="S87" i="44"/>
  <c r="P49" i="44"/>
  <c r="Q186" i="44"/>
  <c r="Q184" i="44"/>
  <c r="R26" i="44"/>
  <c r="Q15" i="44"/>
  <c r="R45" i="44"/>
  <c r="R203" i="44"/>
  <c r="Q155" i="44"/>
  <c r="R112" i="44"/>
  <c r="S9" i="44"/>
  <c r="Q41" i="44"/>
  <c r="S88" i="44"/>
  <c r="Q19" i="44"/>
  <c r="R195" i="44"/>
  <c r="R86" i="44"/>
  <c r="Q8" i="44"/>
  <c r="P19" i="44"/>
  <c r="S45" i="44"/>
  <c r="Q98" i="44"/>
  <c r="Q65" i="44"/>
  <c r="P12" i="44"/>
  <c r="R101" i="44"/>
  <c r="R91" i="44"/>
  <c r="R103" i="44"/>
  <c r="S95" i="44"/>
  <c r="R140" i="44"/>
  <c r="R90" i="44"/>
  <c r="S130" i="44"/>
  <c r="S179" i="44"/>
  <c r="P73" i="44"/>
  <c r="P178" i="44"/>
  <c r="P84" i="44"/>
  <c r="P51" i="44"/>
  <c r="P122" i="44"/>
  <c r="P25" i="44"/>
  <c r="P32" i="44"/>
  <c r="Q159" i="44"/>
  <c r="R87" i="44"/>
  <c r="S81" i="44"/>
  <c r="S201" i="44"/>
  <c r="P189" i="44"/>
  <c r="P119" i="44"/>
  <c r="P87" i="44"/>
  <c r="P33" i="44"/>
  <c r="R102" i="44"/>
  <c r="Q9" i="44"/>
  <c r="R88" i="44"/>
  <c r="R15" i="44"/>
  <c r="Q45" i="44"/>
  <c r="R122" i="44"/>
  <c r="S155" i="44"/>
  <c r="S112" i="44"/>
  <c r="P9" i="44"/>
  <c r="R13" i="44"/>
  <c r="P88" i="44"/>
  <c r="R20" i="44"/>
  <c r="Q195" i="44"/>
  <c r="P198" i="44"/>
  <c r="S8" i="44"/>
  <c r="S145" i="44"/>
  <c r="P45" i="44"/>
  <c r="Q53" i="44"/>
  <c r="Q191" i="44"/>
  <c r="Q56" i="44"/>
  <c r="Q129" i="44"/>
  <c r="Q154" i="44"/>
  <c r="Q143" i="44"/>
  <c r="S120" i="44"/>
  <c r="Q89" i="44"/>
  <c r="S133" i="44"/>
  <c r="Q29" i="44"/>
  <c r="R124" i="44"/>
  <c r="Q121" i="44"/>
  <c r="S193" i="44"/>
  <c r="R149" i="44"/>
  <c r="P104" i="44"/>
  <c r="Q25" i="44"/>
  <c r="R169" i="44"/>
  <c r="Q99" i="44"/>
  <c r="P129" i="44"/>
  <c r="S82" i="44"/>
  <c r="P18" i="44"/>
  <c r="P150" i="44"/>
  <c r="S143" i="44"/>
  <c r="R73" i="44"/>
  <c r="S77" i="44"/>
  <c r="R196" i="44"/>
  <c r="S189" i="44"/>
  <c r="P46" i="44"/>
  <c r="S165" i="44"/>
  <c r="Q43" i="44"/>
  <c r="S174" i="44"/>
  <c r="S115" i="44"/>
  <c r="R198" i="44"/>
  <c r="S59" i="44"/>
  <c r="R76" i="44"/>
  <c r="Q68" i="44"/>
  <c r="S125" i="44"/>
  <c r="R72" i="44"/>
  <c r="R138" i="44"/>
  <c r="R116" i="44"/>
  <c r="S64" i="44"/>
  <c r="Q187" i="44"/>
  <c r="R136" i="44"/>
  <c r="R194" i="44"/>
  <c r="R94" i="44"/>
  <c r="Q97" i="44"/>
  <c r="S94" i="44"/>
  <c r="R12" i="44"/>
  <c r="Q95" i="44"/>
  <c r="S140" i="44"/>
  <c r="Q78" i="44"/>
  <c r="R130" i="44"/>
  <c r="R179" i="44"/>
  <c r="P197" i="44"/>
  <c r="P76" i="44"/>
  <c r="P6" i="44"/>
  <c r="P167" i="44"/>
  <c r="P77" i="44"/>
  <c r="P112" i="44"/>
  <c r="Q107" i="44"/>
  <c r="Q119" i="44"/>
  <c r="Q75" i="44"/>
  <c r="R81" i="44"/>
  <c r="P201" i="44"/>
  <c r="P66" i="44"/>
  <c r="S58" i="44"/>
  <c r="P99" i="44"/>
  <c r="P125" i="44"/>
  <c r="Q102" i="44"/>
  <c r="R9" i="44"/>
  <c r="Q88" i="44"/>
  <c r="R182" i="44"/>
  <c r="Q79" i="44"/>
  <c r="S122" i="44"/>
  <c r="R155" i="44"/>
  <c r="Q112" i="44"/>
  <c r="S100" i="44"/>
  <c r="Q13" i="44"/>
  <c r="S127" i="44"/>
  <c r="Q20" i="44"/>
  <c r="Q118" i="44"/>
  <c r="S195" i="44"/>
  <c r="R8" i="44"/>
  <c r="P145" i="44"/>
  <c r="S79" i="44"/>
  <c r="R53" i="44"/>
  <c r="R191" i="44"/>
  <c r="Q171" i="44"/>
  <c r="R129" i="44"/>
  <c r="R154" i="44"/>
  <c r="R143" i="44"/>
  <c r="P120" i="44"/>
  <c r="Q70" i="44"/>
  <c r="Q133" i="44"/>
  <c r="S29" i="44"/>
  <c r="S124" i="44"/>
  <c r="R121" i="44"/>
  <c r="P193" i="44"/>
  <c r="S149" i="44"/>
  <c r="S171" i="44"/>
  <c r="S25" i="44"/>
  <c r="S176" i="44"/>
  <c r="R35" i="44"/>
  <c r="S200" i="44"/>
  <c r="P82" i="44"/>
  <c r="S96" i="44"/>
  <c r="S34" i="44"/>
  <c r="P143" i="44"/>
  <c r="S73" i="44"/>
  <c r="R77" i="44"/>
  <c r="S196" i="44"/>
  <c r="Q189" i="44"/>
  <c r="R199" i="44"/>
  <c r="Q165" i="44"/>
  <c r="S43" i="44"/>
  <c r="R174" i="44"/>
  <c r="R115" i="44"/>
  <c r="Q150" i="44"/>
  <c r="Q59" i="44"/>
  <c r="S76" i="44"/>
  <c r="R144" i="44"/>
  <c r="Q125" i="44"/>
  <c r="S72" i="44"/>
  <c r="S138" i="44"/>
  <c r="R16" i="44"/>
  <c r="R64" i="44"/>
  <c r="S187" i="44"/>
  <c r="Q183" i="44"/>
  <c r="Q109" i="44"/>
  <c r="R190" i="44"/>
  <c r="P140" i="44"/>
  <c r="R97" i="44"/>
  <c r="P94" i="44"/>
  <c r="S12" i="44"/>
  <c r="R60" i="44"/>
  <c r="Q140" i="44"/>
  <c r="S78" i="44"/>
  <c r="R146" i="44"/>
  <c r="Q128" i="44"/>
  <c r="P105" i="44"/>
  <c r="P68" i="44"/>
  <c r="P187" i="44"/>
  <c r="P202" i="44"/>
  <c r="Q134" i="44"/>
  <c r="P132" i="44"/>
  <c r="R107" i="44"/>
  <c r="R119" i="44"/>
  <c r="R75" i="44"/>
  <c r="S106" i="44"/>
  <c r="P196" i="44"/>
  <c r="P199" i="44"/>
  <c r="P58" i="44"/>
  <c r="S75" i="44"/>
  <c r="S166" i="44"/>
  <c r="P69" i="44"/>
  <c r="R100" i="44"/>
  <c r="R85" i="44"/>
  <c r="Q182" i="44"/>
  <c r="R79" i="44"/>
  <c r="Q122" i="44"/>
  <c r="R17" i="44"/>
  <c r="S184" i="44"/>
  <c r="P100" i="44"/>
  <c r="S26" i="44"/>
  <c r="P127" i="44"/>
  <c r="Q47" i="44"/>
  <c r="S118" i="44"/>
  <c r="P195" i="44"/>
  <c r="P35" i="44"/>
  <c r="P57" i="44"/>
  <c r="P79" i="44"/>
  <c r="P89" i="44"/>
  <c r="Q44" i="44"/>
  <c r="R171" i="44"/>
  <c r="R82" i="44"/>
  <c r="R37" i="44"/>
  <c r="Q117" i="44"/>
  <c r="S98" i="44"/>
  <c r="S70" i="44"/>
  <c r="Q175" i="44"/>
  <c r="R29" i="44"/>
  <c r="Q124" i="44"/>
  <c r="P137" i="44"/>
  <c r="Q180" i="44"/>
  <c r="Q149" i="44"/>
  <c r="P171" i="44"/>
  <c r="R25" i="44"/>
  <c r="P176" i="44"/>
  <c r="S35" i="44"/>
  <c r="P200" i="44"/>
  <c r="Q33" i="44"/>
  <c r="P96" i="44"/>
  <c r="P34" i="44"/>
  <c r="R164" i="44"/>
  <c r="Q73" i="44"/>
  <c r="Q104" i="44"/>
  <c r="Q196" i="44"/>
  <c r="S121" i="44"/>
  <c r="S199" i="44"/>
  <c r="Q14" i="44"/>
  <c r="R43" i="44"/>
  <c r="R50" i="44"/>
  <c r="P83" i="44"/>
  <c r="S150" i="44"/>
  <c r="R83" i="44"/>
  <c r="Q76" i="44"/>
  <c r="S144" i="44"/>
  <c r="Q30" i="44"/>
  <c r="Q72" i="44"/>
  <c r="Q138" i="44"/>
  <c r="S16" i="44"/>
  <c r="Q84" i="44"/>
  <c r="R187" i="44"/>
  <c r="S183" i="44"/>
  <c r="Q48" i="44"/>
  <c r="R71" i="44"/>
  <c r="Q177" i="44"/>
  <c r="R162" i="44"/>
  <c r="Q12" i="44"/>
  <c r="S60" i="44"/>
  <c r="R22" i="44"/>
  <c r="R78" i="44"/>
  <c r="S146" i="44"/>
  <c r="S128" i="44"/>
  <c r="P174" i="44"/>
  <c r="P72" i="44"/>
  <c r="P93" i="44"/>
  <c r="P157" i="44"/>
  <c r="R134" i="44"/>
  <c r="Q201" i="44"/>
  <c r="R141" i="44"/>
  <c r="Q58" i="44"/>
  <c r="R166" i="44"/>
  <c r="P106" i="44"/>
  <c r="P27" i="44"/>
  <c r="S141" i="44"/>
  <c r="P173" i="44"/>
  <c r="P75" i="44"/>
  <c r="P166" i="44"/>
  <c r="P139" i="44"/>
  <c r="Q100" i="44"/>
  <c r="Q85" i="44"/>
  <c r="R145" i="44"/>
  <c r="S71" i="44"/>
  <c r="S126" i="44"/>
  <c r="S17" i="44"/>
  <c r="P184" i="44"/>
  <c r="P133" i="44"/>
  <c r="P26" i="44"/>
  <c r="R173" i="44"/>
  <c r="S47" i="44"/>
  <c r="R118" i="44"/>
  <c r="S20" i="44"/>
  <c r="P136" i="44"/>
  <c r="S36" i="44"/>
  <c r="P28" i="44"/>
  <c r="P161" i="44"/>
  <c r="R44" i="44"/>
  <c r="Q39" i="44"/>
  <c r="Q82" i="44"/>
  <c r="Q37" i="44"/>
  <c r="S117" i="44"/>
  <c r="P98" i="44"/>
  <c r="R70" i="44"/>
  <c r="S175" i="44"/>
  <c r="R139" i="44"/>
  <c r="Q21" i="44"/>
  <c r="S191" i="44"/>
  <c r="S180" i="44"/>
  <c r="Q11" i="44"/>
  <c r="R135" i="44"/>
  <c r="Q54" i="44"/>
  <c r="Q57" i="44"/>
  <c r="Q35" i="44"/>
  <c r="P144" i="44"/>
  <c r="S33" i="44"/>
  <c r="S154" i="44"/>
  <c r="P63" i="44"/>
  <c r="S164" i="44"/>
  <c r="Q197" i="44"/>
  <c r="S104" i="44"/>
  <c r="S131" i="44"/>
  <c r="P121" i="44"/>
  <c r="Q199" i="44"/>
  <c r="S14" i="44"/>
  <c r="P151" i="44"/>
  <c r="S50" i="44"/>
  <c r="R42" i="44"/>
  <c r="R150" i="44"/>
  <c r="S83" i="44"/>
  <c r="R32" i="44"/>
  <c r="Q144" i="44"/>
  <c r="S30" i="44"/>
  <c r="S86" i="44"/>
  <c r="R114" i="44"/>
  <c r="Q16" i="44"/>
  <c r="S84" i="44"/>
  <c r="R172" i="44"/>
  <c r="R183" i="44"/>
  <c r="P158" i="44"/>
  <c r="P90" i="44"/>
  <c r="S177" i="44"/>
  <c r="S162" i="44"/>
  <c r="Q192" i="44"/>
  <c r="Q60" i="44"/>
  <c r="S22" i="44"/>
  <c r="Q80" i="44"/>
  <c r="Q146" i="44"/>
  <c r="R128" i="44"/>
  <c r="P50" i="44"/>
  <c r="P114" i="44"/>
  <c r="P109" i="44"/>
  <c r="P23" i="44"/>
  <c r="P21" i="44"/>
  <c r="R201" i="44"/>
  <c r="Q141" i="44"/>
  <c r="R58" i="44"/>
  <c r="Q166" i="44"/>
  <c r="Q153" i="44"/>
  <c r="S55" i="44"/>
  <c r="P141" i="44"/>
  <c r="P118" i="44"/>
  <c r="P183" i="44"/>
  <c r="Q126" i="44"/>
  <c r="P43" i="44"/>
  <c r="P180" i="44"/>
  <c r="P156" i="44"/>
  <c r="Q145" i="44"/>
  <c r="P71" i="44"/>
  <c r="P126" i="44"/>
  <c r="Q17" i="44"/>
  <c r="R132" i="44"/>
  <c r="P29" i="44"/>
  <c r="P67" i="44"/>
  <c r="S173" i="44"/>
  <c r="R47" i="44"/>
  <c r="S147" i="44"/>
  <c r="P20" i="44"/>
  <c r="S182" i="44"/>
  <c r="P36" i="44"/>
  <c r="Q120" i="44"/>
  <c r="P175" i="44"/>
  <c r="R193" i="44"/>
  <c r="R39" i="44"/>
  <c r="R18" i="44"/>
  <c r="Q34" i="44"/>
  <c r="R117" i="44"/>
  <c r="S53" i="44"/>
  <c r="R161" i="44"/>
  <c r="R175" i="44"/>
  <c r="S139" i="44"/>
  <c r="S21" i="44"/>
  <c r="P191" i="44"/>
  <c r="R180" i="44"/>
  <c r="S11" i="44"/>
  <c r="S135" i="44"/>
  <c r="S54" i="44"/>
  <c r="S57" i="44"/>
  <c r="Q156" i="44"/>
  <c r="P138" i="44"/>
  <c r="R33" i="44"/>
  <c r="P154" i="44"/>
  <c r="S160" i="44"/>
  <c r="Q164" i="44"/>
  <c r="S197" i="44"/>
  <c r="R104" i="44"/>
  <c r="P131" i="44"/>
  <c r="R67" i="44"/>
  <c r="R137" i="44"/>
  <c r="R14" i="44"/>
  <c r="R105" i="44"/>
  <c r="Q50" i="44"/>
  <c r="S42" i="44"/>
  <c r="Q151" i="44"/>
  <c r="Q83" i="44"/>
  <c r="S32" i="44"/>
  <c r="Q63" i="44"/>
  <c r="R30" i="44"/>
  <c r="P86" i="44"/>
  <c r="S114" i="44"/>
  <c r="R10" i="44"/>
  <c r="R84" i="44"/>
  <c r="S172" i="44"/>
  <c r="R93" i="44"/>
  <c r="R96" i="44"/>
  <c r="R133" i="44"/>
  <c r="P165" i="44"/>
  <c r="S169" i="44"/>
  <c r="S18" i="44"/>
  <c r="Q77" i="44"/>
  <c r="R165" i="44"/>
  <c r="S198" i="44"/>
  <c r="R125" i="44"/>
  <c r="Q64" i="44"/>
  <c r="R123" i="44"/>
  <c r="R51" i="44"/>
  <c r="Q202" i="44"/>
  <c r="P124" i="44"/>
  <c r="R92" i="44"/>
  <c r="Q66" i="44"/>
  <c r="Q168" i="44"/>
  <c r="S99" i="44"/>
  <c r="P37" i="44"/>
  <c r="Q27" i="44"/>
  <c r="R69" i="44"/>
  <c r="R59" i="44"/>
  <c r="Q185" i="44"/>
  <c r="Q6" i="44"/>
  <c r="Q123" i="44"/>
  <c r="Q51" i="44"/>
  <c r="S157" i="44"/>
  <c r="P11" i="44"/>
  <c r="S28" i="44"/>
  <c r="R200" i="44"/>
  <c r="S56" i="44"/>
  <c r="R156" i="44"/>
  <c r="S92" i="44"/>
  <c r="P153" i="44"/>
  <c r="Q105" i="44"/>
  <c r="S178" i="44"/>
  <c r="S49" i="44"/>
  <c r="Q136" i="44"/>
  <c r="S188" i="44"/>
  <c r="R167" i="44"/>
  <c r="R157" i="44"/>
  <c r="Q23" i="44"/>
  <c r="S23" i="44"/>
  <c r="P169" i="44"/>
  <c r="S69" i="44"/>
  <c r="S51" i="44"/>
  <c r="R56" i="44"/>
  <c r="Q28" i="44"/>
  <c r="Q200" i="44"/>
  <c r="P56" i="44"/>
  <c r="S129" i="44"/>
  <c r="P92" i="44"/>
  <c r="R189" i="44"/>
  <c r="Q174" i="44"/>
  <c r="Q178" i="44"/>
  <c r="Q49" i="44"/>
  <c r="S136" i="44"/>
  <c r="R188" i="44"/>
  <c r="S167" i="44"/>
  <c r="Q167" i="44"/>
  <c r="R23" i="44"/>
  <c r="S168" i="44"/>
  <c r="S27" i="44"/>
  <c r="S6" i="44"/>
  <c r="Q176" i="44"/>
  <c r="R89" i="44"/>
  <c r="R131" i="44"/>
  <c r="S39" i="44"/>
  <c r="S74" i="44"/>
  <c r="S152" i="44"/>
  <c r="Q67" i="44"/>
  <c r="P13" i="44"/>
  <c r="R68" i="44"/>
  <c r="Q116" i="44"/>
  <c r="Q93" i="44"/>
  <c r="Q163" i="44"/>
  <c r="Q92" i="44"/>
  <c r="R99" i="44"/>
  <c r="R151" i="44"/>
  <c r="S123" i="44"/>
  <c r="R176" i="44"/>
  <c r="S89" i="44"/>
  <c r="Q131" i="44"/>
  <c r="P39" i="44"/>
  <c r="R74" i="44"/>
  <c r="Q152" i="44"/>
  <c r="S46" i="44"/>
  <c r="Q115" i="44"/>
  <c r="S68" i="44"/>
  <c r="S116" i="44"/>
  <c r="R109" i="44"/>
  <c r="S163" i="44"/>
  <c r="R202" i="44"/>
  <c r="S66" i="44"/>
  <c r="S37" i="44"/>
  <c r="S185" i="44"/>
  <c r="Q157" i="44"/>
  <c r="Q96" i="44"/>
  <c r="Q161" i="44"/>
  <c r="P44" i="44"/>
  <c r="Q169" i="44"/>
  <c r="Q160" i="44"/>
  <c r="P14" i="44"/>
  <c r="Q137" i="44"/>
  <c r="Q198" i="44"/>
  <c r="R63" i="44"/>
  <c r="Q10" i="44"/>
  <c r="S109" i="44"/>
  <c r="R163" i="44"/>
  <c r="S202" i="44"/>
  <c r="AM3" i="54" l="1"/>
  <c r="AK3" i="54"/>
  <c r="AJ3" i="54"/>
  <c r="AL3" i="54"/>
  <c r="AL64" i="54"/>
  <c r="AM64" i="54"/>
  <c r="AJ64" i="54"/>
  <c r="AK64" i="54"/>
  <c r="AM29" i="54"/>
  <c r="AK29" i="54"/>
  <c r="AL29" i="54"/>
  <c r="AJ29" i="54"/>
  <c r="AM13" i="54"/>
  <c r="AK13" i="54"/>
  <c r="AJ13" i="54"/>
  <c r="AL13" i="54"/>
  <c r="AM27" i="54"/>
  <c r="AK27" i="54"/>
  <c r="AJ27" i="54"/>
  <c r="AL27" i="54"/>
  <c r="AM141" i="54"/>
  <c r="AK141" i="54"/>
  <c r="AL141" i="54"/>
  <c r="AJ141" i="54"/>
  <c r="AL105" i="54"/>
  <c r="AK105" i="54"/>
  <c r="AJ105" i="54"/>
  <c r="AM105" i="54"/>
  <c r="AL104" i="54"/>
  <c r="AM104" i="54"/>
  <c r="AJ104" i="54"/>
  <c r="AK104" i="54"/>
  <c r="AM101" i="54"/>
  <c r="AK101" i="54"/>
  <c r="AL101" i="54"/>
  <c r="AJ101" i="54"/>
  <c r="AM140" i="54"/>
  <c r="AK140" i="54"/>
  <c r="AL140" i="54"/>
  <c r="AJ140" i="54"/>
  <c r="AM75" i="54"/>
  <c r="AK75" i="54"/>
  <c r="AL75" i="54"/>
  <c r="AJ75" i="54"/>
  <c r="AL88" i="54"/>
  <c r="AM88" i="54"/>
  <c r="AJ88" i="54"/>
  <c r="AK88" i="54"/>
  <c r="AM189" i="54"/>
  <c r="AK189" i="54"/>
  <c r="AL189" i="54"/>
  <c r="AJ189" i="54"/>
  <c r="AL71" i="54"/>
  <c r="AJ71" i="54"/>
  <c r="AM71" i="54"/>
  <c r="AK71" i="54"/>
  <c r="AM78" i="54"/>
  <c r="AJ78" i="54"/>
  <c r="AL78" i="54"/>
  <c r="AK78" i="54"/>
  <c r="AL112" i="54"/>
  <c r="AM112" i="54"/>
  <c r="AJ112" i="54"/>
  <c r="AK112" i="54"/>
  <c r="AM147" i="54"/>
  <c r="AK147" i="54"/>
  <c r="AL147" i="54"/>
  <c r="AJ147" i="54"/>
  <c r="AL169" i="54"/>
  <c r="AK169" i="54"/>
  <c r="AJ169" i="54"/>
  <c r="AM169" i="54"/>
  <c r="AM220" i="54"/>
  <c r="AK220" i="54"/>
  <c r="AJ220" i="54"/>
  <c r="AL220" i="54"/>
  <c r="AM213" i="54"/>
  <c r="AK213" i="54"/>
  <c r="AL213" i="54"/>
  <c r="AJ213" i="54"/>
  <c r="AK146" i="54"/>
  <c r="AJ146" i="54"/>
  <c r="AM146" i="54"/>
  <c r="AL146" i="54"/>
  <c r="AM162" i="54"/>
  <c r="AL162" i="54"/>
  <c r="AJ162" i="54"/>
  <c r="AK162" i="54"/>
  <c r="AL193" i="54"/>
  <c r="AJ193" i="54"/>
  <c r="AK193" i="54"/>
  <c r="AM193" i="54"/>
  <c r="AM219" i="54"/>
  <c r="AK219" i="54"/>
  <c r="AJ219" i="54"/>
  <c r="AL219" i="54"/>
  <c r="AM203" i="54"/>
  <c r="AK203" i="54"/>
  <c r="AL203" i="54"/>
  <c r="AJ203" i="54"/>
  <c r="AM214" i="54"/>
  <c r="AL214" i="54"/>
  <c r="AK214" i="54"/>
  <c r="AJ214" i="54"/>
  <c r="AL174" i="54"/>
  <c r="AK174" i="54"/>
  <c r="AM174" i="54"/>
  <c r="AJ174" i="54"/>
  <c r="AM2" i="54"/>
  <c r="AK2" i="54"/>
  <c r="AJ2" i="54"/>
  <c r="AL2" i="54"/>
  <c r="AI2" i="54"/>
  <c r="AM4" i="54"/>
  <c r="AK4" i="54"/>
  <c r="AL4" i="54"/>
  <c r="AJ4" i="54"/>
  <c r="AM20" i="54"/>
  <c r="AK20" i="54"/>
  <c r="AL20" i="54"/>
  <c r="AJ20" i="54"/>
  <c r="AM21" i="54"/>
  <c r="AK21" i="54"/>
  <c r="AL21" i="54"/>
  <c r="AJ21" i="54"/>
  <c r="AM28" i="54"/>
  <c r="AK28" i="54"/>
  <c r="AJ28" i="54"/>
  <c r="AL28" i="54"/>
  <c r="AM18" i="54"/>
  <c r="AK18" i="54"/>
  <c r="AJ18" i="54"/>
  <c r="AL18" i="54"/>
  <c r="AL30" i="54"/>
  <c r="AK30" i="54"/>
  <c r="AM30" i="54"/>
  <c r="AJ30" i="54"/>
  <c r="AL33" i="54"/>
  <c r="AJ33" i="54"/>
  <c r="AM33" i="54"/>
  <c r="AK33" i="54"/>
  <c r="AL47" i="54"/>
  <c r="AM47" i="54"/>
  <c r="AJ47" i="54"/>
  <c r="AK47" i="54"/>
  <c r="AL63" i="54"/>
  <c r="AJ63" i="54"/>
  <c r="AK63" i="54"/>
  <c r="AM63" i="54"/>
  <c r="AL136" i="54"/>
  <c r="AM136" i="54"/>
  <c r="AJ136" i="54"/>
  <c r="AK136" i="54"/>
  <c r="AL160" i="54"/>
  <c r="AJ160" i="54"/>
  <c r="AK160" i="54"/>
  <c r="AM160" i="54"/>
  <c r="AM93" i="54"/>
  <c r="AK93" i="54"/>
  <c r="AL93" i="54"/>
  <c r="AJ93" i="54"/>
  <c r="AL80" i="54"/>
  <c r="AM80" i="54"/>
  <c r="AK80" i="54"/>
  <c r="AJ80" i="54"/>
  <c r="AL31" i="54"/>
  <c r="AJ31" i="54"/>
  <c r="AK31" i="54"/>
  <c r="AM31" i="54"/>
  <c r="AL46" i="54"/>
  <c r="AK46" i="54"/>
  <c r="AM46" i="54"/>
  <c r="AJ46" i="54"/>
  <c r="AJ62" i="54"/>
  <c r="AL62" i="54"/>
  <c r="AK62" i="54"/>
  <c r="AM62" i="54"/>
  <c r="AM91" i="54"/>
  <c r="AK91" i="54"/>
  <c r="AJ91" i="54"/>
  <c r="AL91" i="54"/>
  <c r="AL81" i="54"/>
  <c r="AK81" i="54"/>
  <c r="AJ81" i="54"/>
  <c r="AM81" i="54"/>
  <c r="AM98" i="54"/>
  <c r="AL98" i="54"/>
  <c r="AJ98" i="54"/>
  <c r="AK98" i="54"/>
  <c r="AL209" i="54"/>
  <c r="AK209" i="54"/>
  <c r="AJ209" i="54"/>
  <c r="AM209" i="54"/>
  <c r="AM149" i="54"/>
  <c r="AK149" i="54"/>
  <c r="AL149" i="54"/>
  <c r="AJ149" i="54"/>
  <c r="AM180" i="54"/>
  <c r="AK180" i="54"/>
  <c r="AL180" i="54"/>
  <c r="AJ180" i="54"/>
  <c r="AM195" i="54"/>
  <c r="AK195" i="54"/>
  <c r="AJ195" i="54"/>
  <c r="AL195" i="54"/>
  <c r="AM155" i="54"/>
  <c r="AK155" i="54"/>
  <c r="AJ155" i="54"/>
  <c r="AL155" i="54"/>
  <c r="AM206" i="54"/>
  <c r="AL206" i="54"/>
  <c r="AK206" i="54"/>
  <c r="AJ206" i="54"/>
  <c r="AM164" i="54"/>
  <c r="AK164" i="54"/>
  <c r="AL164" i="54"/>
  <c r="AJ164" i="54"/>
  <c r="AL199" i="54"/>
  <c r="AJ199" i="54"/>
  <c r="AK199" i="54"/>
  <c r="AM199" i="54"/>
  <c r="AM190" i="54"/>
  <c r="AL190" i="54"/>
  <c r="AK190" i="54"/>
  <c r="AJ190" i="54"/>
  <c r="AL183" i="54"/>
  <c r="AK183" i="54"/>
  <c r="AJ183" i="54"/>
  <c r="AM183" i="54"/>
  <c r="AL216" i="54"/>
  <c r="AJ216" i="54"/>
  <c r="AM216" i="54"/>
  <c r="AK216" i="54"/>
  <c r="AL127" i="54"/>
  <c r="AJ127" i="54"/>
  <c r="AM127" i="54"/>
  <c r="AK127" i="54"/>
  <c r="AL143" i="54"/>
  <c r="AJ143" i="54"/>
  <c r="AK143" i="54"/>
  <c r="AM143" i="54"/>
  <c r="AL159" i="54"/>
  <c r="AJ159" i="54"/>
  <c r="AK159" i="54"/>
  <c r="AM159" i="54"/>
  <c r="AL176" i="54"/>
  <c r="AM176" i="54"/>
  <c r="AJ176" i="54"/>
  <c r="AK176" i="54"/>
  <c r="AL207" i="54"/>
  <c r="AJ207" i="54"/>
  <c r="AK207" i="54"/>
  <c r="AM207" i="54"/>
  <c r="AM6" i="54"/>
  <c r="AL6" i="54"/>
  <c r="AK6" i="54"/>
  <c r="AJ6" i="54"/>
  <c r="AL8" i="54"/>
  <c r="AJ8" i="54"/>
  <c r="AM8" i="54"/>
  <c r="AK8" i="54"/>
  <c r="AL40" i="54"/>
  <c r="AM40" i="54"/>
  <c r="AJ40" i="54"/>
  <c r="AK40" i="54"/>
  <c r="AL17" i="54"/>
  <c r="AJ17" i="54"/>
  <c r="AK17" i="54"/>
  <c r="AM17" i="54"/>
  <c r="AM133" i="54"/>
  <c r="AK133" i="54"/>
  <c r="AL133" i="54"/>
  <c r="AJ133" i="54"/>
  <c r="AL25" i="54"/>
  <c r="AM25" i="54"/>
  <c r="AJ25" i="54"/>
  <c r="AK25" i="54"/>
  <c r="AL56" i="54"/>
  <c r="AM56" i="54"/>
  <c r="AK56" i="54"/>
  <c r="AJ56" i="54"/>
  <c r="AJ86" i="54"/>
  <c r="AL86" i="54"/>
  <c r="AK86" i="54"/>
  <c r="AM86" i="54"/>
  <c r="AM124" i="54"/>
  <c r="AK124" i="54"/>
  <c r="AL124" i="54"/>
  <c r="AJ124" i="54"/>
  <c r="AM108" i="54"/>
  <c r="AK108" i="54"/>
  <c r="AL108" i="54"/>
  <c r="AJ108" i="54"/>
  <c r="AM77" i="54"/>
  <c r="AK77" i="54"/>
  <c r="AL77" i="54"/>
  <c r="AJ77" i="54"/>
  <c r="AM122" i="54"/>
  <c r="AL122" i="54"/>
  <c r="AK122" i="54"/>
  <c r="AJ122" i="54"/>
  <c r="AL73" i="54"/>
  <c r="AM73" i="54"/>
  <c r="AJ73" i="54"/>
  <c r="AK73" i="54"/>
  <c r="AM107" i="54"/>
  <c r="AK107" i="54"/>
  <c r="AL107" i="54"/>
  <c r="AJ107" i="54"/>
  <c r="AM157" i="54"/>
  <c r="AK157" i="54"/>
  <c r="AJ157" i="54"/>
  <c r="AL157" i="54"/>
  <c r="AM102" i="54"/>
  <c r="AL102" i="54"/>
  <c r="AK102" i="54"/>
  <c r="AJ102" i="54"/>
  <c r="AM178" i="54"/>
  <c r="AL178" i="54"/>
  <c r="AJ178" i="54"/>
  <c r="AK178" i="54"/>
  <c r="AM138" i="54"/>
  <c r="AL138" i="54"/>
  <c r="AJ138" i="54"/>
  <c r="AK138" i="54"/>
  <c r="AM131" i="54"/>
  <c r="AK131" i="54"/>
  <c r="AJ131" i="54"/>
  <c r="AL131" i="54"/>
  <c r="AL121" i="54"/>
  <c r="AK121" i="54"/>
  <c r="AJ121" i="54"/>
  <c r="AM121" i="54"/>
  <c r="AL137" i="54"/>
  <c r="AM137" i="54"/>
  <c r="AJ137" i="54"/>
  <c r="AK137" i="54"/>
  <c r="AL153" i="54"/>
  <c r="AJ153" i="54"/>
  <c r="AM153" i="54"/>
  <c r="AK153" i="54"/>
  <c r="AK182" i="54"/>
  <c r="AM182" i="54"/>
  <c r="AL182" i="54"/>
  <c r="AJ182" i="54"/>
  <c r="AL175" i="54"/>
  <c r="AM175" i="54"/>
  <c r="AJ175" i="54"/>
  <c r="AK175" i="54"/>
  <c r="AL208" i="54"/>
  <c r="AK208" i="54"/>
  <c r="AJ208" i="54"/>
  <c r="AM208" i="54"/>
  <c r="AL192" i="54"/>
  <c r="AJ192" i="54"/>
  <c r="AM192" i="54"/>
  <c r="AK192" i="54"/>
  <c r="AL134" i="54"/>
  <c r="AK134" i="54"/>
  <c r="AM134" i="54"/>
  <c r="AJ134" i="54"/>
  <c r="AM150" i="54"/>
  <c r="AL150" i="54"/>
  <c r="AK150" i="54"/>
  <c r="AJ150" i="54"/>
  <c r="AM166" i="54"/>
  <c r="AL166" i="54"/>
  <c r="AK166" i="54"/>
  <c r="AJ166" i="54"/>
  <c r="AL9" i="54"/>
  <c r="AJ9" i="54"/>
  <c r="AM9" i="54"/>
  <c r="AK9" i="54"/>
  <c r="AL23" i="54"/>
  <c r="AJ23" i="54"/>
  <c r="AM23" i="54"/>
  <c r="AK23" i="54"/>
  <c r="AL24" i="54"/>
  <c r="AM24" i="54"/>
  <c r="AJ24" i="54"/>
  <c r="AK24" i="54"/>
  <c r="AM11" i="54"/>
  <c r="AK11" i="54"/>
  <c r="AL11" i="54"/>
  <c r="AJ11" i="54"/>
  <c r="AM36" i="54"/>
  <c r="AK36" i="54"/>
  <c r="AL36" i="54"/>
  <c r="AJ36" i="54"/>
  <c r="AM82" i="54"/>
  <c r="AK82" i="54"/>
  <c r="AJ82" i="54"/>
  <c r="AL82" i="54"/>
  <c r="AL41" i="54"/>
  <c r="AK41" i="54"/>
  <c r="AJ41" i="54"/>
  <c r="AM41" i="54"/>
  <c r="AL57" i="54"/>
  <c r="AK57" i="54"/>
  <c r="AJ57" i="54"/>
  <c r="AM57" i="54"/>
  <c r="AM35" i="54"/>
  <c r="AK35" i="54"/>
  <c r="AL35" i="54"/>
  <c r="AJ35" i="54"/>
  <c r="AM51" i="54"/>
  <c r="AK51" i="54"/>
  <c r="AL51" i="54"/>
  <c r="AJ51" i="54"/>
  <c r="AM67" i="54"/>
  <c r="AK67" i="54"/>
  <c r="AJ67" i="54"/>
  <c r="AL67" i="54"/>
  <c r="AK106" i="54"/>
  <c r="AJ106" i="54"/>
  <c r="AM106" i="54"/>
  <c r="AL106" i="54"/>
  <c r="AL87" i="54"/>
  <c r="AJ87" i="54"/>
  <c r="AK87" i="54"/>
  <c r="AM87" i="54"/>
  <c r="AM34" i="54"/>
  <c r="AL34" i="54"/>
  <c r="AJ34" i="54"/>
  <c r="AK34" i="54"/>
  <c r="AM50" i="54"/>
  <c r="AL50" i="54"/>
  <c r="AJ50" i="54"/>
  <c r="AK50" i="54"/>
  <c r="AM66" i="54"/>
  <c r="AK66" i="54"/>
  <c r="AJ66" i="54"/>
  <c r="AL66" i="54"/>
  <c r="AL103" i="54"/>
  <c r="AJ103" i="54"/>
  <c r="AM103" i="54"/>
  <c r="AK103" i="54"/>
  <c r="AL119" i="54"/>
  <c r="AK119" i="54"/>
  <c r="AJ119" i="54"/>
  <c r="AM119" i="54"/>
  <c r="AM117" i="54"/>
  <c r="AK117" i="54"/>
  <c r="AL117" i="54"/>
  <c r="AJ117" i="54"/>
  <c r="AM211" i="54"/>
  <c r="AK211" i="54"/>
  <c r="AL211" i="54"/>
  <c r="AJ211" i="54"/>
  <c r="AK170" i="54"/>
  <c r="AJ170" i="54"/>
  <c r="AM170" i="54"/>
  <c r="AL170" i="54"/>
  <c r="AM202" i="54"/>
  <c r="AL202" i="54"/>
  <c r="AJ202" i="54"/>
  <c r="AK202" i="54"/>
  <c r="AL184" i="54"/>
  <c r="AK184" i="54"/>
  <c r="AJ184" i="54"/>
  <c r="AM184" i="54"/>
  <c r="AL215" i="54"/>
  <c r="AJ215" i="54"/>
  <c r="AM215" i="54"/>
  <c r="AK215" i="54"/>
  <c r="AM221" i="54"/>
  <c r="AK221" i="54"/>
  <c r="AJ221" i="54"/>
  <c r="AL221" i="54"/>
  <c r="AL167" i="54"/>
  <c r="AJ167" i="54"/>
  <c r="AM167" i="54"/>
  <c r="AK167" i="54"/>
  <c r="AM205" i="54"/>
  <c r="AK205" i="54"/>
  <c r="AL205" i="54"/>
  <c r="AJ205" i="54"/>
  <c r="AM37" i="54"/>
  <c r="AK37" i="54"/>
  <c r="AL37" i="54"/>
  <c r="AJ37" i="54"/>
  <c r="AJ14" i="54"/>
  <c r="AM14" i="54"/>
  <c r="AL14" i="54"/>
  <c r="AK14" i="54"/>
  <c r="AM45" i="54"/>
  <c r="AK45" i="54"/>
  <c r="AL45" i="54"/>
  <c r="AJ45" i="54"/>
  <c r="AL65" i="54"/>
  <c r="AJ65" i="54"/>
  <c r="AM65" i="54"/>
  <c r="AK65" i="54"/>
  <c r="AM5" i="54"/>
  <c r="AK5" i="54"/>
  <c r="AL5" i="54"/>
  <c r="AJ5" i="54"/>
  <c r="AM10" i="54"/>
  <c r="AL10" i="54"/>
  <c r="AK10" i="54"/>
  <c r="AJ10" i="54"/>
  <c r="AL22" i="54"/>
  <c r="AK22" i="54"/>
  <c r="AJ22" i="54"/>
  <c r="AM22" i="54"/>
  <c r="AM92" i="54"/>
  <c r="AK92" i="54"/>
  <c r="AJ92" i="54"/>
  <c r="AL92" i="54"/>
  <c r="AL32" i="54"/>
  <c r="AM32" i="54"/>
  <c r="AJ32" i="54"/>
  <c r="AK32" i="54"/>
  <c r="AM85" i="54"/>
  <c r="AK85" i="54"/>
  <c r="AL85" i="54"/>
  <c r="AJ85" i="54"/>
  <c r="AL89" i="54"/>
  <c r="AM89" i="54"/>
  <c r="AJ89" i="54"/>
  <c r="AK89" i="54"/>
  <c r="AM100" i="54"/>
  <c r="AK100" i="54"/>
  <c r="AL100" i="54"/>
  <c r="AJ100" i="54"/>
  <c r="AM116" i="54"/>
  <c r="AK116" i="54"/>
  <c r="AL116" i="54"/>
  <c r="AJ116" i="54"/>
  <c r="AM69" i="54"/>
  <c r="AK69" i="54"/>
  <c r="AL69" i="54"/>
  <c r="AJ69" i="54"/>
  <c r="AL113" i="54"/>
  <c r="AM113" i="54"/>
  <c r="AJ113" i="54"/>
  <c r="AK113" i="54"/>
  <c r="AM115" i="54"/>
  <c r="AK115" i="54"/>
  <c r="AL115" i="54"/>
  <c r="AJ115" i="54"/>
  <c r="AK130" i="54"/>
  <c r="AJ130" i="54"/>
  <c r="AM130" i="54"/>
  <c r="AL130" i="54"/>
  <c r="AM83" i="54"/>
  <c r="AK83" i="54"/>
  <c r="AL83" i="54"/>
  <c r="AJ83" i="54"/>
  <c r="AM99" i="54"/>
  <c r="AK99" i="54"/>
  <c r="AL99" i="54"/>
  <c r="AJ99" i="54"/>
  <c r="AM171" i="54"/>
  <c r="AK171" i="54"/>
  <c r="AL171" i="54"/>
  <c r="AJ171" i="54"/>
  <c r="AJ154" i="54"/>
  <c r="AM154" i="54"/>
  <c r="AL154" i="54"/>
  <c r="AK154" i="54"/>
  <c r="AM197" i="54"/>
  <c r="AK197" i="54"/>
  <c r="AL197" i="54"/>
  <c r="AJ197" i="54"/>
  <c r="AM188" i="54"/>
  <c r="AK188" i="54"/>
  <c r="AL188" i="54"/>
  <c r="AJ188" i="54"/>
  <c r="AM181" i="54"/>
  <c r="AK181" i="54"/>
  <c r="AL181" i="54"/>
  <c r="AJ181" i="54"/>
  <c r="AM172" i="54"/>
  <c r="AK172" i="54"/>
  <c r="AL172" i="54"/>
  <c r="AJ172" i="54"/>
  <c r="AM196" i="54"/>
  <c r="AK196" i="54"/>
  <c r="AL196" i="54"/>
  <c r="AJ196" i="54"/>
  <c r="AL7" i="54"/>
  <c r="AJ7" i="54"/>
  <c r="AM7" i="54"/>
  <c r="AK7" i="54"/>
  <c r="AM12" i="54"/>
  <c r="AK12" i="54"/>
  <c r="AL12" i="54"/>
  <c r="AJ12" i="54"/>
  <c r="AL48" i="54"/>
  <c r="AM48" i="54"/>
  <c r="AJ48" i="54"/>
  <c r="AK48" i="54"/>
  <c r="AL16" i="54"/>
  <c r="AM16" i="54"/>
  <c r="AK16" i="54"/>
  <c r="AJ16" i="54"/>
  <c r="AL49" i="54"/>
  <c r="AM49" i="54"/>
  <c r="AJ49" i="54"/>
  <c r="AK49" i="54"/>
  <c r="AM44" i="54"/>
  <c r="AK44" i="54"/>
  <c r="AL44" i="54"/>
  <c r="AJ44" i="54"/>
  <c r="AM60" i="54"/>
  <c r="AK60" i="54"/>
  <c r="AL60" i="54"/>
  <c r="AJ60" i="54"/>
  <c r="AL39" i="54"/>
  <c r="AJ39" i="54"/>
  <c r="AM39" i="54"/>
  <c r="AK39" i="54"/>
  <c r="AL55" i="54"/>
  <c r="AK55" i="54"/>
  <c r="AJ55" i="54"/>
  <c r="AM55" i="54"/>
  <c r="AL200" i="54"/>
  <c r="AM200" i="54"/>
  <c r="AJ200" i="54"/>
  <c r="AK200" i="54"/>
  <c r="AM76" i="54"/>
  <c r="AK76" i="54"/>
  <c r="AL76" i="54"/>
  <c r="AJ76" i="54"/>
  <c r="AL94" i="54"/>
  <c r="AK94" i="54"/>
  <c r="AM94" i="54"/>
  <c r="AJ94" i="54"/>
  <c r="AK118" i="54"/>
  <c r="AL118" i="54"/>
  <c r="AM118" i="54"/>
  <c r="AJ118" i="54"/>
  <c r="AJ38" i="54"/>
  <c r="AM38" i="54"/>
  <c r="AL38" i="54"/>
  <c r="AK38" i="54"/>
  <c r="AM54" i="54"/>
  <c r="AJ54" i="54"/>
  <c r="AK54" i="54"/>
  <c r="AL54" i="54"/>
  <c r="AM70" i="54"/>
  <c r="AL70" i="54"/>
  <c r="AK70" i="54"/>
  <c r="AJ70" i="54"/>
  <c r="AM132" i="54"/>
  <c r="AK132" i="54"/>
  <c r="AJ132" i="54"/>
  <c r="AL132" i="54"/>
  <c r="AM125" i="54"/>
  <c r="AK125" i="54"/>
  <c r="AL125" i="54"/>
  <c r="AJ125" i="54"/>
  <c r="AM173" i="54"/>
  <c r="AK173" i="54"/>
  <c r="AL173" i="54"/>
  <c r="AJ173" i="54"/>
  <c r="AM163" i="54"/>
  <c r="AK163" i="54"/>
  <c r="AL163" i="54"/>
  <c r="AJ163" i="54"/>
  <c r="AM156" i="54"/>
  <c r="AK156" i="54"/>
  <c r="AJ156" i="54"/>
  <c r="AL156" i="54"/>
  <c r="AM212" i="54"/>
  <c r="AK212" i="54"/>
  <c r="AL212" i="54"/>
  <c r="AJ212" i="54"/>
  <c r="AL135" i="54"/>
  <c r="AJ135" i="54"/>
  <c r="AM135" i="54"/>
  <c r="AK135" i="54"/>
  <c r="AL151" i="54"/>
  <c r="AJ151" i="54"/>
  <c r="AM151" i="54"/>
  <c r="AK151" i="54"/>
  <c r="AL198" i="54"/>
  <c r="AK198" i="54"/>
  <c r="AM198" i="54"/>
  <c r="AJ198" i="54"/>
  <c r="AM68" i="54"/>
  <c r="AK68" i="54"/>
  <c r="AL68" i="54"/>
  <c r="AJ68" i="54"/>
  <c r="AL111" i="54"/>
  <c r="AJ111" i="54"/>
  <c r="AM111" i="54"/>
  <c r="AK111" i="54"/>
  <c r="AL97" i="54"/>
  <c r="AJ97" i="54"/>
  <c r="AM97" i="54"/>
  <c r="AK97" i="54"/>
  <c r="AL72" i="54"/>
  <c r="AM72" i="54"/>
  <c r="AJ72" i="54"/>
  <c r="AK72" i="54"/>
  <c r="AM84" i="54"/>
  <c r="AK84" i="54"/>
  <c r="AL84" i="54"/>
  <c r="AJ84" i="54"/>
  <c r="AL95" i="54"/>
  <c r="AJ95" i="54"/>
  <c r="AK95" i="54"/>
  <c r="AM95" i="54"/>
  <c r="AL120" i="54"/>
  <c r="AK120" i="54"/>
  <c r="AJ120" i="54"/>
  <c r="AM120" i="54"/>
  <c r="AM74" i="54"/>
  <c r="AL74" i="54"/>
  <c r="AJ74" i="54"/>
  <c r="AK74" i="54"/>
  <c r="AL128" i="54"/>
  <c r="AJ128" i="54"/>
  <c r="AM128" i="54"/>
  <c r="AK128" i="54"/>
  <c r="AL152" i="54"/>
  <c r="AJ152" i="54"/>
  <c r="AM152" i="54"/>
  <c r="AK152" i="54"/>
  <c r="AM148" i="54"/>
  <c r="AK148" i="54"/>
  <c r="AL148" i="54"/>
  <c r="AJ148" i="54"/>
  <c r="AL129" i="54"/>
  <c r="AJ129" i="54"/>
  <c r="AM129" i="54"/>
  <c r="AK129" i="54"/>
  <c r="AL145" i="54"/>
  <c r="AK145" i="54"/>
  <c r="AJ145" i="54"/>
  <c r="AM145" i="54"/>
  <c r="AL161" i="54"/>
  <c r="AM161" i="54"/>
  <c r="AJ161" i="54"/>
  <c r="AK161" i="54"/>
  <c r="AL191" i="54"/>
  <c r="AJ191" i="54"/>
  <c r="AM191" i="54"/>
  <c r="AK191" i="54"/>
  <c r="AM204" i="54"/>
  <c r="AK204" i="54"/>
  <c r="AL204" i="54"/>
  <c r="AJ204" i="54"/>
  <c r="AL177" i="54"/>
  <c r="AM177" i="54"/>
  <c r="AJ177" i="54"/>
  <c r="AK177" i="54"/>
  <c r="AK210" i="54"/>
  <c r="AL210" i="54"/>
  <c r="AJ210" i="54"/>
  <c r="AM210" i="54"/>
  <c r="AM126" i="54"/>
  <c r="AL126" i="54"/>
  <c r="AK126" i="54"/>
  <c r="AJ126" i="54"/>
  <c r="AM142" i="54"/>
  <c r="AL142" i="54"/>
  <c r="AK142" i="54"/>
  <c r="AJ142" i="54"/>
  <c r="AL158" i="54"/>
  <c r="AK158" i="54"/>
  <c r="AM158" i="54"/>
  <c r="AJ158" i="54"/>
  <c r="AK194" i="54"/>
  <c r="AJ194" i="54"/>
  <c r="AM194" i="54"/>
  <c r="AL194" i="54"/>
  <c r="AL168" i="54"/>
  <c r="AJ168" i="54"/>
  <c r="AM168" i="54"/>
  <c r="AK168" i="54"/>
  <c r="AL185" i="54"/>
  <c r="AM185" i="54"/>
  <c r="AK185" i="54"/>
  <c r="AJ185" i="54"/>
  <c r="AJ218" i="54"/>
  <c r="AM218" i="54"/>
  <c r="AL218" i="54"/>
  <c r="AK218" i="54"/>
  <c r="AM61" i="54"/>
  <c r="AK61" i="54"/>
  <c r="AL61" i="54"/>
  <c r="AJ61" i="54"/>
  <c r="AM19" i="54"/>
  <c r="AK19" i="54"/>
  <c r="AL19" i="54"/>
  <c r="AJ19" i="54"/>
  <c r="AM52" i="54"/>
  <c r="AK52" i="54"/>
  <c r="AL52" i="54"/>
  <c r="AJ52" i="54"/>
  <c r="AM26" i="54"/>
  <c r="AJ26" i="54"/>
  <c r="AK26" i="54"/>
  <c r="AL26" i="54"/>
  <c r="AL15" i="54"/>
  <c r="AJ15" i="54"/>
  <c r="AM15" i="54"/>
  <c r="AK15" i="54"/>
  <c r="AM53" i="54"/>
  <c r="AK53" i="54"/>
  <c r="AL53" i="54"/>
  <c r="AJ53" i="54"/>
  <c r="AM43" i="54"/>
  <c r="AK43" i="54"/>
  <c r="AL43" i="54"/>
  <c r="AJ43" i="54"/>
  <c r="AM59" i="54"/>
  <c r="AK59" i="54"/>
  <c r="AL59" i="54"/>
  <c r="AJ59" i="54"/>
  <c r="AL96" i="54"/>
  <c r="AM96" i="54"/>
  <c r="AJ96" i="54"/>
  <c r="AK96" i="54"/>
  <c r="AM123" i="54"/>
  <c r="AK123" i="54"/>
  <c r="AL123" i="54"/>
  <c r="AJ123" i="54"/>
  <c r="AM90" i="54"/>
  <c r="AK90" i="54"/>
  <c r="AJ90" i="54"/>
  <c r="AL90" i="54"/>
  <c r="AL79" i="54"/>
  <c r="AJ79" i="54"/>
  <c r="AK79" i="54"/>
  <c r="AM79" i="54"/>
  <c r="AM42" i="54"/>
  <c r="AK42" i="54"/>
  <c r="AJ42" i="54"/>
  <c r="AL42" i="54"/>
  <c r="AM58" i="54"/>
  <c r="AL58" i="54"/>
  <c r="AK58" i="54"/>
  <c r="AJ58" i="54"/>
  <c r="AM110" i="54"/>
  <c r="AL110" i="54"/>
  <c r="AK110" i="54"/>
  <c r="AJ110" i="54"/>
  <c r="AL144" i="54"/>
  <c r="AK144" i="54"/>
  <c r="AJ144" i="54"/>
  <c r="AM144" i="54"/>
  <c r="AM109" i="54"/>
  <c r="AK109" i="54"/>
  <c r="AL109" i="54"/>
  <c r="AJ109" i="54"/>
  <c r="AM114" i="54"/>
  <c r="AL114" i="54"/>
  <c r="AJ114" i="54"/>
  <c r="AK114" i="54"/>
  <c r="AM139" i="54"/>
  <c r="AK139" i="54"/>
  <c r="AL139" i="54"/>
  <c r="AJ139" i="54"/>
  <c r="AM186" i="54"/>
  <c r="AL186" i="54"/>
  <c r="AK186" i="54"/>
  <c r="AJ186" i="54"/>
  <c r="AL217" i="54"/>
  <c r="AJ217" i="54"/>
  <c r="AM217" i="54"/>
  <c r="AK217" i="54"/>
  <c r="AM179" i="54"/>
  <c r="AK179" i="54"/>
  <c r="AL179" i="54"/>
  <c r="AJ179" i="54"/>
  <c r="AM165" i="54"/>
  <c r="AK165" i="54"/>
  <c r="AL165" i="54"/>
  <c r="AJ165" i="54"/>
  <c r="AL201" i="54"/>
  <c r="AM201" i="54"/>
  <c r="AJ201" i="54"/>
  <c r="AK201" i="54"/>
  <c r="AM187" i="54"/>
  <c r="AK187" i="54"/>
  <c r="AL187" i="54"/>
  <c r="AJ187" i="54"/>
  <c r="AI13" i="54"/>
  <c r="AH13" i="54"/>
  <c r="AI147" i="54"/>
  <c r="AH147" i="54"/>
  <c r="AI220" i="54"/>
  <c r="AH220" i="54"/>
  <c r="AI162" i="54"/>
  <c r="AH162" i="54"/>
  <c r="AI219" i="54"/>
  <c r="AH219" i="54"/>
  <c r="AI214" i="54"/>
  <c r="AH214" i="54"/>
  <c r="AH2" i="54"/>
  <c r="AI4" i="54"/>
  <c r="AH4" i="54"/>
  <c r="AI20" i="54"/>
  <c r="AH20" i="54"/>
  <c r="AI21" i="54"/>
  <c r="AH21" i="54"/>
  <c r="AI28" i="54"/>
  <c r="AH28" i="54"/>
  <c r="AI18" i="54"/>
  <c r="AH18" i="54"/>
  <c r="AH30" i="54"/>
  <c r="AI30" i="54"/>
  <c r="AI33" i="54"/>
  <c r="AH33" i="54"/>
  <c r="AH47" i="54"/>
  <c r="AI47" i="54"/>
  <c r="AH63" i="54"/>
  <c r="AI63" i="54"/>
  <c r="AH136" i="54"/>
  <c r="AI136" i="54"/>
  <c r="AH160" i="54"/>
  <c r="AI160" i="54"/>
  <c r="AI93" i="54"/>
  <c r="AH93" i="54"/>
  <c r="AH80" i="54"/>
  <c r="AI80" i="54"/>
  <c r="AH31" i="54"/>
  <c r="AI31" i="54"/>
  <c r="AH46" i="54"/>
  <c r="AI46" i="54"/>
  <c r="AI62" i="54"/>
  <c r="AH62" i="54"/>
  <c r="AI91" i="54"/>
  <c r="AH91" i="54"/>
  <c r="AH81" i="54"/>
  <c r="AI81" i="54"/>
  <c r="AI98" i="54"/>
  <c r="AH98" i="54"/>
  <c r="AH209" i="54"/>
  <c r="AI209" i="54"/>
  <c r="AI149" i="54"/>
  <c r="AH149" i="54"/>
  <c r="AI180" i="54"/>
  <c r="AH180" i="54"/>
  <c r="AI195" i="54"/>
  <c r="AH195" i="54"/>
  <c r="AI155" i="54"/>
  <c r="AH155" i="54"/>
  <c r="AI206" i="54"/>
  <c r="AH206" i="54"/>
  <c r="AI164" i="54"/>
  <c r="AH164" i="54"/>
  <c r="AH199" i="54"/>
  <c r="AI199" i="54"/>
  <c r="AI190" i="54"/>
  <c r="AH190" i="54"/>
  <c r="AH183" i="54"/>
  <c r="AI183" i="54"/>
  <c r="AH216" i="54"/>
  <c r="AI216" i="54"/>
  <c r="AH127" i="54"/>
  <c r="AI127" i="54"/>
  <c r="AH143" i="54"/>
  <c r="AI143" i="54"/>
  <c r="AH159" i="54"/>
  <c r="AI159" i="54"/>
  <c r="AH176" i="54"/>
  <c r="AI176" i="54"/>
  <c r="AH207" i="54"/>
  <c r="AI207" i="54"/>
  <c r="AH64" i="54"/>
  <c r="AI64" i="54"/>
  <c r="AH104" i="54"/>
  <c r="AI104" i="54"/>
  <c r="AH6" i="54"/>
  <c r="AI6" i="54"/>
  <c r="AH8" i="54"/>
  <c r="AI8" i="54"/>
  <c r="AH40" i="54"/>
  <c r="AI40" i="54"/>
  <c r="AH17" i="54"/>
  <c r="AI17" i="54"/>
  <c r="AI133" i="54"/>
  <c r="AH133" i="54"/>
  <c r="AH25" i="54"/>
  <c r="AI25" i="54"/>
  <c r="AH56" i="54"/>
  <c r="AI56" i="54"/>
  <c r="AI86" i="54"/>
  <c r="AH86" i="54"/>
  <c r="AI124" i="54"/>
  <c r="AH124" i="54"/>
  <c r="AI108" i="54"/>
  <c r="AH108" i="54"/>
  <c r="AI77" i="54"/>
  <c r="AH77" i="54"/>
  <c r="AI122" i="54"/>
  <c r="AH122" i="54"/>
  <c r="AI73" i="54"/>
  <c r="AH73" i="54"/>
  <c r="AI107" i="54"/>
  <c r="AH107" i="54"/>
  <c r="AI157" i="54"/>
  <c r="AH157" i="54"/>
  <c r="AI102" i="54"/>
  <c r="AH102" i="54"/>
  <c r="AI178" i="54"/>
  <c r="AH178" i="54"/>
  <c r="AI138" i="54"/>
  <c r="AH138" i="54"/>
  <c r="AI131" i="54"/>
  <c r="AH131" i="54"/>
  <c r="AH121" i="54"/>
  <c r="AI121" i="54"/>
  <c r="AI137" i="54"/>
  <c r="AH137" i="54"/>
  <c r="AI153" i="54"/>
  <c r="AH153" i="54"/>
  <c r="AI182" i="54"/>
  <c r="AH182" i="54"/>
  <c r="AH175" i="54"/>
  <c r="AI175" i="54"/>
  <c r="AH208" i="54"/>
  <c r="AI208" i="54"/>
  <c r="AH192" i="54"/>
  <c r="AI192" i="54"/>
  <c r="AI134" i="54"/>
  <c r="AH134" i="54"/>
  <c r="AI150" i="54"/>
  <c r="AH150" i="54"/>
  <c r="AI166" i="54"/>
  <c r="AH166" i="54"/>
  <c r="AI3" i="54"/>
  <c r="AH3" i="54"/>
  <c r="AI101" i="54"/>
  <c r="AH101" i="54"/>
  <c r="AI189" i="54"/>
  <c r="AH189" i="54"/>
  <c r="AI169" i="54"/>
  <c r="AH169" i="54"/>
  <c r="AI174" i="54"/>
  <c r="AH174" i="54"/>
  <c r="AH9" i="54"/>
  <c r="AI9" i="54"/>
  <c r="AH23" i="54"/>
  <c r="AI23" i="54"/>
  <c r="AH24" i="54"/>
  <c r="AI24" i="54"/>
  <c r="AI11" i="54"/>
  <c r="AH11" i="54"/>
  <c r="AI36" i="54"/>
  <c r="AH36" i="54"/>
  <c r="AI82" i="54"/>
  <c r="AH82" i="54"/>
  <c r="AI41" i="54"/>
  <c r="AH41" i="54"/>
  <c r="AI57" i="54"/>
  <c r="AH57" i="54"/>
  <c r="AI35" i="54"/>
  <c r="AH35" i="54"/>
  <c r="AI51" i="54"/>
  <c r="AH51" i="54"/>
  <c r="AI67" i="54"/>
  <c r="AH67" i="54"/>
  <c r="AI106" i="54"/>
  <c r="AH106" i="54"/>
  <c r="AH87" i="54"/>
  <c r="AI87" i="54"/>
  <c r="AI34" i="54"/>
  <c r="AH34" i="54"/>
  <c r="AI50" i="54"/>
  <c r="AH50" i="54"/>
  <c r="AI66" i="54"/>
  <c r="AH66" i="54"/>
  <c r="AH103" i="54"/>
  <c r="AI103" i="54"/>
  <c r="AH119" i="54"/>
  <c r="AI119" i="54"/>
  <c r="AI117" i="54"/>
  <c r="AH117" i="54"/>
  <c r="AI211" i="54"/>
  <c r="AH211" i="54"/>
  <c r="AI170" i="54"/>
  <c r="AH170" i="54"/>
  <c r="AI202" i="54"/>
  <c r="AH202" i="54"/>
  <c r="AH184" i="54"/>
  <c r="AI184" i="54"/>
  <c r="AH215" i="54"/>
  <c r="AI215" i="54"/>
  <c r="AI221" i="54"/>
  <c r="AH221" i="54"/>
  <c r="AH167" i="54"/>
  <c r="AI167" i="54"/>
  <c r="AI205" i="54"/>
  <c r="AH205" i="54"/>
  <c r="AI27" i="54"/>
  <c r="AH27" i="54"/>
  <c r="AI75" i="54"/>
  <c r="AH75" i="54"/>
  <c r="AI78" i="54"/>
  <c r="AH78" i="54"/>
  <c r="AI146" i="54"/>
  <c r="AH146" i="54"/>
  <c r="AI37" i="54"/>
  <c r="AH37" i="54"/>
  <c r="AH14" i="54"/>
  <c r="AI14" i="54"/>
  <c r="AI45" i="54"/>
  <c r="AH45" i="54"/>
  <c r="AH65" i="54"/>
  <c r="AI65" i="54"/>
  <c r="AI5" i="54"/>
  <c r="AH5" i="54"/>
  <c r="AI10" i="54"/>
  <c r="AH10" i="54"/>
  <c r="AH22" i="54"/>
  <c r="AI22" i="54"/>
  <c r="AI92" i="54"/>
  <c r="AH92" i="54"/>
  <c r="AH32" i="54"/>
  <c r="AI32" i="54"/>
  <c r="AI85" i="54"/>
  <c r="AH85" i="54"/>
  <c r="AH89" i="54"/>
  <c r="AI89" i="54"/>
  <c r="AI100" i="54"/>
  <c r="AH100" i="54"/>
  <c r="AI116" i="54"/>
  <c r="AH116" i="54"/>
  <c r="AI69" i="54"/>
  <c r="AH69" i="54"/>
  <c r="AH113" i="54"/>
  <c r="AI113" i="54"/>
  <c r="AI115" i="54"/>
  <c r="AH115" i="54"/>
  <c r="AI130" i="54"/>
  <c r="AH130" i="54"/>
  <c r="AI83" i="54"/>
  <c r="AH83" i="54"/>
  <c r="AI99" i="54"/>
  <c r="AH99" i="54"/>
  <c r="AI171" i="54"/>
  <c r="AH171" i="54"/>
  <c r="AI154" i="54"/>
  <c r="AH154" i="54"/>
  <c r="AI197" i="54"/>
  <c r="AH197" i="54"/>
  <c r="AI188" i="54"/>
  <c r="AH188" i="54"/>
  <c r="AI181" i="54"/>
  <c r="AH181" i="54"/>
  <c r="AI172" i="54"/>
  <c r="AH172" i="54"/>
  <c r="AI196" i="54"/>
  <c r="AH196" i="54"/>
  <c r="AH88" i="54"/>
  <c r="AI88" i="54"/>
  <c r="AI213" i="54"/>
  <c r="AH213" i="54"/>
  <c r="AI203" i="54"/>
  <c r="AH203" i="54"/>
  <c r="AH7" i="54"/>
  <c r="AI7" i="54"/>
  <c r="AI12" i="54"/>
  <c r="AH12" i="54"/>
  <c r="AH48" i="54"/>
  <c r="AI48" i="54"/>
  <c r="AH16" i="54"/>
  <c r="AI16" i="54"/>
  <c r="AH49" i="54"/>
  <c r="AI49" i="54"/>
  <c r="AI44" i="54"/>
  <c r="AH44" i="54"/>
  <c r="AI60" i="54"/>
  <c r="AH60" i="54"/>
  <c r="AH39" i="54"/>
  <c r="AI39" i="54"/>
  <c r="AH55" i="54"/>
  <c r="AI55" i="54"/>
  <c r="AH200" i="54"/>
  <c r="AI200" i="54"/>
  <c r="AI76" i="54"/>
  <c r="AH76" i="54"/>
  <c r="AI94" i="54"/>
  <c r="AH94" i="54"/>
  <c r="AI118" i="54"/>
  <c r="AH118" i="54"/>
  <c r="AH38" i="54"/>
  <c r="AI38" i="54"/>
  <c r="AH54" i="54"/>
  <c r="AI54" i="54"/>
  <c r="AI70" i="54"/>
  <c r="AH70" i="54"/>
  <c r="AI132" i="54"/>
  <c r="AH132" i="54"/>
  <c r="AI125" i="54"/>
  <c r="AH125" i="54"/>
  <c r="AI173" i="54"/>
  <c r="AH173" i="54"/>
  <c r="AI163" i="54"/>
  <c r="AH163" i="54"/>
  <c r="AI156" i="54"/>
  <c r="AH156" i="54"/>
  <c r="AI212" i="54"/>
  <c r="AH212" i="54"/>
  <c r="AH135" i="54"/>
  <c r="AI135" i="54"/>
  <c r="AH151" i="54"/>
  <c r="AI151" i="54"/>
  <c r="AI29" i="54"/>
  <c r="AH29" i="54"/>
  <c r="AI105" i="54"/>
  <c r="AH105" i="54"/>
  <c r="AI140" i="54"/>
  <c r="AH140" i="54"/>
  <c r="AH112" i="54"/>
  <c r="AI112" i="54"/>
  <c r="AH193" i="54"/>
  <c r="AI193" i="54"/>
  <c r="AI198" i="54"/>
  <c r="AH198" i="54"/>
  <c r="AI68" i="54"/>
  <c r="AH68" i="54"/>
  <c r="AH111" i="54"/>
  <c r="AI111" i="54"/>
  <c r="AI97" i="54"/>
  <c r="AH97" i="54"/>
  <c r="AH72" i="54"/>
  <c r="AI72" i="54"/>
  <c r="AI84" i="54"/>
  <c r="AH84" i="54"/>
  <c r="AH95" i="54"/>
  <c r="AI95" i="54"/>
  <c r="AH120" i="54"/>
  <c r="AI120" i="54"/>
  <c r="AI74" i="54"/>
  <c r="AH74" i="54"/>
  <c r="AH128" i="54"/>
  <c r="AI128" i="54"/>
  <c r="AH152" i="54"/>
  <c r="AI152" i="54"/>
  <c r="AI148" i="54"/>
  <c r="AH148" i="54"/>
  <c r="AH129" i="54"/>
  <c r="AI129" i="54"/>
  <c r="AH145" i="54"/>
  <c r="AI145" i="54"/>
  <c r="AI161" i="54"/>
  <c r="AH161" i="54"/>
  <c r="AH191" i="54"/>
  <c r="AI191" i="54"/>
  <c r="AI204" i="54"/>
  <c r="AH204" i="54"/>
  <c r="AH177" i="54"/>
  <c r="AI177" i="54"/>
  <c r="AI210" i="54"/>
  <c r="AH210" i="54"/>
  <c r="AI126" i="54"/>
  <c r="AH126" i="54"/>
  <c r="AI142" i="54"/>
  <c r="AH142" i="54"/>
  <c r="AI158" i="54"/>
  <c r="AH158" i="54"/>
  <c r="AI194" i="54"/>
  <c r="AH194" i="54"/>
  <c r="AH168" i="54"/>
  <c r="AI168" i="54"/>
  <c r="AI185" i="54"/>
  <c r="AH185" i="54"/>
  <c r="AI218" i="54"/>
  <c r="AH218" i="54"/>
  <c r="AI141" i="54"/>
  <c r="AH141" i="54"/>
  <c r="AH71" i="54"/>
  <c r="AI71" i="54"/>
  <c r="AI61" i="54"/>
  <c r="AH61" i="54"/>
  <c r="AI19" i="54"/>
  <c r="AH19" i="54"/>
  <c r="AI52" i="54"/>
  <c r="AH52" i="54"/>
  <c r="AI26" i="54"/>
  <c r="AH26" i="54"/>
  <c r="AH15" i="54"/>
  <c r="AI15" i="54"/>
  <c r="AI53" i="54"/>
  <c r="AH53" i="54"/>
  <c r="AI43" i="54"/>
  <c r="AH43" i="54"/>
  <c r="AI59" i="54"/>
  <c r="AH59" i="54"/>
  <c r="AH96" i="54"/>
  <c r="AI96" i="54"/>
  <c r="AI123" i="54"/>
  <c r="AH123" i="54"/>
  <c r="AI90" i="54"/>
  <c r="AH90" i="54"/>
  <c r="AH79" i="54"/>
  <c r="AI79" i="54"/>
  <c r="AI42" i="54"/>
  <c r="AH42" i="54"/>
  <c r="AI58" i="54"/>
  <c r="AH58" i="54"/>
  <c r="AI110" i="54"/>
  <c r="AH110" i="54"/>
  <c r="AH144" i="54"/>
  <c r="AI144" i="54"/>
  <c r="AI109" i="54"/>
  <c r="AH109" i="54"/>
  <c r="AI114" i="54"/>
  <c r="AH114" i="54"/>
  <c r="AI139" i="54"/>
  <c r="AH139" i="54"/>
  <c r="AI186" i="54"/>
  <c r="AH186" i="54"/>
  <c r="AH217" i="54"/>
  <c r="AI217" i="54"/>
  <c r="AI179" i="54"/>
  <c r="AH179" i="54"/>
  <c r="AI165" i="54"/>
  <c r="AH165" i="54"/>
  <c r="AH201" i="54"/>
  <c r="AI201" i="54"/>
  <c r="AI187" i="54"/>
  <c r="AH187" i="54"/>
  <c r="BA116" i="48"/>
  <c r="BA217" i="48"/>
  <c r="BA26" i="48"/>
  <c r="BA107" i="48"/>
  <c r="BA270" i="48"/>
  <c r="BA7" i="48"/>
  <c r="BA53" i="48"/>
  <c r="BA81" i="48"/>
  <c r="BA118" i="48"/>
  <c r="BA163" i="48"/>
  <c r="BA48" i="48"/>
  <c r="BA206" i="48"/>
  <c r="BA43" i="48"/>
  <c r="BA99" i="48"/>
  <c r="BA140" i="48"/>
  <c r="BA38" i="48"/>
  <c r="T223" i="48"/>
  <c r="BA61" i="48"/>
  <c r="BA59" i="48"/>
  <c r="BA23" i="48"/>
  <c r="BA259" i="48"/>
  <c r="BA18" i="48"/>
  <c r="BA13" i="48"/>
  <c r="BA169" i="48"/>
  <c r="BA227" i="48"/>
  <c r="BA8" i="48"/>
  <c r="BA78" i="48"/>
  <c r="BA113" i="48"/>
  <c r="BA3" i="48"/>
  <c r="BA31" i="48"/>
  <c r="BA148" i="48"/>
  <c r="BA42" i="48"/>
  <c r="BA97" i="48"/>
  <c r="BA139" i="48"/>
  <c r="BA190" i="48"/>
  <c r="BA37" i="48"/>
  <c r="BA89" i="48"/>
  <c r="BA233" i="48"/>
  <c r="BA32" i="48"/>
  <c r="BA39" i="48"/>
  <c r="BA211" i="48"/>
  <c r="BA2" i="48"/>
  <c r="BA70" i="48"/>
  <c r="BA134" i="48"/>
  <c r="BA171" i="48"/>
  <c r="BA21" i="48"/>
  <c r="BA67" i="48"/>
  <c r="BA251" i="48"/>
  <c r="BA16" i="48"/>
  <c r="BA60" i="48"/>
  <c r="BA129" i="48"/>
  <c r="BA177" i="48"/>
  <c r="BA235" i="48"/>
  <c r="BA11" i="48"/>
  <c r="BA50" i="48"/>
  <c r="BA77" i="48"/>
  <c r="BA155" i="48"/>
  <c r="BA45" i="48"/>
  <c r="BA102" i="48"/>
  <c r="BA198" i="48"/>
  <c r="BA40" i="48"/>
  <c r="BA94" i="48"/>
  <c r="BA241" i="48"/>
  <c r="BA35" i="48"/>
  <c r="BA57" i="48"/>
  <c r="BA86" i="48"/>
  <c r="BA124" i="48"/>
  <c r="BA30" i="48"/>
  <c r="BA47" i="48"/>
  <c r="BA10" i="48"/>
  <c r="BA161" i="48"/>
  <c r="BA219" i="48"/>
  <c r="BA5" i="48"/>
  <c r="BA74" i="48"/>
  <c r="BA150" i="48"/>
  <c r="BA98" i="48"/>
  <c r="BA90" i="48"/>
  <c r="BA179" i="48"/>
  <c r="BA15" i="48"/>
  <c r="BA66" i="48"/>
  <c r="BA73" i="48"/>
  <c r="BA92" i="48"/>
  <c r="BA132" i="48"/>
  <c r="BA182" i="48"/>
  <c r="BA34" i="48"/>
  <c r="BA84" i="48"/>
  <c r="BA123" i="48"/>
  <c r="BA225" i="48"/>
  <c r="BA29" i="48"/>
  <c r="BA24" i="48"/>
  <c r="BA145" i="48"/>
  <c r="BA262" i="48"/>
  <c r="BA19" i="48"/>
  <c r="BA54" i="48"/>
  <c r="BA222" i="48"/>
  <c r="BA49" i="48"/>
  <c r="BA110" i="48"/>
  <c r="BA20" i="48"/>
  <c r="BA137" i="48"/>
  <c r="BA246" i="48"/>
  <c r="BA188" i="48"/>
  <c r="BA252" i="48"/>
  <c r="BA187" i="48"/>
  <c r="BA58" i="48"/>
  <c r="BA126" i="48"/>
  <c r="BA230" i="48"/>
  <c r="BA28" i="48"/>
  <c r="BA76" i="48"/>
  <c r="BA153" i="48"/>
  <c r="BA209" i="48"/>
  <c r="BA278" i="48"/>
  <c r="BA196" i="48"/>
  <c r="BA260" i="48"/>
  <c r="BA55" i="48"/>
  <c r="BA119" i="48"/>
  <c r="BA183" i="48"/>
  <c r="BA247" i="48"/>
  <c r="BA154" i="48"/>
  <c r="BA218" i="48"/>
  <c r="BA85" i="48"/>
  <c r="BA149" i="48"/>
  <c r="BA213" i="48"/>
  <c r="BA277" i="48"/>
  <c r="BA72" i="48"/>
  <c r="BA136" i="48"/>
  <c r="BA200" i="48"/>
  <c r="BA264" i="48"/>
  <c r="BA27" i="48"/>
  <c r="BA75" i="48"/>
  <c r="BA108" i="48"/>
  <c r="BA275" i="48"/>
  <c r="BA22" i="48"/>
  <c r="BA68" i="48"/>
  <c r="BA193" i="48"/>
  <c r="BA254" i="48"/>
  <c r="BA17" i="48"/>
  <c r="BA52" i="48"/>
  <c r="BA156" i="48"/>
  <c r="BA220" i="48"/>
  <c r="BA79" i="48"/>
  <c r="BA143" i="48"/>
  <c r="BA207" i="48"/>
  <c r="BA271" i="48"/>
  <c r="BA114" i="48"/>
  <c r="BA178" i="48"/>
  <c r="BA242" i="48"/>
  <c r="BA109" i="48"/>
  <c r="BA173" i="48"/>
  <c r="BA237" i="48"/>
  <c r="BA96" i="48"/>
  <c r="BA160" i="48"/>
  <c r="BA224" i="48"/>
  <c r="BA265" i="48"/>
  <c r="BA51" i="48"/>
  <c r="BA214" i="48"/>
  <c r="BA46" i="48"/>
  <c r="BA147" i="48"/>
  <c r="BA41" i="48"/>
  <c r="BA65" i="48"/>
  <c r="BA12" i="48"/>
  <c r="BA121" i="48"/>
  <c r="BA180" i="48"/>
  <c r="BA244" i="48"/>
  <c r="BA103" i="48"/>
  <c r="BA167" i="48"/>
  <c r="BA231" i="48"/>
  <c r="BA138" i="48"/>
  <c r="BA202" i="48"/>
  <c r="BA266" i="48"/>
  <c r="BA133" i="48"/>
  <c r="BA197" i="48"/>
  <c r="BA261" i="48"/>
  <c r="BA56" i="48"/>
  <c r="BA120" i="48"/>
  <c r="BA184" i="48"/>
  <c r="BA248" i="48"/>
  <c r="BA82" i="48"/>
  <c r="BA6" i="48"/>
  <c r="BA142" i="48"/>
  <c r="BA195" i="48"/>
  <c r="BA36" i="48"/>
  <c r="BA174" i="48"/>
  <c r="BA204" i="48"/>
  <c r="BA268" i="48"/>
  <c r="BA63" i="48"/>
  <c r="BA127" i="48"/>
  <c r="BA191" i="48"/>
  <c r="BA255" i="48"/>
  <c r="BA162" i="48"/>
  <c r="BA226" i="48"/>
  <c r="BA93" i="48"/>
  <c r="BA157" i="48"/>
  <c r="BA221" i="48"/>
  <c r="BA80" i="48"/>
  <c r="BA144" i="48"/>
  <c r="BA208" i="48"/>
  <c r="BA272" i="48"/>
  <c r="BA249" i="48"/>
  <c r="BA115" i="48"/>
  <c r="BA158" i="48"/>
  <c r="BA25" i="48"/>
  <c r="BA201" i="48"/>
  <c r="BA267" i="48"/>
  <c r="BA62" i="48"/>
  <c r="BA238" i="48"/>
  <c r="BA164" i="48"/>
  <c r="BA228" i="48"/>
  <c r="BA87" i="48"/>
  <c r="BA151" i="48"/>
  <c r="BA215" i="48"/>
  <c r="BA279" i="48"/>
  <c r="BA122" i="48"/>
  <c r="BA186" i="48"/>
  <c r="BA250" i="48"/>
  <c r="BA117" i="48"/>
  <c r="BA181" i="48"/>
  <c r="BA245" i="48"/>
  <c r="BA104" i="48"/>
  <c r="BA168" i="48"/>
  <c r="BA232" i="48"/>
  <c r="BA273" i="48"/>
  <c r="BA111" i="48"/>
  <c r="BA175" i="48"/>
  <c r="BA239" i="48"/>
  <c r="BA146" i="48"/>
  <c r="BA210" i="48"/>
  <c r="BA274" i="48"/>
  <c r="BA141" i="48"/>
  <c r="BA205" i="48"/>
  <c r="BA269" i="48"/>
  <c r="BA64" i="48"/>
  <c r="BA128" i="48"/>
  <c r="BA192" i="48"/>
  <c r="BA256" i="48"/>
  <c r="BA185" i="48"/>
  <c r="BA243" i="48"/>
  <c r="BA14" i="48"/>
  <c r="BA9" i="48"/>
  <c r="BA44" i="48"/>
  <c r="BA69" i="48"/>
  <c r="BA100" i="48"/>
  <c r="BA212" i="48"/>
  <c r="BA276" i="48"/>
  <c r="BA71" i="48"/>
  <c r="BA135" i="48"/>
  <c r="BA199" i="48"/>
  <c r="BA263" i="48"/>
  <c r="BA106" i="48"/>
  <c r="BA170" i="48"/>
  <c r="BA234" i="48"/>
  <c r="BA101" i="48"/>
  <c r="BA165" i="48"/>
  <c r="BA229" i="48"/>
  <c r="BA88" i="48"/>
  <c r="BA152" i="48"/>
  <c r="BA216" i="48"/>
  <c r="BA280" i="48"/>
  <c r="BA257" i="48"/>
  <c r="BA91" i="48"/>
  <c r="BA131" i="48"/>
  <c r="BA33" i="48"/>
  <c r="BA83" i="48"/>
  <c r="BA166" i="48"/>
  <c r="BA4" i="48"/>
  <c r="BA105" i="48"/>
  <c r="BA203" i="48"/>
  <c r="BA172" i="48"/>
  <c r="BA236" i="48"/>
  <c r="BA95" i="48"/>
  <c r="BA159" i="48"/>
  <c r="BA223" i="48"/>
  <c r="BA130" i="48"/>
  <c r="BA194" i="48"/>
  <c r="BA258" i="48"/>
  <c r="BA125" i="48"/>
  <c r="BA189" i="48"/>
  <c r="BA253" i="48"/>
  <c r="BA112" i="48"/>
  <c r="BA176" i="48"/>
  <c r="BA240" i="48"/>
  <c r="BA281" i="48"/>
  <c r="AK205" i="48"/>
  <c r="BH65" i="48"/>
  <c r="AK203" i="48"/>
  <c r="BH63" i="48"/>
  <c r="AK216" i="48"/>
  <c r="BH76" i="48"/>
  <c r="AK189" i="48"/>
  <c r="BH49" i="48"/>
  <c r="AK187" i="48"/>
  <c r="BH47" i="48"/>
  <c r="AK200" i="48"/>
  <c r="BH60" i="48"/>
  <c r="AK173" i="48"/>
  <c r="BH33" i="48"/>
  <c r="AK209" i="48"/>
  <c r="BH69" i="48"/>
  <c r="AK215" i="48"/>
  <c r="BH75" i="48"/>
  <c r="AK148" i="48"/>
  <c r="BH8" i="48"/>
  <c r="AK242" i="48"/>
  <c r="BH102" i="48"/>
  <c r="AK155" i="48"/>
  <c r="BH15" i="48"/>
  <c r="AK168" i="48"/>
  <c r="BH28" i="48"/>
  <c r="AK218" i="48"/>
  <c r="BH78" i="48"/>
  <c r="AK249" i="48"/>
  <c r="BH109" i="48"/>
  <c r="AK152" i="48"/>
  <c r="BH12" i="48"/>
  <c r="AK202" i="48"/>
  <c r="BH62" i="48"/>
  <c r="AK233" i="48"/>
  <c r="BH93" i="48"/>
  <c r="AK239" i="48"/>
  <c r="BH99" i="48"/>
  <c r="AK186" i="48"/>
  <c r="BH46" i="48"/>
  <c r="AK217" i="48"/>
  <c r="BH77" i="48"/>
  <c r="AK223" i="48"/>
  <c r="BH83" i="48"/>
  <c r="AK145" i="48"/>
  <c r="BH5" i="48"/>
  <c r="AK151" i="48"/>
  <c r="BH11" i="48"/>
  <c r="AK204" i="48"/>
  <c r="BH64" i="48"/>
  <c r="AK230" i="48"/>
  <c r="BH90" i="48"/>
  <c r="AK191" i="48"/>
  <c r="BH51" i="48"/>
  <c r="AK244" i="48"/>
  <c r="BH104" i="48"/>
  <c r="AK169" i="48"/>
  <c r="BH29" i="48"/>
  <c r="AK228" i="48"/>
  <c r="BH88" i="48"/>
  <c r="AK159" i="48"/>
  <c r="BH19" i="48"/>
  <c r="AK212" i="48"/>
  <c r="BH72" i="48"/>
  <c r="AK196" i="48"/>
  <c r="BH56" i="48"/>
  <c r="AK222" i="48"/>
  <c r="BH82" i="48"/>
  <c r="AK180" i="48"/>
  <c r="BH40" i="48"/>
  <c r="AK206" i="48"/>
  <c r="BH66" i="48"/>
  <c r="AK164" i="48"/>
  <c r="BH24" i="48"/>
  <c r="AK190" i="48"/>
  <c r="BH50" i="48"/>
  <c r="AK245" i="48"/>
  <c r="BH105" i="48"/>
  <c r="AK243" i="48"/>
  <c r="BH103" i="48"/>
  <c r="AK184" i="48"/>
  <c r="BH44" i="48"/>
  <c r="AK234" i="48"/>
  <c r="BH94" i="48"/>
  <c r="AK157" i="48"/>
  <c r="BH17" i="48"/>
  <c r="AK235" i="48"/>
  <c r="BH95" i="48"/>
  <c r="AK232" i="48"/>
  <c r="BH92" i="48"/>
  <c r="AK150" i="48"/>
  <c r="BH10" i="48"/>
  <c r="AK154" i="48"/>
  <c r="BH14" i="48"/>
  <c r="AK185" i="48"/>
  <c r="BH45" i="48"/>
  <c r="AK175" i="48"/>
  <c r="BH35" i="48"/>
  <c r="AK153" i="48"/>
  <c r="BH13" i="48"/>
  <c r="AK248" i="48"/>
  <c r="BH108" i="48"/>
  <c r="AK166" i="48"/>
  <c r="BH26" i="48"/>
  <c r="AK221" i="48"/>
  <c r="BH81" i="48"/>
  <c r="AK178" i="48"/>
  <c r="BH38" i="48"/>
  <c r="AK158" i="48"/>
  <c r="BH18" i="48"/>
  <c r="AK213" i="48"/>
  <c r="BH73" i="48"/>
  <c r="AK211" i="48"/>
  <c r="BH71" i="48"/>
  <c r="AK224" i="48"/>
  <c r="BH84" i="48"/>
  <c r="AK142" i="48"/>
  <c r="BH2" i="48"/>
  <c r="AK197" i="48"/>
  <c r="BH57" i="48"/>
  <c r="AK195" i="48"/>
  <c r="BH55" i="48"/>
  <c r="AK208" i="48"/>
  <c r="BH68" i="48"/>
  <c r="AK181" i="48"/>
  <c r="BH41" i="48"/>
  <c r="AK179" i="48"/>
  <c r="BH39" i="48"/>
  <c r="AK192" i="48"/>
  <c r="BH52" i="48"/>
  <c r="AK170" i="48"/>
  <c r="BH30" i="48"/>
  <c r="AK201" i="48"/>
  <c r="BH61" i="48"/>
  <c r="AK207" i="48"/>
  <c r="BH67" i="48"/>
  <c r="AK149" i="48"/>
  <c r="BH9" i="48"/>
  <c r="AK226" i="48"/>
  <c r="BH86" i="48"/>
  <c r="AK147" i="48"/>
  <c r="BH7" i="48"/>
  <c r="AK160" i="48"/>
  <c r="BH20" i="48"/>
  <c r="AK210" i="48"/>
  <c r="BH70" i="48"/>
  <c r="AK241" i="48"/>
  <c r="BH101" i="48"/>
  <c r="AK247" i="48"/>
  <c r="BH107" i="48"/>
  <c r="AK144" i="48"/>
  <c r="BH4" i="48"/>
  <c r="AK194" i="48"/>
  <c r="BH54" i="48"/>
  <c r="AK225" i="48"/>
  <c r="BH85" i="48"/>
  <c r="AK231" i="48"/>
  <c r="BH91" i="48"/>
  <c r="AK238" i="48"/>
  <c r="BH98" i="48"/>
  <c r="AK143" i="48"/>
  <c r="BH3" i="48"/>
  <c r="AK219" i="48"/>
  <c r="BH79" i="48"/>
  <c r="AK171" i="48"/>
  <c r="BH31" i="48"/>
  <c r="AK162" i="48"/>
  <c r="BH22" i="48"/>
  <c r="AK193" i="48"/>
  <c r="BH53" i="48"/>
  <c r="AK199" i="48"/>
  <c r="BH59" i="48"/>
  <c r="AK146" i="48"/>
  <c r="BH6" i="48"/>
  <c r="AK177" i="48"/>
  <c r="BH37" i="48"/>
  <c r="AK183" i="48"/>
  <c r="BH43" i="48"/>
  <c r="AK236" i="48"/>
  <c r="BH96" i="48"/>
  <c r="AK161" i="48"/>
  <c r="BH21" i="48"/>
  <c r="AK167" i="48"/>
  <c r="BH27" i="48"/>
  <c r="AK220" i="48"/>
  <c r="BH80" i="48"/>
  <c r="AK246" i="48"/>
  <c r="BH106" i="48"/>
  <c r="AK174" i="48"/>
  <c r="BH34" i="48"/>
  <c r="AK229" i="48"/>
  <c r="BH89" i="48"/>
  <c r="AK227" i="48"/>
  <c r="BH87" i="48"/>
  <c r="AK240" i="48"/>
  <c r="BH100" i="48"/>
  <c r="AK250" i="48"/>
  <c r="BH110" i="48"/>
  <c r="AK188" i="48"/>
  <c r="BH48" i="48"/>
  <c r="AK214" i="48"/>
  <c r="BH74" i="48"/>
  <c r="AK172" i="48"/>
  <c r="BH32" i="48"/>
  <c r="AK198" i="48"/>
  <c r="BH58" i="48"/>
  <c r="AK251" i="48"/>
  <c r="BH111" i="48"/>
  <c r="AK156" i="48"/>
  <c r="BH16" i="48"/>
  <c r="AK182" i="48"/>
  <c r="BH42" i="48"/>
  <c r="AK237" i="48"/>
  <c r="BH97" i="48"/>
  <c r="AK165" i="48"/>
  <c r="BH25" i="48"/>
  <c r="AK163" i="48"/>
  <c r="BH23" i="48"/>
  <c r="AK176" i="48"/>
  <c r="BH36" i="48"/>
  <c r="AI200" i="48"/>
  <c r="BF60" i="48"/>
  <c r="AI237" i="48"/>
  <c r="BF97" i="48"/>
  <c r="AI218" i="48"/>
  <c r="BF78" i="48"/>
  <c r="AI175" i="48"/>
  <c r="BF35" i="48"/>
  <c r="AI163" i="48"/>
  <c r="BF23" i="48"/>
  <c r="AI182" i="48"/>
  <c r="BF42" i="48"/>
  <c r="AI199" i="48"/>
  <c r="BF59" i="48"/>
  <c r="AI247" i="48"/>
  <c r="BF107" i="48"/>
  <c r="AI158" i="48"/>
  <c r="BF18" i="48"/>
  <c r="AI186" i="48"/>
  <c r="BF46" i="48"/>
  <c r="AI189" i="48"/>
  <c r="BF49" i="48"/>
  <c r="AI170" i="48"/>
  <c r="BF30" i="48"/>
  <c r="AI173" i="48"/>
  <c r="BF33" i="48"/>
  <c r="AI243" i="48"/>
  <c r="BF103" i="48"/>
  <c r="AI154" i="48"/>
  <c r="BF14" i="48"/>
  <c r="AI157" i="48"/>
  <c r="BF17" i="48"/>
  <c r="AI244" i="48"/>
  <c r="BF104" i="48"/>
  <c r="AI155" i="48"/>
  <c r="BF15" i="48"/>
  <c r="AI234" i="48"/>
  <c r="BF94" i="48"/>
  <c r="AI148" i="48"/>
  <c r="BF8" i="48"/>
  <c r="AI221" i="48"/>
  <c r="BF81" i="48"/>
  <c r="AI219" i="48"/>
  <c r="BF79" i="48"/>
  <c r="AI208" i="48"/>
  <c r="BF68" i="48"/>
  <c r="AI217" i="48"/>
  <c r="BF77" i="48"/>
  <c r="AI153" i="48"/>
  <c r="BF13" i="48"/>
  <c r="AI193" i="48"/>
  <c r="BF53" i="48"/>
  <c r="AI207" i="48"/>
  <c r="BF67" i="48"/>
  <c r="AI177" i="48"/>
  <c r="BF37" i="48"/>
  <c r="AI232" i="48"/>
  <c r="BF92" i="48"/>
  <c r="AI160" i="48"/>
  <c r="BF20" i="48"/>
  <c r="AI183" i="48"/>
  <c r="BF43" i="48"/>
  <c r="T199" i="48"/>
  <c r="BJ199" i="48" s="1"/>
  <c r="BI199" i="48"/>
  <c r="AI211" i="48"/>
  <c r="BF71" i="48"/>
  <c r="T176" i="48"/>
  <c r="BJ176" i="48" s="1"/>
  <c r="BI176" i="48"/>
  <c r="T189" i="48"/>
  <c r="BJ189" i="48" s="1"/>
  <c r="BI189" i="48"/>
  <c r="AI195" i="48"/>
  <c r="BF55" i="48"/>
  <c r="T160" i="48"/>
  <c r="BJ160" i="48" s="1"/>
  <c r="BI160" i="48"/>
  <c r="T173" i="48"/>
  <c r="BJ173" i="48" s="1"/>
  <c r="BI173" i="48"/>
  <c r="AI179" i="48"/>
  <c r="BF39" i="48"/>
  <c r="T144" i="48"/>
  <c r="BJ144" i="48" s="1"/>
  <c r="BI144" i="48"/>
  <c r="T157" i="48"/>
  <c r="BJ157" i="48" s="1"/>
  <c r="BI157" i="48"/>
  <c r="AI180" i="48"/>
  <c r="BF40" i="48"/>
  <c r="AI250" i="48"/>
  <c r="BF110" i="48"/>
  <c r="AI144" i="48"/>
  <c r="BF4" i="48"/>
  <c r="AI230" i="48"/>
  <c r="BF90" i="48"/>
  <c r="AI227" i="48"/>
  <c r="BF87" i="48"/>
  <c r="AI149" i="48"/>
  <c r="BF9" i="48"/>
  <c r="AI190" i="48"/>
  <c r="BF50" i="48"/>
  <c r="AI241" i="48"/>
  <c r="BF101" i="48"/>
  <c r="AI240" i="48"/>
  <c r="BF100" i="48"/>
  <c r="AI143" i="48"/>
  <c r="BF3" i="48"/>
  <c r="AI168" i="48"/>
  <c r="BF28" i="48"/>
  <c r="AI216" i="48"/>
  <c r="BF76" i="48"/>
  <c r="AI236" i="48"/>
  <c r="BF96" i="48"/>
  <c r="AI147" i="48"/>
  <c r="BF7" i="48"/>
  <c r="AI220" i="48"/>
  <c r="BF80" i="48"/>
  <c r="AI204" i="48"/>
  <c r="BF64" i="48"/>
  <c r="AI205" i="48"/>
  <c r="BF65" i="48"/>
  <c r="AI246" i="48"/>
  <c r="BF106" i="48"/>
  <c r="AI169" i="48"/>
  <c r="BF29" i="48"/>
  <c r="AI152" i="48"/>
  <c r="BF12" i="48"/>
  <c r="AI245" i="48"/>
  <c r="BF105" i="48"/>
  <c r="AI156" i="48"/>
  <c r="BF16" i="48"/>
  <c r="AI226" i="48"/>
  <c r="BF86" i="48"/>
  <c r="AI229" i="48"/>
  <c r="BF89" i="48"/>
  <c r="AI210" i="48"/>
  <c r="BF70" i="48"/>
  <c r="AI150" i="48"/>
  <c r="BF10" i="48"/>
  <c r="AI191" i="48"/>
  <c r="BF51" i="48"/>
  <c r="AI222" i="48"/>
  <c r="BF82" i="48"/>
  <c r="AI166" i="48"/>
  <c r="BF26" i="48"/>
  <c r="AI213" i="48"/>
  <c r="BF73" i="48"/>
  <c r="AI242" i="48"/>
  <c r="BF102" i="48"/>
  <c r="AI145" i="48"/>
  <c r="BF5" i="48"/>
  <c r="AI206" i="48"/>
  <c r="BF66" i="48"/>
  <c r="AI198" i="48"/>
  <c r="BF58" i="48"/>
  <c r="AI248" i="48"/>
  <c r="BF108" i="48"/>
  <c r="AI151" i="48"/>
  <c r="BF11" i="48"/>
  <c r="AI161" i="48"/>
  <c r="BF21" i="48"/>
  <c r="AI197" i="48"/>
  <c r="BF57" i="48"/>
  <c r="AI178" i="48"/>
  <c r="BF38" i="48"/>
  <c r="AI181" i="48"/>
  <c r="BF41" i="48"/>
  <c r="AI251" i="48"/>
  <c r="BF111" i="48"/>
  <c r="AI162" i="48"/>
  <c r="BF22" i="48"/>
  <c r="AI165" i="48"/>
  <c r="BF25" i="48"/>
  <c r="AI235" i="48"/>
  <c r="BF95" i="48"/>
  <c r="AI146" i="48"/>
  <c r="BF6" i="48"/>
  <c r="AI239" i="48"/>
  <c r="BF99" i="48"/>
  <c r="AI192" i="48"/>
  <c r="BF52" i="48"/>
  <c r="AI174" i="48"/>
  <c r="BF34" i="48"/>
  <c r="AI172" i="48"/>
  <c r="BF32" i="48"/>
  <c r="AI231" i="48"/>
  <c r="BF91" i="48"/>
  <c r="AI223" i="48"/>
  <c r="BF83" i="48"/>
  <c r="AI233" i="48"/>
  <c r="BF93" i="48"/>
  <c r="AI184" i="48"/>
  <c r="BF44" i="48"/>
  <c r="AI188" i="48"/>
  <c r="BF48" i="48"/>
  <c r="AI201" i="48"/>
  <c r="BF61" i="48"/>
  <c r="AI209" i="48"/>
  <c r="BF69" i="48"/>
  <c r="AI203" i="48"/>
  <c r="BF63" i="48"/>
  <c r="AI187" i="48"/>
  <c r="BF47" i="48"/>
  <c r="AI142" i="48"/>
  <c r="BF2" i="48"/>
  <c r="AI171" i="48"/>
  <c r="BF31" i="48"/>
  <c r="AI164" i="48"/>
  <c r="BF24" i="48"/>
  <c r="AI202" i="48"/>
  <c r="BF62" i="48"/>
  <c r="AI215" i="48"/>
  <c r="BF75" i="48"/>
  <c r="AI176" i="48"/>
  <c r="BF36" i="48"/>
  <c r="AI185" i="48"/>
  <c r="BF45" i="48"/>
  <c r="AI214" i="48"/>
  <c r="BF74" i="48"/>
  <c r="AI249" i="48"/>
  <c r="BF109" i="48"/>
  <c r="AI167" i="48"/>
  <c r="BF27" i="48"/>
  <c r="AI159" i="48"/>
  <c r="BF19" i="48"/>
  <c r="AI225" i="48"/>
  <c r="BF85" i="48"/>
  <c r="AI224" i="48"/>
  <c r="BF84" i="48"/>
  <c r="AI238" i="48"/>
  <c r="BF98" i="48"/>
  <c r="AI228" i="48"/>
  <c r="BF88" i="48"/>
  <c r="AI212" i="48"/>
  <c r="BF72" i="48"/>
  <c r="AI196" i="48"/>
  <c r="BF56" i="48"/>
  <c r="AI194" i="48"/>
  <c r="BF54" i="48"/>
  <c r="T169" i="48"/>
  <c r="BJ169" i="48" s="1"/>
  <c r="T119" i="48"/>
  <c r="BJ119" i="48" s="1"/>
  <c r="T150" i="48"/>
  <c r="BJ150" i="48" s="1"/>
  <c r="T156" i="48"/>
  <c r="BJ156" i="48" s="1"/>
  <c r="T209" i="48"/>
  <c r="T134" i="48"/>
  <c r="BJ134" i="48" s="1"/>
  <c r="T140" i="48"/>
  <c r="BJ140" i="48" s="1"/>
  <c r="T193" i="48"/>
  <c r="BJ193" i="48" s="1"/>
  <c r="T219" i="48"/>
  <c r="T118" i="48"/>
  <c r="BJ118" i="48" s="1"/>
  <c r="T124" i="48"/>
  <c r="BJ124" i="48" s="1"/>
  <c r="T177" i="48"/>
  <c r="BJ177" i="48" s="1"/>
  <c r="T206" i="48"/>
  <c r="T159" i="48"/>
  <c r="BJ159" i="48" s="1"/>
  <c r="T192" i="48"/>
  <c r="BJ192" i="48" s="1"/>
  <c r="T145" i="48"/>
  <c r="BJ145" i="48" s="1"/>
  <c r="T171" i="48"/>
  <c r="BJ171" i="48" s="1"/>
  <c r="T194" i="48"/>
  <c r="BJ194" i="48" s="1"/>
  <c r="T224" i="48"/>
  <c r="T129" i="48"/>
  <c r="BJ129" i="48" s="1"/>
  <c r="T155" i="48"/>
  <c r="BJ155" i="48" s="1"/>
  <c r="T146" i="48"/>
  <c r="BJ146" i="48" s="1"/>
  <c r="T208" i="48"/>
  <c r="T221" i="48"/>
  <c r="T175" i="48"/>
  <c r="BJ175" i="48" s="1"/>
  <c r="T196" i="48"/>
  <c r="BJ196" i="48" s="1"/>
  <c r="T128" i="48"/>
  <c r="BJ128" i="48" s="1"/>
  <c r="T217" i="48"/>
  <c r="T142" i="48"/>
  <c r="BJ142" i="48" s="1"/>
  <c r="T148" i="48"/>
  <c r="BJ148" i="48" s="1"/>
  <c r="T201" i="48"/>
  <c r="BJ201" i="48" s="1"/>
  <c r="T126" i="48"/>
  <c r="BJ126" i="48" s="1"/>
  <c r="T132" i="48"/>
  <c r="BJ132" i="48" s="1"/>
  <c r="T185" i="48"/>
  <c r="BJ185" i="48" s="1"/>
  <c r="T211" i="48"/>
  <c r="T112" i="48"/>
  <c r="BJ112" i="48" s="1"/>
  <c r="T212" i="48"/>
  <c r="T153" i="48"/>
  <c r="BJ153" i="48" s="1"/>
  <c r="T179" i="48"/>
  <c r="BJ179" i="48" s="1"/>
  <c r="T210" i="48"/>
  <c r="T137" i="48"/>
  <c r="BJ137" i="48" s="1"/>
  <c r="T163" i="48"/>
  <c r="BJ163" i="48" s="1"/>
  <c r="T178" i="48"/>
  <c r="BJ178" i="48" s="1"/>
  <c r="T216" i="48"/>
  <c r="T121" i="48"/>
  <c r="BJ121" i="48" s="1"/>
  <c r="T147" i="48"/>
  <c r="BJ147" i="48" s="1"/>
  <c r="T130" i="48"/>
  <c r="BJ130" i="48" s="1"/>
  <c r="T200" i="48"/>
  <c r="BJ200" i="48" s="1"/>
  <c r="T125" i="48"/>
  <c r="BJ125" i="48" s="1"/>
  <c r="T115" i="48"/>
  <c r="BJ115" i="48" s="1"/>
  <c r="T168" i="48"/>
  <c r="BJ168" i="48" s="1"/>
  <c r="T181" i="48"/>
  <c r="BJ181" i="48" s="1"/>
  <c r="T152" i="48"/>
  <c r="BJ152" i="48" s="1"/>
  <c r="T165" i="48"/>
  <c r="BJ165" i="48" s="1"/>
  <c r="T215" i="48"/>
  <c r="T190" i="48"/>
  <c r="BJ190" i="48" s="1"/>
  <c r="T183" i="48"/>
  <c r="BJ183" i="48" s="1"/>
  <c r="T214" i="48"/>
  <c r="T220" i="48"/>
  <c r="T117" i="48"/>
  <c r="BJ117" i="48" s="1"/>
  <c r="T167" i="48"/>
  <c r="BJ167" i="48" s="1"/>
  <c r="T198" i="48"/>
  <c r="BJ198" i="48" s="1"/>
  <c r="T204" i="48"/>
  <c r="T151" i="48"/>
  <c r="BJ151" i="48" s="1"/>
  <c r="T182" i="48"/>
  <c r="BJ182" i="48" s="1"/>
  <c r="T188" i="48"/>
  <c r="BJ188" i="48" s="1"/>
  <c r="T113" i="48"/>
  <c r="BJ113" i="48" s="1"/>
  <c r="T213" i="48"/>
  <c r="AL180" i="48"/>
  <c r="T40" i="48"/>
  <c r="AL193" i="48"/>
  <c r="T53" i="48"/>
  <c r="AL243" i="48"/>
  <c r="T103" i="48"/>
  <c r="AL164" i="48"/>
  <c r="T24" i="48"/>
  <c r="AL177" i="48"/>
  <c r="T37" i="48"/>
  <c r="AL227" i="48"/>
  <c r="T87" i="48"/>
  <c r="AL148" i="48"/>
  <c r="T8" i="48"/>
  <c r="AL161" i="48"/>
  <c r="T21" i="48"/>
  <c r="T203" i="48"/>
  <c r="T131" i="48"/>
  <c r="BJ131" i="48" s="1"/>
  <c r="AL222" i="48"/>
  <c r="T82" i="48"/>
  <c r="T184" i="48"/>
  <c r="BJ184" i="48" s="1"/>
  <c r="AL170" i="48"/>
  <c r="T30" i="48"/>
  <c r="T197" i="48"/>
  <c r="BJ197" i="48" s="1"/>
  <c r="AL176" i="48"/>
  <c r="T36" i="48"/>
  <c r="AL174" i="48"/>
  <c r="T34" i="48"/>
  <c r="AL150" i="48"/>
  <c r="T10" i="48"/>
  <c r="AL245" i="48"/>
  <c r="T105" i="48"/>
  <c r="AL181" i="48"/>
  <c r="T41" i="48"/>
  <c r="T55" i="48"/>
  <c r="AL195" i="48"/>
  <c r="AL226" i="48"/>
  <c r="T86" i="48"/>
  <c r="AL232" i="48"/>
  <c r="T92" i="48"/>
  <c r="AL179" i="48"/>
  <c r="T39" i="48"/>
  <c r="AL210" i="48"/>
  <c r="T70" i="48"/>
  <c r="AL216" i="48"/>
  <c r="T76" i="48"/>
  <c r="AL163" i="48"/>
  <c r="T23" i="48"/>
  <c r="AL194" i="48"/>
  <c r="T54" i="48"/>
  <c r="AL200" i="48"/>
  <c r="T60" i="48"/>
  <c r="T139" i="48"/>
  <c r="BJ139" i="48" s="1"/>
  <c r="T114" i="48"/>
  <c r="BJ114" i="48" s="1"/>
  <c r="AL207" i="48"/>
  <c r="T67" i="48"/>
  <c r="T120" i="48"/>
  <c r="BJ120" i="48" s="1"/>
  <c r="T133" i="48"/>
  <c r="BJ133" i="48" s="1"/>
  <c r="T218" i="48"/>
  <c r="T186" i="48"/>
  <c r="BJ186" i="48" s="1"/>
  <c r="AL204" i="48"/>
  <c r="T64" i="48"/>
  <c r="AL162" i="48"/>
  <c r="T22" i="48"/>
  <c r="AL168" i="48"/>
  <c r="T28" i="48"/>
  <c r="AL221" i="48"/>
  <c r="T81" i="48"/>
  <c r="AL247" i="48"/>
  <c r="T107" i="48"/>
  <c r="AL158" i="48"/>
  <c r="T18" i="48"/>
  <c r="AL146" i="48"/>
  <c r="T6" i="48"/>
  <c r="AL152" i="48"/>
  <c r="T12" i="48"/>
  <c r="AL205" i="48"/>
  <c r="T65" i="48"/>
  <c r="AL231" i="48"/>
  <c r="T91" i="48"/>
  <c r="AL189" i="48"/>
  <c r="T49" i="48"/>
  <c r="T207" i="48"/>
  <c r="AL215" i="48"/>
  <c r="T75" i="48"/>
  <c r="T135" i="48"/>
  <c r="BJ135" i="48" s="1"/>
  <c r="T166" i="48"/>
  <c r="BJ166" i="48" s="1"/>
  <c r="T172" i="48"/>
  <c r="BJ172" i="48" s="1"/>
  <c r="AL143" i="48"/>
  <c r="T3" i="48"/>
  <c r="T225" i="48"/>
  <c r="AL196" i="48"/>
  <c r="T56" i="48"/>
  <c r="AL209" i="48"/>
  <c r="T69" i="48"/>
  <c r="T154" i="48"/>
  <c r="BJ154" i="48" s="1"/>
  <c r="T122" i="48"/>
  <c r="BJ122" i="48" s="1"/>
  <c r="AL157" i="48"/>
  <c r="T17" i="48"/>
  <c r="AL183" i="48"/>
  <c r="T43" i="48"/>
  <c r="AL236" i="48"/>
  <c r="T96" i="48"/>
  <c r="AL249" i="48"/>
  <c r="T109" i="48"/>
  <c r="AL167" i="48"/>
  <c r="T27" i="48"/>
  <c r="AL220" i="48"/>
  <c r="T80" i="48"/>
  <c r="AL233" i="48"/>
  <c r="T93" i="48"/>
  <c r="T143" i="48"/>
  <c r="BJ143" i="48" s="1"/>
  <c r="T174" i="48"/>
  <c r="BJ174" i="48" s="1"/>
  <c r="T180" i="48"/>
  <c r="BJ180" i="48" s="1"/>
  <c r="AL151" i="48"/>
  <c r="T11" i="48"/>
  <c r="AL211" i="48"/>
  <c r="T71" i="48"/>
  <c r="AL242" i="48"/>
  <c r="T102" i="48"/>
  <c r="AL248" i="48"/>
  <c r="T108" i="48"/>
  <c r="T161" i="48"/>
  <c r="BJ161" i="48" s="1"/>
  <c r="AL145" i="48"/>
  <c r="T5" i="48"/>
  <c r="T187" i="48"/>
  <c r="BJ187" i="48" s="1"/>
  <c r="AL230" i="48"/>
  <c r="T90" i="48"/>
  <c r="AL198" i="48"/>
  <c r="T58" i="48"/>
  <c r="AL188" i="48"/>
  <c r="T48" i="48"/>
  <c r="AL201" i="48"/>
  <c r="T61" i="48"/>
  <c r="AL251" i="48"/>
  <c r="T111" i="48"/>
  <c r="AL172" i="48"/>
  <c r="T32" i="48"/>
  <c r="AL185" i="48"/>
  <c r="T45" i="48"/>
  <c r="AL235" i="48"/>
  <c r="T95" i="48"/>
  <c r="AL156" i="48"/>
  <c r="T16" i="48"/>
  <c r="AL169" i="48"/>
  <c r="T29" i="48"/>
  <c r="AL219" i="48"/>
  <c r="T79" i="48"/>
  <c r="AL250" i="48"/>
  <c r="T110" i="48"/>
  <c r="T116" i="48"/>
  <c r="BJ116" i="48" s="1"/>
  <c r="AL147" i="48"/>
  <c r="T7" i="48"/>
  <c r="T38" i="48"/>
  <c r="AL178" i="48"/>
  <c r="T205" i="48"/>
  <c r="AL184" i="48"/>
  <c r="T44" i="48"/>
  <c r="AL237" i="48"/>
  <c r="T97" i="48"/>
  <c r="T123" i="48"/>
  <c r="BJ123" i="48" s="1"/>
  <c r="AL206" i="48"/>
  <c r="T66" i="48"/>
  <c r="AL166" i="48"/>
  <c r="T26" i="48"/>
  <c r="AL187" i="48"/>
  <c r="T47" i="48"/>
  <c r="AL218" i="48"/>
  <c r="T78" i="48"/>
  <c r="AL224" i="48"/>
  <c r="T84" i="48"/>
  <c r="T31" i="48"/>
  <c r="AL171" i="48"/>
  <c r="AL202" i="48"/>
  <c r="T62" i="48"/>
  <c r="AL208" i="48"/>
  <c r="T68" i="48"/>
  <c r="AL155" i="48"/>
  <c r="T15" i="48"/>
  <c r="AL186" i="48"/>
  <c r="T46" i="48"/>
  <c r="AL192" i="48"/>
  <c r="T52" i="48"/>
  <c r="T141" i="48"/>
  <c r="BJ141" i="48" s="1"/>
  <c r="AL173" i="48"/>
  <c r="T33" i="48"/>
  <c r="T191" i="48"/>
  <c r="BJ191" i="48" s="1"/>
  <c r="T222" i="48"/>
  <c r="AL199" i="48"/>
  <c r="T59" i="48"/>
  <c r="T226" i="48"/>
  <c r="T202" i="48"/>
  <c r="T170" i="48"/>
  <c r="BJ170" i="48" s="1"/>
  <c r="AL229" i="48"/>
  <c r="T89" i="48"/>
  <c r="AL190" i="48"/>
  <c r="T50" i="48"/>
  <c r="T14" i="48"/>
  <c r="AL154" i="48"/>
  <c r="AL160" i="48"/>
  <c r="T20" i="48"/>
  <c r="AL213" i="48"/>
  <c r="T73" i="48"/>
  <c r="AL239" i="48"/>
  <c r="T99" i="48"/>
  <c r="AL142" i="48"/>
  <c r="T2" i="48"/>
  <c r="AL144" i="48"/>
  <c r="T4" i="48"/>
  <c r="AL197" i="48"/>
  <c r="T57" i="48"/>
  <c r="AL223" i="48"/>
  <c r="T83" i="48"/>
  <c r="T136" i="48"/>
  <c r="BJ136" i="48" s="1"/>
  <c r="T149" i="48"/>
  <c r="BJ149" i="48" s="1"/>
  <c r="AL217" i="48"/>
  <c r="T77" i="48"/>
  <c r="T127" i="48"/>
  <c r="BJ127" i="48" s="1"/>
  <c r="T158" i="48"/>
  <c r="BJ158" i="48" s="1"/>
  <c r="T164" i="48"/>
  <c r="BJ164" i="48" s="1"/>
  <c r="T162" i="48"/>
  <c r="BJ162" i="48" s="1"/>
  <c r="T138" i="48"/>
  <c r="BJ138" i="48" s="1"/>
  <c r="AL246" i="48"/>
  <c r="T106" i="48"/>
  <c r="AL165" i="48"/>
  <c r="T25" i="48"/>
  <c r="AL191" i="48"/>
  <c r="T51" i="48"/>
  <c r="AL244" i="48"/>
  <c r="T104" i="48"/>
  <c r="AL149" i="48"/>
  <c r="T9" i="48"/>
  <c r="AL175" i="48"/>
  <c r="T35" i="48"/>
  <c r="AL228" i="48"/>
  <c r="T88" i="48"/>
  <c r="AL241" i="48"/>
  <c r="T101" i="48"/>
  <c r="AL159" i="48"/>
  <c r="T19" i="48"/>
  <c r="AL212" i="48"/>
  <c r="T72" i="48"/>
  <c r="AL225" i="48"/>
  <c r="T85" i="48"/>
  <c r="AL153" i="48"/>
  <c r="T13" i="48"/>
  <c r="T195" i="48"/>
  <c r="BJ195" i="48" s="1"/>
  <c r="AL203" i="48"/>
  <c r="T63" i="48"/>
  <c r="AL234" i="48"/>
  <c r="T94" i="48"/>
  <c r="AL240" i="48"/>
  <c r="T100" i="48"/>
  <c r="AL238" i="48"/>
  <c r="T98" i="48"/>
  <c r="AL214" i="48"/>
  <c r="T74" i="48"/>
  <c r="AL182" i="48"/>
  <c r="T42" i="48"/>
  <c r="AM199" i="47"/>
  <c r="AM234" i="47"/>
  <c r="AM301" i="47"/>
  <c r="AM308" i="47"/>
  <c r="AM177" i="47"/>
  <c r="AM142" i="47"/>
  <c r="AM239" i="47"/>
  <c r="AM304" i="47"/>
  <c r="AM163" i="47"/>
  <c r="AM151" i="47"/>
  <c r="AM215" i="47"/>
  <c r="AM212" i="47"/>
  <c r="AM243" i="47"/>
  <c r="AM131" i="47"/>
  <c r="AM189" i="47"/>
  <c r="AM314" i="47"/>
  <c r="AM246" i="47"/>
  <c r="AM179" i="47"/>
  <c r="AM256" i="47"/>
  <c r="AM258" i="47"/>
  <c r="AM116" i="47"/>
  <c r="AM152" i="47"/>
  <c r="AM168" i="47"/>
  <c r="AM137" i="47"/>
  <c r="AM214" i="47"/>
  <c r="AM283" i="47"/>
  <c r="AM249" i="47"/>
  <c r="AM235" i="47"/>
  <c r="AM139" i="47"/>
  <c r="AM277" i="47"/>
  <c r="AM318" i="47"/>
  <c r="AM165" i="47"/>
  <c r="AM233" i="47"/>
  <c r="AM180" i="47"/>
  <c r="AM124" i="47"/>
  <c r="AM293" i="47"/>
  <c r="AM204" i="47"/>
  <c r="AM261" i="47"/>
  <c r="AM115" i="47"/>
  <c r="AM298" i="47"/>
  <c r="AM317" i="47"/>
  <c r="AM192" i="47"/>
  <c r="AM183" i="47"/>
  <c r="AM216" i="47"/>
  <c r="AM126" i="47"/>
  <c r="AM247" i="47"/>
  <c r="AM223" i="47"/>
  <c r="AM128" i="47"/>
  <c r="AM125" i="47"/>
  <c r="AM160" i="47"/>
  <c r="AM178" i="47"/>
  <c r="AM145" i="47"/>
  <c r="AM136" i="47"/>
  <c r="AM232" i="47"/>
  <c r="AM238" i="47"/>
  <c r="AM287" i="47"/>
  <c r="AM286" i="47"/>
  <c r="AM297" i="47"/>
  <c r="AM315" i="47"/>
  <c r="AM105" i="47"/>
  <c r="AM285" i="47"/>
  <c r="AM149" i="47"/>
  <c r="AM280" i="47"/>
  <c r="AM109" i="47"/>
  <c r="AM169" i="47"/>
  <c r="AM195" i="47"/>
  <c r="AM319" i="47"/>
  <c r="AM296" i="47"/>
  <c r="AM269" i="47"/>
  <c r="AM196" i="47"/>
  <c r="AM224" i="47"/>
  <c r="AM264" i="47"/>
  <c r="AM113" i="47"/>
  <c r="AM255" i="47"/>
  <c r="AM203" i="47"/>
  <c r="AM294" i="47"/>
  <c r="AM272" i="47"/>
  <c r="AM187" i="47"/>
  <c r="AM324" i="47"/>
  <c r="AM292" i="47"/>
  <c r="AM123" i="47"/>
  <c r="AM278" i="47"/>
  <c r="AM322" i="47"/>
  <c r="AM107" i="47"/>
  <c r="AM211" i="47"/>
  <c r="AM150" i="47"/>
  <c r="AM251" i="47"/>
  <c r="AM271" i="47"/>
  <c r="AM176" i="47"/>
  <c r="AM262" i="47"/>
  <c r="AM259" i="47"/>
  <c r="AM226" i="47"/>
  <c r="AM245" i="47"/>
  <c r="AM218" i="47"/>
  <c r="AM327" i="47"/>
  <c r="AM299" i="47"/>
  <c r="AM164" i="47"/>
  <c r="AM118" i="47"/>
  <c r="AM153" i="47"/>
  <c r="AM267" i="47"/>
  <c r="AM182" i="47"/>
  <c r="AM288" i="47"/>
  <c r="AM202" i="47"/>
  <c r="AM237" i="47"/>
  <c r="AM241" i="47"/>
  <c r="AM253" i="47"/>
  <c r="AM170" i="47"/>
  <c r="AM270" i="47"/>
  <c r="AM291" i="47"/>
  <c r="AM312" i="47"/>
  <c r="AM112" i="47"/>
  <c r="AM111" i="47"/>
  <c r="AM135" i="47"/>
  <c r="AM117" i="47"/>
  <c r="AM325" i="47"/>
  <c r="AM320" i="47"/>
  <c r="AM140" i="47"/>
  <c r="AM104" i="47"/>
  <c r="AM309" i="47"/>
  <c r="AM257" i="47"/>
  <c r="AM206" i="47"/>
  <c r="AM274" i="47"/>
  <c r="AM321" i="47"/>
  <c r="AM307" i="47"/>
  <c r="AM157" i="47"/>
  <c r="AM250" i="47"/>
  <c r="AM316" i="47"/>
  <c r="AM263" i="47"/>
  <c r="AM181" i="47"/>
  <c r="AM143" i="47"/>
  <c r="AM213" i="47"/>
  <c r="AM210" i="47"/>
  <c r="AM154" i="47"/>
  <c r="AM197" i="47"/>
  <c r="AM302" i="47"/>
  <c r="AM134" i="47"/>
  <c r="AM198" i="47"/>
  <c r="AM207" i="47"/>
  <c r="AM173" i="47"/>
  <c r="AM222" i="47"/>
  <c r="AM155" i="47"/>
  <c r="AM191" i="47"/>
  <c r="AM127" i="47"/>
  <c r="AM290" i="47"/>
  <c r="AM208" i="47"/>
  <c r="AM129" i="47"/>
  <c r="AM188" i="47"/>
  <c r="AM254" i="47"/>
  <c r="AM130" i="47"/>
  <c r="AM303" i="47"/>
  <c r="AM323" i="47"/>
  <c r="AM289" i="47"/>
  <c r="AM276" i="47"/>
  <c r="AM194" i="47"/>
  <c r="AM220" i="47"/>
  <c r="AM114" i="47"/>
  <c r="AM227" i="47"/>
  <c r="AM184" i="47"/>
  <c r="AM209" i="47"/>
  <c r="AM273" i="47"/>
  <c r="AM300" i="47"/>
  <c r="AM217" i="47"/>
  <c r="AM268" i="47"/>
  <c r="AM326" i="47"/>
  <c r="AM172" i="47"/>
  <c r="AM146" i="47"/>
  <c r="AM225" i="47"/>
  <c r="AM167" i="47"/>
  <c r="AM305" i="47"/>
  <c r="AM229" i="47"/>
  <c r="AM295" i="47"/>
  <c r="AM161" i="47"/>
  <c r="AM108" i="47"/>
  <c r="AM205" i="47"/>
  <c r="AM171" i="47"/>
  <c r="AM306" i="47"/>
  <c r="AM284" i="47"/>
  <c r="AM236" i="47"/>
  <c r="AM147" i="47"/>
  <c r="AM144" i="47"/>
  <c r="AM138" i="47"/>
  <c r="AM228" i="47"/>
  <c r="AM219" i="47"/>
  <c r="AM120" i="47"/>
  <c r="AM230" i="47"/>
  <c r="AM252" i="47"/>
  <c r="AM275" i="47"/>
  <c r="AM200" i="47"/>
  <c r="AM260" i="47"/>
  <c r="AM122" i="47"/>
  <c r="AM148" i="47"/>
  <c r="AM265" i="47"/>
  <c r="AM279" i="47"/>
  <c r="AM110" i="47"/>
  <c r="AM141" i="47"/>
  <c r="AM242" i="47"/>
  <c r="AM248" i="47"/>
  <c r="AM282" i="47"/>
  <c r="AM159" i="47"/>
  <c r="AM201" i="47"/>
  <c r="AM193" i="47"/>
  <c r="AM310" i="47"/>
  <c r="AM190" i="47"/>
  <c r="AM175" i="47"/>
  <c r="AM240" i="47"/>
  <c r="AM186" i="47"/>
  <c r="AM133" i="47"/>
  <c r="AM103" i="47"/>
  <c r="AM311" i="47"/>
  <c r="AM221" i="47"/>
  <c r="AM166" i="47"/>
  <c r="AM132" i="47"/>
  <c r="AM266" i="47"/>
  <c r="AM162" i="47"/>
  <c r="AM121" i="47"/>
  <c r="AM174" i="47"/>
  <c r="AM281" i="47"/>
  <c r="AM185" i="47"/>
  <c r="AM106" i="47"/>
  <c r="AM119" i="47"/>
  <c r="AM231" i="47"/>
  <c r="AM156" i="47"/>
  <c r="AM244" i="47"/>
  <c r="AM313" i="47"/>
  <c r="AM158" i="47"/>
  <c r="BM4" i="48" l="1"/>
  <c r="BM6" i="48" s="1"/>
  <c r="AX13" i="48"/>
  <c r="AX78" i="48"/>
  <c r="AX172" i="48"/>
  <c r="AX271" i="48"/>
  <c r="AX264" i="48"/>
  <c r="AX274" i="48"/>
  <c r="AX228" i="48"/>
  <c r="AX171" i="48"/>
  <c r="AX76" i="48"/>
  <c r="AX251" i="48"/>
  <c r="AX233" i="48"/>
  <c r="AX11" i="48"/>
  <c r="AX234" i="48"/>
  <c r="AX213" i="48"/>
  <c r="AX229" i="48"/>
  <c r="AX143" i="48"/>
  <c r="AX114" i="48"/>
  <c r="AX112" i="48"/>
  <c r="AX75" i="48"/>
  <c r="AX64" i="48"/>
  <c r="AX5" i="48"/>
  <c r="AX94" i="48"/>
  <c r="AX39" i="48"/>
  <c r="AX164" i="48"/>
  <c r="AX103" i="48"/>
  <c r="AX152" i="48"/>
  <c r="AX89" i="48"/>
  <c r="AX237" i="48"/>
  <c r="AX157" i="48"/>
  <c r="AX125" i="48"/>
  <c r="AX225" i="48"/>
  <c r="AX93" i="48"/>
  <c r="AX150" i="48"/>
  <c r="AX226" i="48"/>
  <c r="AX221" i="48"/>
  <c r="AX266" i="48"/>
  <c r="AX187" i="48"/>
  <c r="AX67" i="48"/>
  <c r="AX279" i="48"/>
  <c r="AX131" i="48"/>
  <c r="AX224" i="48"/>
  <c r="AX202" i="48"/>
  <c r="AX188" i="48"/>
  <c r="AX83" i="48"/>
  <c r="AX85" i="48"/>
  <c r="AX92" i="48"/>
  <c r="AX81" i="48"/>
  <c r="AX262" i="48"/>
  <c r="AX88" i="48"/>
  <c r="AX230" i="48"/>
  <c r="AX79" i="48"/>
  <c r="AX129" i="48"/>
  <c r="AX136" i="48"/>
  <c r="AX191" i="48"/>
  <c r="AX141" i="48"/>
  <c r="AX198" i="48"/>
  <c r="AX142" i="48"/>
  <c r="AX148" i="48"/>
  <c r="AX160" i="48"/>
  <c r="AX168" i="48"/>
  <c r="AX170" i="48"/>
  <c r="AX175" i="48"/>
  <c r="AX108" i="48"/>
  <c r="AX215" i="48"/>
  <c r="AX102" i="48"/>
  <c r="AX117" i="48"/>
  <c r="AX209" i="48"/>
  <c r="AX208" i="48"/>
  <c r="AX110" i="48"/>
  <c r="AX207" i="48"/>
  <c r="AX105" i="48"/>
  <c r="AX249" i="48"/>
  <c r="AX244" i="48"/>
  <c r="AX256" i="48"/>
  <c r="AX252" i="48"/>
  <c r="AX218" i="48"/>
  <c r="AX130" i="48"/>
  <c r="AX242" i="48"/>
  <c r="AX179" i="48"/>
  <c r="AX195" i="48"/>
  <c r="AX182" i="48"/>
  <c r="AX201" i="48"/>
  <c r="AX99" i="48"/>
  <c r="AX44" i="48"/>
  <c r="AX98" i="48"/>
  <c r="AX146" i="48"/>
  <c r="AX166" i="48"/>
  <c r="AX246" i="48"/>
  <c r="AX120" i="48"/>
  <c r="AX124" i="48"/>
  <c r="AX90" i="48"/>
  <c r="AX267" i="48"/>
  <c r="AX189" i="48"/>
  <c r="AX138" i="48"/>
  <c r="AX54" i="48"/>
  <c r="AX14" i="48"/>
  <c r="AX239" i="48"/>
  <c r="AX245" i="48"/>
  <c r="AX77" i="48"/>
  <c r="AX248" i="48"/>
  <c r="AX19" i="48"/>
  <c r="AX101" i="48"/>
  <c r="AX31" i="48"/>
  <c r="AX199" i="48"/>
  <c r="AX21" i="48"/>
  <c r="AX33" i="48"/>
  <c r="AX121" i="48"/>
  <c r="AX236" i="48"/>
  <c r="AX276" i="48"/>
  <c r="AX116" i="48"/>
  <c r="AX115" i="48"/>
  <c r="AX18" i="48"/>
  <c r="AX71" i="48"/>
  <c r="AX24" i="48"/>
  <c r="AX9" i="48"/>
  <c r="AX17" i="48"/>
  <c r="AX68" i="48"/>
  <c r="AX46" i="48"/>
  <c r="AX257" i="48"/>
  <c r="AX145" i="48"/>
  <c r="AX185" i="48"/>
  <c r="AX250" i="48"/>
  <c r="AX159" i="48"/>
  <c r="AX60" i="48"/>
  <c r="AX253" i="48"/>
  <c r="AX97" i="48"/>
  <c r="AX52" i="48"/>
  <c r="AX3" i="48"/>
  <c r="AX107" i="48"/>
  <c r="AX158" i="48"/>
  <c r="AX223" i="48"/>
  <c r="AX155" i="48"/>
  <c r="AX118" i="48"/>
  <c r="AX165" i="48"/>
  <c r="AX34" i="48"/>
  <c r="AX153" i="48"/>
  <c r="AX261" i="48"/>
  <c r="AX50" i="48"/>
  <c r="AX238" i="48"/>
  <c r="AX254" i="48"/>
  <c r="AX169" i="48"/>
  <c r="AX86" i="48"/>
  <c r="AX122" i="48"/>
  <c r="AX205" i="48"/>
  <c r="AX6" i="48"/>
  <c r="AX277" i="48"/>
  <c r="AX84" i="48"/>
  <c r="AX22" i="48"/>
  <c r="AX258" i="48"/>
  <c r="AX144" i="48"/>
  <c r="AX263" i="48"/>
  <c r="AX154" i="48"/>
  <c r="AX36" i="48"/>
  <c r="AX192" i="48"/>
  <c r="AX177" i="48"/>
  <c r="AX203" i="48"/>
  <c r="AX72" i="48"/>
  <c r="AX91" i="48"/>
  <c r="AX163" i="48"/>
  <c r="AX15" i="48"/>
  <c r="AX151" i="48"/>
  <c r="AX40" i="48"/>
  <c r="AX134" i="48"/>
  <c r="AX135" i="48"/>
  <c r="AX57" i="48"/>
  <c r="AX174" i="48"/>
  <c r="AX173" i="48"/>
  <c r="AX183" i="48"/>
  <c r="AX45" i="48"/>
  <c r="AX268" i="48"/>
  <c r="AX210" i="48"/>
  <c r="AX265" i="48"/>
  <c r="AX128" i="48"/>
  <c r="AX30" i="48"/>
  <c r="AX217" i="48"/>
  <c r="AX280" i="48"/>
  <c r="AX70" i="48"/>
  <c r="AX63" i="48"/>
  <c r="AX227" i="48"/>
  <c r="AX211" i="48"/>
  <c r="AX176" i="48"/>
  <c r="AX133" i="48"/>
  <c r="AX23" i="48"/>
  <c r="AX278" i="48"/>
  <c r="AX139" i="48"/>
  <c r="AX247" i="48"/>
  <c r="AX51" i="48"/>
  <c r="AX42" i="48"/>
  <c r="AX204" i="48"/>
  <c r="AX281" i="48"/>
  <c r="AX49" i="48"/>
  <c r="AX55" i="48"/>
  <c r="AX162" i="48"/>
  <c r="AX74" i="48"/>
  <c r="AX273" i="48"/>
  <c r="AX214" i="48"/>
  <c r="AX240" i="48"/>
  <c r="AX186" i="48"/>
  <c r="AX194" i="48"/>
  <c r="AX156" i="48"/>
  <c r="AX25" i="48"/>
  <c r="AX69" i="48"/>
  <c r="AX127" i="48"/>
  <c r="AX32" i="48"/>
  <c r="AX132" i="48"/>
  <c r="AX241" i="48"/>
  <c r="AX232" i="48"/>
  <c r="AX123" i="48"/>
  <c r="AX59" i="48"/>
  <c r="AX73" i="48"/>
  <c r="AX243" i="48"/>
  <c r="AX95" i="48"/>
  <c r="AX61" i="48"/>
  <c r="AX2" i="48"/>
  <c r="AX62" i="48"/>
  <c r="AX200" i="48"/>
  <c r="AX196" i="48"/>
  <c r="AX193" i="48"/>
  <c r="AX235" i="48"/>
  <c r="AX222" i="48"/>
  <c r="AX260" i="48"/>
  <c r="AX43" i="48"/>
  <c r="AX137" i="48"/>
  <c r="AX53" i="48"/>
  <c r="AX41" i="48"/>
  <c r="AX47" i="48"/>
  <c r="AX275" i="48"/>
  <c r="AX184" i="48"/>
  <c r="AX16" i="48"/>
  <c r="AX35" i="48"/>
  <c r="AX255" i="48"/>
  <c r="AX270" i="48"/>
  <c r="AX4" i="48"/>
  <c r="AX197" i="48"/>
  <c r="AX80" i="48"/>
  <c r="AX113" i="48"/>
  <c r="AX180" i="48"/>
  <c r="AX96" i="48"/>
  <c r="AX100" i="48"/>
  <c r="AX8" i="48"/>
  <c r="AX10" i="48"/>
  <c r="AX27" i="48"/>
  <c r="AX126" i="48"/>
  <c r="AX149" i="48"/>
  <c r="AX178" i="48"/>
  <c r="AX20" i="48"/>
  <c r="AX87" i="48"/>
  <c r="AX140" i="48"/>
  <c r="AX104" i="48"/>
  <c r="AX147" i="48"/>
  <c r="AX26" i="48"/>
  <c r="AX48" i="48"/>
  <c r="AX181" i="48"/>
  <c r="AX161" i="48"/>
  <c r="AX12" i="48"/>
  <c r="AX272" i="48"/>
  <c r="AX231" i="48"/>
  <c r="AX7" i="48"/>
  <c r="AX38" i="48"/>
  <c r="AX37" i="48"/>
  <c r="AX269" i="48"/>
  <c r="AX56" i="48"/>
  <c r="AX66" i="48"/>
  <c r="AX82" i="48"/>
  <c r="AX220" i="48"/>
  <c r="AX58" i="48"/>
  <c r="AX190" i="48"/>
  <c r="AX259" i="48"/>
  <c r="AX65" i="48"/>
  <c r="AX219" i="48"/>
  <c r="AX111" i="48"/>
  <c r="AX109" i="48"/>
  <c r="AX212" i="48"/>
  <c r="AX216" i="48"/>
  <c r="AX206" i="48"/>
  <c r="AX28" i="48"/>
  <c r="AX29" i="48"/>
  <c r="AX106" i="48"/>
  <c r="AX167" i="48"/>
  <c r="AX119" i="48"/>
  <c r="AM212" i="48"/>
  <c r="BJ72" i="48"/>
  <c r="AM172" i="48"/>
  <c r="BJ32" i="48"/>
  <c r="AM189" i="48"/>
  <c r="BJ49" i="48"/>
  <c r="AM179" i="48"/>
  <c r="BJ39" i="48"/>
  <c r="AM177" i="48"/>
  <c r="BJ37" i="48"/>
  <c r="AM214" i="48"/>
  <c r="BJ74" i="48"/>
  <c r="AM203" i="48"/>
  <c r="BJ63" i="48"/>
  <c r="AM217" i="48"/>
  <c r="BJ77" i="48"/>
  <c r="AM144" i="48"/>
  <c r="BJ4" i="48"/>
  <c r="AM160" i="48"/>
  <c r="BJ20" i="48"/>
  <c r="AM208" i="48"/>
  <c r="BJ68" i="48"/>
  <c r="AM218" i="48"/>
  <c r="BJ78" i="48"/>
  <c r="AM147" i="48"/>
  <c r="BJ7" i="48"/>
  <c r="AM249" i="48"/>
  <c r="BJ109" i="48"/>
  <c r="AM173" i="48"/>
  <c r="BJ33" i="48"/>
  <c r="AM169" i="48"/>
  <c r="BJ29" i="48"/>
  <c r="AM194" i="48"/>
  <c r="BJ54" i="48"/>
  <c r="AM176" i="48"/>
  <c r="BJ36" i="48"/>
  <c r="AM149" i="48"/>
  <c r="BJ9" i="48"/>
  <c r="AM237" i="48"/>
  <c r="BJ97" i="48"/>
  <c r="AM156" i="48"/>
  <c r="BJ16" i="48"/>
  <c r="AM251" i="48"/>
  <c r="BJ111" i="48"/>
  <c r="AM230" i="48"/>
  <c r="BJ90" i="48"/>
  <c r="AM242" i="48"/>
  <c r="BJ102" i="48"/>
  <c r="AM231" i="48"/>
  <c r="BJ91" i="48"/>
  <c r="AM158" i="48"/>
  <c r="BJ18" i="48"/>
  <c r="AM162" i="48"/>
  <c r="BJ22" i="48"/>
  <c r="AM207" i="48"/>
  <c r="BJ67" i="48"/>
  <c r="AM163" i="48"/>
  <c r="BJ23" i="48"/>
  <c r="AM232" i="48"/>
  <c r="BJ92" i="48"/>
  <c r="AM245" i="48"/>
  <c r="BJ105" i="48"/>
  <c r="AM161" i="48"/>
  <c r="BJ21" i="48"/>
  <c r="AM164" i="48"/>
  <c r="BJ24" i="48"/>
  <c r="AM165" i="48"/>
  <c r="BJ25" i="48"/>
  <c r="AM178" i="48"/>
  <c r="BJ38" i="48"/>
  <c r="AM143" i="48"/>
  <c r="BJ3" i="48"/>
  <c r="AM159" i="48"/>
  <c r="BJ19" i="48"/>
  <c r="AM246" i="48"/>
  <c r="BJ106" i="48"/>
  <c r="AM238" i="48"/>
  <c r="BJ98" i="48"/>
  <c r="AM142" i="48"/>
  <c r="BJ2" i="48"/>
  <c r="AM192" i="48"/>
  <c r="BJ52" i="48"/>
  <c r="AM202" i="48"/>
  <c r="BJ62" i="48"/>
  <c r="AM187" i="48"/>
  <c r="BJ47" i="48"/>
  <c r="AM233" i="48"/>
  <c r="BJ93" i="48"/>
  <c r="AM236" i="48"/>
  <c r="BJ96" i="48"/>
  <c r="AM209" i="48"/>
  <c r="BJ69" i="48"/>
  <c r="AM170" i="48"/>
  <c r="BJ30" i="48"/>
  <c r="AM184" i="48"/>
  <c r="BJ44" i="48"/>
  <c r="AM211" i="48"/>
  <c r="BJ71" i="48"/>
  <c r="AM216" i="48"/>
  <c r="BJ76" i="48"/>
  <c r="AM148" i="48"/>
  <c r="BJ8" i="48"/>
  <c r="AM198" i="48"/>
  <c r="BJ58" i="48"/>
  <c r="AM146" i="48"/>
  <c r="BJ6" i="48"/>
  <c r="AM250" i="48"/>
  <c r="BJ110" i="48"/>
  <c r="AM201" i="48"/>
  <c r="BJ61" i="48"/>
  <c r="AM205" i="48"/>
  <c r="BJ65" i="48"/>
  <c r="AM204" i="48"/>
  <c r="BJ64" i="48"/>
  <c r="AM223" i="48"/>
  <c r="BJ83" i="48"/>
  <c r="AM239" i="48"/>
  <c r="BJ99" i="48"/>
  <c r="AM190" i="48"/>
  <c r="BJ50" i="48"/>
  <c r="AM186" i="48"/>
  <c r="BJ46" i="48"/>
  <c r="AM166" i="48"/>
  <c r="BJ26" i="48"/>
  <c r="AM145" i="48"/>
  <c r="BJ5" i="48"/>
  <c r="AM220" i="48"/>
  <c r="BJ80" i="48"/>
  <c r="AM183" i="48"/>
  <c r="BJ43" i="48"/>
  <c r="AM196" i="48"/>
  <c r="BJ56" i="48"/>
  <c r="AM215" i="48"/>
  <c r="BJ75" i="48"/>
  <c r="AM248" i="48"/>
  <c r="BJ108" i="48"/>
  <c r="AM168" i="48"/>
  <c r="BJ28" i="48"/>
  <c r="AM181" i="48"/>
  <c r="BJ41" i="48"/>
  <c r="AM180" i="48"/>
  <c r="BJ40" i="48"/>
  <c r="AM153" i="48"/>
  <c r="BJ13" i="48"/>
  <c r="AM244" i="48"/>
  <c r="BJ104" i="48"/>
  <c r="AM199" i="48"/>
  <c r="BJ59" i="48"/>
  <c r="AM150" i="48"/>
  <c r="BJ10" i="48"/>
  <c r="AM240" i="48"/>
  <c r="BJ100" i="48"/>
  <c r="AM225" i="48"/>
  <c r="BJ85" i="48"/>
  <c r="AM191" i="48"/>
  <c r="BJ51" i="48"/>
  <c r="AM171" i="48"/>
  <c r="BJ31" i="48"/>
  <c r="AM219" i="48"/>
  <c r="BJ79" i="48"/>
  <c r="AM185" i="48"/>
  <c r="BJ45" i="48"/>
  <c r="AM188" i="48"/>
  <c r="BJ48" i="48"/>
  <c r="AM151" i="48"/>
  <c r="BJ11" i="48"/>
  <c r="AM152" i="48"/>
  <c r="BJ12" i="48"/>
  <c r="AM221" i="48"/>
  <c r="BJ81" i="48"/>
  <c r="AM200" i="48"/>
  <c r="BJ60" i="48"/>
  <c r="AM210" i="48"/>
  <c r="BJ70" i="48"/>
  <c r="AM174" i="48"/>
  <c r="BJ34" i="48"/>
  <c r="AM222" i="48"/>
  <c r="BJ82" i="48"/>
  <c r="AM227" i="48"/>
  <c r="BJ87" i="48"/>
  <c r="AM193" i="48"/>
  <c r="BJ53" i="48"/>
  <c r="AM175" i="48"/>
  <c r="BJ35" i="48"/>
  <c r="AM241" i="48"/>
  <c r="BJ101" i="48"/>
  <c r="AM154" i="48"/>
  <c r="BJ14" i="48"/>
  <c r="AM235" i="48"/>
  <c r="BJ95" i="48"/>
  <c r="AM247" i="48"/>
  <c r="BJ107" i="48"/>
  <c r="AM226" i="48"/>
  <c r="BJ86" i="48"/>
  <c r="AM243" i="48"/>
  <c r="BJ103" i="48"/>
  <c r="AM228" i="48"/>
  <c r="BJ88" i="48"/>
  <c r="AM182" i="48"/>
  <c r="BJ42" i="48"/>
  <c r="AM234" i="48"/>
  <c r="BJ94" i="48"/>
  <c r="AM197" i="48"/>
  <c r="BJ57" i="48"/>
  <c r="AM213" i="48"/>
  <c r="BJ73" i="48"/>
  <c r="AM229" i="48"/>
  <c r="BJ89" i="48"/>
  <c r="AM155" i="48"/>
  <c r="BJ15" i="48"/>
  <c r="AM224" i="48"/>
  <c r="BJ84" i="48"/>
  <c r="AM206" i="48"/>
  <c r="BJ66" i="48"/>
  <c r="AM167" i="48"/>
  <c r="BJ27" i="48"/>
  <c r="AM157" i="48"/>
  <c r="BJ17" i="48"/>
  <c r="AM195" i="48"/>
  <c r="BJ55" i="48"/>
  <c r="AZ12" i="54" l="1"/>
  <c r="AZ12" i="55" s="1"/>
  <c r="AZ76" i="54"/>
  <c r="AZ76" i="55" s="1"/>
  <c r="AO36" i="54"/>
  <c r="AO36" i="55" s="1"/>
  <c r="AO100" i="54"/>
  <c r="AO100" i="55" s="1"/>
  <c r="AO164" i="54"/>
  <c r="AO164" i="55" s="1"/>
  <c r="AB8" i="54"/>
  <c r="AB8" i="55" s="1"/>
  <c r="AB72" i="54"/>
  <c r="AB72" i="55" s="1"/>
  <c r="AB136" i="54"/>
  <c r="AB136" i="55" s="1"/>
  <c r="N30" i="54"/>
  <c r="N30" i="55" s="1"/>
  <c r="AZ13" i="54"/>
  <c r="AZ13" i="55" s="1"/>
  <c r="AZ77" i="54"/>
  <c r="AZ77" i="55" s="1"/>
  <c r="AO37" i="54"/>
  <c r="AO37" i="55" s="1"/>
  <c r="AO101" i="54"/>
  <c r="AO101" i="55" s="1"/>
  <c r="AO165" i="54"/>
  <c r="AO165" i="55" s="1"/>
  <c r="AB9" i="54"/>
  <c r="AB9" i="55" s="1"/>
  <c r="AB73" i="54"/>
  <c r="AB73" i="55" s="1"/>
  <c r="AB137" i="54"/>
  <c r="AB137" i="55" s="1"/>
  <c r="N31" i="54"/>
  <c r="N31" i="55" s="1"/>
  <c r="AZ7" i="54"/>
  <c r="AZ7" i="55" s="1"/>
  <c r="AZ71" i="54"/>
  <c r="AZ71" i="55" s="1"/>
  <c r="AZ40" i="54"/>
  <c r="AZ40" i="55" s="1"/>
  <c r="AZ9" i="54"/>
  <c r="AZ9" i="55" s="1"/>
  <c r="AZ73" i="54"/>
  <c r="AZ73" i="55" s="1"/>
  <c r="AO41" i="54"/>
  <c r="AO41" i="55" s="1"/>
  <c r="AO105" i="54"/>
  <c r="AO105" i="55" s="1"/>
  <c r="AO169" i="54"/>
  <c r="AO169" i="55" s="1"/>
  <c r="AB13" i="54"/>
  <c r="AB13" i="55" s="1"/>
  <c r="AO34" i="54"/>
  <c r="AO34" i="55" s="1"/>
  <c r="AO136" i="54"/>
  <c r="AO136" i="55" s="1"/>
  <c r="AB19" i="54"/>
  <c r="AB19" i="55" s="1"/>
  <c r="AB103" i="54"/>
  <c r="AB103" i="55" s="1"/>
  <c r="N19" i="54"/>
  <c r="N19" i="55" s="1"/>
  <c r="AZ54" i="54"/>
  <c r="AZ54" i="55" s="1"/>
  <c r="AO74" i="54"/>
  <c r="AO74" i="55" s="1"/>
  <c r="AO176" i="54"/>
  <c r="AO176" i="55" s="1"/>
  <c r="AB52" i="54"/>
  <c r="AB52" i="55" s="1"/>
  <c r="AB138" i="54"/>
  <c r="AB138" i="55" s="1"/>
  <c r="N52" i="54"/>
  <c r="N52" i="55" s="1"/>
  <c r="AO11" i="54"/>
  <c r="AO11" i="55" s="1"/>
  <c r="AO114" i="54"/>
  <c r="AO114" i="55" s="1"/>
  <c r="AO216" i="54"/>
  <c r="AO216" i="55" s="1"/>
  <c r="AB85" i="54"/>
  <c r="AB85" i="55" s="1"/>
  <c r="AB171" i="54"/>
  <c r="AB171" i="55" s="1"/>
  <c r="AZ18" i="54"/>
  <c r="AZ18" i="55" s="1"/>
  <c r="AO64" i="54"/>
  <c r="AO64" i="55" s="1"/>
  <c r="AO167" i="54"/>
  <c r="AO167" i="55" s="1"/>
  <c r="AB44" i="54"/>
  <c r="AB44" i="55" s="1"/>
  <c r="AB130" i="54"/>
  <c r="AB130" i="55" s="1"/>
  <c r="N44" i="54"/>
  <c r="N44" i="55" s="1"/>
  <c r="AO2" i="54"/>
  <c r="AO2" i="55" s="1"/>
  <c r="AO104" i="54"/>
  <c r="AO104" i="55" s="1"/>
  <c r="AO207" i="54"/>
  <c r="AO207" i="55" s="1"/>
  <c r="AB77" i="54"/>
  <c r="AB77" i="55" s="1"/>
  <c r="AB163" i="54"/>
  <c r="AB163" i="55" s="1"/>
  <c r="N77" i="54"/>
  <c r="N77" i="55" s="1"/>
  <c r="AO198" i="54"/>
  <c r="AO198" i="55" s="1"/>
  <c r="N40" i="54"/>
  <c r="N40" i="55" s="1"/>
  <c r="AO170" i="54"/>
  <c r="AO170" i="55" s="1"/>
  <c r="N17" i="54"/>
  <c r="N17" i="55" s="1"/>
  <c r="AA39" i="44"/>
  <c r="T4" i="44"/>
  <c r="T68" i="44"/>
  <c r="AZ22" i="54"/>
  <c r="AZ22" i="55" s="1"/>
  <c r="AB82" i="54"/>
  <c r="AB82" i="55" s="1"/>
  <c r="AA35" i="44"/>
  <c r="T9" i="44"/>
  <c r="T82" i="44"/>
  <c r="T152" i="44"/>
  <c r="T216" i="44"/>
  <c r="AO184" i="54"/>
  <c r="AO184" i="55" s="1"/>
  <c r="T2" i="44"/>
  <c r="AA73" i="44"/>
  <c r="T47" i="44"/>
  <c r="T120" i="44"/>
  <c r="T185" i="44"/>
  <c r="AO55" i="54"/>
  <c r="AO55" i="55" s="1"/>
  <c r="AB166" i="54"/>
  <c r="AB166" i="55" s="1"/>
  <c r="AA46" i="44"/>
  <c r="T21" i="44"/>
  <c r="T94" i="44"/>
  <c r="T162" i="44"/>
  <c r="M7" i="44"/>
  <c r="AB59" i="54"/>
  <c r="AB59" i="55" s="1"/>
  <c r="AA29" i="44"/>
  <c r="T3" i="44"/>
  <c r="AZ20" i="54"/>
  <c r="AZ20" i="55" s="1"/>
  <c r="AZ84" i="54"/>
  <c r="AZ84" i="55" s="1"/>
  <c r="AO44" i="54"/>
  <c r="AO44" i="55" s="1"/>
  <c r="AO108" i="54"/>
  <c r="AO108" i="55" s="1"/>
  <c r="AO172" i="54"/>
  <c r="AO172" i="55" s="1"/>
  <c r="AB16" i="54"/>
  <c r="AB16" i="55" s="1"/>
  <c r="AB80" i="54"/>
  <c r="AB80" i="55" s="1"/>
  <c r="AB144" i="54"/>
  <c r="AB144" i="55" s="1"/>
  <c r="N38" i="54"/>
  <c r="N38" i="55" s="1"/>
  <c r="AZ21" i="54"/>
  <c r="AZ21" i="55" s="1"/>
  <c r="AZ85" i="54"/>
  <c r="AZ85" i="55" s="1"/>
  <c r="AO45" i="54"/>
  <c r="AO45" i="55" s="1"/>
  <c r="AO109" i="54"/>
  <c r="AO109" i="55" s="1"/>
  <c r="AO173" i="54"/>
  <c r="AO173" i="55" s="1"/>
  <c r="AB17" i="54"/>
  <c r="AB17" i="55" s="1"/>
  <c r="AB81" i="54"/>
  <c r="AB81" i="55" s="1"/>
  <c r="AB145" i="54"/>
  <c r="AB145" i="55" s="1"/>
  <c r="N39" i="54"/>
  <c r="N39" i="55" s="1"/>
  <c r="AZ15" i="54"/>
  <c r="AZ15" i="55" s="1"/>
  <c r="AZ79" i="54"/>
  <c r="AZ79" i="55" s="1"/>
  <c r="AZ48" i="54"/>
  <c r="AZ48" i="55" s="1"/>
  <c r="AZ17" i="54"/>
  <c r="AZ17" i="55" s="1"/>
  <c r="AZ81" i="54"/>
  <c r="AZ81" i="55" s="1"/>
  <c r="AO49" i="54"/>
  <c r="AO49" i="55" s="1"/>
  <c r="AO113" i="54"/>
  <c r="AO113" i="55" s="1"/>
  <c r="AO177" i="54"/>
  <c r="AO177" i="55" s="1"/>
  <c r="AZ10" i="54"/>
  <c r="AZ10" i="55" s="1"/>
  <c r="AO47" i="54"/>
  <c r="AO47" i="55" s="1"/>
  <c r="AO150" i="54"/>
  <c r="AO150" i="55" s="1"/>
  <c r="AB29" i="54"/>
  <c r="AB29" i="55" s="1"/>
  <c r="AB115" i="54"/>
  <c r="AB115" i="55" s="1"/>
  <c r="N29" i="54"/>
  <c r="N29" i="55" s="1"/>
  <c r="AZ75" i="54"/>
  <c r="AZ75" i="55" s="1"/>
  <c r="AO87" i="54"/>
  <c r="AO87" i="55" s="1"/>
  <c r="AO190" i="54"/>
  <c r="AO190" i="55" s="1"/>
  <c r="AB62" i="54"/>
  <c r="AB62" i="55" s="1"/>
  <c r="AB148" i="54"/>
  <c r="AB148" i="55" s="1"/>
  <c r="N64" i="54"/>
  <c r="N64" i="55" s="1"/>
  <c r="AO24" i="54"/>
  <c r="AO24" i="55" s="1"/>
  <c r="AO127" i="54"/>
  <c r="AO127" i="55" s="1"/>
  <c r="AB10" i="54"/>
  <c r="AB10" i="55" s="1"/>
  <c r="AB95" i="54"/>
  <c r="AB95" i="55" s="1"/>
  <c r="N11" i="54"/>
  <c r="N11" i="55" s="1"/>
  <c r="AZ38" i="54"/>
  <c r="AZ38" i="55" s="1"/>
  <c r="AO78" i="54"/>
  <c r="AO78" i="55" s="1"/>
  <c r="AO179" i="54"/>
  <c r="AO179" i="55" s="1"/>
  <c r="AB54" i="54"/>
  <c r="AB54" i="55" s="1"/>
  <c r="AB140" i="54"/>
  <c r="AB140" i="55" s="1"/>
  <c r="N56" i="54"/>
  <c r="N56" i="55" s="1"/>
  <c r="AO15" i="54"/>
  <c r="AO15" i="55" s="1"/>
  <c r="AO118" i="54"/>
  <c r="AO118" i="55" s="1"/>
  <c r="AO219" i="54"/>
  <c r="AO219" i="55" s="1"/>
  <c r="AB87" i="54"/>
  <c r="AB87" i="55" s="1"/>
  <c r="N3" i="54"/>
  <c r="N3" i="55" s="1"/>
  <c r="AZ27" i="54"/>
  <c r="AZ27" i="55" s="1"/>
  <c r="AB14" i="54"/>
  <c r="AB14" i="55" s="1"/>
  <c r="N69" i="54"/>
  <c r="N69" i="55" s="1"/>
  <c r="AO199" i="54"/>
  <c r="AO199" i="55" s="1"/>
  <c r="N48" i="54"/>
  <c r="N48" i="55" s="1"/>
  <c r="AA47" i="44"/>
  <c r="T12" i="44"/>
  <c r="T76" i="44"/>
  <c r="AO3" i="54"/>
  <c r="AO3" i="55" s="1"/>
  <c r="AB122" i="54"/>
  <c r="AB122" i="55" s="1"/>
  <c r="AA44" i="44"/>
  <c r="T18" i="44"/>
  <c r="T91" i="44"/>
  <c r="T160" i="44"/>
  <c r="M5" i="44"/>
  <c r="AB4" i="54"/>
  <c r="AB4" i="55" s="1"/>
  <c r="AA9" i="44"/>
  <c r="AA82" i="44"/>
  <c r="T56" i="44"/>
  <c r="T129" i="44"/>
  <c r="T193" i="44"/>
  <c r="AO106" i="54"/>
  <c r="AO106" i="55" s="1"/>
  <c r="N36" i="54"/>
  <c r="N36" i="55" s="1"/>
  <c r="AA56" i="44"/>
  <c r="T30" i="44"/>
  <c r="T103" i="44"/>
  <c r="T170" i="44"/>
  <c r="AZ50" i="54"/>
  <c r="AZ50" i="55" s="1"/>
  <c r="AB92" i="54"/>
  <c r="AB92" i="55" s="1"/>
  <c r="AA38" i="44"/>
  <c r="T13" i="44"/>
  <c r="AZ28" i="54"/>
  <c r="AZ28" i="55" s="1"/>
  <c r="AZ92" i="54"/>
  <c r="AZ92" i="55" s="1"/>
  <c r="AO52" i="54"/>
  <c r="AO52" i="55" s="1"/>
  <c r="AO116" i="54"/>
  <c r="AO116" i="55" s="1"/>
  <c r="AO180" i="54"/>
  <c r="AO180" i="55" s="1"/>
  <c r="AB24" i="54"/>
  <c r="AB24" i="55" s="1"/>
  <c r="AB88" i="54"/>
  <c r="AB88" i="55" s="1"/>
  <c r="AB152" i="54"/>
  <c r="AB152" i="55" s="1"/>
  <c r="N46" i="54"/>
  <c r="N46" i="55" s="1"/>
  <c r="AZ29" i="54"/>
  <c r="AZ29" i="55" s="1"/>
  <c r="AZ93" i="54"/>
  <c r="AZ93" i="55" s="1"/>
  <c r="AO53" i="54"/>
  <c r="AO53" i="55" s="1"/>
  <c r="AO117" i="54"/>
  <c r="AO117" i="55" s="1"/>
  <c r="AO181" i="54"/>
  <c r="AO181" i="55" s="1"/>
  <c r="AB25" i="54"/>
  <c r="AB25" i="55" s="1"/>
  <c r="AB89" i="54"/>
  <c r="AB89" i="55" s="1"/>
  <c r="AB153" i="54"/>
  <c r="AB153" i="55" s="1"/>
  <c r="N47" i="54"/>
  <c r="N47" i="55" s="1"/>
  <c r="AZ23" i="54"/>
  <c r="AZ23" i="55" s="1"/>
  <c r="AZ87" i="54"/>
  <c r="AZ87" i="55" s="1"/>
  <c r="AZ56" i="54"/>
  <c r="AZ56" i="55" s="1"/>
  <c r="AZ25" i="54"/>
  <c r="AZ25" i="55" s="1"/>
  <c r="AZ89" i="54"/>
  <c r="AZ89" i="55" s="1"/>
  <c r="AO57" i="54"/>
  <c r="AO57" i="55" s="1"/>
  <c r="AO121" i="54"/>
  <c r="AO121" i="55" s="1"/>
  <c r="AO185" i="54"/>
  <c r="AO185" i="55" s="1"/>
  <c r="AZ30" i="54"/>
  <c r="AZ30" i="55" s="1"/>
  <c r="AO59" i="54"/>
  <c r="AO59" i="55" s="1"/>
  <c r="AO162" i="54"/>
  <c r="AO162" i="55" s="1"/>
  <c r="AB39" i="54"/>
  <c r="AB39" i="55" s="1"/>
  <c r="AB125" i="54"/>
  <c r="AB125" i="55" s="1"/>
  <c r="N41" i="54"/>
  <c r="N41" i="55" s="1"/>
  <c r="AZ98" i="54"/>
  <c r="AZ98" i="55" s="1"/>
  <c r="AO99" i="54"/>
  <c r="AO99" i="55" s="1"/>
  <c r="AO202" i="54"/>
  <c r="AO202" i="55" s="1"/>
  <c r="AB74" i="54"/>
  <c r="AB74" i="55" s="1"/>
  <c r="AB158" i="54"/>
  <c r="AB158" i="55" s="1"/>
  <c r="N74" i="54"/>
  <c r="N74" i="55" s="1"/>
  <c r="AO38" i="54"/>
  <c r="AO38" i="55" s="1"/>
  <c r="AO139" i="54"/>
  <c r="AO139" i="55" s="1"/>
  <c r="AB21" i="54"/>
  <c r="AB21" i="55" s="1"/>
  <c r="AB107" i="54"/>
  <c r="AB107" i="55" s="1"/>
  <c r="N21" i="54"/>
  <c r="N21" i="55" s="1"/>
  <c r="AZ59" i="54"/>
  <c r="AZ59" i="55" s="1"/>
  <c r="AO90" i="54"/>
  <c r="AO90" i="55" s="1"/>
  <c r="AO192" i="54"/>
  <c r="AO192" i="55" s="1"/>
  <c r="AB66" i="54"/>
  <c r="AB66" i="55" s="1"/>
  <c r="AB150" i="54"/>
  <c r="AB150" i="55" s="1"/>
  <c r="N66" i="54"/>
  <c r="N66" i="55" s="1"/>
  <c r="AO27" i="54"/>
  <c r="AO27" i="55" s="1"/>
  <c r="AO130" i="54"/>
  <c r="AO130" i="55" s="1"/>
  <c r="AB12" i="54"/>
  <c r="AB12" i="55" s="1"/>
  <c r="AB99" i="54"/>
  <c r="AB99" i="55" s="1"/>
  <c r="N13" i="54"/>
  <c r="N13" i="55" s="1"/>
  <c r="AZ90" i="54"/>
  <c r="AZ90" i="55" s="1"/>
  <c r="AB38" i="54"/>
  <c r="AB38" i="55" s="1"/>
  <c r="AZ43" i="54"/>
  <c r="AZ43" i="55" s="1"/>
  <c r="AB15" i="54"/>
  <c r="AB15" i="55" s="1"/>
  <c r="N72" i="54"/>
  <c r="N72" i="55" s="1"/>
  <c r="AA55" i="44"/>
  <c r="T20" i="44"/>
  <c r="T84" i="44"/>
  <c r="AO43" i="54"/>
  <c r="AO43" i="55" s="1"/>
  <c r="AB164" i="54"/>
  <c r="AB164" i="55" s="1"/>
  <c r="AA53" i="44"/>
  <c r="T27" i="44"/>
  <c r="T101" i="44"/>
  <c r="T168" i="44"/>
  <c r="M13" i="44"/>
  <c r="AB50" i="54"/>
  <c r="AB50" i="55" s="1"/>
  <c r="AA18" i="44"/>
  <c r="AA91" i="44"/>
  <c r="T65" i="44"/>
  <c r="T137" i="44"/>
  <c r="T201" i="44"/>
  <c r="AO146" i="54"/>
  <c r="AO146" i="55" s="1"/>
  <c r="N80" i="54"/>
  <c r="N80" i="55" s="1"/>
  <c r="AA65" i="44"/>
  <c r="T39" i="44"/>
  <c r="T112" i="44"/>
  <c r="T178" i="44"/>
  <c r="AO16" i="54"/>
  <c r="AO16" i="55" s="1"/>
  <c r="AB134" i="54"/>
  <c r="AB134" i="55" s="1"/>
  <c r="AA48" i="44"/>
  <c r="T22" i="44"/>
  <c r="AZ36" i="54"/>
  <c r="AZ36" i="55" s="1"/>
  <c r="AZ100" i="54"/>
  <c r="AZ100" i="55" s="1"/>
  <c r="AO60" i="54"/>
  <c r="AO60" i="55" s="1"/>
  <c r="AO124" i="54"/>
  <c r="AO124" i="55" s="1"/>
  <c r="AO188" i="54"/>
  <c r="AO188" i="55" s="1"/>
  <c r="AB32" i="54"/>
  <c r="AB32" i="55" s="1"/>
  <c r="AB96" i="54"/>
  <c r="AB96" i="55" s="1"/>
  <c r="AB160" i="54"/>
  <c r="AB160" i="55" s="1"/>
  <c r="N54" i="54"/>
  <c r="N54" i="55" s="1"/>
  <c r="AZ37" i="54"/>
  <c r="AZ37" i="55" s="1"/>
  <c r="AZ101" i="54"/>
  <c r="AZ101" i="55" s="1"/>
  <c r="AO61" i="54"/>
  <c r="AO61" i="55" s="1"/>
  <c r="AO125" i="54"/>
  <c r="AO125" i="55" s="1"/>
  <c r="AO189" i="54"/>
  <c r="AO189" i="55" s="1"/>
  <c r="AB33" i="54"/>
  <c r="AB33" i="55" s="1"/>
  <c r="AB97" i="54"/>
  <c r="AB97" i="55" s="1"/>
  <c r="AB161" i="54"/>
  <c r="AB161" i="55" s="1"/>
  <c r="N55" i="54"/>
  <c r="N55" i="55" s="1"/>
  <c r="AZ31" i="54"/>
  <c r="AZ31" i="55" s="1"/>
  <c r="AZ95" i="54"/>
  <c r="AZ95" i="55" s="1"/>
  <c r="AZ64" i="54"/>
  <c r="AZ64" i="55" s="1"/>
  <c r="AZ33" i="54"/>
  <c r="AZ33" i="55" s="1"/>
  <c r="AZ97" i="54"/>
  <c r="AZ97" i="55" s="1"/>
  <c r="AO65" i="54"/>
  <c r="AO65" i="55" s="1"/>
  <c r="AO129" i="54"/>
  <c r="AO129" i="55" s="1"/>
  <c r="AO193" i="54"/>
  <c r="AO193" i="55" s="1"/>
  <c r="AZ51" i="54"/>
  <c r="AZ51" i="55" s="1"/>
  <c r="AO72" i="54"/>
  <c r="AO72" i="55" s="1"/>
  <c r="AO175" i="54"/>
  <c r="AO175" i="55" s="1"/>
  <c r="AB51" i="54"/>
  <c r="AB51" i="55" s="1"/>
  <c r="AB135" i="54"/>
  <c r="AB135" i="55" s="1"/>
  <c r="N51" i="54"/>
  <c r="N51" i="55" s="1"/>
  <c r="AO10" i="54"/>
  <c r="AO10" i="55" s="1"/>
  <c r="AO112" i="54"/>
  <c r="AO112" i="55" s="1"/>
  <c r="AO215" i="54"/>
  <c r="AO215" i="55" s="1"/>
  <c r="AB84" i="54"/>
  <c r="AB84" i="55" s="1"/>
  <c r="AB170" i="54"/>
  <c r="AB170" i="55" s="1"/>
  <c r="AZ14" i="54"/>
  <c r="AZ14" i="55" s="1"/>
  <c r="AO50" i="54"/>
  <c r="AO50" i="55" s="1"/>
  <c r="AO152" i="54"/>
  <c r="AO152" i="55" s="1"/>
  <c r="AB31" i="54"/>
  <c r="AB31" i="55" s="1"/>
  <c r="AB117" i="54"/>
  <c r="AB117" i="55" s="1"/>
  <c r="N33" i="54"/>
  <c r="N33" i="55" s="1"/>
  <c r="AZ82" i="54"/>
  <c r="AZ82" i="55" s="1"/>
  <c r="AO103" i="54"/>
  <c r="AO103" i="55" s="1"/>
  <c r="AO206" i="54"/>
  <c r="AO206" i="55" s="1"/>
  <c r="AB76" i="54"/>
  <c r="AB76" i="55" s="1"/>
  <c r="AB162" i="54"/>
  <c r="AB162" i="55" s="1"/>
  <c r="N76" i="54"/>
  <c r="N76" i="55" s="1"/>
  <c r="AO40" i="54"/>
  <c r="AO40" i="55" s="1"/>
  <c r="AO143" i="54"/>
  <c r="AO143" i="55" s="1"/>
  <c r="AB23" i="54"/>
  <c r="AB23" i="55" s="1"/>
  <c r="AB109" i="54"/>
  <c r="AB109" i="55" s="1"/>
  <c r="N25" i="54"/>
  <c r="N25" i="55" s="1"/>
  <c r="AO30" i="54"/>
  <c r="AO30" i="55" s="1"/>
  <c r="AB69" i="54"/>
  <c r="AB69" i="55" s="1"/>
  <c r="AZ91" i="54"/>
  <c r="AZ91" i="55" s="1"/>
  <c r="AB46" i="54"/>
  <c r="AB46" i="55" s="1"/>
  <c r="AA2" i="44"/>
  <c r="AA63" i="44"/>
  <c r="T28" i="44"/>
  <c r="T92" i="44"/>
  <c r="AO83" i="54"/>
  <c r="AO83" i="55" s="1"/>
  <c r="N27" i="54"/>
  <c r="N27" i="55" s="1"/>
  <c r="AA62" i="44"/>
  <c r="T37" i="44"/>
  <c r="T110" i="44"/>
  <c r="T176" i="44"/>
  <c r="AZ26" i="54"/>
  <c r="AZ26" i="55" s="1"/>
  <c r="AB90" i="54"/>
  <c r="AB90" i="55" s="1"/>
  <c r="AA27" i="44"/>
  <c r="AA100" i="44"/>
  <c r="T74" i="44"/>
  <c r="T145" i="44"/>
  <c r="T209" i="44"/>
  <c r="AO186" i="54"/>
  <c r="AO186" i="55" s="1"/>
  <c r="M2" i="44"/>
  <c r="AA74" i="44"/>
  <c r="T48" i="44"/>
  <c r="T121" i="44"/>
  <c r="T186" i="44"/>
  <c r="AO56" i="54"/>
  <c r="AO56" i="55" s="1"/>
  <c r="N4" i="54"/>
  <c r="N4" i="55" s="1"/>
  <c r="AA57" i="44"/>
  <c r="T31" i="44"/>
  <c r="AZ44" i="54"/>
  <c r="AZ44" i="55" s="1"/>
  <c r="AO4" i="54"/>
  <c r="AO4" i="55" s="1"/>
  <c r="AO68" i="54"/>
  <c r="AO68" i="55" s="1"/>
  <c r="AO132" i="54"/>
  <c r="AO132" i="55" s="1"/>
  <c r="AO196" i="54"/>
  <c r="AO196" i="55" s="1"/>
  <c r="AB40" i="54"/>
  <c r="AB40" i="55" s="1"/>
  <c r="AB104" i="54"/>
  <c r="AB104" i="55" s="1"/>
  <c r="AB168" i="54"/>
  <c r="AB168" i="55" s="1"/>
  <c r="N62" i="54"/>
  <c r="N62" i="55" s="1"/>
  <c r="AZ45" i="54"/>
  <c r="AZ45" i="55" s="1"/>
  <c r="AO5" i="54"/>
  <c r="AO5" i="55" s="1"/>
  <c r="AO69" i="54"/>
  <c r="AO69" i="55" s="1"/>
  <c r="AO133" i="54"/>
  <c r="AO133" i="55" s="1"/>
  <c r="AO197" i="54"/>
  <c r="AO197" i="55" s="1"/>
  <c r="AB41" i="54"/>
  <c r="AB41" i="55" s="1"/>
  <c r="AB105" i="54"/>
  <c r="AB105" i="55" s="1"/>
  <c r="AB169" i="54"/>
  <c r="AB169" i="55" s="1"/>
  <c r="N63" i="54"/>
  <c r="N63" i="55" s="1"/>
  <c r="AZ39" i="54"/>
  <c r="AZ39" i="55" s="1"/>
  <c r="AZ8" i="54"/>
  <c r="AZ8" i="55" s="1"/>
  <c r="AZ72" i="54"/>
  <c r="AZ72" i="55" s="1"/>
  <c r="AZ41" i="54"/>
  <c r="AZ41" i="55" s="1"/>
  <c r="AO9" i="54"/>
  <c r="AO9" i="55" s="1"/>
  <c r="AO73" i="54"/>
  <c r="AO73" i="55" s="1"/>
  <c r="AO137" i="54"/>
  <c r="AO137" i="55" s="1"/>
  <c r="AO201" i="54"/>
  <c r="AO201" i="55" s="1"/>
  <c r="AZ74" i="54"/>
  <c r="AZ74" i="55" s="1"/>
  <c r="AO86" i="54"/>
  <c r="AO86" i="55" s="1"/>
  <c r="AO187" i="54"/>
  <c r="AO187" i="55" s="1"/>
  <c r="AB61" i="54"/>
  <c r="AB61" i="55" s="1"/>
  <c r="AB147" i="54"/>
  <c r="AB147" i="55" s="1"/>
  <c r="N61" i="54"/>
  <c r="N61" i="55" s="1"/>
  <c r="AO23" i="54"/>
  <c r="AO23" i="55" s="1"/>
  <c r="AO126" i="54"/>
  <c r="AO126" i="55" s="1"/>
  <c r="AB7" i="54"/>
  <c r="AB7" i="55" s="1"/>
  <c r="AB94" i="54"/>
  <c r="AB94" i="55" s="1"/>
  <c r="N10" i="54"/>
  <c r="N10" i="55" s="1"/>
  <c r="AZ35" i="54"/>
  <c r="AZ35" i="55" s="1"/>
  <c r="AO63" i="54"/>
  <c r="AO63" i="55" s="1"/>
  <c r="AO166" i="54"/>
  <c r="AO166" i="55" s="1"/>
  <c r="AB43" i="54"/>
  <c r="AB43" i="55" s="1"/>
  <c r="AB127" i="54"/>
  <c r="AB127" i="55" s="1"/>
  <c r="N43" i="54"/>
  <c r="N43" i="55" s="1"/>
  <c r="AO14" i="54"/>
  <c r="AO14" i="55" s="1"/>
  <c r="AO115" i="54"/>
  <c r="AO115" i="55" s="1"/>
  <c r="AO218" i="54"/>
  <c r="AO218" i="55" s="1"/>
  <c r="AB86" i="54"/>
  <c r="AB86" i="55" s="1"/>
  <c r="N2" i="54"/>
  <c r="N2" i="55" s="1"/>
  <c r="AZ19" i="54"/>
  <c r="AZ19" i="55" s="1"/>
  <c r="AO54" i="54"/>
  <c r="AO54" i="55" s="1"/>
  <c r="AO155" i="54"/>
  <c r="AO155" i="55" s="1"/>
  <c r="AB35" i="54"/>
  <c r="AB35" i="55" s="1"/>
  <c r="AB119" i="54"/>
  <c r="AB119" i="55" s="1"/>
  <c r="N35" i="54"/>
  <c r="N35" i="55" s="1"/>
  <c r="AO58" i="54"/>
  <c r="AO58" i="55" s="1"/>
  <c r="AB100" i="54"/>
  <c r="AB100" i="55" s="1"/>
  <c r="AO31" i="54"/>
  <c r="AO31" i="55" s="1"/>
  <c r="AB70" i="54"/>
  <c r="AB70" i="55" s="1"/>
  <c r="AA7" i="44"/>
  <c r="AA71" i="44"/>
  <c r="T36" i="44"/>
  <c r="T100" i="44"/>
  <c r="AO135" i="54"/>
  <c r="AO135" i="55" s="1"/>
  <c r="N60" i="54"/>
  <c r="N60" i="55" s="1"/>
  <c r="AA72" i="44"/>
  <c r="T46" i="44"/>
  <c r="T119" i="44"/>
  <c r="T184" i="44"/>
  <c r="AO6" i="54"/>
  <c r="AO6" i="55" s="1"/>
  <c r="AB123" i="54"/>
  <c r="AB123" i="55" s="1"/>
  <c r="AA36" i="44"/>
  <c r="T10" i="44"/>
  <c r="T83" i="44"/>
  <c r="T153" i="44"/>
  <c r="T217" i="44"/>
  <c r="AB18" i="54"/>
  <c r="AB18" i="55" s="1"/>
  <c r="AA10" i="44"/>
  <c r="AA83" i="44"/>
  <c r="T57" i="44"/>
  <c r="T130" i="44"/>
  <c r="T194" i="44"/>
  <c r="AO107" i="54"/>
  <c r="AO107" i="55" s="1"/>
  <c r="N37" i="54"/>
  <c r="N37" i="55" s="1"/>
  <c r="AA66" i="44"/>
  <c r="AZ2" i="54"/>
  <c r="AZ2" i="55" s="1"/>
  <c r="AZ52" i="54"/>
  <c r="AZ52" i="55" s="1"/>
  <c r="AO12" i="54"/>
  <c r="AO12" i="55" s="1"/>
  <c r="AO76" i="54"/>
  <c r="AO76" i="55" s="1"/>
  <c r="AO140" i="54"/>
  <c r="AO140" i="55" s="1"/>
  <c r="AO204" i="54"/>
  <c r="AO204" i="55" s="1"/>
  <c r="AB48" i="54"/>
  <c r="AB48" i="55" s="1"/>
  <c r="AB112" i="54"/>
  <c r="AB112" i="55" s="1"/>
  <c r="N6" i="54"/>
  <c r="N6" i="55" s="1"/>
  <c r="N70" i="54"/>
  <c r="N70" i="55" s="1"/>
  <c r="AZ53" i="54"/>
  <c r="AZ53" i="55" s="1"/>
  <c r="AO13" i="54"/>
  <c r="AO13" i="55" s="1"/>
  <c r="AO77" i="54"/>
  <c r="AO77" i="55" s="1"/>
  <c r="AO141" i="54"/>
  <c r="AO141" i="55" s="1"/>
  <c r="AO205" i="54"/>
  <c r="AO205" i="55" s="1"/>
  <c r="AB49" i="54"/>
  <c r="AB49" i="55" s="1"/>
  <c r="AB113" i="54"/>
  <c r="AB113" i="55" s="1"/>
  <c r="N7" i="54"/>
  <c r="N7" i="55" s="1"/>
  <c r="N71" i="54"/>
  <c r="N71" i="55" s="1"/>
  <c r="AZ47" i="54"/>
  <c r="AZ47" i="55" s="1"/>
  <c r="AZ16" i="54"/>
  <c r="AZ16" i="55" s="1"/>
  <c r="AZ80" i="54"/>
  <c r="AZ80" i="55" s="1"/>
  <c r="AZ49" i="54"/>
  <c r="AZ49" i="55" s="1"/>
  <c r="AO17" i="54"/>
  <c r="AO17" i="55" s="1"/>
  <c r="AO81" i="54"/>
  <c r="AO81" i="55" s="1"/>
  <c r="AO145" i="54"/>
  <c r="AO145" i="55" s="1"/>
  <c r="AO209" i="54"/>
  <c r="AO209" i="55" s="1"/>
  <c r="AZ94" i="54"/>
  <c r="AZ94" i="55" s="1"/>
  <c r="AO98" i="54"/>
  <c r="AO98" i="55" s="1"/>
  <c r="AO200" i="54"/>
  <c r="AO200" i="55" s="1"/>
  <c r="AB71" i="54"/>
  <c r="AB71" i="55" s="1"/>
  <c r="AB157" i="54"/>
  <c r="AB157" i="55" s="1"/>
  <c r="N73" i="54"/>
  <c r="N73" i="55" s="1"/>
  <c r="AO35" i="54"/>
  <c r="AO35" i="55" s="1"/>
  <c r="AO138" i="54"/>
  <c r="AO138" i="55" s="1"/>
  <c r="AB20" i="54"/>
  <c r="AB20" i="55" s="1"/>
  <c r="AB106" i="54"/>
  <c r="AB106" i="55" s="1"/>
  <c r="N20" i="54"/>
  <c r="N20" i="55" s="1"/>
  <c r="AZ58" i="54"/>
  <c r="AZ58" i="55" s="1"/>
  <c r="AO75" i="54"/>
  <c r="AO75" i="55" s="1"/>
  <c r="AO178" i="54"/>
  <c r="AO178" i="55" s="1"/>
  <c r="AB53" i="54"/>
  <c r="AB53" i="55" s="1"/>
  <c r="AB139" i="54"/>
  <c r="AB139" i="55" s="1"/>
  <c r="N53" i="54"/>
  <c r="N53" i="55" s="1"/>
  <c r="AO26" i="54"/>
  <c r="AO26" i="55" s="1"/>
  <c r="AO128" i="54"/>
  <c r="AO128" i="55" s="1"/>
  <c r="AB11" i="54"/>
  <c r="AB11" i="55" s="1"/>
  <c r="AB98" i="54"/>
  <c r="AB98" i="55" s="1"/>
  <c r="N12" i="54"/>
  <c r="N12" i="55" s="1"/>
  <c r="AZ42" i="54"/>
  <c r="AZ42" i="55" s="1"/>
  <c r="AO66" i="54"/>
  <c r="AO66" i="55" s="1"/>
  <c r="AO168" i="54"/>
  <c r="AO168" i="55" s="1"/>
  <c r="AB45" i="54"/>
  <c r="AB45" i="55" s="1"/>
  <c r="AB131" i="54"/>
  <c r="AB131" i="55" s="1"/>
  <c r="N45" i="54"/>
  <c r="N45" i="55" s="1"/>
  <c r="AO95" i="54"/>
  <c r="AO95" i="55" s="1"/>
  <c r="AB124" i="54"/>
  <c r="AB124" i="55" s="1"/>
  <c r="AO67" i="54"/>
  <c r="AO67" i="55" s="1"/>
  <c r="AB101" i="54"/>
  <c r="AB101" i="55" s="1"/>
  <c r="AA15" i="44"/>
  <c r="AA79" i="44"/>
  <c r="T44" i="44"/>
  <c r="T108" i="44"/>
  <c r="AO183" i="54"/>
  <c r="AO183" i="55" s="1"/>
  <c r="AA8" i="44"/>
  <c r="AA81" i="44"/>
  <c r="T55" i="44"/>
  <c r="T128" i="44"/>
  <c r="T192" i="44"/>
  <c r="AO46" i="54"/>
  <c r="AO46" i="55" s="1"/>
  <c r="AB165" i="54"/>
  <c r="AB165" i="55" s="1"/>
  <c r="AA45" i="44"/>
  <c r="T19" i="44"/>
  <c r="T93" i="44"/>
  <c r="T161" i="44"/>
  <c r="M6" i="44"/>
  <c r="AB58" i="54"/>
  <c r="AB58" i="55" s="1"/>
  <c r="AA19" i="44"/>
  <c r="AA92" i="44"/>
  <c r="T66" i="44"/>
  <c r="T138" i="44"/>
  <c r="T202" i="44"/>
  <c r="AO147" i="54"/>
  <c r="AO147" i="55" s="1"/>
  <c r="F2" i="44"/>
  <c r="AA75" i="44"/>
  <c r="AZ3" i="54"/>
  <c r="AZ3" i="55" s="1"/>
  <c r="AZ60" i="54"/>
  <c r="AZ60" i="55" s="1"/>
  <c r="AO20" i="54"/>
  <c r="AO20" i="55" s="1"/>
  <c r="AO84" i="54"/>
  <c r="AO84" i="55" s="1"/>
  <c r="AO148" i="54"/>
  <c r="AO148" i="55" s="1"/>
  <c r="AO212" i="54"/>
  <c r="AO212" i="55" s="1"/>
  <c r="AB56" i="54"/>
  <c r="AB56" i="55" s="1"/>
  <c r="AB120" i="54"/>
  <c r="AB120" i="55" s="1"/>
  <c r="N14" i="54"/>
  <c r="N14" i="55" s="1"/>
  <c r="N78" i="54"/>
  <c r="N78" i="55" s="1"/>
  <c r="AZ61" i="54"/>
  <c r="AZ61" i="55" s="1"/>
  <c r="AO21" i="54"/>
  <c r="AO21" i="55" s="1"/>
  <c r="AO85" i="54"/>
  <c r="AO85" i="55" s="1"/>
  <c r="AO149" i="54"/>
  <c r="AO149" i="55" s="1"/>
  <c r="AO213" i="54"/>
  <c r="AO213" i="55" s="1"/>
  <c r="AB57" i="54"/>
  <c r="AB57" i="55" s="1"/>
  <c r="AB121" i="54"/>
  <c r="AB121" i="55" s="1"/>
  <c r="N15" i="54"/>
  <c r="N15" i="55" s="1"/>
  <c r="N79" i="54"/>
  <c r="N79" i="55" s="1"/>
  <c r="AZ55" i="54"/>
  <c r="AZ55" i="55" s="1"/>
  <c r="AZ24" i="54"/>
  <c r="AZ24" i="55" s="1"/>
  <c r="AZ88" i="54"/>
  <c r="AZ88" i="55" s="1"/>
  <c r="AZ57" i="54"/>
  <c r="AZ57" i="55" s="1"/>
  <c r="AO25" i="54"/>
  <c r="AO25" i="55" s="1"/>
  <c r="AO89" i="54"/>
  <c r="AO89" i="55" s="1"/>
  <c r="AO153" i="54"/>
  <c r="AO153" i="55" s="1"/>
  <c r="AO217" i="54"/>
  <c r="AO217" i="55" s="1"/>
  <c r="AO8" i="54"/>
  <c r="AO8" i="55" s="1"/>
  <c r="AO111" i="54"/>
  <c r="AO111" i="55" s="1"/>
  <c r="AO214" i="54"/>
  <c r="AO214" i="55" s="1"/>
  <c r="AB83" i="54"/>
  <c r="AB83" i="55" s="1"/>
  <c r="AB167" i="54"/>
  <c r="AB167" i="55" s="1"/>
  <c r="AZ11" i="54"/>
  <c r="AZ11" i="55" s="1"/>
  <c r="AO48" i="54"/>
  <c r="AO48" i="55" s="1"/>
  <c r="AO151" i="54"/>
  <c r="AO151" i="55" s="1"/>
  <c r="AB30" i="54"/>
  <c r="AB30" i="55" s="1"/>
  <c r="AB116" i="54"/>
  <c r="AB116" i="55" s="1"/>
  <c r="N32" i="54"/>
  <c r="N32" i="55" s="1"/>
  <c r="AZ78" i="54"/>
  <c r="AZ78" i="55" s="1"/>
  <c r="AO88" i="54"/>
  <c r="AO88" i="55" s="1"/>
  <c r="AO191" i="54"/>
  <c r="AO191" i="55" s="1"/>
  <c r="AB63" i="54"/>
  <c r="AB63" i="55" s="1"/>
  <c r="AB149" i="54"/>
  <c r="AB149" i="55" s="1"/>
  <c r="N65" i="54"/>
  <c r="N65" i="55" s="1"/>
  <c r="AO39" i="54"/>
  <c r="AO39" i="55" s="1"/>
  <c r="AO142" i="54"/>
  <c r="AO142" i="55" s="1"/>
  <c r="AB22" i="54"/>
  <c r="AB22" i="55" s="1"/>
  <c r="AB108" i="54"/>
  <c r="AB108" i="55" s="1"/>
  <c r="N24" i="54"/>
  <c r="N24" i="55" s="1"/>
  <c r="AZ62" i="54"/>
  <c r="AZ62" i="55" s="1"/>
  <c r="AO79" i="54"/>
  <c r="AO79" i="55" s="1"/>
  <c r="AO182" i="54"/>
  <c r="AO182" i="55" s="1"/>
  <c r="AB55" i="54"/>
  <c r="AB55" i="55" s="1"/>
  <c r="AB141" i="54"/>
  <c r="AB141" i="55" s="1"/>
  <c r="N57" i="54"/>
  <c r="N57" i="55" s="1"/>
  <c r="AO131" i="54"/>
  <c r="AO131" i="55" s="1"/>
  <c r="AB155" i="54"/>
  <c r="AB155" i="55" s="1"/>
  <c r="AO96" i="54"/>
  <c r="AO96" i="55" s="1"/>
  <c r="AB132" i="54"/>
  <c r="AB132" i="55" s="1"/>
  <c r="AA23" i="44"/>
  <c r="AA87" i="44"/>
  <c r="T52" i="44"/>
  <c r="T116" i="44"/>
  <c r="AB3" i="54"/>
  <c r="AB3" i="55" s="1"/>
  <c r="AA17" i="44"/>
  <c r="AA90" i="44"/>
  <c r="T64" i="44"/>
  <c r="T136" i="44"/>
  <c r="T200" i="44"/>
  <c r="AO94" i="54"/>
  <c r="AO94" i="55" s="1"/>
  <c r="N28" i="54"/>
  <c r="N28" i="55" s="1"/>
  <c r="AA54" i="44"/>
  <c r="T29" i="44"/>
  <c r="T102" i="44"/>
  <c r="T169" i="44"/>
  <c r="AZ46" i="54"/>
  <c r="AZ46" i="55" s="1"/>
  <c r="AB91" i="54"/>
  <c r="AB91" i="55" s="1"/>
  <c r="AA28" i="44"/>
  <c r="AA101" i="44"/>
  <c r="T75" i="44"/>
  <c r="T146" i="44"/>
  <c r="T210" i="44"/>
  <c r="AO195" i="54"/>
  <c r="AO195" i="55" s="1"/>
  <c r="AA11" i="44"/>
  <c r="AA84" i="44"/>
  <c r="AZ4" i="54"/>
  <c r="AZ4" i="55" s="1"/>
  <c r="AZ68" i="54"/>
  <c r="AZ68" i="55" s="1"/>
  <c r="AO28" i="54"/>
  <c r="AO28" i="55" s="1"/>
  <c r="AO92" i="54"/>
  <c r="AO92" i="55" s="1"/>
  <c r="AO156" i="54"/>
  <c r="AO156" i="55" s="1"/>
  <c r="AO220" i="54"/>
  <c r="AO220" i="55" s="1"/>
  <c r="AB64" i="54"/>
  <c r="AB64" i="55" s="1"/>
  <c r="AB128" i="54"/>
  <c r="AB128" i="55" s="1"/>
  <c r="N22" i="54"/>
  <c r="N22" i="55" s="1"/>
  <c r="AZ5" i="54"/>
  <c r="AZ5" i="55" s="1"/>
  <c r="AZ69" i="54"/>
  <c r="AZ69" i="55" s="1"/>
  <c r="AO29" i="54"/>
  <c r="AO29" i="55" s="1"/>
  <c r="AO93" i="54"/>
  <c r="AO93" i="55" s="1"/>
  <c r="AO157" i="54"/>
  <c r="AO157" i="55" s="1"/>
  <c r="AO221" i="54"/>
  <c r="AO221" i="55" s="1"/>
  <c r="AB65" i="54"/>
  <c r="AB65" i="55" s="1"/>
  <c r="AB129" i="54"/>
  <c r="AB129" i="55" s="1"/>
  <c r="N23" i="54"/>
  <c r="N23" i="55" s="1"/>
  <c r="AZ6" i="54"/>
  <c r="AZ6" i="55" s="1"/>
  <c r="AZ63" i="54"/>
  <c r="AZ63" i="55" s="1"/>
  <c r="AZ32" i="54"/>
  <c r="AZ32" i="55" s="1"/>
  <c r="AZ96" i="54"/>
  <c r="AZ96" i="55" s="1"/>
  <c r="AZ65" i="54"/>
  <c r="AZ65" i="55" s="1"/>
  <c r="AO33" i="54"/>
  <c r="AO33" i="55" s="1"/>
  <c r="AO97" i="54"/>
  <c r="AO97" i="55" s="1"/>
  <c r="AO161" i="54"/>
  <c r="AO161" i="55" s="1"/>
  <c r="AB5" i="54"/>
  <c r="AB5" i="55" s="1"/>
  <c r="AO22" i="54"/>
  <c r="AO22" i="55" s="1"/>
  <c r="AO123" i="54"/>
  <c r="AO123" i="55" s="1"/>
  <c r="AB6" i="54"/>
  <c r="AB6" i="55" s="1"/>
  <c r="AB93" i="54"/>
  <c r="AB93" i="55" s="1"/>
  <c r="N9" i="54"/>
  <c r="N9" i="55" s="1"/>
  <c r="AZ34" i="54"/>
  <c r="AZ34" i="55" s="1"/>
  <c r="AO62" i="54"/>
  <c r="AO62" i="55" s="1"/>
  <c r="AO163" i="54"/>
  <c r="AO163" i="55" s="1"/>
  <c r="AB42" i="54"/>
  <c r="AB42" i="55" s="1"/>
  <c r="AB126" i="54"/>
  <c r="AB126" i="55" s="1"/>
  <c r="N42" i="54"/>
  <c r="N42" i="55" s="1"/>
  <c r="AZ99" i="54"/>
  <c r="AZ99" i="55" s="1"/>
  <c r="AO102" i="54"/>
  <c r="AO102" i="55" s="1"/>
  <c r="AO203" i="54"/>
  <c r="AO203" i="55" s="1"/>
  <c r="AB75" i="54"/>
  <c r="AB75" i="55" s="1"/>
  <c r="AB159" i="54"/>
  <c r="AB159" i="55" s="1"/>
  <c r="N75" i="54"/>
  <c r="N75" i="55" s="1"/>
  <c r="AO51" i="54"/>
  <c r="AO51" i="55" s="1"/>
  <c r="AO154" i="54"/>
  <c r="AO154" i="55" s="1"/>
  <c r="AB34" i="54"/>
  <c r="AB34" i="55" s="1"/>
  <c r="AB118" i="54"/>
  <c r="AB118" i="55" s="1"/>
  <c r="N34" i="54"/>
  <c r="N34" i="55" s="1"/>
  <c r="AZ83" i="54"/>
  <c r="AZ83" i="55" s="1"/>
  <c r="AO91" i="54"/>
  <c r="AO91" i="55" s="1"/>
  <c r="AO194" i="54"/>
  <c r="AO194" i="55" s="1"/>
  <c r="AB67" i="54"/>
  <c r="AB67" i="55" s="1"/>
  <c r="AB151" i="54"/>
  <c r="AB151" i="55" s="1"/>
  <c r="N67" i="54"/>
  <c r="N67" i="55" s="1"/>
  <c r="AO160" i="54"/>
  <c r="AO160" i="55" s="1"/>
  <c r="N16" i="54"/>
  <c r="N16" i="55" s="1"/>
  <c r="AO134" i="54"/>
  <c r="AO134" i="55" s="1"/>
  <c r="AB156" i="54"/>
  <c r="AB156" i="55" s="1"/>
  <c r="AA31" i="44"/>
  <c r="AA95" i="44"/>
  <c r="T60" i="44"/>
  <c r="T124" i="44"/>
  <c r="AB47" i="54"/>
  <c r="AB47" i="55" s="1"/>
  <c r="AA26" i="44"/>
  <c r="AA99" i="44"/>
  <c r="T73" i="44"/>
  <c r="T144" i="44"/>
  <c r="T208" i="44"/>
  <c r="AO144" i="54"/>
  <c r="AO144" i="55" s="1"/>
  <c r="N68" i="54"/>
  <c r="N68" i="55" s="1"/>
  <c r="AA64" i="44"/>
  <c r="T38" i="44"/>
  <c r="T111" i="44"/>
  <c r="T177" i="44"/>
  <c r="AO7" i="54"/>
  <c r="AO7" i="55" s="1"/>
  <c r="AB133" i="54"/>
  <c r="AB133" i="55" s="1"/>
  <c r="AA37" i="44"/>
  <c r="T11" i="44"/>
  <c r="T85" i="44"/>
  <c r="T154" i="44"/>
  <c r="T218" i="44"/>
  <c r="AB26" i="54"/>
  <c r="AB26" i="55" s="1"/>
  <c r="AA20" i="44"/>
  <c r="AA93" i="44"/>
  <c r="AO158" i="54"/>
  <c r="AO158" i="55" s="1"/>
  <c r="AA3" i="44"/>
  <c r="AO120" i="54"/>
  <c r="AO120" i="55" s="1"/>
  <c r="N58" i="54"/>
  <c r="N58" i="55" s="1"/>
  <c r="AB79" i="54"/>
  <c r="AB79" i="55" s="1"/>
  <c r="AA32" i="44"/>
  <c r="T71" i="44"/>
  <c r="T181" i="44"/>
  <c r="M45" i="44"/>
  <c r="M109" i="44"/>
  <c r="F4" i="44"/>
  <c r="F68" i="44"/>
  <c r="AA89" i="44"/>
  <c r="T117" i="44"/>
  <c r="T221" i="44"/>
  <c r="M70" i="44"/>
  <c r="M134" i="44"/>
  <c r="F29" i="44"/>
  <c r="N8" i="54"/>
  <c r="N8" i="55" s="1"/>
  <c r="T45" i="44"/>
  <c r="T158" i="44"/>
  <c r="M31" i="44"/>
  <c r="M95" i="44"/>
  <c r="M159" i="44"/>
  <c r="F54" i="44"/>
  <c r="AA59" i="44"/>
  <c r="T90" i="44"/>
  <c r="T198" i="44"/>
  <c r="M56" i="44"/>
  <c r="M120" i="44"/>
  <c r="F15" i="44"/>
  <c r="F79" i="44"/>
  <c r="T34" i="44"/>
  <c r="T149" i="44"/>
  <c r="M25" i="44"/>
  <c r="M89" i="44"/>
  <c r="M153" i="44"/>
  <c r="F48" i="44"/>
  <c r="AA61" i="44"/>
  <c r="T96" i="44"/>
  <c r="T203" i="44"/>
  <c r="M58" i="44"/>
  <c r="M122" i="44"/>
  <c r="F17" i="44"/>
  <c r="AB28" i="54"/>
  <c r="AB28" i="55" s="1"/>
  <c r="T53" i="44"/>
  <c r="T165" i="44"/>
  <c r="M35" i="44"/>
  <c r="M99" i="44"/>
  <c r="M163" i="44"/>
  <c r="F58" i="44"/>
  <c r="AA86" i="44"/>
  <c r="T114" i="44"/>
  <c r="T219" i="44"/>
  <c r="M68" i="44"/>
  <c r="M132" i="44"/>
  <c r="F27" i="44"/>
  <c r="AO208" i="54"/>
  <c r="AO208" i="55" s="1"/>
  <c r="AA12" i="44"/>
  <c r="AO171" i="54"/>
  <c r="AO171" i="55" s="1"/>
  <c r="AZ86" i="54"/>
  <c r="AZ86" i="55" s="1"/>
  <c r="AB114" i="54"/>
  <c r="AB114" i="55" s="1"/>
  <c r="AA51" i="44"/>
  <c r="T87" i="44"/>
  <c r="T195" i="44"/>
  <c r="M53" i="44"/>
  <c r="M117" i="44"/>
  <c r="F12" i="44"/>
  <c r="F76" i="44"/>
  <c r="T8" i="44"/>
  <c r="T132" i="44"/>
  <c r="M14" i="44"/>
  <c r="M78" i="44"/>
  <c r="M142" i="44"/>
  <c r="F37" i="44"/>
  <c r="AA13" i="44"/>
  <c r="T61" i="44"/>
  <c r="T172" i="44"/>
  <c r="M39" i="44"/>
  <c r="M103" i="44"/>
  <c r="M167" i="44"/>
  <c r="F62" i="44"/>
  <c r="AA77" i="44"/>
  <c r="T106" i="44"/>
  <c r="T212" i="44"/>
  <c r="M64" i="44"/>
  <c r="M128" i="44"/>
  <c r="F23" i="44"/>
  <c r="AO159" i="54"/>
  <c r="AO159" i="55" s="1"/>
  <c r="T50" i="44"/>
  <c r="T163" i="44"/>
  <c r="M33" i="44"/>
  <c r="M97" i="44"/>
  <c r="M161" i="44"/>
  <c r="F56" i="44"/>
  <c r="AA80" i="44"/>
  <c r="T109" i="44"/>
  <c r="T214" i="44"/>
  <c r="M66" i="44"/>
  <c r="M130" i="44"/>
  <c r="F25" i="44"/>
  <c r="AA24" i="44"/>
  <c r="T69" i="44"/>
  <c r="T179" i="44"/>
  <c r="M43" i="44"/>
  <c r="M107" i="44"/>
  <c r="M171" i="44"/>
  <c r="F66" i="44"/>
  <c r="T6" i="44"/>
  <c r="T127" i="44"/>
  <c r="M11" i="44"/>
  <c r="M76" i="44"/>
  <c r="M140" i="44"/>
  <c r="F35" i="44"/>
  <c r="AB27" i="54"/>
  <c r="AB27" i="55" s="1"/>
  <c r="AA21" i="44"/>
  <c r="AO211" i="54"/>
  <c r="AO211" i="55" s="1"/>
  <c r="AO42" i="54"/>
  <c r="AO42" i="55" s="1"/>
  <c r="AB154" i="54"/>
  <c r="AB154" i="55" s="1"/>
  <c r="AA69" i="44"/>
  <c r="T99" i="44"/>
  <c r="T206" i="44"/>
  <c r="M61" i="44"/>
  <c r="M125" i="44"/>
  <c r="F20" i="44"/>
  <c r="AO19" i="54"/>
  <c r="AO19" i="55" s="1"/>
  <c r="T26" i="44"/>
  <c r="T143" i="44"/>
  <c r="M22" i="44"/>
  <c r="M86" i="44"/>
  <c r="M150" i="44"/>
  <c r="F45" i="44"/>
  <c r="AA34" i="44"/>
  <c r="T77" i="44"/>
  <c r="T183" i="44"/>
  <c r="M47" i="44"/>
  <c r="M111" i="44"/>
  <c r="F6" i="44"/>
  <c r="F70" i="44"/>
  <c r="AA96" i="44"/>
  <c r="T122" i="44"/>
  <c r="M4" i="44"/>
  <c r="M72" i="44"/>
  <c r="M136" i="44"/>
  <c r="F31" i="44"/>
  <c r="AA16" i="44"/>
  <c r="T63" i="44"/>
  <c r="T174" i="44"/>
  <c r="M41" i="44"/>
  <c r="M105" i="44"/>
  <c r="M169" i="44"/>
  <c r="F64" i="44"/>
  <c r="AA98" i="44"/>
  <c r="T125" i="44"/>
  <c r="M9" i="44"/>
  <c r="M74" i="44"/>
  <c r="M138" i="44"/>
  <c r="F33" i="44"/>
  <c r="AA49" i="44"/>
  <c r="T81" i="44"/>
  <c r="T190" i="44"/>
  <c r="M51" i="44"/>
  <c r="M115" i="44"/>
  <c r="F10" i="44"/>
  <c r="F74" i="44"/>
  <c r="T24" i="44"/>
  <c r="T141" i="44"/>
  <c r="M20" i="44"/>
  <c r="M84" i="44"/>
  <c r="M148" i="44"/>
  <c r="F43" i="44"/>
  <c r="AB60" i="54"/>
  <c r="AB60" i="55" s="1"/>
  <c r="AA30" i="44"/>
  <c r="AB36" i="54"/>
  <c r="AB36" i="55" s="1"/>
  <c r="AO82" i="54"/>
  <c r="AO82" i="55" s="1"/>
  <c r="N26" i="54"/>
  <c r="N26" i="55" s="1"/>
  <c r="AA88" i="44"/>
  <c r="T115" i="44"/>
  <c r="T220" i="44"/>
  <c r="M69" i="44"/>
  <c r="M133" i="44"/>
  <c r="F28" i="44"/>
  <c r="AB143" i="54"/>
  <c r="AB143" i="55" s="1"/>
  <c r="T43" i="44"/>
  <c r="T157" i="44"/>
  <c r="M30" i="44"/>
  <c r="M94" i="44"/>
  <c r="M158" i="44"/>
  <c r="F53" i="44"/>
  <c r="AA58" i="44"/>
  <c r="T89" i="44"/>
  <c r="T197" i="44"/>
  <c r="M55" i="44"/>
  <c r="M119" i="44"/>
  <c r="F14" i="44"/>
  <c r="F78" i="44"/>
  <c r="T15" i="44"/>
  <c r="T134" i="44"/>
  <c r="M16" i="44"/>
  <c r="M80" i="44"/>
  <c r="M144" i="44"/>
  <c r="F39" i="44"/>
  <c r="AA42" i="44"/>
  <c r="T79" i="44"/>
  <c r="T188" i="44"/>
  <c r="M49" i="44"/>
  <c r="M113" i="44"/>
  <c r="F8" i="44"/>
  <c r="F72" i="44"/>
  <c r="T17" i="44"/>
  <c r="T139" i="44"/>
  <c r="M18" i="44"/>
  <c r="M82" i="44"/>
  <c r="M146" i="44"/>
  <c r="F41" i="44"/>
  <c r="AA67" i="44"/>
  <c r="T97" i="44"/>
  <c r="T204" i="44"/>
  <c r="M59" i="44"/>
  <c r="M123" i="44"/>
  <c r="F18" i="44"/>
  <c r="AB68" i="54"/>
  <c r="AB68" i="55" s="1"/>
  <c r="T41" i="44"/>
  <c r="T155" i="44"/>
  <c r="M28" i="44"/>
  <c r="M92" i="44"/>
  <c r="M156" i="44"/>
  <c r="F51" i="44"/>
  <c r="AZ66" i="54"/>
  <c r="AZ66" i="55" s="1"/>
  <c r="AB102" i="54"/>
  <c r="AB102" i="55" s="1"/>
  <c r="AA40" i="44"/>
  <c r="AB78" i="54"/>
  <c r="AB78" i="55" s="1"/>
  <c r="AO122" i="54"/>
  <c r="AO122" i="55" s="1"/>
  <c r="N59" i="54"/>
  <c r="N59" i="55" s="1"/>
  <c r="T7" i="44"/>
  <c r="T131" i="44"/>
  <c r="M12" i="44"/>
  <c r="M77" i="44"/>
  <c r="M141" i="44"/>
  <c r="F36" i="44"/>
  <c r="AA6" i="44"/>
  <c r="T59" i="44"/>
  <c r="T171" i="44"/>
  <c r="M38" i="44"/>
  <c r="M102" i="44"/>
  <c r="M166" i="44"/>
  <c r="F61" i="44"/>
  <c r="AA76" i="44"/>
  <c r="T105" i="44"/>
  <c r="T211" i="44"/>
  <c r="M63" i="44"/>
  <c r="M127" i="44"/>
  <c r="F22" i="44"/>
  <c r="AO119" i="54"/>
  <c r="AO119" i="55" s="1"/>
  <c r="T33" i="44"/>
  <c r="T148" i="44"/>
  <c r="M24" i="44"/>
  <c r="M88" i="44"/>
  <c r="M152" i="44"/>
  <c r="F47" i="44"/>
  <c r="AA60" i="44"/>
  <c r="T95" i="44"/>
  <c r="T199" i="44"/>
  <c r="M57" i="44"/>
  <c r="M121" i="44"/>
  <c r="F16" i="44"/>
  <c r="F80" i="44"/>
  <c r="T35" i="44"/>
  <c r="T150" i="44"/>
  <c r="M26" i="44"/>
  <c r="M90" i="44"/>
  <c r="M154" i="44"/>
  <c r="F49" i="44"/>
  <c r="AA85" i="44"/>
  <c r="T113" i="44"/>
  <c r="T215" i="44"/>
  <c r="M67" i="44"/>
  <c r="M131" i="44"/>
  <c r="F26" i="44"/>
  <c r="AA4" i="44"/>
  <c r="T54" i="44"/>
  <c r="T166" i="44"/>
  <c r="M36" i="44"/>
  <c r="M100" i="44"/>
  <c r="M164" i="44"/>
  <c r="F59" i="44"/>
  <c r="AO18" i="54"/>
  <c r="AO18" i="55" s="1"/>
  <c r="AB142" i="54"/>
  <c r="AB142" i="55" s="1"/>
  <c r="AZ70" i="54"/>
  <c r="AZ70" i="55" s="1"/>
  <c r="AB111" i="54"/>
  <c r="AB111" i="55" s="1"/>
  <c r="AO174" i="54"/>
  <c r="AO174" i="55" s="1"/>
  <c r="AZ67" i="54"/>
  <c r="AZ67" i="55" s="1"/>
  <c r="T25" i="44"/>
  <c r="T142" i="44"/>
  <c r="M21" i="44"/>
  <c r="M85" i="44"/>
  <c r="M149" i="44"/>
  <c r="F44" i="44"/>
  <c r="AA33" i="44"/>
  <c r="T72" i="44"/>
  <c r="T182" i="44"/>
  <c r="M46" i="44"/>
  <c r="M110" i="44"/>
  <c r="F5" i="44"/>
  <c r="F69" i="44"/>
  <c r="AA94" i="44"/>
  <c r="T118" i="44"/>
  <c r="M3" i="44"/>
  <c r="M71" i="44"/>
  <c r="M135" i="44"/>
  <c r="F30" i="44"/>
  <c r="N50" i="54"/>
  <c r="N50" i="55" s="1"/>
  <c r="T49" i="44"/>
  <c r="T159" i="44"/>
  <c r="M32" i="44"/>
  <c r="M96" i="44"/>
  <c r="M160" i="44"/>
  <c r="F55" i="44"/>
  <c r="AA78" i="44"/>
  <c r="T107" i="44"/>
  <c r="T213" i="44"/>
  <c r="M65" i="44"/>
  <c r="M129" i="44"/>
  <c r="F24" i="44"/>
  <c r="AO210" i="54"/>
  <c r="AO210" i="55" s="1"/>
  <c r="T51" i="44"/>
  <c r="T164" i="44"/>
  <c r="M34" i="44"/>
  <c r="M98" i="44"/>
  <c r="M162" i="44"/>
  <c r="F57" i="44"/>
  <c r="T5" i="44"/>
  <c r="T126" i="44"/>
  <c r="M10" i="44"/>
  <c r="M75" i="44"/>
  <c r="M139" i="44"/>
  <c r="F34" i="44"/>
  <c r="AA25" i="44"/>
  <c r="T70" i="44"/>
  <c r="T180" i="44"/>
  <c r="M44" i="44"/>
  <c r="M108" i="44"/>
  <c r="F3" i="44"/>
  <c r="F67" i="44"/>
  <c r="AO70" i="54"/>
  <c r="AO70" i="55" s="1"/>
  <c r="N5" i="54"/>
  <c r="N5" i="55" s="1"/>
  <c r="AO32" i="54"/>
  <c r="AO32" i="55" s="1"/>
  <c r="AB146" i="54"/>
  <c r="AB146" i="55" s="1"/>
  <c r="AB2" i="54"/>
  <c r="AB2" i="55" s="1"/>
  <c r="AB110" i="54"/>
  <c r="AB110" i="55" s="1"/>
  <c r="T42" i="44"/>
  <c r="T156" i="44"/>
  <c r="M29" i="44"/>
  <c r="M93" i="44"/>
  <c r="M157" i="44"/>
  <c r="F52" i="44"/>
  <c r="AA52" i="44"/>
  <c r="T88" i="44"/>
  <c r="T196" i="44"/>
  <c r="M54" i="44"/>
  <c r="M118" i="44"/>
  <c r="F13" i="44"/>
  <c r="F77" i="44"/>
  <c r="T14" i="44"/>
  <c r="T133" i="44"/>
  <c r="M15" i="44"/>
  <c r="M79" i="44"/>
  <c r="M143" i="44"/>
  <c r="F38" i="44"/>
  <c r="AA14" i="44"/>
  <c r="T62" i="44"/>
  <c r="T173" i="44"/>
  <c r="M40" i="44"/>
  <c r="M104" i="44"/>
  <c r="M168" i="44"/>
  <c r="F63" i="44"/>
  <c r="AA97" i="44"/>
  <c r="T123" i="44"/>
  <c r="M8" i="44"/>
  <c r="M73" i="44"/>
  <c r="M137" i="44"/>
  <c r="F32" i="44"/>
  <c r="AA22" i="44"/>
  <c r="T67" i="44"/>
  <c r="T175" i="44"/>
  <c r="M42" i="44"/>
  <c r="M106" i="44"/>
  <c r="M170" i="44"/>
  <c r="F65" i="44"/>
  <c r="T23" i="44"/>
  <c r="T140" i="44"/>
  <c r="M19" i="44"/>
  <c r="M83" i="44"/>
  <c r="M147" i="44"/>
  <c r="F42" i="44"/>
  <c r="AA50" i="44"/>
  <c r="T86" i="44"/>
  <c r="T191" i="44"/>
  <c r="M52" i="44"/>
  <c r="M116" i="44"/>
  <c r="F11" i="44"/>
  <c r="F75" i="44"/>
  <c r="AO110" i="54"/>
  <c r="AO110" i="55" s="1"/>
  <c r="N49" i="54"/>
  <c r="N49" i="55" s="1"/>
  <c r="AO80" i="54"/>
  <c r="AO80" i="55" s="1"/>
  <c r="N18" i="54"/>
  <c r="N18" i="55" s="1"/>
  <c r="AB37" i="54"/>
  <c r="AB37" i="55" s="1"/>
  <c r="AA5" i="44"/>
  <c r="T58" i="44"/>
  <c r="T167" i="44"/>
  <c r="M37" i="44"/>
  <c r="M101" i="44"/>
  <c r="M165" i="44"/>
  <c r="F60" i="44"/>
  <c r="AA70" i="44"/>
  <c r="T104" i="44"/>
  <c r="T207" i="44"/>
  <c r="M62" i="44"/>
  <c r="M126" i="44"/>
  <c r="F21" i="44"/>
  <c r="AO71" i="54"/>
  <c r="AO71" i="55" s="1"/>
  <c r="T32" i="44"/>
  <c r="T147" i="44"/>
  <c r="M23" i="44"/>
  <c r="M87" i="44"/>
  <c r="M151" i="44"/>
  <c r="F46" i="44"/>
  <c r="AA41" i="44"/>
  <c r="T78" i="44"/>
  <c r="T187" i="44"/>
  <c r="M48" i="44"/>
  <c r="M112" i="44"/>
  <c r="F7" i="44"/>
  <c r="F71" i="44"/>
  <c r="T16" i="44"/>
  <c r="T135" i="44"/>
  <c r="M17" i="44"/>
  <c r="M81" i="44"/>
  <c r="M145" i="44"/>
  <c r="F40" i="44"/>
  <c r="AA43" i="44"/>
  <c r="T80" i="44"/>
  <c r="T189" i="44"/>
  <c r="M50" i="44"/>
  <c r="M114" i="44"/>
  <c r="F9" i="44"/>
  <c r="F73" i="44"/>
  <c r="T40" i="44"/>
  <c r="T151" i="44"/>
  <c r="M27" i="44"/>
  <c r="M91" i="44"/>
  <c r="M155" i="44"/>
  <c r="F50" i="44"/>
  <c r="AA68" i="44"/>
  <c r="T98" i="44"/>
  <c r="T205" i="44"/>
  <c r="M60" i="44"/>
  <c r="M124" i="44"/>
  <c r="F19" i="44"/>
  <c r="AH2" i="48"/>
  <c r="AH240" i="48"/>
  <c r="AH30" i="48"/>
  <c r="AH81" i="48"/>
  <c r="AH288" i="48"/>
  <c r="BE55" i="48"/>
  <c r="BE143" i="48"/>
  <c r="BE84" i="48"/>
  <c r="BE187" i="48"/>
  <c r="AH109" i="48"/>
  <c r="BE103" i="48"/>
  <c r="BE60" i="48"/>
  <c r="BE56" i="48"/>
  <c r="BE76" i="48"/>
  <c r="BE25" i="48"/>
  <c r="BE36" i="48"/>
  <c r="BE66" i="48"/>
  <c r="BE73" i="48"/>
  <c r="BE88" i="48"/>
  <c r="BE95" i="48"/>
  <c r="BE53" i="48"/>
  <c r="BE70" i="48"/>
  <c r="BE11" i="48"/>
  <c r="BE31" i="48"/>
  <c r="BE10" i="48"/>
  <c r="BE40" i="48"/>
  <c r="BE75" i="48"/>
  <c r="BE5" i="48"/>
  <c r="BE99" i="48"/>
  <c r="BE61" i="48"/>
  <c r="BE8" i="48"/>
  <c r="BE30" i="48"/>
  <c r="BE47" i="48"/>
  <c r="BE98" i="48"/>
  <c r="BE38" i="48"/>
  <c r="BE105" i="48"/>
  <c r="BE22" i="48"/>
  <c r="BE90" i="48"/>
  <c r="BE9" i="48"/>
  <c r="BE33" i="48"/>
  <c r="BE68" i="48"/>
  <c r="BE63" i="48"/>
  <c r="BE49" i="48"/>
  <c r="BE124" i="48"/>
  <c r="BE195" i="48"/>
  <c r="BE172" i="48"/>
  <c r="BE121" i="48"/>
  <c r="BE134" i="48"/>
  <c r="BE131" i="48"/>
  <c r="BE201" i="48"/>
  <c r="BE193" i="48"/>
  <c r="BE169" i="48"/>
  <c r="BE184" i="48"/>
  <c r="BE163" i="48"/>
  <c r="AH162" i="48"/>
  <c r="AH9" i="48"/>
  <c r="BE128" i="48"/>
  <c r="BE156" i="48"/>
  <c r="BE154" i="48"/>
  <c r="BE152" i="48"/>
  <c r="BE159" i="48"/>
  <c r="BE133" i="48"/>
  <c r="BE179" i="48"/>
  <c r="BE145" i="48"/>
  <c r="BE171" i="48"/>
  <c r="BE139" i="48"/>
  <c r="BE115" i="48"/>
  <c r="BE41" i="48"/>
  <c r="BE111" i="48"/>
  <c r="BE14" i="48"/>
  <c r="BE59" i="48"/>
  <c r="BE110" i="48"/>
  <c r="BE106" i="48"/>
  <c r="BE18" i="48"/>
  <c r="BE109" i="48"/>
  <c r="BE32" i="48"/>
  <c r="BE178" i="48"/>
  <c r="BE177" i="48"/>
  <c r="BE167" i="48"/>
  <c r="BE146" i="48"/>
  <c r="BE180" i="48"/>
  <c r="BE130" i="48"/>
  <c r="BE126" i="48"/>
  <c r="BE175" i="48"/>
  <c r="BE162" i="48"/>
  <c r="BE188" i="48"/>
  <c r="AH23" i="48"/>
  <c r="BE168" i="48"/>
  <c r="BE129" i="48"/>
  <c r="BE141" i="48"/>
  <c r="BE120" i="48"/>
  <c r="BE148" i="48"/>
  <c r="BE127" i="48"/>
  <c r="BE161" i="48"/>
  <c r="BE200" i="48"/>
  <c r="BE132" i="48"/>
  <c r="BE119" i="48"/>
  <c r="BE114" i="48"/>
  <c r="BE17" i="48"/>
  <c r="BE15" i="48"/>
  <c r="BE94" i="48"/>
  <c r="BE86" i="48"/>
  <c r="BE101" i="48"/>
  <c r="BE82" i="48"/>
  <c r="BE81" i="48"/>
  <c r="BE45" i="48"/>
  <c r="BE85" i="48"/>
  <c r="BE104" i="48"/>
  <c r="BE28" i="48"/>
  <c r="BE43" i="48"/>
  <c r="BE46" i="48"/>
  <c r="BE64" i="48"/>
  <c r="BE6" i="48"/>
  <c r="BE71" i="48"/>
  <c r="BE96" i="48"/>
  <c r="BE52" i="48"/>
  <c r="BE19" i="48"/>
  <c r="BE24" i="48"/>
  <c r="BE23" i="48"/>
  <c r="BE91" i="48"/>
  <c r="BE16" i="48"/>
  <c r="BE54" i="48"/>
  <c r="BE7" i="48"/>
  <c r="BE4" i="48"/>
  <c r="BE37" i="48"/>
  <c r="BE72" i="48"/>
  <c r="BE113" i="48"/>
  <c r="BE112" i="48"/>
  <c r="BE199" i="48"/>
  <c r="BE122" i="48"/>
  <c r="BE153" i="48"/>
  <c r="BE160" i="48"/>
  <c r="BE191" i="48"/>
  <c r="BE190" i="48"/>
  <c r="BE137" i="48"/>
  <c r="BE118" i="48"/>
  <c r="BE135" i="48"/>
  <c r="BE87" i="48"/>
  <c r="BE51" i="48"/>
  <c r="BE26" i="48"/>
  <c r="BE69" i="48"/>
  <c r="BE92" i="48"/>
  <c r="BE20" i="48"/>
  <c r="BE166" i="48"/>
  <c r="BE181" i="48"/>
  <c r="BE144" i="48"/>
  <c r="BE174" i="48"/>
  <c r="BE147" i="48"/>
  <c r="BE157" i="48"/>
  <c r="BE158" i="48"/>
  <c r="BE151" i="48"/>
  <c r="BE125" i="48"/>
  <c r="BE194" i="48"/>
  <c r="BE57" i="48"/>
  <c r="BE48" i="48"/>
  <c r="BE83" i="48"/>
  <c r="BE62" i="48"/>
  <c r="BE74" i="48"/>
  <c r="AH24" i="48"/>
  <c r="BE89" i="48"/>
  <c r="BE107" i="48"/>
  <c r="BE34" i="48"/>
  <c r="BE12" i="48"/>
  <c r="BE79" i="48"/>
  <c r="BE100" i="48"/>
  <c r="BE13" i="48"/>
  <c r="BE108" i="48"/>
  <c r="BE80" i="48"/>
  <c r="BE50" i="48"/>
  <c r="BE65" i="48"/>
  <c r="BE58" i="48"/>
  <c r="BE44" i="48"/>
  <c r="BE93" i="48"/>
  <c r="BE2" i="48"/>
  <c r="BE276" i="48"/>
  <c r="BE271" i="48"/>
  <c r="BE264" i="48"/>
  <c r="BE273" i="48"/>
  <c r="BE253" i="48"/>
  <c r="BE255" i="48"/>
  <c r="BE266" i="48"/>
  <c r="BE265" i="48"/>
  <c r="BE269" i="48"/>
  <c r="BE281" i="48"/>
  <c r="BE258" i="48"/>
  <c r="BE275" i="48"/>
  <c r="BE262" i="48"/>
  <c r="BE263" i="48"/>
  <c r="BE252" i="48"/>
  <c r="BE257" i="48"/>
  <c r="BE261" i="48"/>
  <c r="BE278" i="48"/>
  <c r="BE270" i="48"/>
  <c r="BE279" i="48"/>
  <c r="BE277" i="48"/>
  <c r="BE241" i="48"/>
  <c r="BE254" i="48"/>
  <c r="BE272" i="48"/>
  <c r="BE256" i="48"/>
  <c r="BE259" i="48"/>
  <c r="BE268" i="48"/>
  <c r="BE280" i="48"/>
  <c r="BE267" i="48"/>
  <c r="BE260" i="48"/>
  <c r="BE274" i="48"/>
  <c r="BE235" i="48"/>
  <c r="BE237" i="48"/>
  <c r="BE203" i="48"/>
  <c r="BE218" i="48"/>
  <c r="BE205" i="48"/>
  <c r="BE226" i="48"/>
  <c r="BE231" i="48"/>
  <c r="BE224" i="48"/>
  <c r="BE221" i="48"/>
  <c r="BE239" i="48"/>
  <c r="BE245" i="48"/>
  <c r="BE204" i="48"/>
  <c r="BE248" i="48"/>
  <c r="BE232" i="48"/>
  <c r="BE208" i="48"/>
  <c r="BE216" i="48"/>
  <c r="BE249" i="48"/>
  <c r="BE213" i="48"/>
  <c r="BE243" i="48"/>
  <c r="BE209" i="48"/>
  <c r="BE247" i="48"/>
  <c r="BE219" i="48"/>
  <c r="BE227" i="48"/>
  <c r="BE202" i="48"/>
  <c r="BE234" i="48"/>
  <c r="BE212" i="48"/>
  <c r="BE250" i="48"/>
  <c r="BE225" i="48"/>
  <c r="BE207" i="48"/>
  <c r="BE210" i="48"/>
  <c r="BE217" i="48"/>
  <c r="BE228" i="48"/>
  <c r="BE206" i="48"/>
  <c r="BE220" i="48"/>
  <c r="BE236" i="48"/>
  <c r="BE223" i="48"/>
  <c r="BE222" i="48"/>
  <c r="BE214" i="48"/>
  <c r="BE229" i="48"/>
  <c r="BE246" i="48"/>
  <c r="BE211" i="48"/>
  <c r="BE244" i="48"/>
  <c r="BE230" i="48"/>
  <c r="BE240" i="48"/>
  <c r="BE238" i="48"/>
  <c r="BE251" i="48"/>
  <c r="BE242" i="48"/>
  <c r="BE233" i="48"/>
  <c r="BE215" i="48"/>
  <c r="BE3" i="48"/>
  <c r="BE21" i="48"/>
  <c r="BE67" i="48"/>
  <c r="BE102" i="48"/>
  <c r="BE97" i="48"/>
  <c r="BE29" i="48"/>
  <c r="BE78" i="48"/>
  <c r="BE77" i="48"/>
  <c r="BE39" i="48"/>
  <c r="BE189" i="48"/>
  <c r="BE116" i="48"/>
  <c r="BE117" i="48"/>
  <c r="BE155" i="48"/>
  <c r="BE123" i="48"/>
  <c r="BE165" i="48"/>
  <c r="BE140" i="48"/>
  <c r="BE186" i="48"/>
  <c r="BE176" i="48"/>
  <c r="BE183" i="48"/>
  <c r="BE196" i="48"/>
  <c r="BE136" i="48"/>
  <c r="BE27" i="48"/>
  <c r="BE42" i="48"/>
  <c r="BE35" i="48"/>
  <c r="BE150" i="48"/>
  <c r="BE149" i="48"/>
  <c r="BE197" i="48"/>
  <c r="BE142" i="48"/>
  <c r="BE170" i="48"/>
  <c r="BE198" i="48"/>
  <c r="BE192" i="48"/>
  <c r="BE164" i="48"/>
  <c r="BE173" i="48"/>
  <c r="BE182" i="48"/>
  <c r="BE185" i="48"/>
  <c r="BE138" i="48"/>
  <c r="AH75" i="48"/>
  <c r="AH70" i="48"/>
  <c r="AH195" i="48"/>
  <c r="AH189" i="48"/>
  <c r="AH138" i="48"/>
  <c r="AH247" i="48"/>
  <c r="AH59" i="48"/>
  <c r="AH112" i="48"/>
  <c r="AH181" i="48"/>
  <c r="AH176" i="48"/>
  <c r="AH197" i="48"/>
  <c r="AH141" i="48"/>
  <c r="AH34" i="48"/>
  <c r="AH292" i="48"/>
  <c r="AH114" i="48"/>
  <c r="AH252" i="48"/>
  <c r="AH200" i="48"/>
  <c r="AH191" i="48"/>
  <c r="AH233" i="48"/>
  <c r="AH242" i="48"/>
  <c r="AH237" i="48"/>
  <c r="AH209" i="48"/>
  <c r="AH125" i="48"/>
  <c r="AH267" i="48"/>
  <c r="AH62" i="48"/>
  <c r="AH175" i="48"/>
  <c r="AH193" i="48"/>
  <c r="AH210" i="48"/>
  <c r="AH254" i="48"/>
  <c r="AH169" i="48"/>
  <c r="AH178" i="48"/>
  <c r="AH282" i="48"/>
  <c r="AH58" i="48"/>
  <c r="AH246" i="48"/>
  <c r="AH202" i="48"/>
  <c r="AH249" i="48"/>
  <c r="AH183" i="48"/>
  <c r="AH18" i="48"/>
  <c r="AH157" i="48"/>
  <c r="AH241" i="48"/>
  <c r="AH208" i="48"/>
  <c r="AH244" i="48"/>
  <c r="AH220" i="48"/>
  <c r="AH201" i="48"/>
  <c r="AH205" i="48"/>
  <c r="AH236" i="48"/>
  <c r="AH5" i="48"/>
  <c r="AH53" i="48"/>
  <c r="AH262" i="48"/>
  <c r="AH19" i="48"/>
  <c r="AH32" i="48"/>
  <c r="AH119" i="48"/>
  <c r="AH279" i="48"/>
  <c r="AH89" i="48"/>
  <c r="AH285" i="48"/>
  <c r="AH80" i="48"/>
  <c r="AH55" i="48"/>
  <c r="AH124" i="48"/>
  <c r="AH283" i="48"/>
  <c r="AH117" i="48"/>
  <c r="AH45" i="48"/>
  <c r="AH21" i="48"/>
  <c r="AH92" i="48"/>
  <c r="AH134" i="48"/>
  <c r="AH16" i="48"/>
  <c r="AH272" i="48"/>
  <c r="AH261" i="48"/>
  <c r="AH64" i="48"/>
  <c r="AH8" i="48"/>
  <c r="AH94" i="48"/>
  <c r="AH173" i="48"/>
  <c r="AH158" i="48"/>
  <c r="AH159" i="48"/>
  <c r="AH234" i="48"/>
  <c r="AH146" i="48"/>
  <c r="AH221" i="48"/>
  <c r="AH225" i="48"/>
  <c r="AH212" i="48"/>
  <c r="AH145" i="48"/>
  <c r="AH243" i="48"/>
  <c r="AH277" i="48"/>
  <c r="AH104" i="48"/>
  <c r="AH11" i="48"/>
  <c r="AH140" i="48"/>
  <c r="AH96" i="48"/>
  <c r="AH50" i="48"/>
  <c r="AH33" i="48"/>
  <c r="AH84" i="48"/>
  <c r="AH281" i="48"/>
  <c r="AH12" i="48"/>
  <c r="AH113" i="48"/>
  <c r="AH26" i="48"/>
  <c r="AH266" i="48"/>
  <c r="AH263" i="48"/>
  <c r="AH90" i="48"/>
  <c r="AH22" i="48"/>
  <c r="AH93" i="48"/>
  <c r="AH72" i="48"/>
  <c r="AH268" i="48"/>
  <c r="AH296" i="48"/>
  <c r="AH73" i="48"/>
  <c r="AH43" i="48"/>
  <c r="AH271" i="48"/>
  <c r="AH95" i="48"/>
  <c r="AH164" i="48"/>
  <c r="AH231" i="48"/>
  <c r="AH147" i="48"/>
  <c r="AH167" i="48"/>
  <c r="AH182" i="48"/>
  <c r="AH248" i="48"/>
  <c r="AH152" i="48"/>
  <c r="AH199" i="48"/>
  <c r="AH235" i="48"/>
  <c r="AH211" i="48"/>
  <c r="AH166" i="48"/>
  <c r="AH184" i="48"/>
  <c r="AH148" i="48"/>
  <c r="AH250" i="48"/>
  <c r="AH187" i="48"/>
  <c r="AH116" i="48"/>
  <c r="AH52" i="48"/>
  <c r="AH10" i="48"/>
  <c r="AH77" i="48"/>
  <c r="AH131" i="48"/>
  <c r="AH107" i="48"/>
  <c r="AH253" i="48"/>
  <c r="AH139" i="48"/>
  <c r="AH36" i="48"/>
  <c r="AH118" i="48"/>
  <c r="AH99" i="48"/>
  <c r="AH280" i="48"/>
  <c r="AH260" i="48"/>
  <c r="AH115" i="48"/>
  <c r="AH105" i="48"/>
  <c r="AH274" i="48"/>
  <c r="AH46" i="48"/>
  <c r="AH135" i="48"/>
  <c r="AH27" i="48"/>
  <c r="AH287" i="48"/>
  <c r="AH88" i="48"/>
  <c r="AH63" i="48"/>
  <c r="AH298" i="48"/>
  <c r="AH97" i="48"/>
  <c r="AH161" i="48"/>
  <c r="AH214" i="48"/>
  <c r="AH206" i="48"/>
  <c r="AH228" i="48"/>
  <c r="AH151" i="48"/>
  <c r="AH101" i="48"/>
  <c r="AH20" i="48"/>
  <c r="AH98" i="48"/>
  <c r="AH270" i="48"/>
  <c r="AH103" i="48"/>
  <c r="AH245" i="48"/>
  <c r="AH230" i="48"/>
  <c r="AH177" i="48"/>
  <c r="AH224" i="48"/>
  <c r="AH154" i="48"/>
  <c r="AH227" i="48"/>
  <c r="AH188" i="48"/>
  <c r="AH144" i="48"/>
  <c r="AH150" i="48"/>
  <c r="AH136" i="48"/>
  <c r="AH102" i="48"/>
  <c r="AH69" i="48"/>
  <c r="AH132" i="48"/>
  <c r="AH85" i="48"/>
  <c r="AH31" i="48"/>
  <c r="AH48" i="48"/>
  <c r="AH42" i="48"/>
  <c r="AH49" i="48"/>
  <c r="AH289" i="48"/>
  <c r="AH142" i="48"/>
  <c r="AH190" i="48"/>
  <c r="AH226" i="48"/>
  <c r="AH179" i="48"/>
  <c r="AH192" i="48"/>
  <c r="AH83" i="48"/>
  <c r="AH56" i="48"/>
  <c r="AH278" i="48"/>
  <c r="AH128" i="48"/>
  <c r="AH123" i="48"/>
  <c r="AH41" i="48"/>
  <c r="AH37" i="48"/>
  <c r="AH28" i="48"/>
  <c r="AH7" i="48"/>
  <c r="AH121" i="48"/>
  <c r="AH127" i="48"/>
  <c r="AH3" i="48"/>
  <c r="AH15" i="48"/>
  <c r="AH130" i="48"/>
  <c r="AH38" i="48"/>
  <c r="AH257" i="48"/>
  <c r="AH129" i="48"/>
  <c r="AH51" i="48"/>
  <c r="AH294" i="48"/>
  <c r="AH57" i="48"/>
  <c r="AH67" i="48"/>
  <c r="AH40" i="48"/>
  <c r="AH35" i="48"/>
  <c r="AH238" i="48"/>
  <c r="AH232" i="48"/>
  <c r="AH251" i="48"/>
  <c r="AH168" i="48"/>
  <c r="AH155" i="48"/>
  <c r="AH153" i="48"/>
  <c r="AH222" i="48"/>
  <c r="AH185" i="48"/>
  <c r="AH180" i="48"/>
  <c r="AH186" i="48"/>
  <c r="AH286" i="48"/>
  <c r="AH264" i="48"/>
  <c r="AH47" i="48"/>
  <c r="AH108" i="48"/>
  <c r="AH239" i="48"/>
  <c r="AH216" i="48"/>
  <c r="AH172" i="48"/>
  <c r="AH111" i="48"/>
  <c r="AH74" i="48"/>
  <c r="AH126" i="48"/>
  <c r="AH6" i="48"/>
  <c r="AH91" i="48"/>
  <c r="AH122" i="48"/>
  <c r="AH300" i="48"/>
  <c r="AH297" i="48"/>
  <c r="AH299" i="48"/>
  <c r="AH65" i="48"/>
  <c r="AH60" i="48"/>
  <c r="AH79" i="48"/>
  <c r="AH290" i="48"/>
  <c r="AH110" i="48"/>
  <c r="AH76" i="48"/>
  <c r="AH17" i="48"/>
  <c r="AH29" i="48"/>
  <c r="AH39" i="48"/>
  <c r="AH66" i="48"/>
  <c r="AH291" i="48"/>
  <c r="AH61" i="48"/>
  <c r="AH106" i="48"/>
  <c r="AH295" i="48"/>
  <c r="AH265" i="48"/>
  <c r="AH149" i="48"/>
  <c r="AH163" i="48"/>
  <c r="AH156" i="48"/>
  <c r="AH198" i="48"/>
  <c r="AH229" i="48"/>
  <c r="AH218" i="48"/>
  <c r="AH174" i="48"/>
  <c r="AH219" i="48"/>
  <c r="AH143" i="48"/>
  <c r="AH86" i="48"/>
  <c r="AH275" i="48"/>
  <c r="AH273" i="48"/>
  <c r="AH215" i="48"/>
  <c r="AH217" i="48"/>
  <c r="AH196" i="48"/>
  <c r="AH223" i="48"/>
  <c r="AH194" i="48"/>
  <c r="AH204" i="48"/>
  <c r="AH170" i="48"/>
  <c r="AH293" i="48"/>
  <c r="AH82" i="48"/>
  <c r="AH255" i="48"/>
  <c r="AH301" i="48"/>
  <c r="AH258" i="48"/>
  <c r="AH71" i="48"/>
  <c r="AH13" i="48"/>
  <c r="AH120" i="48"/>
  <c r="AH25" i="48"/>
  <c r="AH68" i="48"/>
  <c r="AH284" i="48"/>
  <c r="AH100" i="48"/>
  <c r="AH4" i="48"/>
  <c r="AH44" i="48"/>
  <c r="AH78" i="48"/>
  <c r="AH269" i="48"/>
  <c r="AH256" i="48"/>
  <c r="AH54" i="48"/>
  <c r="AH87" i="48"/>
  <c r="AH259" i="48"/>
  <c r="AH137" i="48"/>
  <c r="AH133" i="48"/>
  <c r="AH14" i="48"/>
  <c r="AH276" i="48"/>
  <c r="AH160" i="48"/>
  <c r="AH207" i="48"/>
  <c r="AH165" i="48"/>
  <c r="AH213" i="48"/>
  <c r="AH203" i="48"/>
  <c r="AH171" i="48"/>
  <c r="AP44" i="48" l="1"/>
  <c r="AT44" i="48" s="1"/>
  <c r="AP184" i="48"/>
  <c r="AT184" i="48" s="1"/>
  <c r="AP149" i="48"/>
  <c r="AR149" i="48" s="1"/>
  <c r="AP70" i="48"/>
  <c r="AQ70" i="48" s="1"/>
  <c r="AP68" i="48"/>
  <c r="AT68" i="48" s="1"/>
  <c r="AP43" i="48"/>
  <c r="AR43" i="48" s="1"/>
  <c r="AP77" i="48"/>
  <c r="AS77" i="48" s="1"/>
  <c r="AP33" i="48"/>
  <c r="AS33" i="48" s="1"/>
  <c r="AP76" i="48"/>
  <c r="AR76" i="48" s="1"/>
  <c r="AP227" i="48"/>
  <c r="AS227" i="48" s="1"/>
  <c r="AP58" i="48"/>
  <c r="AR58" i="48" s="1"/>
  <c r="AP65" i="48"/>
  <c r="AS65" i="48" s="1"/>
  <c r="AP40" i="48"/>
  <c r="AS40" i="48" s="1"/>
  <c r="AP69" i="48"/>
  <c r="AR69" i="48" s="1"/>
  <c r="AP163" i="48"/>
  <c r="AS163" i="48" s="1"/>
  <c r="AP134" i="48"/>
  <c r="AS134" i="48" s="1"/>
  <c r="AP116" i="48"/>
  <c r="AS116" i="48" s="1"/>
  <c r="AP78" i="48"/>
  <c r="AR78" i="48" s="1"/>
  <c r="AP96" i="48"/>
  <c r="AT96" i="48" s="1"/>
  <c r="AP284" i="48"/>
  <c r="AS284" i="48" s="1"/>
  <c r="AP89" i="48"/>
  <c r="AT89" i="48" s="1"/>
  <c r="AP241" i="48"/>
  <c r="AQ241" i="48" s="1"/>
  <c r="AP106" i="48"/>
  <c r="AS106" i="48" s="1"/>
  <c r="AP32" i="48"/>
  <c r="AT32" i="48" s="1"/>
  <c r="AP220" i="48"/>
  <c r="AS220" i="48" s="1"/>
  <c r="AP177" i="48"/>
  <c r="AS177" i="48" s="1"/>
  <c r="AP294" i="48"/>
  <c r="AT294" i="48" s="1"/>
  <c r="AP14" i="48"/>
  <c r="AS14" i="48" s="1"/>
  <c r="AP2" i="48"/>
  <c r="AS2" i="48" s="1"/>
  <c r="AP156" i="48"/>
  <c r="AS156" i="48" s="1"/>
  <c r="AP298" i="48"/>
  <c r="AS298" i="48" s="1"/>
  <c r="AP107" i="48"/>
  <c r="AT107" i="48" s="1"/>
  <c r="AP263" i="48"/>
  <c r="AT263" i="48" s="1"/>
  <c r="AP51" i="48"/>
  <c r="AR51" i="48" s="1"/>
  <c r="AP82" i="48"/>
  <c r="AQ82" i="48" s="1"/>
  <c r="AP79" i="48"/>
  <c r="AS79" i="48" s="1"/>
  <c r="AP234" i="48"/>
  <c r="AQ234" i="48" s="1"/>
  <c r="AP199" i="48"/>
  <c r="AQ199" i="48" s="1"/>
  <c r="AP277" i="48"/>
  <c r="AT277" i="48" s="1"/>
  <c r="AP170" i="48"/>
  <c r="AQ170" i="48" s="1"/>
  <c r="AP214" i="48"/>
  <c r="AQ214" i="48" s="1"/>
  <c r="AP135" i="48"/>
  <c r="AR135" i="48" s="1"/>
  <c r="AP213" i="48"/>
  <c r="AT213" i="48" s="1"/>
  <c r="AP291" i="48"/>
  <c r="AT291" i="48" s="1"/>
  <c r="AP98" i="48"/>
  <c r="AS98" i="48" s="1"/>
  <c r="AP248" i="48"/>
  <c r="AT248" i="48" s="1"/>
  <c r="AP125" i="48"/>
  <c r="AS125" i="48" s="1"/>
  <c r="AP50" i="48"/>
  <c r="AQ50" i="48" s="1"/>
  <c r="AP238" i="48"/>
  <c r="AT238" i="48" s="1"/>
  <c r="AP60" i="48"/>
  <c r="AS60" i="48" s="1"/>
  <c r="AP197" i="48"/>
  <c r="AT197" i="48" s="1"/>
  <c r="AP36" i="48"/>
  <c r="AT36" i="48" s="1"/>
  <c r="AP204" i="48"/>
  <c r="AS204" i="48" s="1"/>
  <c r="AP57" i="48"/>
  <c r="AR57" i="48" s="1"/>
  <c r="AP211" i="48"/>
  <c r="AS211" i="48" s="1"/>
  <c r="AP67" i="48"/>
  <c r="AQ67" i="48" s="1"/>
  <c r="AP225" i="48"/>
  <c r="AQ225" i="48" s="1"/>
  <c r="AP85" i="48"/>
  <c r="AT85" i="48" s="1"/>
  <c r="AP232" i="48"/>
  <c r="AS232" i="48" s="1"/>
  <c r="AP168" i="48"/>
  <c r="AT168" i="48" s="1"/>
  <c r="AP190" i="48"/>
  <c r="AQ190" i="48" s="1"/>
  <c r="AP247" i="48"/>
  <c r="AS247" i="48" s="1"/>
  <c r="AP183" i="48"/>
  <c r="AS183" i="48" s="1"/>
  <c r="AP115" i="48"/>
  <c r="AT115" i="48" s="1"/>
  <c r="AP126" i="48"/>
  <c r="AQ126" i="48" s="1"/>
  <c r="AP62" i="48"/>
  <c r="AS62" i="48" s="1"/>
  <c r="AP45" i="48"/>
  <c r="AS45" i="48" s="1"/>
  <c r="AP35" i="48"/>
  <c r="AQ35" i="48" s="1"/>
  <c r="AP34" i="48"/>
  <c r="AQ34" i="48" s="1"/>
  <c r="AP17" i="48"/>
  <c r="AT17" i="48" s="1"/>
  <c r="AP80" i="48"/>
  <c r="AT80" i="48" s="1"/>
  <c r="AP16" i="48"/>
  <c r="AT16" i="48" s="1"/>
  <c r="AP230" i="48"/>
  <c r="AT230" i="48" s="1"/>
  <c r="AP261" i="48"/>
  <c r="AR261" i="48" s="1"/>
  <c r="AP133" i="48"/>
  <c r="AT133" i="48" s="1"/>
  <c r="AP268" i="48"/>
  <c r="AR268" i="48" s="1"/>
  <c r="AP140" i="48"/>
  <c r="AS140" i="48" s="1"/>
  <c r="AP275" i="48"/>
  <c r="AS275" i="48" s="1"/>
  <c r="AP147" i="48"/>
  <c r="AT147" i="48" s="1"/>
  <c r="AP282" i="48"/>
  <c r="AQ282" i="48" s="1"/>
  <c r="AP218" i="48"/>
  <c r="AQ218" i="48" s="1"/>
  <c r="AP154" i="48"/>
  <c r="AS154" i="48" s="1"/>
  <c r="AP289" i="48"/>
  <c r="AS289" i="48" s="1"/>
  <c r="AP161" i="48"/>
  <c r="AS161" i="48" s="1"/>
  <c r="AP296" i="48"/>
  <c r="AT296" i="48" s="1"/>
  <c r="AP95" i="48"/>
  <c r="AS95" i="48" s="1"/>
  <c r="AP182" i="48"/>
  <c r="AT182" i="48" s="1"/>
  <c r="AP39" i="48"/>
  <c r="AQ39" i="48" s="1"/>
  <c r="AP253" i="48"/>
  <c r="AQ253" i="48" s="1"/>
  <c r="AP189" i="48"/>
  <c r="AT189" i="48" s="1"/>
  <c r="AP123" i="48"/>
  <c r="AT123" i="48" s="1"/>
  <c r="AP4" i="48"/>
  <c r="AR4" i="48" s="1"/>
  <c r="AP260" i="48"/>
  <c r="AS260" i="48" s="1"/>
  <c r="AP196" i="48"/>
  <c r="AR196" i="48" s="1"/>
  <c r="AP132" i="48"/>
  <c r="AS132" i="48" s="1"/>
  <c r="AP31" i="48"/>
  <c r="AS31" i="48" s="1"/>
  <c r="AP267" i="48"/>
  <c r="AT267" i="48" s="1"/>
  <c r="AP203" i="48"/>
  <c r="AT203" i="48" s="1"/>
  <c r="AP139" i="48"/>
  <c r="AT139" i="48" s="1"/>
  <c r="AP55" i="48"/>
  <c r="AT55" i="48" s="1"/>
  <c r="AP274" i="48"/>
  <c r="AQ274" i="48" s="1"/>
  <c r="AP210" i="48"/>
  <c r="AT210" i="48" s="1"/>
  <c r="AP146" i="48"/>
  <c r="AQ146" i="48" s="1"/>
  <c r="AP66" i="48"/>
  <c r="AT66" i="48" s="1"/>
  <c r="AP281" i="48"/>
  <c r="AS281" i="48" s="1"/>
  <c r="AP217" i="48"/>
  <c r="AT217" i="48" s="1"/>
  <c r="AP153" i="48"/>
  <c r="AQ153" i="48" s="1"/>
  <c r="AP75" i="48"/>
  <c r="AT75" i="48" s="1"/>
  <c r="AP288" i="48"/>
  <c r="AS288" i="48" s="1"/>
  <c r="AP224" i="48"/>
  <c r="AQ224" i="48" s="1"/>
  <c r="AP160" i="48"/>
  <c r="AT160" i="48" s="1"/>
  <c r="AP84" i="48"/>
  <c r="AS84" i="48" s="1"/>
  <c r="AP124" i="48"/>
  <c r="AS124" i="48" s="1"/>
  <c r="AP239" i="48"/>
  <c r="AS239" i="48" s="1"/>
  <c r="AP175" i="48"/>
  <c r="AS175" i="48" s="1"/>
  <c r="AP105" i="48"/>
  <c r="AR105" i="48" s="1"/>
  <c r="AP118" i="48"/>
  <c r="AS118" i="48" s="1"/>
  <c r="AP54" i="48"/>
  <c r="AR54" i="48" s="1"/>
  <c r="AP37" i="48"/>
  <c r="AT37" i="48" s="1"/>
  <c r="AP27" i="48"/>
  <c r="AS27" i="48" s="1"/>
  <c r="AP26" i="48"/>
  <c r="AQ26" i="48" s="1"/>
  <c r="AP9" i="48"/>
  <c r="AQ9" i="48" s="1"/>
  <c r="AP72" i="48"/>
  <c r="AR72" i="48" s="1"/>
  <c r="AP8" i="48"/>
  <c r="AT8" i="48" s="1"/>
  <c r="AP71" i="48"/>
  <c r="AQ71" i="48" s="1"/>
  <c r="AP205" i="48"/>
  <c r="AT205" i="48" s="1"/>
  <c r="AP59" i="48"/>
  <c r="AS59" i="48" s="1"/>
  <c r="AP212" i="48"/>
  <c r="AR212" i="48" s="1"/>
  <c r="AP219" i="48"/>
  <c r="AT219" i="48" s="1"/>
  <c r="AP155" i="48"/>
  <c r="AT155" i="48" s="1"/>
  <c r="AP290" i="48"/>
  <c r="AT290" i="48" s="1"/>
  <c r="AP162" i="48"/>
  <c r="AT162" i="48" s="1"/>
  <c r="AP297" i="48"/>
  <c r="AS297" i="48" s="1"/>
  <c r="AP169" i="48"/>
  <c r="AQ169" i="48" s="1"/>
  <c r="AP158" i="48"/>
  <c r="AT158" i="48" s="1"/>
  <c r="AP255" i="48"/>
  <c r="AS255" i="48" s="1"/>
  <c r="AP191" i="48"/>
  <c r="AR191" i="48" s="1"/>
  <c r="AP12" i="48"/>
  <c r="AT12" i="48" s="1"/>
  <c r="AP6" i="48"/>
  <c r="AT6" i="48" s="1"/>
  <c r="AP42" i="48"/>
  <c r="AT42" i="48" s="1"/>
  <c r="AP25" i="48"/>
  <c r="AS25" i="48" s="1"/>
  <c r="AP88" i="48"/>
  <c r="AQ88" i="48" s="1"/>
  <c r="AP24" i="48"/>
  <c r="AR24" i="48" s="1"/>
  <c r="AP174" i="48"/>
  <c r="AS174" i="48" s="1"/>
  <c r="AP7" i="48"/>
  <c r="AQ7" i="48" s="1"/>
  <c r="AP245" i="48"/>
  <c r="AS245" i="48" s="1"/>
  <c r="AP181" i="48"/>
  <c r="AT181" i="48" s="1"/>
  <c r="AP113" i="48"/>
  <c r="AS113" i="48" s="1"/>
  <c r="AP254" i="48"/>
  <c r="AR254" i="48" s="1"/>
  <c r="AP252" i="48"/>
  <c r="AR252" i="48" s="1"/>
  <c r="AP188" i="48"/>
  <c r="AR188" i="48" s="1"/>
  <c r="AP122" i="48"/>
  <c r="AT122" i="48" s="1"/>
  <c r="AP278" i="48"/>
  <c r="AT278" i="48" s="1"/>
  <c r="AP259" i="48"/>
  <c r="AT259" i="48" s="1"/>
  <c r="AP195" i="48"/>
  <c r="AT195" i="48" s="1"/>
  <c r="AP131" i="48"/>
  <c r="AQ131" i="48" s="1"/>
  <c r="AP28" i="48"/>
  <c r="AT28" i="48" s="1"/>
  <c r="AP266" i="48"/>
  <c r="AQ266" i="48" s="1"/>
  <c r="AP202" i="48"/>
  <c r="AT202" i="48" s="1"/>
  <c r="AP138" i="48"/>
  <c r="AQ138" i="48" s="1"/>
  <c r="AP53" i="48"/>
  <c r="AS53" i="48" s="1"/>
  <c r="AP273" i="48"/>
  <c r="AT273" i="48" s="1"/>
  <c r="AP209" i="48"/>
  <c r="AS209" i="48" s="1"/>
  <c r="AP145" i="48"/>
  <c r="AS145" i="48" s="1"/>
  <c r="AP280" i="48"/>
  <c r="AQ280" i="48" s="1"/>
  <c r="AP216" i="48"/>
  <c r="AT216" i="48" s="1"/>
  <c r="AP152" i="48"/>
  <c r="AR152" i="48" s="1"/>
  <c r="AP74" i="48"/>
  <c r="AQ74" i="48" s="1"/>
  <c r="AP295" i="48"/>
  <c r="AS295" i="48" s="1"/>
  <c r="AP231" i="48"/>
  <c r="AS231" i="48" s="1"/>
  <c r="AP167" i="48"/>
  <c r="AS167" i="48" s="1"/>
  <c r="AP93" i="48"/>
  <c r="AT93" i="48" s="1"/>
  <c r="AP110" i="48"/>
  <c r="AT110" i="48" s="1"/>
  <c r="AP46" i="48"/>
  <c r="AT46" i="48" s="1"/>
  <c r="AP29" i="48"/>
  <c r="AS29" i="48" s="1"/>
  <c r="AP19" i="48"/>
  <c r="AT19" i="48" s="1"/>
  <c r="AP18" i="48"/>
  <c r="AR18" i="48" s="1"/>
  <c r="AP128" i="48"/>
  <c r="AT128" i="48" s="1"/>
  <c r="AP64" i="48"/>
  <c r="AT64" i="48" s="1"/>
  <c r="AP246" i="48"/>
  <c r="AT246" i="48" s="1"/>
  <c r="AP269" i="48"/>
  <c r="AT269" i="48" s="1"/>
  <c r="AP141" i="48"/>
  <c r="AQ141" i="48" s="1"/>
  <c r="AP276" i="48"/>
  <c r="AR276" i="48" s="1"/>
  <c r="AP148" i="48"/>
  <c r="AQ148" i="48" s="1"/>
  <c r="AP283" i="48"/>
  <c r="AR283" i="48" s="1"/>
  <c r="AP226" i="48"/>
  <c r="AQ226" i="48" s="1"/>
  <c r="AP87" i="48"/>
  <c r="AQ87" i="48" s="1"/>
  <c r="AP233" i="48"/>
  <c r="AQ233" i="48" s="1"/>
  <c r="AP97" i="48"/>
  <c r="AS97" i="48" s="1"/>
  <c r="AP240" i="48"/>
  <c r="AT240" i="48" s="1"/>
  <c r="AP176" i="48"/>
  <c r="AT176" i="48" s="1"/>
  <c r="AP114" i="48"/>
  <c r="AQ114" i="48" s="1"/>
  <c r="AP301" i="48"/>
  <c r="AT301" i="48" s="1"/>
  <c r="AP237" i="48"/>
  <c r="AT237" i="48" s="1"/>
  <c r="AP173" i="48"/>
  <c r="AT173" i="48" s="1"/>
  <c r="AP101" i="48"/>
  <c r="AT101" i="48" s="1"/>
  <c r="AP166" i="48"/>
  <c r="AT166" i="48" s="1"/>
  <c r="AP244" i="48"/>
  <c r="AT244" i="48" s="1"/>
  <c r="AP180" i="48"/>
  <c r="AR180" i="48" s="1"/>
  <c r="AP111" i="48"/>
  <c r="AS111" i="48" s="1"/>
  <c r="AP222" i="48"/>
  <c r="AS222" i="48" s="1"/>
  <c r="AP251" i="48"/>
  <c r="AT251" i="48" s="1"/>
  <c r="AP187" i="48"/>
  <c r="AR187" i="48" s="1"/>
  <c r="AP121" i="48"/>
  <c r="AS121" i="48" s="1"/>
  <c r="AP270" i="48"/>
  <c r="AR270" i="48" s="1"/>
  <c r="AP258" i="48"/>
  <c r="AT258" i="48" s="1"/>
  <c r="AP194" i="48"/>
  <c r="AQ194" i="48" s="1"/>
  <c r="AP130" i="48"/>
  <c r="AS130" i="48" s="1"/>
  <c r="AP23" i="48"/>
  <c r="AQ23" i="48" s="1"/>
  <c r="AP265" i="48"/>
  <c r="AR265" i="48" s="1"/>
  <c r="AP201" i="48"/>
  <c r="AS201" i="48" s="1"/>
  <c r="AP137" i="48"/>
  <c r="AR137" i="48" s="1"/>
  <c r="AP52" i="48"/>
  <c r="AT52" i="48" s="1"/>
  <c r="AP272" i="48"/>
  <c r="AR272" i="48" s="1"/>
  <c r="AP208" i="48"/>
  <c r="AT208" i="48" s="1"/>
  <c r="AP144" i="48"/>
  <c r="AT144" i="48" s="1"/>
  <c r="AP63" i="48"/>
  <c r="AT63" i="48" s="1"/>
  <c r="AP287" i="48"/>
  <c r="AS287" i="48" s="1"/>
  <c r="AP223" i="48"/>
  <c r="AT223" i="48" s="1"/>
  <c r="AP159" i="48"/>
  <c r="AQ159" i="48" s="1"/>
  <c r="AP83" i="48"/>
  <c r="AT83" i="48" s="1"/>
  <c r="AP102" i="48"/>
  <c r="AR102" i="48" s="1"/>
  <c r="AP38" i="48"/>
  <c r="AT38" i="48" s="1"/>
  <c r="AP21" i="48"/>
  <c r="AS21" i="48" s="1"/>
  <c r="AP11" i="48"/>
  <c r="AS11" i="48" s="1"/>
  <c r="AP10" i="48"/>
  <c r="AQ10" i="48" s="1"/>
  <c r="AP120" i="48"/>
  <c r="AT120" i="48" s="1"/>
  <c r="AP56" i="48"/>
  <c r="AT56" i="48" s="1"/>
  <c r="AP103" i="48"/>
  <c r="AR103" i="48" s="1"/>
  <c r="AP293" i="48"/>
  <c r="AQ293" i="48" s="1"/>
  <c r="AP229" i="48"/>
  <c r="AR229" i="48" s="1"/>
  <c r="AP165" i="48"/>
  <c r="AQ165" i="48" s="1"/>
  <c r="AP91" i="48"/>
  <c r="AS91" i="48" s="1"/>
  <c r="AP300" i="48"/>
  <c r="AR300" i="48" s="1"/>
  <c r="AP236" i="48"/>
  <c r="AS236" i="48" s="1"/>
  <c r="AP172" i="48"/>
  <c r="AS172" i="48" s="1"/>
  <c r="AP100" i="48"/>
  <c r="AQ100" i="48" s="1"/>
  <c r="AP150" i="48"/>
  <c r="AR150" i="48" s="1"/>
  <c r="AP243" i="48"/>
  <c r="AS243" i="48" s="1"/>
  <c r="AP179" i="48"/>
  <c r="AT179" i="48" s="1"/>
  <c r="AP109" i="48"/>
  <c r="AT109" i="48" s="1"/>
  <c r="AP198" i="48"/>
  <c r="AT198" i="48" s="1"/>
  <c r="AP250" i="48"/>
  <c r="AQ250" i="48" s="1"/>
  <c r="AP186" i="48"/>
  <c r="AQ186" i="48" s="1"/>
  <c r="AP119" i="48"/>
  <c r="AS119" i="48" s="1"/>
  <c r="AP262" i="48"/>
  <c r="AS262" i="48" s="1"/>
  <c r="AP257" i="48"/>
  <c r="AT257" i="48" s="1"/>
  <c r="AP193" i="48"/>
  <c r="AS193" i="48" s="1"/>
  <c r="AP129" i="48"/>
  <c r="AT129" i="48" s="1"/>
  <c r="AP20" i="48"/>
  <c r="AT20" i="48" s="1"/>
  <c r="AP264" i="48"/>
  <c r="AT264" i="48" s="1"/>
  <c r="AP200" i="48"/>
  <c r="AT200" i="48" s="1"/>
  <c r="AP136" i="48"/>
  <c r="AT136" i="48" s="1"/>
  <c r="AP47" i="48"/>
  <c r="AS47" i="48" s="1"/>
  <c r="AP279" i="48"/>
  <c r="AT279" i="48" s="1"/>
  <c r="AP215" i="48"/>
  <c r="AS215" i="48" s="1"/>
  <c r="AP151" i="48"/>
  <c r="AR151" i="48" s="1"/>
  <c r="AP73" i="48"/>
  <c r="AS73" i="48" s="1"/>
  <c r="AP94" i="48"/>
  <c r="AT94" i="48" s="1"/>
  <c r="AP30" i="48"/>
  <c r="AT30" i="48" s="1"/>
  <c r="AP13" i="48"/>
  <c r="AR13" i="48" s="1"/>
  <c r="AP3" i="48"/>
  <c r="AR3" i="48" s="1"/>
  <c r="AP49" i="48"/>
  <c r="AT49" i="48" s="1"/>
  <c r="AP112" i="48"/>
  <c r="AQ112" i="48" s="1"/>
  <c r="AP48" i="48"/>
  <c r="AS48" i="48" s="1"/>
  <c r="AP92" i="48"/>
  <c r="AT92" i="48" s="1"/>
  <c r="AP285" i="48"/>
  <c r="AT285" i="48" s="1"/>
  <c r="AP221" i="48"/>
  <c r="AT221" i="48" s="1"/>
  <c r="AP157" i="48"/>
  <c r="AS157" i="48" s="1"/>
  <c r="AP81" i="48"/>
  <c r="AT81" i="48" s="1"/>
  <c r="AP292" i="48"/>
  <c r="AS292" i="48" s="1"/>
  <c r="AP228" i="48"/>
  <c r="AR228" i="48" s="1"/>
  <c r="AP164" i="48"/>
  <c r="AQ164" i="48" s="1"/>
  <c r="AP90" i="48"/>
  <c r="AT90" i="48" s="1"/>
  <c r="AP299" i="48"/>
  <c r="AT299" i="48" s="1"/>
  <c r="AP235" i="48"/>
  <c r="AT235" i="48" s="1"/>
  <c r="AP171" i="48"/>
  <c r="AT171" i="48" s="1"/>
  <c r="AP99" i="48"/>
  <c r="AT99" i="48" s="1"/>
  <c r="AP142" i="48"/>
  <c r="AS142" i="48" s="1"/>
  <c r="AP242" i="48"/>
  <c r="AR242" i="48" s="1"/>
  <c r="AP178" i="48"/>
  <c r="AT178" i="48" s="1"/>
  <c r="AP108" i="48"/>
  <c r="AS108" i="48" s="1"/>
  <c r="AP206" i="48"/>
  <c r="AT206" i="48" s="1"/>
  <c r="AP249" i="48"/>
  <c r="AS249" i="48" s="1"/>
  <c r="AP185" i="48"/>
  <c r="AT185" i="48" s="1"/>
  <c r="AP117" i="48"/>
  <c r="AR117" i="48" s="1"/>
  <c r="AP286" i="48"/>
  <c r="AR286" i="48" s="1"/>
  <c r="AP256" i="48"/>
  <c r="AT256" i="48" s="1"/>
  <c r="AP192" i="48"/>
  <c r="AR192" i="48" s="1"/>
  <c r="AP127" i="48"/>
  <c r="AS127" i="48" s="1"/>
  <c r="AP15" i="48"/>
  <c r="AS15" i="48" s="1"/>
  <c r="AP271" i="48"/>
  <c r="AR271" i="48" s="1"/>
  <c r="AP207" i="48"/>
  <c r="AR207" i="48" s="1"/>
  <c r="AP143" i="48"/>
  <c r="AT143" i="48" s="1"/>
  <c r="AP61" i="48"/>
  <c r="AS61" i="48" s="1"/>
  <c r="AP86" i="48"/>
  <c r="AT86" i="48" s="1"/>
  <c r="AP22" i="48"/>
  <c r="AS22" i="48" s="1"/>
  <c r="AP5" i="48"/>
  <c r="AS5" i="48" s="1"/>
  <c r="AP41" i="48"/>
  <c r="AS41" i="48" s="1"/>
  <c r="AP104" i="48"/>
  <c r="AT104" i="48" s="1"/>
  <c r="AT254" i="48"/>
  <c r="AR284" i="48" l="1"/>
  <c r="AS70" i="48"/>
  <c r="AT65" i="48"/>
  <c r="AT70" i="48"/>
  <c r="AR70" i="48"/>
  <c r="AQ65" i="48"/>
  <c r="AS184" i="48"/>
  <c r="AQ58" i="48"/>
  <c r="AT149" i="48"/>
  <c r="AQ96" i="48"/>
  <c r="AQ149" i="48"/>
  <c r="AT58" i="48"/>
  <c r="AS68" i="48"/>
  <c r="AR68" i="48"/>
  <c r="AQ98" i="48"/>
  <c r="AR96" i="48"/>
  <c r="AQ294" i="48"/>
  <c r="AS149" i="48"/>
  <c r="AS58" i="48"/>
  <c r="AS82" i="48"/>
  <c r="AR197" i="48"/>
  <c r="AR65" i="48"/>
  <c r="AT105" i="48"/>
  <c r="AQ14" i="48"/>
  <c r="AS190" i="48"/>
  <c r="AT190" i="48"/>
  <c r="AR82" i="48"/>
  <c r="AQ197" i="48"/>
  <c r="AR153" i="48"/>
  <c r="AR123" i="48"/>
  <c r="AT232" i="48"/>
  <c r="AT72" i="48"/>
  <c r="AR60" i="48"/>
  <c r="AQ36" i="48"/>
  <c r="AQ55" i="48"/>
  <c r="AT4" i="48"/>
  <c r="AR239" i="48"/>
  <c r="AS234" i="48"/>
  <c r="AT204" i="48"/>
  <c r="AR234" i="48"/>
  <c r="AT98" i="48"/>
  <c r="AQ68" i="48"/>
  <c r="AQ140" i="48"/>
  <c r="AT2" i="48"/>
  <c r="AQ44" i="48"/>
  <c r="AS44" i="48"/>
  <c r="AR44" i="48"/>
  <c r="AT26" i="48"/>
  <c r="AS51" i="48"/>
  <c r="AT177" i="48"/>
  <c r="AS189" i="48"/>
  <c r="AT51" i="48"/>
  <c r="AQ135" i="48"/>
  <c r="AR226" i="48"/>
  <c r="AQ227" i="48"/>
  <c r="AT135" i="48"/>
  <c r="AS9" i="48"/>
  <c r="AT154" i="48"/>
  <c r="AQ261" i="48"/>
  <c r="AR155" i="48"/>
  <c r="AT227" i="48"/>
  <c r="AQ78" i="48"/>
  <c r="AQ189" i="48"/>
  <c r="AR9" i="48"/>
  <c r="AR217" i="48"/>
  <c r="AQ85" i="48"/>
  <c r="AT9" i="48"/>
  <c r="AS217" i="48"/>
  <c r="AR189" i="48"/>
  <c r="AS85" i="48"/>
  <c r="AQ203" i="48"/>
  <c r="AQ62" i="48"/>
  <c r="AR154" i="48"/>
  <c r="AT261" i="48"/>
  <c r="AS78" i="48"/>
  <c r="AQ184" i="48"/>
  <c r="AR203" i="48"/>
  <c r="AT62" i="48"/>
  <c r="AQ154" i="48"/>
  <c r="AQ60" i="48"/>
  <c r="AT245" i="48"/>
  <c r="AR184" i="48"/>
  <c r="AT239" i="48"/>
  <c r="AT60" i="48"/>
  <c r="AR131" i="48"/>
  <c r="AR233" i="48"/>
  <c r="AQ155" i="48"/>
  <c r="AR237" i="48"/>
  <c r="AQ273" i="48"/>
  <c r="AS273" i="48"/>
  <c r="AS12" i="48"/>
  <c r="AQ245" i="48"/>
  <c r="AR12" i="48"/>
  <c r="AR245" i="48"/>
  <c r="AS226" i="48"/>
  <c r="AS199" i="48"/>
  <c r="AS169" i="48"/>
  <c r="AS43" i="48"/>
  <c r="AQ57" i="48"/>
  <c r="AQ95" i="48"/>
  <c r="AS57" i="48"/>
  <c r="AT43" i="48"/>
  <c r="AR17" i="48"/>
  <c r="AT247" i="48"/>
  <c r="AQ43" i="48"/>
  <c r="AQ69" i="48"/>
  <c r="AR248" i="48"/>
  <c r="AT69" i="48"/>
  <c r="AT54" i="48"/>
  <c r="AS294" i="48"/>
  <c r="AS181" i="48"/>
  <c r="AT196" i="48"/>
  <c r="AR95" i="48"/>
  <c r="AT275" i="48"/>
  <c r="AT153" i="48"/>
  <c r="AQ196" i="48"/>
  <c r="AT45" i="48"/>
  <c r="AR232" i="48"/>
  <c r="AQ6" i="48"/>
  <c r="AT87" i="48"/>
  <c r="AT118" i="48"/>
  <c r="AQ296" i="48"/>
  <c r="AS296" i="48"/>
  <c r="AR110" i="48"/>
  <c r="AT140" i="48"/>
  <c r="AR288" i="48"/>
  <c r="AQ269" i="48"/>
  <c r="AR260" i="48"/>
  <c r="AR224" i="48"/>
  <c r="AR275" i="48"/>
  <c r="AS17" i="48"/>
  <c r="AQ275" i="48"/>
  <c r="AS54" i="48"/>
  <c r="AT224" i="48"/>
  <c r="AQ240" i="48"/>
  <c r="AR199" i="48"/>
  <c r="AR241" i="48"/>
  <c r="AT169" i="48"/>
  <c r="AS252" i="48"/>
  <c r="AT199" i="48"/>
  <c r="AQ248" i="48"/>
  <c r="AS241" i="48"/>
  <c r="AS196" i="48"/>
  <c r="AQ247" i="48"/>
  <c r="AT95" i="48"/>
  <c r="AT57" i="48"/>
  <c r="AR88" i="48"/>
  <c r="AS69" i="48"/>
  <c r="AS248" i="48"/>
  <c r="AQ17" i="48"/>
  <c r="AR247" i="48"/>
  <c r="AT88" i="48"/>
  <c r="AQ156" i="48"/>
  <c r="AR156" i="48"/>
  <c r="AT241" i="48"/>
  <c r="AT156" i="48"/>
  <c r="AQ54" i="48"/>
  <c r="AS224" i="48"/>
  <c r="AS166" i="48"/>
  <c r="AS254" i="48"/>
  <c r="AQ125" i="48"/>
  <c r="AT125" i="48"/>
  <c r="AQ171" i="48"/>
  <c r="AT288" i="48"/>
  <c r="AR190" i="48"/>
  <c r="AR296" i="48"/>
  <c r="AR204" i="48"/>
  <c r="AR2" i="48"/>
  <c r="AQ97" i="48"/>
  <c r="AS71" i="48"/>
  <c r="AR98" i="48"/>
  <c r="AS110" i="48"/>
  <c r="AT34" i="48"/>
  <c r="AR140" i="48"/>
  <c r="AS28" i="48"/>
  <c r="AT234" i="48"/>
  <c r="AQ89" i="48"/>
  <c r="AQ40" i="48"/>
  <c r="AS171" i="48"/>
  <c r="AT260" i="48"/>
  <c r="AS34" i="48"/>
  <c r="AR28" i="48"/>
  <c r="AR89" i="48"/>
  <c r="AR40" i="48"/>
  <c r="AS46" i="48"/>
  <c r="AS270" i="48"/>
  <c r="AQ118" i="48"/>
  <c r="AQ260" i="48"/>
  <c r="AR34" i="48"/>
  <c r="AQ204" i="48"/>
  <c r="AQ2" i="48"/>
  <c r="AS141" i="48"/>
  <c r="AS89" i="48"/>
  <c r="AT40" i="48"/>
  <c r="AT119" i="48"/>
  <c r="AT270" i="48"/>
  <c r="AR118" i="48"/>
  <c r="AQ288" i="48"/>
  <c r="AT280" i="48"/>
  <c r="AT141" i="48"/>
  <c r="AT252" i="48"/>
  <c r="AQ166" i="48"/>
  <c r="AQ163" i="48"/>
  <c r="AR106" i="48"/>
  <c r="AR163" i="48"/>
  <c r="AQ106" i="48"/>
  <c r="AQ277" i="48"/>
  <c r="AQ77" i="48"/>
  <c r="AT298" i="48"/>
  <c r="AR77" i="48"/>
  <c r="AS210" i="48"/>
  <c r="AS88" i="48"/>
  <c r="AR169" i="48"/>
  <c r="AR141" i="48"/>
  <c r="AQ252" i="48"/>
  <c r="AQ46" i="48"/>
  <c r="AS244" i="48"/>
  <c r="AS266" i="48"/>
  <c r="AR46" i="48"/>
  <c r="AR244" i="48"/>
  <c r="AT266" i="48"/>
  <c r="AR240" i="48"/>
  <c r="AQ205" i="48"/>
  <c r="AQ272" i="48"/>
  <c r="AS240" i="48"/>
  <c r="AS205" i="48"/>
  <c r="AS272" i="48"/>
  <c r="AQ210" i="48"/>
  <c r="AR205" i="48"/>
  <c r="AR216" i="48"/>
  <c r="AS216" i="48"/>
  <c r="AR210" i="48"/>
  <c r="AQ244" i="48"/>
  <c r="AR266" i="48"/>
  <c r="AR119" i="48"/>
  <c r="AS83" i="48"/>
  <c r="AT207" i="48"/>
  <c r="AS114" i="48"/>
  <c r="AS207" i="48"/>
  <c r="AR71" i="48"/>
  <c r="AQ207" i="48"/>
  <c r="AS185" i="48"/>
  <c r="AT157" i="48"/>
  <c r="AS136" i="48"/>
  <c r="AT103" i="48"/>
  <c r="AR83" i="48"/>
  <c r="AQ270" i="48"/>
  <c r="AR280" i="48"/>
  <c r="AS280" i="48"/>
  <c r="AQ28" i="48"/>
  <c r="AT71" i="48"/>
  <c r="AR171" i="48"/>
  <c r="AQ119" i="48"/>
  <c r="AS103" i="48"/>
  <c r="AQ83" i="48"/>
  <c r="AQ110" i="48"/>
  <c r="AT274" i="48"/>
  <c r="AS274" i="48"/>
  <c r="AQ25" i="48"/>
  <c r="AR97" i="48"/>
  <c r="AQ297" i="48"/>
  <c r="AR269" i="48"/>
  <c r="AQ117" i="48"/>
  <c r="AT100" i="48"/>
  <c r="AR274" i="48"/>
  <c r="AT25" i="48"/>
  <c r="AT97" i="48"/>
  <c r="AR297" i="48"/>
  <c r="AS269" i="48"/>
  <c r="AQ185" i="48"/>
  <c r="AQ157" i="48"/>
  <c r="AQ13" i="48"/>
  <c r="AR100" i="48"/>
  <c r="AQ52" i="48"/>
  <c r="AR25" i="48"/>
  <c r="AT297" i="48"/>
  <c r="AR185" i="48"/>
  <c r="AR157" i="48"/>
  <c r="AT13" i="48"/>
  <c r="AS100" i="48"/>
  <c r="AS52" i="48"/>
  <c r="AQ136" i="48"/>
  <c r="AQ103" i="48"/>
  <c r="AR52" i="48"/>
  <c r="AR27" i="48"/>
  <c r="AQ24" i="48"/>
  <c r="AR176" i="48"/>
  <c r="AT293" i="48"/>
  <c r="AT188" i="48"/>
  <c r="AS258" i="48"/>
  <c r="AQ132" i="48"/>
  <c r="AQ258" i="48"/>
  <c r="AQ32" i="48"/>
  <c r="AR39" i="48"/>
  <c r="AR16" i="48"/>
  <c r="AQ84" i="48"/>
  <c r="AQ31" i="48"/>
  <c r="AS39" i="48"/>
  <c r="AQ122" i="48"/>
  <c r="AQ27" i="48"/>
  <c r="AS81" i="48"/>
  <c r="AR262" i="48"/>
  <c r="AR99" i="48"/>
  <c r="AS3" i="48"/>
  <c r="AT262" i="48"/>
  <c r="AS293" i="48"/>
  <c r="AS99" i="48"/>
  <c r="AT3" i="48"/>
  <c r="AR293" i="48"/>
  <c r="AT117" i="48"/>
  <c r="AT150" i="48"/>
  <c r="AQ102" i="48"/>
  <c r="AR143" i="48"/>
  <c r="AT102" i="48"/>
  <c r="AQ81" i="48"/>
  <c r="AQ262" i="48"/>
  <c r="AQ143" i="48"/>
  <c r="AR47" i="48"/>
  <c r="AS143" i="48"/>
  <c r="AT47" i="48"/>
  <c r="AQ99" i="48"/>
  <c r="AR81" i="48"/>
  <c r="AQ150" i="48"/>
  <c r="AT11" i="48"/>
  <c r="AT191" i="48"/>
  <c r="AT255" i="48"/>
  <c r="AT165" i="48"/>
  <c r="AQ222" i="48"/>
  <c r="AR225" i="48"/>
  <c r="AT27" i="48"/>
  <c r="AS66" i="48"/>
  <c r="AR66" i="48"/>
  <c r="AR126" i="48"/>
  <c r="AS148" i="48"/>
  <c r="AR220" i="48"/>
  <c r="AR33" i="48"/>
  <c r="AS263" i="48"/>
  <c r="AQ178" i="48"/>
  <c r="AT23" i="48"/>
  <c r="AT18" i="48"/>
  <c r="AR67" i="48"/>
  <c r="AT67" i="48"/>
  <c r="AR144" i="48"/>
  <c r="AS253" i="48"/>
  <c r="AQ230" i="48"/>
  <c r="AS283" i="48"/>
  <c r="AS214" i="48"/>
  <c r="AR7" i="48"/>
  <c r="AR111" i="48"/>
  <c r="AQ242" i="48"/>
  <c r="AS63" i="48"/>
  <c r="AS26" i="48"/>
  <c r="AR253" i="48"/>
  <c r="AS126" i="48"/>
  <c r="AT225" i="48"/>
  <c r="AS230" i="48"/>
  <c r="AS191" i="48"/>
  <c r="AT283" i="48"/>
  <c r="AT220" i="48"/>
  <c r="AR214" i="48"/>
  <c r="AT164" i="48"/>
  <c r="AT7" i="48"/>
  <c r="AQ129" i="48"/>
  <c r="AS23" i="48"/>
  <c r="AT222" i="48"/>
  <c r="AQ18" i="48"/>
  <c r="AR164" i="48"/>
  <c r="AS7" i="48"/>
  <c r="AQ151" i="48"/>
  <c r="AR129" i="48"/>
  <c r="AQ109" i="48"/>
  <c r="AQ238" i="48"/>
  <c r="AR219" i="48"/>
  <c r="AQ278" i="48"/>
  <c r="AQ116" i="48"/>
  <c r="AR22" i="48"/>
  <c r="AS164" i="48"/>
  <c r="AQ301" i="48"/>
  <c r="AQ295" i="48"/>
  <c r="AQ48" i="48"/>
  <c r="AT151" i="48"/>
  <c r="AS129" i="48"/>
  <c r="AR109" i="48"/>
  <c r="AQ91" i="48"/>
  <c r="AR53" i="48"/>
  <c r="AR26" i="48"/>
  <c r="AQ124" i="48"/>
  <c r="AT218" i="48"/>
  <c r="AR230" i="48"/>
  <c r="AQ219" i="48"/>
  <c r="AS278" i="48"/>
  <c r="AT214" i="48"/>
  <c r="AQ22" i="48"/>
  <c r="AT124" i="48"/>
  <c r="AQ281" i="48"/>
  <c r="AQ76" i="48"/>
  <c r="AR218" i="48"/>
  <c r="AR124" i="48"/>
  <c r="AT281" i="48"/>
  <c r="AQ267" i="48"/>
  <c r="AT76" i="48"/>
  <c r="AS218" i="48"/>
  <c r="AR238" i="48"/>
  <c r="AS219" i="48"/>
  <c r="AR278" i="48"/>
  <c r="AT116" i="48"/>
  <c r="AT22" i="48"/>
  <c r="AQ192" i="48"/>
  <c r="AR301" i="48"/>
  <c r="AR295" i="48"/>
  <c r="AR48" i="48"/>
  <c r="AS151" i="48"/>
  <c r="AS109" i="48"/>
  <c r="AR91" i="48"/>
  <c r="AQ53" i="48"/>
  <c r="AS238" i="48"/>
  <c r="AQ263" i="48"/>
  <c r="AR116" i="48"/>
  <c r="AS192" i="48"/>
  <c r="AR178" i="48"/>
  <c r="AS301" i="48"/>
  <c r="AT295" i="48"/>
  <c r="AT48" i="48"/>
  <c r="AT91" i="48"/>
  <c r="AT53" i="48"/>
  <c r="AS225" i="48"/>
  <c r="AR281" i="48"/>
  <c r="AR267" i="48"/>
  <c r="AS76" i="48"/>
  <c r="AS267" i="48"/>
  <c r="AQ191" i="48"/>
  <c r="AQ283" i="48"/>
  <c r="AQ220" i="48"/>
  <c r="AR263" i="48"/>
  <c r="AT192" i="48"/>
  <c r="AS178" i="48"/>
  <c r="AQ11" i="48"/>
  <c r="AR63" i="48"/>
  <c r="AT253" i="48"/>
  <c r="AT126" i="48"/>
  <c r="AR11" i="48"/>
  <c r="AQ63" i="48"/>
  <c r="AR23" i="48"/>
  <c r="AS256" i="48"/>
  <c r="AT112" i="48"/>
  <c r="AQ215" i="48"/>
  <c r="AQ255" i="48"/>
  <c r="AT148" i="48"/>
  <c r="AQ33" i="48"/>
  <c r="AR134" i="48"/>
  <c r="AS242" i="48"/>
  <c r="AR112" i="48"/>
  <c r="AS165" i="48"/>
  <c r="AT21" i="48"/>
  <c r="AQ130" i="48"/>
  <c r="AQ66" i="48"/>
  <c r="AR31" i="48"/>
  <c r="AT39" i="48"/>
  <c r="AQ16" i="48"/>
  <c r="AS67" i="48"/>
  <c r="AS122" i="48"/>
  <c r="AR255" i="48"/>
  <c r="AR148" i="48"/>
  <c r="AT33" i="48"/>
  <c r="AT134" i="48"/>
  <c r="AQ256" i="48"/>
  <c r="AT242" i="48"/>
  <c r="AS112" i="48"/>
  <c r="AR165" i="48"/>
  <c r="AT174" i="48"/>
  <c r="AQ144" i="48"/>
  <c r="AQ111" i="48"/>
  <c r="AR114" i="48"/>
  <c r="AS16" i="48"/>
  <c r="AQ212" i="48"/>
  <c r="AS32" i="48"/>
  <c r="AQ86" i="48"/>
  <c r="AR256" i="48"/>
  <c r="AR215" i="48"/>
  <c r="AR179" i="48"/>
  <c r="AQ19" i="48"/>
  <c r="AS144" i="48"/>
  <c r="AT111" i="48"/>
  <c r="AT114" i="48"/>
  <c r="AT74" i="48"/>
  <c r="AT31" i="48"/>
  <c r="AR115" i="48"/>
  <c r="AR282" i="48"/>
  <c r="AT212" i="48"/>
  <c r="AR32" i="48"/>
  <c r="AS50" i="48"/>
  <c r="AS86" i="48"/>
  <c r="AR138" i="48"/>
  <c r="AT215" i="48"/>
  <c r="AQ179" i="48"/>
  <c r="AR19" i="48"/>
  <c r="AS74" i="48"/>
  <c r="AT84" i="48"/>
  <c r="AT282" i="48"/>
  <c r="AR84" i="48"/>
  <c r="AQ115" i="48"/>
  <c r="AS282" i="48"/>
  <c r="AS212" i="48"/>
  <c r="AT50" i="48"/>
  <c r="AR107" i="48"/>
  <c r="AR170" i="48"/>
  <c r="AR86" i="48"/>
  <c r="AQ228" i="48"/>
  <c r="AT138" i="48"/>
  <c r="AQ193" i="48"/>
  <c r="AS179" i="48"/>
  <c r="AS19" i="48"/>
  <c r="AQ21" i="48"/>
  <c r="AR130" i="48"/>
  <c r="AR74" i="48"/>
  <c r="AS115" i="48"/>
  <c r="AR50" i="48"/>
  <c r="AQ107" i="48"/>
  <c r="AQ134" i="48"/>
  <c r="AT170" i="48"/>
  <c r="AS228" i="48"/>
  <c r="AS138" i="48"/>
  <c r="AR193" i="48"/>
  <c r="AQ174" i="48"/>
  <c r="AR21" i="48"/>
  <c r="AT130" i="48"/>
  <c r="AR122" i="48"/>
  <c r="AS107" i="48"/>
  <c r="AS170" i="48"/>
  <c r="AT228" i="48"/>
  <c r="AT193" i="48"/>
  <c r="AR174" i="48"/>
  <c r="AR222" i="48"/>
  <c r="AS18" i="48"/>
  <c r="AQ206" i="48"/>
  <c r="AR235" i="48"/>
  <c r="AQ47" i="48"/>
  <c r="AQ120" i="48"/>
  <c r="AT272" i="48"/>
  <c r="AQ5" i="48"/>
  <c r="AQ271" i="48"/>
  <c r="AR90" i="48"/>
  <c r="AS92" i="48"/>
  <c r="AS13" i="48"/>
  <c r="AR136" i="48"/>
  <c r="AR166" i="48"/>
  <c r="AS223" i="48"/>
  <c r="AT137" i="48"/>
  <c r="AQ254" i="48"/>
  <c r="AS276" i="48"/>
  <c r="AQ298" i="48"/>
  <c r="AS37" i="48"/>
  <c r="AR211" i="48"/>
  <c r="AT163" i="48"/>
  <c r="AT77" i="48"/>
  <c r="AR264" i="48"/>
  <c r="AQ236" i="48"/>
  <c r="AR195" i="48"/>
  <c r="AS194" i="48"/>
  <c r="AR80" i="48"/>
  <c r="AR147" i="48"/>
  <c r="AS146" i="48"/>
  <c r="AS202" i="48"/>
  <c r="AR87" i="48"/>
  <c r="AQ181" i="48"/>
  <c r="AQ20" i="48"/>
  <c r="AR186" i="48"/>
  <c r="AQ195" i="48"/>
  <c r="AQ182" i="48"/>
  <c r="AR183" i="48"/>
  <c r="AR125" i="48"/>
  <c r="AT106" i="48"/>
  <c r="AR158" i="48"/>
  <c r="AS277" i="48"/>
  <c r="AQ285" i="48"/>
  <c r="AR160" i="48"/>
  <c r="AR298" i="48"/>
  <c r="AR277" i="48"/>
  <c r="AS285" i="48"/>
  <c r="AQ264" i="48"/>
  <c r="AS38" i="48"/>
  <c r="AS208" i="48"/>
  <c r="AQ187" i="48"/>
  <c r="AQ217" i="48"/>
  <c r="AS203" i="48"/>
  <c r="AR62" i="48"/>
  <c r="AR85" i="48"/>
  <c r="AS261" i="48"/>
  <c r="AR273" i="48"/>
  <c r="AT226" i="48"/>
  <c r="AS155" i="48"/>
  <c r="AR227" i="48"/>
  <c r="AQ51" i="48"/>
  <c r="AT78" i="48"/>
  <c r="AS135" i="48"/>
  <c r="AQ177" i="48"/>
  <c r="AR5" i="48"/>
  <c r="AS117" i="48"/>
  <c r="AS206" i="48"/>
  <c r="AS90" i="48"/>
  <c r="AQ259" i="48"/>
  <c r="AQ3" i="48"/>
  <c r="AQ30" i="48"/>
  <c r="AS20" i="48"/>
  <c r="AS150" i="48"/>
  <c r="AT236" i="48"/>
  <c r="AQ128" i="48"/>
  <c r="AQ93" i="48"/>
  <c r="AS102" i="48"/>
  <c r="AQ287" i="48"/>
  <c r="AR258" i="48"/>
  <c r="AS187" i="48"/>
  <c r="AS237" i="48"/>
  <c r="AQ239" i="48"/>
  <c r="AQ12" i="48"/>
  <c r="AR177" i="48"/>
  <c r="AS104" i="48"/>
  <c r="AT5" i="48"/>
  <c r="AQ108" i="48"/>
  <c r="AQ90" i="48"/>
  <c r="AR259" i="48"/>
  <c r="AQ73" i="48"/>
  <c r="AR20" i="48"/>
  <c r="AQ300" i="48"/>
  <c r="AR128" i="48"/>
  <c r="AQ231" i="48"/>
  <c r="AR287" i="48"/>
  <c r="AS251" i="48"/>
  <c r="AQ216" i="48"/>
  <c r="AT108" i="48"/>
  <c r="AS259" i="48"/>
  <c r="AR73" i="48"/>
  <c r="AS300" i="48"/>
  <c r="AS128" i="48"/>
  <c r="AR231" i="48"/>
  <c r="AQ127" i="48"/>
  <c r="AR108" i="48"/>
  <c r="AT73" i="48"/>
  <c r="AT300" i="48"/>
  <c r="AT231" i="48"/>
  <c r="AR127" i="48"/>
  <c r="AQ92" i="48"/>
  <c r="AQ198" i="48"/>
  <c r="AS120" i="48"/>
  <c r="AT265" i="48"/>
  <c r="AT127" i="48"/>
  <c r="AR92" i="48"/>
  <c r="AR198" i="48"/>
  <c r="AS10" i="48"/>
  <c r="AS265" i="48"/>
  <c r="AS198" i="48"/>
  <c r="AQ237" i="48"/>
  <c r="AR55" i="48"/>
  <c r="AQ104" i="48"/>
  <c r="AQ235" i="48"/>
  <c r="AR30" i="48"/>
  <c r="AT186" i="48"/>
  <c r="AS137" i="48"/>
  <c r="AS153" i="48"/>
  <c r="AR291" i="48"/>
  <c r="AQ213" i="48"/>
  <c r="AT82" i="48"/>
  <c r="AS131" i="48"/>
  <c r="AS96" i="48"/>
  <c r="AR14" i="48"/>
  <c r="AR294" i="48"/>
  <c r="AR181" i="48"/>
  <c r="AR104" i="48"/>
  <c r="AT271" i="48"/>
  <c r="AR206" i="48"/>
  <c r="AS235" i="48"/>
  <c r="AR285" i="48"/>
  <c r="AS30" i="48"/>
  <c r="AS264" i="48"/>
  <c r="AS186" i="48"/>
  <c r="AR236" i="48"/>
  <c r="AS93" i="48"/>
  <c r="AS195" i="48"/>
  <c r="AR120" i="48"/>
  <c r="AR159" i="48"/>
  <c r="AQ201" i="48"/>
  <c r="AT187" i="48"/>
  <c r="AS36" i="48"/>
  <c r="AR93" i="48"/>
  <c r="AR8" i="48"/>
  <c r="AR35" i="48"/>
  <c r="AS168" i="48"/>
  <c r="AR36" i="48"/>
  <c r="AS197" i="48"/>
  <c r="AR175" i="48"/>
  <c r="AQ75" i="48"/>
  <c r="AS55" i="48"/>
  <c r="AS123" i="48"/>
  <c r="AQ291" i="48"/>
  <c r="AS213" i="48"/>
  <c r="AS35" i="48"/>
  <c r="AQ168" i="48"/>
  <c r="AR161" i="48"/>
  <c r="AR289" i="48"/>
  <c r="AR42" i="48"/>
  <c r="AS6" i="48"/>
  <c r="AR162" i="48"/>
  <c r="AS290" i="48"/>
  <c r="AT131" i="48"/>
  <c r="AT14" i="48"/>
  <c r="AS271" i="48"/>
  <c r="AT159" i="48"/>
  <c r="AT287" i="48"/>
  <c r="AR201" i="48"/>
  <c r="AQ121" i="48"/>
  <c r="AR251" i="48"/>
  <c r="AQ8" i="48"/>
  <c r="AS105" i="48"/>
  <c r="AT284" i="48"/>
  <c r="AT233" i="48"/>
  <c r="AQ123" i="48"/>
  <c r="AQ161" i="48"/>
  <c r="AQ289" i="48"/>
  <c r="AS42" i="48"/>
  <c r="AR6" i="48"/>
  <c r="AS233" i="48"/>
  <c r="AS87" i="48"/>
  <c r="AS8" i="48"/>
  <c r="AT175" i="48"/>
  <c r="AR75" i="48"/>
  <c r="AQ139" i="48"/>
  <c r="AS291" i="48"/>
  <c r="AR213" i="48"/>
  <c r="AT35" i="48"/>
  <c r="AR168" i="48"/>
  <c r="AT161" i="48"/>
  <c r="AT289" i="48"/>
  <c r="AS268" i="48"/>
  <c r="AQ133" i="48"/>
  <c r="AQ79" i="48"/>
  <c r="AQ42" i="48"/>
  <c r="AS162" i="48"/>
  <c r="AR290" i="48"/>
  <c r="AQ246" i="48"/>
  <c r="AQ145" i="48"/>
  <c r="AQ209" i="48"/>
  <c r="AR41" i="48"/>
  <c r="AQ15" i="48"/>
  <c r="AQ249" i="48"/>
  <c r="AR299" i="48"/>
  <c r="AQ221" i="48"/>
  <c r="AQ64" i="48"/>
  <c r="AQ167" i="48"/>
  <c r="AQ94" i="48"/>
  <c r="AQ200" i="48"/>
  <c r="AR250" i="48"/>
  <c r="AQ172" i="48"/>
  <c r="AQ173" i="48"/>
  <c r="AT113" i="48"/>
  <c r="AS56" i="48"/>
  <c r="AT10" i="48"/>
  <c r="AS159" i="48"/>
  <c r="AT201" i="48"/>
  <c r="AR121" i="48"/>
  <c r="AQ251" i="48"/>
  <c r="AQ101" i="48"/>
  <c r="AQ175" i="48"/>
  <c r="AS75" i="48"/>
  <c r="AR139" i="48"/>
  <c r="AQ45" i="48"/>
  <c r="AR145" i="48"/>
  <c r="AQ41" i="48"/>
  <c r="AR15" i="48"/>
  <c r="AR249" i="48"/>
  <c r="AQ299" i="48"/>
  <c r="AS221" i="48"/>
  <c r="AS64" i="48"/>
  <c r="AR167" i="48"/>
  <c r="AR94" i="48"/>
  <c r="AR200" i="48"/>
  <c r="AT250" i="48"/>
  <c r="AT172" i="48"/>
  <c r="AR173" i="48"/>
  <c r="AQ113" i="48"/>
  <c r="AQ56" i="48"/>
  <c r="AQ223" i="48"/>
  <c r="AT121" i="48"/>
  <c r="AS101" i="48"/>
  <c r="AQ72" i="48"/>
  <c r="AQ268" i="48"/>
  <c r="AS133" i="48"/>
  <c r="AR79" i="48"/>
  <c r="AS246" i="48"/>
  <c r="AS139" i="48"/>
  <c r="AS4" i="48"/>
  <c r="AQ284" i="48"/>
  <c r="AR45" i="48"/>
  <c r="AQ232" i="48"/>
  <c r="AT268" i="48"/>
  <c r="AR133" i="48"/>
  <c r="AT79" i="48"/>
  <c r="AQ162" i="48"/>
  <c r="AQ290" i="48"/>
  <c r="AR246" i="48"/>
  <c r="AT145" i="48"/>
  <c r="AT209" i="48"/>
  <c r="AT41" i="48"/>
  <c r="AT15" i="48"/>
  <c r="AT249" i="48"/>
  <c r="AS299" i="48"/>
  <c r="AR221" i="48"/>
  <c r="AR64" i="48"/>
  <c r="AT167" i="48"/>
  <c r="AS94" i="48"/>
  <c r="AS200" i="48"/>
  <c r="AS250" i="48"/>
  <c r="AR172" i="48"/>
  <c r="AS173" i="48"/>
  <c r="AR113" i="48"/>
  <c r="AR56" i="48"/>
  <c r="AR10" i="48"/>
  <c r="AR223" i="48"/>
  <c r="AQ137" i="48"/>
  <c r="AQ265" i="48"/>
  <c r="AR101" i="48"/>
  <c r="AQ4" i="48"/>
  <c r="AR209" i="48"/>
  <c r="AS72" i="48"/>
  <c r="AQ105" i="48"/>
  <c r="AS180" i="48"/>
  <c r="AQ202" i="48"/>
  <c r="AT211" i="48"/>
  <c r="AT24" i="48"/>
  <c r="AT59" i="48"/>
  <c r="AT61" i="48"/>
  <c r="AT286" i="48"/>
  <c r="AT142" i="48"/>
  <c r="AR292" i="48"/>
  <c r="AT29" i="48"/>
  <c r="AT152" i="48"/>
  <c r="AS49" i="48"/>
  <c r="AS279" i="48"/>
  <c r="AS257" i="48"/>
  <c r="AT243" i="48"/>
  <c r="AT229" i="48"/>
  <c r="AQ37" i="48"/>
  <c r="AQ160" i="48"/>
  <c r="AR146" i="48"/>
  <c r="AT132" i="48"/>
  <c r="AS182" i="48"/>
  <c r="AQ188" i="48"/>
  <c r="AQ80" i="48"/>
  <c r="AQ183" i="48"/>
  <c r="AQ147" i="48"/>
  <c r="AQ176" i="48"/>
  <c r="AQ158" i="48"/>
  <c r="AQ276" i="48"/>
  <c r="AQ38" i="48"/>
  <c r="AQ208" i="48"/>
  <c r="AR194" i="48"/>
  <c r="AQ180" i="48"/>
  <c r="AR37" i="48"/>
  <c r="AT146" i="48"/>
  <c r="AR132" i="48"/>
  <c r="AR182" i="48"/>
  <c r="AS188" i="48"/>
  <c r="AS80" i="48"/>
  <c r="AT183" i="48"/>
  <c r="AS147" i="48"/>
  <c r="AS176" i="48"/>
  <c r="AS158" i="48"/>
  <c r="AT276" i="48"/>
  <c r="AR38" i="48"/>
  <c r="AR208" i="48"/>
  <c r="AT194" i="48"/>
  <c r="AT180" i="48"/>
  <c r="AS160" i="48"/>
  <c r="AR202" i="48"/>
  <c r="AQ211" i="48"/>
  <c r="AS24" i="48"/>
  <c r="AQ59" i="48"/>
  <c r="AQ61" i="48"/>
  <c r="AQ286" i="48"/>
  <c r="AQ142" i="48"/>
  <c r="AQ292" i="48"/>
  <c r="AQ29" i="48"/>
  <c r="AS152" i="48"/>
  <c r="AQ49" i="48"/>
  <c r="AQ279" i="48"/>
  <c r="AQ257" i="48"/>
  <c r="AR243" i="48"/>
  <c r="AQ229" i="48"/>
  <c r="AR59" i="48"/>
  <c r="AR61" i="48"/>
  <c r="AS286" i="48"/>
  <c r="AR142" i="48"/>
  <c r="AT292" i="48"/>
  <c r="AR29" i="48"/>
  <c r="AQ152" i="48"/>
  <c r="AR49" i="48"/>
  <c r="AR279" i="48"/>
  <c r="AR257" i="48"/>
  <c r="AQ243" i="48"/>
  <c r="AS229" i="48"/>
</calcChain>
</file>

<file path=xl/sharedStrings.xml><?xml version="1.0" encoding="utf-8"?>
<sst xmlns="http://schemas.openxmlformats.org/spreadsheetml/2006/main" count="7667" uniqueCount="850">
  <si>
    <t>PLAYER</t>
  </si>
  <si>
    <t>COMP</t>
  </si>
  <si>
    <t>INT</t>
  </si>
  <si>
    <t>TGT</t>
  </si>
  <si>
    <t>REC</t>
  </si>
  <si>
    <t>Christian McCaffrey</t>
  </si>
  <si>
    <t>Curtis Samuel</t>
  </si>
  <si>
    <t>Ian Thomas</t>
  </si>
  <si>
    <t>POS</t>
  </si>
  <si>
    <t>QB</t>
  </si>
  <si>
    <t>TE</t>
  </si>
  <si>
    <t>Jimmy Garoppolo</t>
  </si>
  <si>
    <t>Tevin Coleman</t>
  </si>
  <si>
    <t>Matt Breida</t>
  </si>
  <si>
    <t>Deebo Samuel</t>
  </si>
  <si>
    <t>George Kittle</t>
  </si>
  <si>
    <t>Austin Ekeler</t>
  </si>
  <si>
    <t>Keenan Allen</t>
  </si>
  <si>
    <t>Mike Williams</t>
  </si>
  <si>
    <t>Hunter Henry</t>
  </si>
  <si>
    <t>Matt Ryan</t>
  </si>
  <si>
    <t>Austin Hooper</t>
  </si>
  <si>
    <t>Lamar Jackson</t>
  </si>
  <si>
    <t>Gus Edwards</t>
  </si>
  <si>
    <t>Marquise Brown</t>
  </si>
  <si>
    <t>Miles Boykin</t>
  </si>
  <si>
    <t>Mark Andrews</t>
  </si>
  <si>
    <t>Hayden Hurst</t>
  </si>
  <si>
    <t>Nick Boyle</t>
  </si>
  <si>
    <t>Dawson Knox</t>
  </si>
  <si>
    <t>Devin Singletary</t>
  </si>
  <si>
    <t>Josh Allen</t>
  </si>
  <si>
    <t>Mitchell Trubisky</t>
  </si>
  <si>
    <t>David Montgomery</t>
  </si>
  <si>
    <t>Cordarrelle Patterson</t>
  </si>
  <si>
    <t>C.J. Uzomah</t>
  </si>
  <si>
    <t>Drew Sample</t>
  </si>
  <si>
    <t>A.J. Green</t>
  </si>
  <si>
    <t>Tyler Boyd</t>
  </si>
  <si>
    <t>Joe Mixon</t>
  </si>
  <si>
    <t>Giovani Bernard</t>
  </si>
  <si>
    <t>Andy Dalton</t>
  </si>
  <si>
    <t>Nick Chubb</t>
  </si>
  <si>
    <t>Kareem Hunt</t>
  </si>
  <si>
    <t>David Njoku</t>
  </si>
  <si>
    <t>Amari Cooper</t>
  </si>
  <si>
    <t>Michael Gallup</t>
  </si>
  <si>
    <t>Randall Cobb</t>
  </si>
  <si>
    <t>Ezekiel Elliott</t>
  </si>
  <si>
    <t>Tony Pollard</t>
  </si>
  <si>
    <t>Dak Prescott</t>
  </si>
  <si>
    <t>Courtland Sutton</t>
  </si>
  <si>
    <t>Tim Patrick</t>
  </si>
  <si>
    <t>Noah Fant</t>
  </si>
  <si>
    <t>T.J. Hockenson</t>
  </si>
  <si>
    <t>Kenny Golladay</t>
  </si>
  <si>
    <t>Matthew Stafford</t>
  </si>
  <si>
    <t>Aaron Rodgers</t>
  </si>
  <si>
    <t>Aaron Jones</t>
  </si>
  <si>
    <t>Davante Adams</t>
  </si>
  <si>
    <t>Marquez Valdes-Scantling</t>
  </si>
  <si>
    <t>Deshaun Watson</t>
  </si>
  <si>
    <t>Marlon Mack</t>
  </si>
  <si>
    <t>Nyheim Hines</t>
  </si>
  <si>
    <t>Parris Campbell</t>
  </si>
  <si>
    <t>James O'Shaughnessy</t>
  </si>
  <si>
    <t>Chris Conley</t>
  </si>
  <si>
    <t>Leonard Fournette</t>
  </si>
  <si>
    <t>Patrick Mahomes</t>
  </si>
  <si>
    <t>Tyreek Hill</t>
  </si>
  <si>
    <t>Sammy Watkins</t>
  </si>
  <si>
    <t>Mecole Hardman</t>
  </si>
  <si>
    <t>Demarcus Robinson</t>
  </si>
  <si>
    <t>Travis Kelce</t>
  </si>
  <si>
    <t>Gerald Everett</t>
  </si>
  <si>
    <t>Tyler Higbee</t>
  </si>
  <si>
    <t>Brandin Cooks</t>
  </si>
  <si>
    <t>Robert Woods</t>
  </si>
  <si>
    <t>Cooper Kupp</t>
  </si>
  <si>
    <t>Josh Reynolds</t>
  </si>
  <si>
    <t>Jared Goff</t>
  </si>
  <si>
    <t>Kenyan Drake</t>
  </si>
  <si>
    <t>DeVante Parker</t>
  </si>
  <si>
    <t>Preston Williams</t>
  </si>
  <si>
    <t>Mike Gesicki</t>
  </si>
  <si>
    <t>Terry McLaurin</t>
  </si>
  <si>
    <t>Derrick Henry</t>
  </si>
  <si>
    <t>Corey Davis</t>
  </si>
  <si>
    <t>A.J. Brown</t>
  </si>
  <si>
    <t>Jonnu Smith</t>
  </si>
  <si>
    <t>O.J. Howard</t>
  </si>
  <si>
    <t>Cameron Brate</t>
  </si>
  <si>
    <t>Mike Evans</t>
  </si>
  <si>
    <t>Chris Godwin</t>
  </si>
  <si>
    <t>Russell Wilson</t>
  </si>
  <si>
    <t>Chris Carson</t>
  </si>
  <si>
    <t>Rashaad Penny</t>
  </si>
  <si>
    <t>Tyler Lockett</t>
  </si>
  <si>
    <t>Will Dissly</t>
  </si>
  <si>
    <t>JuJu Smith-Schuster</t>
  </si>
  <si>
    <t>James Washington</t>
  </si>
  <si>
    <t>James Conner</t>
  </si>
  <si>
    <t>Carson Wentz</t>
  </si>
  <si>
    <t>Miles Sanders</t>
  </si>
  <si>
    <t>Nelson Agholor</t>
  </si>
  <si>
    <t>Zach Ertz</t>
  </si>
  <si>
    <t>Dallas Goedert</t>
  </si>
  <si>
    <t>Derek Carr</t>
  </si>
  <si>
    <t>Darren Waller</t>
  </si>
  <si>
    <t>Foster Moreau</t>
  </si>
  <si>
    <t>Josh Jacobs</t>
  </si>
  <si>
    <t>Sam Darnold</t>
  </si>
  <si>
    <t>Jamison Crowder</t>
  </si>
  <si>
    <t>Evan Engram</t>
  </si>
  <si>
    <t>Sterling Shepard</t>
  </si>
  <si>
    <t>Darius Slayton</t>
  </si>
  <si>
    <t>Saquon Barkley</t>
  </si>
  <si>
    <t>Daniel Jones</t>
  </si>
  <si>
    <t>Taysom Hill</t>
  </si>
  <si>
    <t>Alvin Kamara</t>
  </si>
  <si>
    <t>Michael Thomas</t>
  </si>
  <si>
    <t>Tre'Quan Smith</t>
  </si>
  <si>
    <t>Tom Brady</t>
  </si>
  <si>
    <t>N'Keal Harry</t>
  </si>
  <si>
    <t>James White</t>
  </si>
  <si>
    <t>Damien Harris</t>
  </si>
  <si>
    <t>Rex Burkhead</t>
  </si>
  <si>
    <t>Kirk Cousins</t>
  </si>
  <si>
    <t>Dalvin Cook</t>
  </si>
  <si>
    <t>Alexander Mattison</t>
  </si>
  <si>
    <t>Adam Thielen</t>
  </si>
  <si>
    <t>Stefon Diggs</t>
  </si>
  <si>
    <t>Christian Kirk</t>
  </si>
  <si>
    <t>Andy Isabella</t>
  </si>
  <si>
    <t>Chase Edmonds</t>
  </si>
  <si>
    <t>Kyler Murray</t>
  </si>
  <si>
    <t>TM</t>
  </si>
  <si>
    <t>ARI</t>
  </si>
  <si>
    <t>ATL</t>
  </si>
  <si>
    <t>BAL</t>
  </si>
  <si>
    <t>BUF</t>
  </si>
  <si>
    <t>CAR</t>
  </si>
  <si>
    <t>CHI</t>
  </si>
  <si>
    <t>Mike Davis</t>
  </si>
  <si>
    <t>CIN</t>
  </si>
  <si>
    <t>CLE</t>
  </si>
  <si>
    <t>DAL</t>
  </si>
  <si>
    <t>DEN</t>
  </si>
  <si>
    <t>DET</t>
  </si>
  <si>
    <t>GB</t>
  </si>
  <si>
    <t>HOU</t>
  </si>
  <si>
    <t>IND</t>
  </si>
  <si>
    <t>Mo Alie-Cox</t>
  </si>
  <si>
    <t>KC</t>
  </si>
  <si>
    <t>LAC</t>
  </si>
  <si>
    <t>LAR</t>
  </si>
  <si>
    <t>MIA</t>
  </si>
  <si>
    <t>MIN</t>
  </si>
  <si>
    <t>NE</t>
  </si>
  <si>
    <t>NO</t>
  </si>
  <si>
    <t>NYG</t>
  </si>
  <si>
    <t>NYJ</t>
  </si>
  <si>
    <t>Hunter Renfrow</t>
  </si>
  <si>
    <t>PHI</t>
  </si>
  <si>
    <t>PIT</t>
  </si>
  <si>
    <t>SEA</t>
  </si>
  <si>
    <t>SF</t>
  </si>
  <si>
    <t>TB</t>
  </si>
  <si>
    <t>TEN</t>
  </si>
  <si>
    <t>FPS</t>
  </si>
  <si>
    <t>JAX</t>
  </si>
  <si>
    <t>WSH</t>
  </si>
  <si>
    <t>HALF</t>
  </si>
  <si>
    <t>PPR</t>
  </si>
  <si>
    <t>BYE</t>
  </si>
  <si>
    <t>Jacoby Brissett</t>
  </si>
  <si>
    <t>Ryan Tannehill</t>
  </si>
  <si>
    <t>PATT</t>
  </si>
  <si>
    <t>CMP</t>
  </si>
  <si>
    <t>PAYD</t>
  </si>
  <si>
    <t>PATD</t>
  </si>
  <si>
    <t>RUAT</t>
  </si>
  <si>
    <t>RUYD</t>
  </si>
  <si>
    <t>RUTD</t>
  </si>
  <si>
    <t>Raheem Mostert</t>
  </si>
  <si>
    <t>Jakobi Meyers</t>
  </si>
  <si>
    <t>Diontae Johnson</t>
  </si>
  <si>
    <t>Kendrick Bourne</t>
  </si>
  <si>
    <t>Anthony Firkser</t>
  </si>
  <si>
    <t>Dalton Schultz</t>
  </si>
  <si>
    <t>Maxx Williams</t>
  </si>
  <si>
    <t>RK</t>
  </si>
  <si>
    <t>TD</t>
  </si>
  <si>
    <t>RCYD</t>
  </si>
  <si>
    <t>RCTD</t>
  </si>
  <si>
    <t>Russell Gage</t>
  </si>
  <si>
    <t>Mike Boone</t>
  </si>
  <si>
    <t>Dan Arnold</t>
  </si>
  <si>
    <t>Devin Duvernay</t>
  </si>
  <si>
    <t>Teddy Bridgewater</t>
  </si>
  <si>
    <t>Cole Kmet</t>
  </si>
  <si>
    <t>Joe Burrow</t>
  </si>
  <si>
    <t>Tee Higgins</t>
  </si>
  <si>
    <t>Auden Tate</t>
  </si>
  <si>
    <t>CeeDee Lamb</t>
  </si>
  <si>
    <t>Drew Lock</t>
  </si>
  <si>
    <t>Jerry Jeudy</t>
  </si>
  <si>
    <t>Allen Lazard</t>
  </si>
  <si>
    <t>Jordan Love</t>
  </si>
  <si>
    <t>Marcedes Lewis</t>
  </si>
  <si>
    <t>Jordan Akins</t>
  </si>
  <si>
    <t>Jonathan Taylor</t>
  </si>
  <si>
    <t>Clyde Edwards-Helaire</t>
  </si>
  <si>
    <t>Justin Herbert</t>
  </si>
  <si>
    <t>Van Jefferson</t>
  </si>
  <si>
    <t>Bryan Edwards</t>
  </si>
  <si>
    <t>Tua Tagovailoa</t>
  </si>
  <si>
    <t>Durham Smythe</t>
  </si>
  <si>
    <t>Justin Jefferson</t>
  </si>
  <si>
    <t>Devin Asiasi</t>
  </si>
  <si>
    <t>Adam Trautman</t>
  </si>
  <si>
    <t>Denzel Mims</t>
  </si>
  <si>
    <t>Jalen Hurts</t>
  </si>
  <si>
    <t>Boston Scott</t>
  </si>
  <si>
    <t>Jalen Reagor</t>
  </si>
  <si>
    <t>Chase Claypool</t>
  </si>
  <si>
    <t>Brandon Aiyuk</t>
  </si>
  <si>
    <t>Ross Dwelley</t>
  </si>
  <si>
    <t>Ke'Shawn Vaughn</t>
  </si>
  <si>
    <t>Darrynton Evans</t>
  </si>
  <si>
    <t>Antonio Gibson</t>
  </si>
  <si>
    <t>Logan Thomas</t>
  </si>
  <si>
    <t>Brycen Hopkins</t>
  </si>
  <si>
    <t>Tyler Johnson</t>
  </si>
  <si>
    <t>Quintez Cephus</t>
  </si>
  <si>
    <t>Donovan Peoples-Jones</t>
  </si>
  <si>
    <t>Eno Benjamin</t>
  </si>
  <si>
    <t>Joshua Kelley</t>
  </si>
  <si>
    <t>DeeJay Dallas</t>
  </si>
  <si>
    <t>LV</t>
  </si>
  <si>
    <t>Zack Moss</t>
  </si>
  <si>
    <t>D'Ernest Johnson</t>
  </si>
  <si>
    <t>D'Andre Swift</t>
  </si>
  <si>
    <t>Jamaal Williams</t>
  </si>
  <si>
    <t>DeAndre Hopkins</t>
  </si>
  <si>
    <t>Olamide Zaccheaus</t>
  </si>
  <si>
    <t>Gabriel Davis</t>
  </si>
  <si>
    <t>Isaiah McKenzie</t>
  </si>
  <si>
    <t>Rashard Higgins</t>
  </si>
  <si>
    <t>Byron Pringle</t>
  </si>
  <si>
    <t>Harrison Bryant</t>
  </si>
  <si>
    <t>Albert Okwuegbunam</t>
  </si>
  <si>
    <t>Chris Manhertz</t>
  </si>
  <si>
    <t>Damiere Byrd</t>
  </si>
  <si>
    <t>Greg Ward</t>
  </si>
  <si>
    <t>DK Metcalf</t>
  </si>
  <si>
    <t>TEAM</t>
  </si>
  <si>
    <t>Zay Jones</t>
  </si>
  <si>
    <t>Jalen Guyton</t>
  </si>
  <si>
    <t>Robert Tonyan</t>
  </si>
  <si>
    <t>James Robinson</t>
  </si>
  <si>
    <t>J.D. McKissic</t>
  </si>
  <si>
    <t>Braxton Berrios</t>
  </si>
  <si>
    <t>Colt McCoy</t>
  </si>
  <si>
    <t>Justin Fields</t>
  </si>
  <si>
    <t>Brandon Allen</t>
  </si>
  <si>
    <t>Case Keenum</t>
  </si>
  <si>
    <t>Davis Mills</t>
  </si>
  <si>
    <t>Trevor Lawrence</t>
  </si>
  <si>
    <t>Chad Henne</t>
  </si>
  <si>
    <t>Chase Daniel</t>
  </si>
  <si>
    <t>John Wolford</t>
  </si>
  <si>
    <t>Marcus Mariota</t>
  </si>
  <si>
    <t>Kellen Mond</t>
  </si>
  <si>
    <t>Mac Jones</t>
  </si>
  <si>
    <t>Jameis Winston</t>
  </si>
  <si>
    <t>Zach Wilson</t>
  </si>
  <si>
    <t>Geno Smith</t>
  </si>
  <si>
    <t>Trey Lance</t>
  </si>
  <si>
    <t>Taylor Heinicke</t>
  </si>
  <si>
    <t>Kyle Pitts</t>
  </si>
  <si>
    <t>Eric Tomlinson</t>
  </si>
  <si>
    <t>Tommy Tremble</t>
  </si>
  <si>
    <t>Brevin Jordan</t>
  </si>
  <si>
    <t>Pharaoh Brown</t>
  </si>
  <si>
    <t>Kylen Granson</t>
  </si>
  <si>
    <t>Blake Bell</t>
  </si>
  <si>
    <t>Noah Gray</t>
  </si>
  <si>
    <t>Tre' McKitty</t>
  </si>
  <si>
    <t>Jacob Harris</t>
  </si>
  <si>
    <t>Adam Shaheen</t>
  </si>
  <si>
    <t>Hunter Long</t>
  </si>
  <si>
    <t>Nick Vannett</t>
  </si>
  <si>
    <t>Pat Freiermuth</t>
  </si>
  <si>
    <t>Zach Gentry</t>
  </si>
  <si>
    <t>Colby Parkinson</t>
  </si>
  <si>
    <t>Charlie Woerner</t>
  </si>
  <si>
    <t>Geoff Swaim</t>
  </si>
  <si>
    <t>John Bates</t>
  </si>
  <si>
    <t>Chuba Hubbard</t>
  </si>
  <si>
    <t>Damien Williams</t>
  </si>
  <si>
    <t>Khalil Herbert</t>
  </si>
  <si>
    <t>Samaje Perine</t>
  </si>
  <si>
    <t>Chris Evans</t>
  </si>
  <si>
    <t>Demetric Felton</t>
  </si>
  <si>
    <t>Javonte Williams</t>
  </si>
  <si>
    <t>Jermar Jefferson</t>
  </si>
  <si>
    <t>Kylin Hill</t>
  </si>
  <si>
    <t>Dare Ogunbowale</t>
  </si>
  <si>
    <t>Jake Funk</t>
  </si>
  <si>
    <t>Kene Nwangwu</t>
  </si>
  <si>
    <t>Rhamondre Stevenson</t>
  </si>
  <si>
    <t>Gary Brightwell</t>
  </si>
  <si>
    <t>Michael Carter</t>
  </si>
  <si>
    <t>Ty Johnson</t>
  </si>
  <si>
    <t>Najee Harris</t>
  </si>
  <si>
    <t>Travis Homer</t>
  </si>
  <si>
    <t>Trey Sermon</t>
  </si>
  <si>
    <t>Kyle Juszczyk</t>
  </si>
  <si>
    <t>Elijah Mitchell</t>
  </si>
  <si>
    <t>Jaret Patterson</t>
  </si>
  <si>
    <t>Rondale Moore</t>
  </si>
  <si>
    <t>Rashod Bateman</t>
  </si>
  <si>
    <t>Tylan Wallace</t>
  </si>
  <si>
    <t>DJ Moore</t>
  </si>
  <si>
    <t>Brandon Zylstra</t>
  </si>
  <si>
    <t>Darnell Mooney</t>
  </si>
  <si>
    <t>Ja'Marr Chase</t>
  </si>
  <si>
    <t>Mike Thomas</t>
  </si>
  <si>
    <t>Anthony Schwartz</t>
  </si>
  <si>
    <t>Cedrick Wilson</t>
  </si>
  <si>
    <t>Simi Fehoko</t>
  </si>
  <si>
    <t>Amon-Ra St. Brown</t>
  </si>
  <si>
    <t>Amari Rodgers</t>
  </si>
  <si>
    <t>Nico Collins</t>
  </si>
  <si>
    <t>Mike Strachan</t>
  </si>
  <si>
    <t>Ashton Dulin</t>
  </si>
  <si>
    <t>Jamal Agnew</t>
  </si>
  <si>
    <t>Joshua Palmer</t>
  </si>
  <si>
    <t>Tutu Atwell</t>
  </si>
  <si>
    <t>Ben Skowronek</t>
  </si>
  <si>
    <t>Jaylen Waddle</t>
  </si>
  <si>
    <t>Ihmir Smith-Marsette</t>
  </si>
  <si>
    <t>Marquez Callaway</t>
  </si>
  <si>
    <t>Kadarius Toney</t>
  </si>
  <si>
    <t>Elijah Moore</t>
  </si>
  <si>
    <t>DeVonta Smith</t>
  </si>
  <si>
    <t>Quez Watkins</t>
  </si>
  <si>
    <t>Ray-Ray McCloud</t>
  </si>
  <si>
    <t>Freddie Swain</t>
  </si>
  <si>
    <t>Jaelon Darden</t>
  </si>
  <si>
    <t>Nick Westbrook-Ikhine</t>
  </si>
  <si>
    <t>Racey McMath</t>
  </si>
  <si>
    <t>Dyami Brown</t>
  </si>
  <si>
    <t>Cam Sims</t>
  </si>
  <si>
    <t>TD%</t>
  </si>
  <si>
    <t>Trent Sherfield</t>
  </si>
  <si>
    <t>RB</t>
  </si>
  <si>
    <t>WR</t>
  </si>
  <si>
    <t>INT%</t>
  </si>
  <si>
    <t>PASS ATT</t>
  </si>
  <si>
    <t>COMPLETIONS</t>
  </si>
  <si>
    <t>PASS ATTEMPTS</t>
  </si>
  <si>
    <t>PASS YARDS</t>
  </si>
  <si>
    <t>PASS TDS</t>
  </si>
  <si>
    <t>INTERCEPTIONS</t>
  </si>
  <si>
    <t>RUSH ATTEMPTS</t>
  </si>
  <si>
    <t>RUSH YARDS</t>
  </si>
  <si>
    <t>RUSH TDS</t>
  </si>
  <si>
    <t>TARGETS</t>
  </si>
  <si>
    <t>RECEPTIONS (RB)</t>
  </si>
  <si>
    <t>RECEPTIONS (WR)</t>
  </si>
  <si>
    <t>RECEPTIONS (TE)</t>
  </si>
  <si>
    <t>RECV YARDS</t>
  </si>
  <si>
    <t>RECV TDS</t>
  </si>
  <si>
    <t>SACKS</t>
  </si>
  <si>
    <t>SAFETIES</t>
  </si>
  <si>
    <t>DEF TD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</si>
  <si>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</si>
  <si>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</si>
  <si>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</si>
  <si>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</si>
  <si>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</si>
  <si>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</si>
  <si>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</si>
  <si>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</si>
  <si>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</si>
  <si>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</si>
  <si>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</si>
  <si>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</si>
  <si>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</si>
  <si>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</si>
  <si>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</si>
  <si>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</si>
  <si>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</si>
  <si>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</si>
  <si>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</si>
  <si>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</si>
  <si>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</si>
  <si>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</si>
  <si>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</si>
  <si>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</si>
  <si>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</si>
  <si>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</si>
  <si>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</si>
  <si>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</si>
  <si>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</si>
  <si>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</si>
  <si>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</si>
  <si>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</si>
  <si>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PASS TD</t>
  </si>
  <si>
    <t>RUSH ATT</t>
  </si>
  <si>
    <t>RUSH TD</t>
  </si>
  <si>
    <t>RECV TD</t>
  </si>
  <si>
    <t>COMP%</t>
  </si>
  <si>
    <t>TD PER CAR%</t>
  </si>
  <si>
    <t>RECP%</t>
  </si>
  <si>
    <t>YD PER RECP</t>
  </si>
  <si>
    <t>TGT SHARE</t>
  </si>
  <si>
    <t>MKT SHARE</t>
  </si>
  <si>
    <t>PTS PER GAME</t>
  </si>
  <si>
    <t>YD PER GAME</t>
  </si>
  <si>
    <t>RECOV'D FUMBLE</t>
  </si>
  <si>
    <t>FORCED FUMBLE</t>
  </si>
  <si>
    <t>DEF SACKS</t>
  </si>
  <si>
    <t>DEF INT</t>
  </si>
  <si>
    <t>DEF SAFETIES</t>
  </si>
  <si>
    <t>DEF TOUCHDOWN</t>
  </si>
  <si>
    <t>DEF 0 PTS ALLOW</t>
  </si>
  <si>
    <t>DEF 1-6 PTS ALLOW</t>
  </si>
  <si>
    <t>DEF 7-13 PTS ALLOW</t>
  </si>
  <si>
    <t>DEF 14-21 PTS ALLOW</t>
  </si>
  <si>
    <t>DEF 22-27 PTS ALLOW</t>
  </si>
  <si>
    <t>DEF 28-35 PTS ALLOW</t>
  </si>
  <si>
    <t>DEF RECOVER FUMBLE</t>
  </si>
  <si>
    <t>DEF FORCE FUMBLE</t>
  </si>
  <si>
    <t>DEF 35+ PTS ALLOW</t>
  </si>
  <si>
    <t>0 PT GAMES</t>
  </si>
  <si>
    <t>1-6 PT GAMES</t>
  </si>
  <si>
    <t>7-13 PT GAMES</t>
  </si>
  <si>
    <t>14-21 PT GAMES</t>
  </si>
  <si>
    <t>35+ PT GAMES</t>
  </si>
  <si>
    <t>22-26 PT GAMES</t>
  </si>
  <si>
    <t>27-34 PT GAMES</t>
  </si>
  <si>
    <t>TD SHARE</t>
  </si>
  <si>
    <t>YDS</t>
  </si>
  <si>
    <t>TOT SHR</t>
  </si>
  <si>
    <t>TEAM NUMBERS</t>
  </si>
  <si>
    <t>PASS%</t>
  </si>
  <si>
    <t>RUSH%</t>
  </si>
  <si>
    <t>RUTD%</t>
  </si>
  <si>
    <t>PLAYS</t>
  </si>
  <si>
    <t>TM RUSH</t>
  </si>
  <si>
    <t>TM TGT</t>
  </si>
  <si>
    <t>TM REC</t>
  </si>
  <si>
    <t>TM RUSH ATT</t>
  </si>
  <si>
    <t>TM RUSH YD</t>
  </si>
  <si>
    <t>TM RUSH TD</t>
  </si>
  <si>
    <t>TM REC YD</t>
  </si>
  <si>
    <t>TM REC TD</t>
  </si>
  <si>
    <t>TM PASS</t>
  </si>
  <si>
    <t>TEAM TOTAL DIFFERENCES</t>
  </si>
  <si>
    <t>YD PER CARRY</t>
  </si>
  <si>
    <t>PASS SHARE</t>
  </si>
  <si>
    <t>RUSH SHARE</t>
  </si>
  <si>
    <t>EDIT PASS SHARE</t>
  </si>
  <si>
    <t>EDIT RUSH SHARE</t>
  </si>
  <si>
    <t>EDIT TGT SHARE</t>
  </si>
  <si>
    <t>RU YPC</t>
  </si>
  <si>
    <t>TEAMS</t>
  </si>
  <si>
    <t>STARTING QB</t>
  </si>
  <si>
    <t>STARTING RB</t>
  </si>
  <si>
    <t>STARTING WR</t>
  </si>
  <si>
    <t>STARTING TE</t>
  </si>
  <si>
    <t>STARTING DST</t>
  </si>
  <si>
    <t>STARTING FLEX</t>
  </si>
  <si>
    <t>STARTING SUPERFLEX</t>
  </si>
  <si>
    <t>AUC$</t>
  </si>
  <si>
    <t>STATS TO EDIT</t>
  </si>
  <si>
    <t>STAT TOTALS</t>
  </si>
  <si>
    <t>Columns AE-AH should total 100% or less (recommend 98-99% or less, as there are always a few random players) - the calcuations will still adjust to 98% (Columns W, AA, AC), but it's forcing the numbers if you're over 100% and/or inflating them if way low</t>
  </si>
  <si>
    <t>CELLS</t>
  </si>
  <si>
    <t>POSITION DIFFERENCES</t>
  </si>
  <si>
    <t>QB attempt total can't be manipulated manually - you must change TEAM PLAYS, TEAM PASS% and/or QB PASS SHARE</t>
  </si>
  <si>
    <t>League average for TD% per COMP is around 7.1-7.2 with Aaron Rodgers at 12.9% last year and Matthew Stafford at 7.7%</t>
  </si>
  <si>
    <t>BENCHMARKS QB</t>
  </si>
  <si>
    <t>BENCHMARKS RB</t>
  </si>
  <si>
    <t>League average for TD% per RUSH ATT is around 3.8 with Alvin Kamara blowing away everyone at 8.6%, Derrick Henry at 4.5% and Nyheim Hines at 3.4%</t>
  </si>
  <si>
    <t>BENCHMARKS WR</t>
  </si>
  <si>
    <t>League average for TGT% is around 9.0 with Davante Adams leading at 29.7% last year, Tee Higgins at 19.1% (30th overall) and Henry Ruggs at 8.2 (98th) - this is based on FULL SEASON total targets</t>
  </si>
  <si>
    <t>BENCHMARKS TE</t>
  </si>
  <si>
    <t>League average for TGT% is around 5.5 with Darren Waller tops at 27.7% last year, Dallas Goedert 20th with 11.6% and Durham Smythe 5.3 (49th)</t>
  </si>
  <si>
    <t>BENCHMARKS RECV TD SHARE</t>
  </si>
  <si>
    <t>Chris Carson's 4 recv TDs accounted for 10% of SEA passing TD, DK Metcalf and Tyler Lockett's 10 TDs each accounted for 25%, T.J. Hockenson's 7 accounted for 22.2% of the Lions 27 passing TDs</t>
  </si>
  <si>
    <t>MORE TEAM STATS/TOTALS</t>
  </si>
  <si>
    <t>There are cells all the way to the right, up to Column AH - make sure you see/use all of them if changing numbers</t>
  </si>
  <si>
    <t>Only change stats in YELLOW - the rest will auto-calculate after you make changes</t>
  </si>
  <si>
    <t>You can only edit PASS% (RUSH% auto adjusts to equal 100). Also, TEAM YPC and TD% affect "available" rushing yards and TDs - QB YPA and PASS TD% affect "available" targets, receptions (yards and TDs)</t>
  </si>
  <si>
    <t>Jeff Wilson</t>
  </si>
  <si>
    <t>LINK TO THE SITE WITH STEP-BY-STEP DEEPER INSTRUCTIONS AND PICTURES</t>
  </si>
  <si>
    <t>OPEN IN EXCEL</t>
  </si>
  <si>
    <t>If you don't have Excel, you can access Office 365 online (just have to create an account if you don't have one), so…</t>
  </si>
  <si>
    <t>GO HERE to access Excel online and open the file</t>
  </si>
  <si>
    <t>Custom</t>
  </si>
  <si>
    <t>Catergoy</t>
  </si>
  <si>
    <t>Points</t>
  </si>
  <si>
    <t>Category</t>
  </si>
  <si>
    <t>Player</t>
  </si>
  <si>
    <t>Ref</t>
  </si>
  <si>
    <t>DST1</t>
  </si>
  <si>
    <t>DST6</t>
  </si>
  <si>
    <t>DST8</t>
  </si>
  <si>
    <t>DST7</t>
  </si>
  <si>
    <t>DST9</t>
  </si>
  <si>
    <t>DST2</t>
  </si>
  <si>
    <t>DST3</t>
  </si>
  <si>
    <t>DST4</t>
  </si>
  <si>
    <t>DST5</t>
  </si>
  <si>
    <t>DST10</t>
  </si>
  <si>
    <t>DST11</t>
  </si>
  <si>
    <t>DST12</t>
  </si>
  <si>
    <t>DST13</t>
  </si>
  <si>
    <t>DST14</t>
  </si>
  <si>
    <t>DST15</t>
  </si>
  <si>
    <t>DST16</t>
  </si>
  <si>
    <t>DST17</t>
  </si>
  <si>
    <t>DST18</t>
  </si>
  <si>
    <t>DST19</t>
  </si>
  <si>
    <t>DST20</t>
  </si>
  <si>
    <t>DST21</t>
  </si>
  <si>
    <t>DST22</t>
  </si>
  <si>
    <t>DST23</t>
  </si>
  <si>
    <t>DST24</t>
  </si>
  <si>
    <t>DST25</t>
  </si>
  <si>
    <t>DST26</t>
  </si>
  <si>
    <t>DST27</t>
  </si>
  <si>
    <t>DST28</t>
  </si>
  <si>
    <t>DST29</t>
  </si>
  <si>
    <t>DST30</t>
  </si>
  <si>
    <t>DST31</t>
  </si>
  <si>
    <t>DST32</t>
  </si>
  <si>
    <t>AUCTION BUDGET</t>
  </si>
  <si>
    <t>QBRef</t>
  </si>
  <si>
    <t>RBRef</t>
  </si>
  <si>
    <t>WRRef</t>
  </si>
  <si>
    <t>TERef</t>
  </si>
  <si>
    <t>DSTRef</t>
  </si>
  <si>
    <t>Value</t>
  </si>
  <si>
    <t>SFLEX</t>
  </si>
  <si>
    <t>FLEX</t>
  </si>
  <si>
    <t>VORP</t>
  </si>
  <si>
    <t>WR and TE COMBINED</t>
  </si>
  <si>
    <t>OVERALL PLAYER</t>
  </si>
  <si>
    <t>TIGHT END</t>
  </si>
  <si>
    <t>WIDE RECEIVER</t>
  </si>
  <si>
    <t>RUNNING BACK</t>
  </si>
  <si>
    <t>QUARTERBACK</t>
  </si>
  <si>
    <t>Pos</t>
  </si>
  <si>
    <t>Calc</t>
  </si>
  <si>
    <t>OVR RK</t>
  </si>
  <si>
    <t>DO NOT EDIT THIS SHEET</t>
  </si>
  <si>
    <t>POS RK</t>
  </si>
  <si>
    <t>POSRef</t>
  </si>
  <si>
    <t>WRTE</t>
  </si>
  <si>
    <t>Kalif Raymond</t>
  </si>
  <si>
    <t>Tony Jones</t>
  </si>
  <si>
    <t>Gardner Minshew</t>
  </si>
  <si>
    <t>Cooper Rush</t>
  </si>
  <si>
    <t>Josiah Deguara</t>
  </si>
  <si>
    <t>C.J. Beathard</t>
  </si>
  <si>
    <t>Stephen Anderson</t>
  </si>
  <si>
    <t>DeAndre Carter</t>
  </si>
  <si>
    <t>Jauan Jennings</t>
  </si>
  <si>
    <t>Jack Stoll</t>
  </si>
  <si>
    <t>Mike White</t>
  </si>
  <si>
    <t>Juwan Johnson</t>
  </si>
  <si>
    <t>K.J. Osborn</t>
  </si>
  <si>
    <t>Godwin Igwebuike</t>
  </si>
  <si>
    <t>Mack Hollins</t>
  </si>
  <si>
    <t>Ricky Seals-Jones</t>
  </si>
  <si>
    <t>Ryan Griffin</t>
  </si>
  <si>
    <t>Breshad Perriman</t>
  </si>
  <si>
    <t>Duke Johnson</t>
  </si>
  <si>
    <t>Antoine Wesley</t>
  </si>
  <si>
    <t>Drake London</t>
  </si>
  <si>
    <t>KhaDarel Hodge</t>
  </si>
  <si>
    <t>Tyler Huntley</t>
  </si>
  <si>
    <t>J.K. Dobbins</t>
  </si>
  <si>
    <t>James Proche</t>
  </si>
  <si>
    <t>D'Onta Foreman</t>
  </si>
  <si>
    <t>Trevor Siemian</t>
  </si>
  <si>
    <t>Nick Foles</t>
  </si>
  <si>
    <t>Equanimeous St. Brown</t>
  </si>
  <si>
    <t>Dazz Newsome</t>
  </si>
  <si>
    <t>Stanley Morgan</t>
  </si>
  <si>
    <t>Jakeem Grant</t>
  </si>
  <si>
    <t>Noah Brown</t>
  </si>
  <si>
    <t>Jeremy Sprinkle</t>
  </si>
  <si>
    <t>Josh Johnson</t>
  </si>
  <si>
    <t>KJ Hamler</t>
  </si>
  <si>
    <t>Kendall Hinton</t>
  </si>
  <si>
    <t>Tim Boyle</t>
  </si>
  <si>
    <t>Jameson Williams</t>
  </si>
  <si>
    <t>Brock Wright</t>
  </si>
  <si>
    <t>Juwann Winfree</t>
  </si>
  <si>
    <t>Kyle Allen</t>
  </si>
  <si>
    <t>Chris Moore</t>
  </si>
  <si>
    <t>Sam Ehlinger</t>
  </si>
  <si>
    <t>Deon Jackson</t>
  </si>
  <si>
    <t>Dezmon Patmon</t>
  </si>
  <si>
    <t>Travis Etienne</t>
  </si>
  <si>
    <t>Ryquell Armstead</t>
  </si>
  <si>
    <t>Laquon Treadwell</t>
  </si>
  <si>
    <t>Ronald Jones</t>
  </si>
  <si>
    <t>Derrick Gore</t>
  </si>
  <si>
    <t>Josh Gordon</t>
  </si>
  <si>
    <t>Donald Parham</t>
  </si>
  <si>
    <t>Cam Akers</t>
  </si>
  <si>
    <t>Allen Robinson</t>
  </si>
  <si>
    <t>Nick Mullens</t>
  </si>
  <si>
    <t>Brandon Bolden</t>
  </si>
  <si>
    <t>Irv Smith</t>
  </si>
  <si>
    <t>Johnny Mundt</t>
  </si>
  <si>
    <t>Jahan Dotson</t>
  </si>
  <si>
    <t>Dontrell Hilliard</t>
  </si>
  <si>
    <t>Treylon Burks</t>
  </si>
  <si>
    <t>Dez Fitzpatrick</t>
  </si>
  <si>
    <t>JaMycal Hasty</t>
  </si>
  <si>
    <t>Dee Eskridge</t>
  </si>
  <si>
    <t>Penny Hart</t>
  </si>
  <si>
    <t>Kenny Pickett</t>
  </si>
  <si>
    <t>Tyree Jackson</t>
  </si>
  <si>
    <t>Garrett Wilson</t>
  </si>
  <si>
    <t>Jeff Smith</t>
  </si>
  <si>
    <t>Mark Ingram</t>
  </si>
  <si>
    <t>Chris Olave</t>
  </si>
  <si>
    <t>Deonte Harty</t>
  </si>
  <si>
    <t>Brian Hoyer</t>
  </si>
  <si>
    <t>Tyler Allgeier</t>
  </si>
  <si>
    <t>Charlie Kolar</t>
  </si>
  <si>
    <t>Isaiah Likely</t>
  </si>
  <si>
    <t>Khalil Shakir</t>
  </si>
  <si>
    <t>Jerome Ford</t>
  </si>
  <si>
    <t>Jake Ferguson</t>
  </si>
  <si>
    <t>Romeo Doubs</t>
  </si>
  <si>
    <t>Dameon Pierce</t>
  </si>
  <si>
    <t>Snoop Conner</t>
  </si>
  <si>
    <t>Isaiah Spiller</t>
  </si>
  <si>
    <t>Zamir White</t>
  </si>
  <si>
    <t>Erik Ezukanma</t>
  </si>
  <si>
    <t>Pierre Strong</t>
  </si>
  <si>
    <t>Breece Hall</t>
  </si>
  <si>
    <t>Jeremy Ruckert</t>
  </si>
  <si>
    <t>George Pickens</t>
  </si>
  <si>
    <t>Calvin Austin</t>
  </si>
  <si>
    <t>Cole Turner</t>
  </si>
  <si>
    <t>Sam Howell</t>
  </si>
  <si>
    <t>Brian Robinson</t>
  </si>
  <si>
    <t>Kyle Philips</t>
  </si>
  <si>
    <t>Hassan Haskins</t>
  </si>
  <si>
    <t>Malik Willis</t>
  </si>
  <si>
    <t>Cade Otton</t>
  </si>
  <si>
    <t>Rachaad White</t>
  </si>
  <si>
    <t>Danny Gray</t>
  </si>
  <si>
    <t>Tyrion Davis-Price</t>
  </si>
  <si>
    <t>Kyren Williams</t>
  </si>
  <si>
    <t>Skyy Moore</t>
  </si>
  <si>
    <t>Alec Pierce</t>
  </si>
  <si>
    <t>Jelani Woods</t>
  </si>
  <si>
    <t>John Metchie</t>
  </si>
  <si>
    <t>Christian Watson</t>
  </si>
  <si>
    <t>Greg Dulcich</t>
  </si>
  <si>
    <t>Jalen Tolbert</t>
  </si>
  <si>
    <t>David Bell</t>
  </si>
  <si>
    <t>Velus Jones</t>
  </si>
  <si>
    <t>Matt Corral</t>
  </si>
  <si>
    <t>James Cook</t>
  </si>
  <si>
    <t>Desmond Ridder</t>
  </si>
  <si>
    <t>Daniel Bellinger</t>
  </si>
  <si>
    <t>Wan'Dale Robinson</t>
  </si>
  <si>
    <t>Rank</t>
  </si>
  <si>
    <t>team</t>
  </si>
  <si>
    <t>Pass%</t>
  </si>
  <si>
    <t>Plays11%</t>
  </si>
  <si>
    <t>Plays</t>
  </si>
  <si>
    <t>Ply/G</t>
  </si>
  <si>
    <t>Rush%</t>
  </si>
  <si>
    <t>Rush</t>
  </si>
  <si>
    <t>RshYds</t>
  </si>
  <si>
    <t>RshTD</t>
  </si>
  <si>
    <t>LA</t>
  </si>
  <si>
    <t>WAS</t>
  </si>
  <si>
    <t>Kyle Trask</t>
  </si>
  <si>
    <t>Mason Rudolph</t>
  </si>
  <si>
    <t>Joe Flacco</t>
  </si>
  <si>
    <t>Tyrod Taylor</t>
  </si>
  <si>
    <t>Sean Mannion</t>
  </si>
  <si>
    <t>Jarrett Stidham</t>
  </si>
  <si>
    <t>JAC</t>
  </si>
  <si>
    <t>Brett Rypien</t>
  </si>
  <si>
    <t>Joshua Dobbs</t>
  </si>
  <si>
    <t>Nathan Peterman</t>
  </si>
  <si>
    <t>TD/RSH</t>
  </si>
  <si>
    <t>YD/RSH</t>
  </si>
  <si>
    <t>INT/ATT</t>
  </si>
  <si>
    <t>TD/CMP</t>
  </si>
  <si>
    <t>YD/CMP</t>
  </si>
  <si>
    <t>CMP%</t>
  </si>
  <si>
    <t>TDS</t>
  </si>
  <si>
    <t>ATT</t>
  </si>
  <si>
    <t>INTS</t>
  </si>
  <si>
    <t>Team</t>
  </si>
  <si>
    <t>Trenton Cannon</t>
  </si>
  <si>
    <t>Tory Carter</t>
  </si>
  <si>
    <t>Derek Watt</t>
  </si>
  <si>
    <t>Trey Edmunds</t>
  </si>
  <si>
    <t>Anthony McFarland</t>
  </si>
  <si>
    <t>Benny Snell</t>
  </si>
  <si>
    <t>Kenneth Gainwell</t>
  </si>
  <si>
    <t>Dwayne Washington</t>
  </si>
  <si>
    <t>Kevin Harris</t>
  </si>
  <si>
    <t>C.J. Ham</t>
  </si>
  <si>
    <t>Ty Chandler</t>
  </si>
  <si>
    <t>Alec Ingold</t>
  </si>
  <si>
    <t>Sony Michel</t>
  </si>
  <si>
    <t>Jakob Johnson</t>
  </si>
  <si>
    <t>Ameer Abdullah</t>
  </si>
  <si>
    <t>Darrell Henderson</t>
  </si>
  <si>
    <t>Gabe Nabers</t>
  </si>
  <si>
    <t>Larry Rountree</t>
  </si>
  <si>
    <t>Michael Burton</t>
  </si>
  <si>
    <t>Isaih Pacheco</t>
  </si>
  <si>
    <t>Phillip Lindsay</t>
  </si>
  <si>
    <t>Royce Freeman</t>
  </si>
  <si>
    <t>Patrick Taylor</t>
  </si>
  <si>
    <t>Jason Cabinda</t>
  </si>
  <si>
    <t>Craig Reynolds</t>
  </si>
  <si>
    <t>Melvin Gordon</t>
  </si>
  <si>
    <t>JaQuan Hardy</t>
  </si>
  <si>
    <t>Rico Dowdle</t>
  </si>
  <si>
    <t>Ryan Nall</t>
  </si>
  <si>
    <t>Johnny Stanton</t>
  </si>
  <si>
    <t>Trayveon Williams</t>
  </si>
  <si>
    <t>Khari Blasingame</t>
  </si>
  <si>
    <t>Trestan Ebner</t>
  </si>
  <si>
    <t>Giovanni Ricci</t>
  </si>
  <si>
    <t>Reggie Gilliam</t>
  </si>
  <si>
    <t>Patrick Ricard</t>
  </si>
  <si>
    <t>Tyler Badie</t>
  </si>
  <si>
    <t>Keith Smith</t>
  </si>
  <si>
    <t>Qadree Ollison</t>
  </si>
  <si>
    <t>Keaontay Ingram</t>
  </si>
  <si>
    <t>TD/REC</t>
  </si>
  <si>
    <t>YPR</t>
  </si>
  <si>
    <t>REC%</t>
  </si>
  <si>
    <t>TD/RU</t>
  </si>
  <si>
    <t>YPC</t>
  </si>
  <si>
    <t>Dax Milne</t>
  </si>
  <si>
    <t>Cyril Grayson</t>
  </si>
  <si>
    <t>Malik Turner</t>
  </si>
  <si>
    <t>Bo Melton</t>
  </si>
  <si>
    <t>Zach Pascal</t>
  </si>
  <si>
    <t>Jarvis Landry</t>
  </si>
  <si>
    <t>Tyquan Thornton</t>
  </si>
  <si>
    <t>Jalen Nailor</t>
  </si>
  <si>
    <t>Olabisi Johnson</t>
  </si>
  <si>
    <t>Tyron Johnson</t>
  </si>
  <si>
    <t>Keelan Cole</t>
  </si>
  <si>
    <t>Brandon Powell</t>
  </si>
  <si>
    <t>Jason Moore</t>
  </si>
  <si>
    <t>Laviska Shenault</t>
  </si>
  <si>
    <t>Marvin Jones</t>
  </si>
  <si>
    <t>Michael Pittman</t>
  </si>
  <si>
    <t>Phillip Dorsett</t>
  </si>
  <si>
    <t>Trent Taylor</t>
  </si>
  <si>
    <t>Shi Smith</t>
  </si>
  <si>
    <t>Terrace Marshall</t>
  </si>
  <si>
    <t>Marquez Stevenson</t>
  </si>
  <si>
    <t>Sammis Reyes</t>
  </si>
  <si>
    <t>Chigoziem Okonkwo</t>
  </si>
  <si>
    <t>Tommy Hudson</t>
  </si>
  <si>
    <t>Ryan Izzo</t>
  </si>
  <si>
    <t>Codey McElroy</t>
  </si>
  <si>
    <t>Ko Kieft</t>
  </si>
  <si>
    <t>Tyler Mabry</t>
  </si>
  <si>
    <t>Connor Heyward</t>
  </si>
  <si>
    <t>Grant Calcaterra</t>
  </si>
  <si>
    <t>Kenny Yeboah</t>
  </si>
  <si>
    <t>Tyler Conklin</t>
  </si>
  <si>
    <t>Chris Myarick</t>
  </si>
  <si>
    <t>Zach Davidson</t>
  </si>
  <si>
    <t>Ben Ellefson</t>
  </si>
  <si>
    <t>Nick Muse</t>
  </si>
  <si>
    <t>Jacob Hollister</t>
  </si>
  <si>
    <t>Kyle Markway</t>
  </si>
  <si>
    <t>Kendall Blanton</t>
  </si>
  <si>
    <t>Hunter Kampmoyer</t>
  </si>
  <si>
    <t>Jody Fortson</t>
  </si>
  <si>
    <t>Matt Bushman</t>
  </si>
  <si>
    <t>Luke Farrell</t>
  </si>
  <si>
    <t>Andrew Ogletree</t>
  </si>
  <si>
    <t>Teagan Quitoriano</t>
  </si>
  <si>
    <t>Antony Auclair</t>
  </si>
  <si>
    <t>Paul Quessenberry</t>
  </si>
  <si>
    <t>Dominique Dafney</t>
  </si>
  <si>
    <t>Alize Mack</t>
  </si>
  <si>
    <t>Eli Wolf</t>
  </si>
  <si>
    <t>Garrett Griffin</t>
  </si>
  <si>
    <t>Sean McKeon</t>
  </si>
  <si>
    <t>Miller Forristall</t>
  </si>
  <si>
    <t>Mitchell Wilcox</t>
  </si>
  <si>
    <t>Nick Eubanks</t>
  </si>
  <si>
    <t>Rysen John</t>
  </si>
  <si>
    <t>Stephen Sullivan</t>
  </si>
  <si>
    <t>John FitzPatrick</t>
  </si>
  <si>
    <t>Parker Hesse</t>
  </si>
  <si>
    <t>Trey McBride</t>
  </si>
  <si>
    <t>Darrel Williams</t>
  </si>
  <si>
    <t>Makai Polk</t>
  </si>
  <si>
    <t>Jaylon Moore</t>
  </si>
  <si>
    <t>Jalen Wydermyer</t>
  </si>
  <si>
    <t>Robbie Anderson</t>
  </si>
  <si>
    <t>Dante Pettis</t>
  </si>
  <si>
    <t>Ty Fryfogle</t>
  </si>
  <si>
    <t>James Mitchell</t>
  </si>
  <si>
    <t>Justyn Ross</t>
  </si>
  <si>
    <t>ZaQuandre White</t>
  </si>
  <si>
    <t>Abram Smith</t>
  </si>
  <si>
    <t>Jashaun Corbin</t>
  </si>
  <si>
    <t>Richie James</t>
  </si>
  <si>
    <t>Kennedy Brooks</t>
  </si>
  <si>
    <t>Montrell Washington</t>
  </si>
  <si>
    <t>RU/TM</t>
  </si>
  <si>
    <t>TGT/TM</t>
  </si>
  <si>
    <t>EDIT TD PER REC</t>
  </si>
  <si>
    <t>YDS PER COMP</t>
  </si>
  <si>
    <t>Washington Commanders</t>
  </si>
  <si>
    <t>ABBREV</t>
  </si>
  <si>
    <t>Ty Montgomery</t>
  </si>
  <si>
    <t>TGTS</t>
  </si>
  <si>
    <t>Name</t>
  </si>
  <si>
    <t>Position</t>
  </si>
  <si>
    <t>AJ Dillon</t>
  </si>
  <si>
    <t>Mateo Durant</t>
  </si>
  <si>
    <t>Ken Walker</t>
  </si>
  <si>
    <t>Mataeo Durant</t>
  </si>
  <si>
    <t>DJ Chark</t>
  </si>
  <si>
    <t>Bisi Johnson</t>
  </si>
  <si>
    <t>Deonte Harris</t>
  </si>
  <si>
    <t>D.J. 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</si>
</sst>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"/>
    <numFmt numFmtId="167" formatCode="&quot;$&quot;#,##0.0"/>
    <numFmt numFmtId="168" formatCode="&quot;$&quot;#,##0"/>
  </numFmts>
  <fonts count="26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indexed="8"/>
      <name val="Calibri"/>
      <family val="2"/>
    </font>
    <font>
      <sz val="10"/>
      <color indexed="8"/>
      <name val="Calibri"/>
      <family val="2"/>
    </font>
    <font>
      <b/>
      <i/>
      <sz val="10"/>
      <color theme="1"/>
      <name val="Calibri"/>
      <family val="2"/>
    </font>
    <font>
      <b/>
      <i/>
      <sz val="10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b/>
      <u/>
      <sz val="14"/>
      <color theme="10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9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FFF5DC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D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BD7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D69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5">
    <xf numFmtId="0" fontId="0" fillId="0" borderId="0" xfId="0"/>
    <xf numFmtId="165" fontId="0" fillId="2" borderId="1" xfId="1" applyNumberFormat="1" applyFont="1" applyFill="1" applyBorder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164" fontId="0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</xf>
    <xf numFmtId="165" fontId="8" fillId="0" borderId="1" xfId="1" applyNumberFormat="1" applyFont="1" applyBorder="1" applyAlignment="1" applyProtection="1">
      <alignment horizontal="center"/>
    </xf>
    <xf numFmtId="164" fontId="8" fillId="0" borderId="1" xfId="0" applyNumberFormat="1" applyFont="1" applyBorder="1" applyAlignment="1" applyProtection="1">
      <alignment horizontal="center"/>
    </xf>
    <xf numFmtId="164" fontId="0" fillId="0" borderId="2" xfId="0" applyNumberFormat="1" applyFill="1" applyBorder="1" applyAlignment="1" applyProtection="1">
      <alignment horizontal="center"/>
    </xf>
    <xf numFmtId="165" fontId="0" fillId="0" borderId="0" xfId="1" applyNumberFormat="1" applyFont="1" applyAlignment="1" applyProtection="1">
      <alignment horizontal="center"/>
    </xf>
    <xf numFmtId="165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center"/>
    </xf>
    <xf numFmtId="164" fontId="8" fillId="0" borderId="1" xfId="1" applyNumberFormat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/>
    </xf>
    <xf numFmtId="2" fontId="0" fillId="0" borderId="0" xfId="0" applyNumberFormat="1" applyFont="1" applyAlignment="1" applyProtection="1">
      <alignment horizontal="center"/>
    </xf>
    <xf numFmtId="0" fontId="0" fillId="0" borderId="0" xfId="0" applyFont="1" applyProtection="1"/>
    <xf numFmtId="165" fontId="0" fillId="0" borderId="0" xfId="0" applyNumberFormat="1" applyFon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0" xfId="0" applyFill="1" applyBorder="1" applyProtection="1"/>
    <xf numFmtId="165" fontId="3" fillId="0" borderId="1" xfId="1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5" fontId="0" fillId="0" borderId="1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4" fillId="0" borderId="0" xfId="0" applyNumberFormat="1" applyFont="1" applyBorder="1" applyAlignment="1" applyProtection="1">
      <alignment horizontal="center" vertical="center" wrapText="1"/>
    </xf>
    <xf numFmtId="164" fontId="4" fillId="0" borderId="0" xfId="0" applyNumberFormat="1" applyFont="1" applyAlignment="1" applyProtection="1">
      <alignment horizontal="center" vertical="center" wrapText="1"/>
    </xf>
    <xf numFmtId="165" fontId="4" fillId="0" borderId="1" xfId="1" applyNumberFormat="1" applyFont="1" applyBorder="1" applyAlignment="1" applyProtection="1">
      <alignment horizontal="center"/>
    </xf>
    <xf numFmtId="164" fontId="11" fillId="0" borderId="1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 vertical="center" wrapText="1"/>
    </xf>
    <xf numFmtId="165" fontId="4" fillId="0" borderId="1" xfId="1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/>
    </xf>
    <xf numFmtId="165" fontId="0" fillId="0" borderId="0" xfId="1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65" fontId="11" fillId="0" borderId="1" xfId="1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 vertical="center" wrapText="1"/>
    </xf>
    <xf numFmtId="165" fontId="0" fillId="0" borderId="1" xfId="0" applyNumberFormat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165" fontId="0" fillId="3" borderId="1" xfId="1" applyNumberFormat="1" applyFont="1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0" fontId="0" fillId="3" borderId="1" xfId="0" applyFill="1" applyBorder="1" applyProtection="1"/>
    <xf numFmtId="0" fontId="0" fillId="3" borderId="1" xfId="0" applyFill="1" applyBorder="1" applyAlignment="1" applyProtection="1">
      <alignment horizontal="center"/>
    </xf>
    <xf numFmtId="165" fontId="0" fillId="4" borderId="1" xfId="1" applyNumberFormat="1" applyFont="1" applyFill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 wrapText="1"/>
    </xf>
    <xf numFmtId="165" fontId="3" fillId="0" borderId="1" xfId="1" applyNumberFormat="1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4" borderId="1" xfId="1" applyNumberFormat="1" applyFont="1" applyFill="1" applyBorder="1" applyAlignment="1" applyProtection="1">
      <alignment horizontal="center"/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165" fontId="0" fillId="2" borderId="1" xfId="1" applyNumberFormat="1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2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5" fontId="7" fillId="0" borderId="0" xfId="1" applyNumberFormat="1" applyFont="1" applyAlignment="1" applyProtection="1">
      <alignment horizontal="center"/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165" fontId="3" fillId="0" borderId="5" xfId="1" applyNumberFormat="1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10" fillId="0" borderId="0" xfId="0" applyFont="1" applyBorder="1" applyProtection="1">
      <protection locked="0"/>
    </xf>
    <xf numFmtId="164" fontId="10" fillId="4" borderId="1" xfId="0" applyNumberFormat="1" applyFont="1" applyFill="1" applyBorder="1" applyAlignment="1" applyProtection="1">
      <alignment horizontal="center"/>
      <protection locked="0"/>
    </xf>
    <xf numFmtId="165" fontId="0" fillId="0" borderId="5" xfId="0" applyNumberFormat="1" applyFont="1" applyBorder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5" fontId="0" fillId="0" borderId="0" xfId="1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165" fontId="4" fillId="0" borderId="5" xfId="1" applyNumberFormat="1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1" fontId="8" fillId="4" borderId="1" xfId="0" applyNumberFormat="1" applyFont="1" applyFill="1" applyBorder="1" applyAlignment="1" applyProtection="1">
      <alignment horizontal="center"/>
      <protection locked="0"/>
    </xf>
    <xf numFmtId="165" fontId="8" fillId="4" borderId="1" xfId="1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165" fontId="0" fillId="0" borderId="0" xfId="1" applyNumberFormat="1" applyFont="1" applyFill="1" applyBorder="1" applyProtection="1">
      <protection locked="0"/>
    </xf>
    <xf numFmtId="0" fontId="0" fillId="0" borderId="0" xfId="0" applyFill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0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164" fontId="11" fillId="0" borderId="0" xfId="0" applyNumberFormat="1" applyFont="1" applyAlignment="1" applyProtection="1">
      <alignment vertical="center" wrapText="1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 applyFont="1"/>
    <xf numFmtId="0" fontId="3" fillId="0" borderId="0" xfId="0" applyFont="1"/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165" fontId="3" fillId="4" borderId="1" xfId="1" applyNumberFormat="1" applyFont="1" applyFill="1" applyBorder="1" applyAlignment="1" applyProtection="1">
      <alignment horizontal="center" vertical="center" wrapText="1"/>
    </xf>
    <xf numFmtId="164" fontId="3" fillId="4" borderId="1" xfId="0" applyNumberFormat="1" applyFont="1" applyFill="1" applyBorder="1" applyAlignment="1" applyProtection="1">
      <alignment horizontal="center" vertical="center" wrapText="1"/>
    </xf>
    <xf numFmtId="2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164" fontId="7" fillId="0" borderId="0" xfId="0" applyNumberFormat="1" applyFont="1" applyAlignment="1" applyProtection="1">
      <alignment horizontal="center"/>
    </xf>
    <xf numFmtId="164" fontId="7" fillId="0" borderId="0" xfId="0" applyNumberFormat="1" applyFont="1" applyBorder="1" applyAlignment="1" applyProtection="1">
      <alignment horizontal="center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164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164" fontId="8" fillId="0" borderId="0" xfId="0" applyNumberFormat="1" applyFont="1" applyBorder="1" applyAlignment="1" applyProtection="1">
      <alignment horizontal="center"/>
    </xf>
    <xf numFmtId="164" fontId="8" fillId="0" borderId="0" xfId="1" applyNumberFormat="1" applyFont="1" applyBorder="1" applyAlignment="1" applyProtection="1">
      <alignment horizontal="center"/>
    </xf>
    <xf numFmtId="0" fontId="14" fillId="0" borderId="0" xfId="2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0" fontId="12" fillId="0" borderId="0" xfId="0" applyFont="1" applyAlignment="1"/>
    <xf numFmtId="0" fontId="13" fillId="0" borderId="0" xfId="0" applyFont="1" applyAlignment="1"/>
    <xf numFmtId="164" fontId="13" fillId="0" borderId="0" xfId="0" applyNumberFormat="1" applyFont="1" applyAlignment="1"/>
    <xf numFmtId="1" fontId="13" fillId="0" borderId="0" xfId="0" applyNumberFormat="1" applyFont="1" applyAlignment="1"/>
    <xf numFmtId="0" fontId="12" fillId="0" borderId="8" xfId="0" applyFont="1" applyBorder="1" applyAlignment="1" applyProtection="1"/>
    <xf numFmtId="2" fontId="12" fillId="0" borderId="9" xfId="0" applyNumberFormat="1" applyFont="1" applyBorder="1" applyAlignment="1" applyProtection="1">
      <protection locked="0"/>
    </xf>
    <xf numFmtId="0" fontId="12" fillId="0" borderId="0" xfId="0" applyFont="1" applyAlignment="1" applyProtection="1">
      <protection locked="0"/>
    </xf>
    <xf numFmtId="0" fontId="12" fillId="0" borderId="8" xfId="0" applyFont="1" applyBorder="1" applyAlignment="1" applyProtection="1">
      <protection locked="0"/>
    </xf>
    <xf numFmtId="0" fontId="13" fillId="5" borderId="6" xfId="0" applyFont="1" applyFill="1" applyBorder="1" applyAlignment="1" applyProtection="1">
      <protection locked="0"/>
    </xf>
    <xf numFmtId="2" fontId="13" fillId="5" borderId="7" xfId="0" applyNumberFormat="1" applyFont="1" applyFill="1" applyBorder="1" applyAlignment="1" applyProtection="1">
      <protection locked="0"/>
    </xf>
    <xf numFmtId="0" fontId="13" fillId="0" borderId="0" xfId="0" applyFont="1" applyAlignment="1" applyProtection="1">
      <protection locked="0"/>
    </xf>
    <xf numFmtId="0" fontId="13" fillId="8" borderId="6" xfId="0" applyFont="1" applyFill="1" applyBorder="1" applyAlignment="1" applyProtection="1">
      <protection locked="0"/>
    </xf>
    <xf numFmtId="1" fontId="13" fillId="8" borderId="7" xfId="0" applyNumberFormat="1" applyFont="1" applyFill="1" applyBorder="1" applyAlignment="1" applyProtection="1">
      <protection locked="0"/>
    </xf>
    <xf numFmtId="0" fontId="13" fillId="4" borderId="6" xfId="0" applyFont="1" applyFill="1" applyBorder="1" applyAlignment="1" applyProtection="1">
      <protection locked="0"/>
    </xf>
    <xf numFmtId="2" fontId="13" fillId="4" borderId="7" xfId="0" applyNumberFormat="1" applyFont="1" applyFill="1" applyBorder="1" applyAlignment="1" applyProtection="1">
      <protection locked="0"/>
    </xf>
    <xf numFmtId="0" fontId="13" fillId="8" borderId="10" xfId="0" applyFont="1" applyFill="1" applyBorder="1" applyAlignment="1" applyProtection="1">
      <protection locked="0"/>
    </xf>
    <xf numFmtId="1" fontId="13" fillId="8" borderId="11" xfId="0" applyNumberFormat="1" applyFont="1" applyFill="1" applyBorder="1" applyAlignment="1" applyProtection="1">
      <protection locked="0"/>
    </xf>
    <xf numFmtId="0" fontId="13" fillId="6" borderId="6" xfId="0" applyFont="1" applyFill="1" applyBorder="1" applyAlignment="1" applyProtection="1">
      <protection locked="0"/>
    </xf>
    <xf numFmtId="2" fontId="13" fillId="6" borderId="7" xfId="0" applyNumberFormat="1" applyFont="1" applyFill="1" applyBorder="1" applyAlignment="1" applyProtection="1">
      <protection locked="0"/>
    </xf>
    <xf numFmtId="2" fontId="13" fillId="0" borderId="0" xfId="0" applyNumberFormat="1" applyFont="1" applyAlignment="1" applyProtection="1">
      <protection locked="0"/>
    </xf>
    <xf numFmtId="0" fontId="13" fillId="7" borderId="6" xfId="0" applyFont="1" applyFill="1" applyBorder="1" applyAlignment="1" applyProtection="1">
      <protection locked="0"/>
    </xf>
    <xf numFmtId="2" fontId="13" fillId="7" borderId="7" xfId="0" applyNumberFormat="1" applyFont="1" applyFill="1" applyBorder="1" applyAlignment="1" applyProtection="1">
      <protection locked="0"/>
    </xf>
    <xf numFmtId="1" fontId="5" fillId="0" borderId="0" xfId="0" applyNumberFormat="1" applyFont="1" applyAlignment="1"/>
    <xf numFmtId="164" fontId="5" fillId="0" borderId="0" xfId="0" applyNumberFormat="1" applyFont="1" applyAlignment="1"/>
    <xf numFmtId="165" fontId="0" fillId="0" borderId="0" xfId="1" applyNumberFormat="1" applyFont="1" applyAlignment="1"/>
    <xf numFmtId="166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64" fontId="3" fillId="0" borderId="0" xfId="0" applyNumberFormat="1" applyFont="1" applyAlignment="1" applyProtection="1">
      <alignment wrapText="1"/>
    </xf>
    <xf numFmtId="0" fontId="3" fillId="0" borderId="0" xfId="0" applyFont="1" applyAlignment="1" applyProtection="1">
      <alignment wrapText="1"/>
    </xf>
    <xf numFmtId="1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8" fontId="13" fillId="8" borderId="11" xfId="0" applyNumberFormat="1" applyFont="1" applyFill="1" applyBorder="1" applyAlignment="1" applyProtection="1">
      <protection locked="0"/>
    </xf>
    <xf numFmtId="164" fontId="17" fillId="0" borderId="0" xfId="0" applyNumberFormat="1" applyFont="1" applyFill="1" applyBorder="1" applyAlignment="1"/>
    <xf numFmtId="0" fontId="17" fillId="0" borderId="0" xfId="0" applyFont="1" applyFill="1" applyBorder="1" applyAlignment="1"/>
    <xf numFmtId="0" fontId="17" fillId="0" borderId="0" xfId="0" applyFont="1" applyFill="1" applyAlignment="1"/>
    <xf numFmtId="164" fontId="17" fillId="0" borderId="0" xfId="0" applyNumberFormat="1" applyFont="1" applyFill="1" applyAlignment="1"/>
    <xf numFmtId="0" fontId="18" fillId="0" borderId="0" xfId="0" applyFont="1" applyFill="1" applyAlignment="1"/>
    <xf numFmtId="1" fontId="19" fillId="0" borderId="0" xfId="0" applyNumberFormat="1" applyFont="1" applyFill="1" applyAlignment="1"/>
    <xf numFmtId="0" fontId="19" fillId="0" borderId="0" xfId="0" applyFont="1" applyFill="1" applyAlignment="1"/>
    <xf numFmtId="164" fontId="19" fillId="0" borderId="0" xfId="0" applyNumberFormat="1" applyFont="1" applyFill="1" applyAlignment="1"/>
    <xf numFmtId="164" fontId="19" fillId="9" borderId="0" xfId="0" applyNumberFormat="1" applyFont="1" applyFill="1" applyAlignment="1"/>
    <xf numFmtId="168" fontId="19" fillId="0" borderId="0" xfId="0" applyNumberFormat="1" applyFont="1" applyFill="1" applyAlignment="1"/>
    <xf numFmtId="164" fontId="13" fillId="9" borderId="0" xfId="0" applyNumberFormat="1" applyFont="1" applyFill="1" applyAlignment="1"/>
    <xf numFmtId="0" fontId="13" fillId="0" borderId="0" xfId="0" applyFont="1"/>
    <xf numFmtId="168" fontId="13" fillId="0" borderId="0" xfId="0" applyNumberFormat="1" applyFont="1" applyAlignment="1"/>
    <xf numFmtId="164" fontId="13" fillId="0" borderId="0" xfId="0" applyNumberFormat="1" applyFont="1"/>
    <xf numFmtId="0" fontId="17" fillId="0" borderId="0" xfId="0" applyFont="1" applyBorder="1" applyAlignment="1"/>
    <xf numFmtId="164" fontId="17" fillId="0" borderId="0" xfId="0" applyNumberFormat="1" applyFont="1" applyBorder="1" applyAlignment="1"/>
    <xf numFmtId="0" fontId="17" fillId="0" borderId="0" xfId="0" applyFont="1" applyAlignment="1"/>
    <xf numFmtId="0" fontId="20" fillId="0" borderId="0" xfId="0" applyFont="1" applyAlignment="1">
      <alignment horizontal="center"/>
    </xf>
    <xf numFmtId="0" fontId="13" fillId="0" borderId="0" xfId="0" applyNumberFormat="1" applyFont="1" applyAlignment="1"/>
    <xf numFmtId="167" fontId="13" fillId="0" borderId="0" xfId="0" applyNumberFormat="1" applyFont="1"/>
    <xf numFmtId="1" fontId="13" fillId="0" borderId="0" xfId="0" applyNumberFormat="1" applyFont="1"/>
    <xf numFmtId="164" fontId="0" fillId="0" borderId="0" xfId="0" applyNumberFormat="1" applyFont="1" applyFill="1" applyBorder="1" applyAlignment="1" applyProtection="1">
      <alignment horizontal="center"/>
    </xf>
    <xf numFmtId="165" fontId="2" fillId="0" borderId="12" xfId="1" applyNumberFormat="1" applyFont="1" applyFill="1" applyBorder="1" applyAlignment="1" applyProtection="1">
      <alignment horizontal="center"/>
    </xf>
    <xf numFmtId="164" fontId="0" fillId="0" borderId="12" xfId="0" applyNumberFormat="1" applyFont="1" applyFill="1" applyBorder="1" applyAlignment="1" applyProtection="1">
      <alignment horizontal="center"/>
    </xf>
    <xf numFmtId="2" fontId="0" fillId="0" borderId="12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</xf>
    <xf numFmtId="165" fontId="2" fillId="0" borderId="12" xfId="1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</xf>
    <xf numFmtId="0" fontId="0" fillId="0" borderId="12" xfId="0" applyFont="1" applyFill="1" applyBorder="1" applyAlignment="1" applyProtection="1">
      <alignment horizontal="center"/>
    </xf>
    <xf numFmtId="0" fontId="0" fillId="0" borderId="0" xfId="0" applyFont="1" applyBorder="1" applyProtection="1"/>
    <xf numFmtId="165" fontId="0" fillId="0" borderId="2" xfId="1" applyNumberFormat="1" applyFont="1" applyFill="1" applyBorder="1" applyAlignment="1" applyProtection="1">
      <alignment horizontal="center"/>
    </xf>
    <xf numFmtId="2" fontId="0" fillId="0" borderId="2" xfId="0" applyNumberFormat="1" applyFill="1" applyBorder="1" applyAlignment="1" applyProtection="1">
      <alignment horizontal="center"/>
      <protection locked="0"/>
    </xf>
    <xf numFmtId="2" fontId="0" fillId="0" borderId="2" xfId="0" applyNumberFormat="1" applyFill="1" applyBorder="1" applyAlignment="1" applyProtection="1">
      <alignment horizontal="center"/>
    </xf>
    <xf numFmtId="165" fontId="0" fillId="0" borderId="2" xfId="1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0" xfId="0" applyBorder="1" applyProtection="1"/>
    <xf numFmtId="0" fontId="21" fillId="0" borderId="0" xfId="0" applyFont="1"/>
    <xf numFmtId="164" fontId="22" fillId="0" borderId="0" xfId="0" applyNumberFormat="1" applyFont="1" applyAlignment="1"/>
    <xf numFmtId="164" fontId="22" fillId="9" borderId="0" xfId="0" applyNumberFormat="1" applyFont="1" applyFill="1" applyAlignment="1"/>
    <xf numFmtId="0" fontId="22" fillId="0" borderId="0" xfId="0" applyFont="1"/>
    <xf numFmtId="0" fontId="22" fillId="0" borderId="0" xfId="0" applyNumberFormat="1" applyFont="1"/>
    <xf numFmtId="164" fontId="22" fillId="0" borderId="0" xfId="0" applyNumberFormat="1" applyFont="1"/>
    <xf numFmtId="0" fontId="13" fillId="0" borderId="0" xfId="0" applyNumberFormat="1" applyFont="1"/>
    <xf numFmtId="0" fontId="23" fillId="0" borderId="0" xfId="0" applyFont="1"/>
    <xf numFmtId="0" fontId="24" fillId="0" borderId="0" xfId="0" applyFont="1"/>
    <xf numFmtId="10" fontId="23" fillId="0" borderId="0" xfId="0" applyNumberFormat="1" applyFont="1"/>
    <xf numFmtId="2" fontId="23" fillId="0" borderId="0" xfId="0" applyNumberFormat="1" applyFont="1"/>
    <xf numFmtId="165" fontId="23" fillId="0" borderId="0" xfId="1" applyNumberFormat="1" applyFont="1"/>
    <xf numFmtId="0" fontId="5" fillId="0" borderId="0" xfId="4" applyFont="1"/>
    <xf numFmtId="164" fontId="5" fillId="0" borderId="0" xfId="4" applyNumberFormat="1" applyFont="1"/>
    <xf numFmtId="10" fontId="5" fillId="0" borderId="0" xfId="5" applyNumberFormat="1" applyFont="1"/>
    <xf numFmtId="2" fontId="5" fillId="0" borderId="0" xfId="4" applyNumberFormat="1" applyFont="1"/>
    <xf numFmtId="0" fontId="6" fillId="0" borderId="0" xfId="4" applyFont="1" applyAlignment="1">
      <alignment horizontal="center"/>
    </xf>
    <xf numFmtId="164" fontId="6" fillId="0" borderId="0" xfId="4" applyNumberFormat="1" applyFont="1" applyAlignment="1">
      <alignment horizontal="center"/>
    </xf>
    <xf numFmtId="165" fontId="5" fillId="0" borderId="0" xfId="5" applyNumberFormat="1" applyFont="1"/>
    <xf numFmtId="2" fontId="8" fillId="4" borderId="1" xfId="1" applyNumberFormat="1" applyFont="1" applyFill="1" applyBorder="1" applyAlignment="1" applyProtection="1">
      <alignment horizontal="center"/>
      <protection locked="0"/>
    </xf>
    <xf numFmtId="165" fontId="23" fillId="0" borderId="0" xfId="0" applyNumberFormat="1" applyFont="1"/>
    <xf numFmtId="2" fontId="0" fillId="4" borderId="1" xfId="1" applyNumberFormat="1" applyFont="1" applyFill="1" applyBorder="1" applyAlignment="1" applyProtection="1">
      <alignment horizontal="center"/>
      <protection locked="0"/>
    </xf>
    <xf numFmtId="10" fontId="0" fillId="4" borderId="1" xfId="1" applyNumberFormat="1" applyFont="1" applyFill="1" applyBorder="1" applyAlignment="1" applyProtection="1">
      <alignment horizontal="center"/>
      <protection locked="0"/>
    </xf>
    <xf numFmtId="165" fontId="6" fillId="0" borderId="0" xfId="4" applyNumberFormat="1" applyFont="1" applyAlignment="1">
      <alignment horizontal="center"/>
    </xf>
    <xf numFmtId="165" fontId="5" fillId="0" borderId="0" xfId="4" applyNumberFormat="1" applyFont="1"/>
    <xf numFmtId="0" fontId="3" fillId="0" borderId="0" xfId="0" applyFont="1" applyFill="1" applyAlignment="1" applyProtection="1">
      <alignment horizontal="center"/>
      <protection locked="0"/>
    </xf>
    <xf numFmtId="164" fontId="3" fillId="0" borderId="0" xfId="0" applyNumberFormat="1" applyFont="1" applyFill="1" applyAlignment="1" applyProtection="1">
      <alignment horizontal="center"/>
      <protection locked="0"/>
    </xf>
    <xf numFmtId="165" fontId="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/>
    <xf numFmtId="0" fontId="0" fillId="13" borderId="0" xfId="0" applyFont="1" applyFill="1" applyAlignment="1" applyProtection="1"/>
    <xf numFmtId="164" fontId="0" fillId="13" borderId="0" xfId="0" applyNumberFormat="1" applyFont="1" applyFill="1" applyAlignment="1" applyProtection="1"/>
    <xf numFmtId="165" fontId="0" fillId="0" borderId="0" xfId="1" applyNumberFormat="1" applyFont="1" applyFill="1" applyAlignment="1" applyProtection="1">
      <protection locked="0"/>
    </xf>
    <xf numFmtId="0" fontId="0" fillId="0" borderId="0" xfId="0" applyFont="1" applyAlignment="1"/>
    <xf numFmtId="1" fontId="0" fillId="0" borderId="0" xfId="0" applyNumberFormat="1" applyFont="1" applyAlignment="1"/>
    <xf numFmtId="0" fontId="0" fillId="12" borderId="0" xfId="0" applyFont="1" applyFill="1" applyAlignment="1"/>
    <xf numFmtId="164" fontId="0" fillId="12" borderId="0" xfId="0" applyNumberFormat="1" applyFont="1" applyFill="1" applyAlignment="1"/>
    <xf numFmtId="165" fontId="0" fillId="12" borderId="0" xfId="1" applyNumberFormat="1" applyFont="1" applyFill="1" applyAlignment="1"/>
    <xf numFmtId="0" fontId="0" fillId="11" borderId="0" xfId="0" applyFont="1" applyFill="1"/>
    <xf numFmtId="164" fontId="0" fillId="11" borderId="0" xfId="0" applyNumberFormat="1" applyFont="1" applyFill="1"/>
    <xf numFmtId="1" fontId="0" fillId="11" borderId="0" xfId="0" applyNumberFormat="1" applyFont="1" applyFill="1" applyAlignment="1"/>
    <xf numFmtId="164" fontId="0" fillId="11" borderId="0" xfId="0" applyNumberFormat="1" applyFont="1" applyFill="1" applyAlignment="1"/>
    <xf numFmtId="165" fontId="0" fillId="11" borderId="0" xfId="1" applyNumberFormat="1" applyFont="1" applyFill="1" applyAlignment="1"/>
    <xf numFmtId="0" fontId="0" fillId="10" borderId="0" xfId="0" applyFont="1" applyFill="1" applyAlignment="1" applyProtection="1"/>
    <xf numFmtId="164" fontId="0" fillId="10" borderId="0" xfId="0" applyNumberFormat="1" applyFont="1" applyFill="1" applyAlignment="1" applyProtection="1"/>
    <xf numFmtId="1" fontId="0" fillId="0" borderId="0" xfId="0" applyNumberFormat="1" applyFont="1"/>
    <xf numFmtId="0" fontId="0" fillId="12" borderId="0" xfId="0" applyFont="1" applyFill="1"/>
    <xf numFmtId="164" fontId="0" fillId="12" borderId="0" xfId="0" applyNumberFormat="1" applyFont="1" applyFill="1"/>
    <xf numFmtId="0" fontId="0" fillId="0" borderId="0" xfId="0" applyFont="1" applyFill="1" applyAlignment="1" applyProtection="1"/>
    <xf numFmtId="164" fontId="0" fillId="0" borderId="0" xfId="0" applyNumberFormat="1" applyFont="1" applyFill="1" applyAlignment="1" applyProtection="1">
      <protection locked="0"/>
    </xf>
    <xf numFmtId="165" fontId="0" fillId="0" borderId="0" xfId="0" applyNumberFormat="1" applyFont="1" applyFill="1" applyAlignment="1" applyProtection="1">
      <protection locked="0"/>
    </xf>
    <xf numFmtId="164" fontId="0" fillId="0" borderId="0" xfId="0" applyNumberFormat="1" applyFont="1" applyFill="1" applyAlignment="1" applyProtection="1"/>
    <xf numFmtId="0" fontId="0" fillId="0" borderId="0" xfId="0" applyFont="1" applyFill="1" applyAlignment="1"/>
    <xf numFmtId="164" fontId="0" fillId="0" borderId="0" xfId="0" applyNumberFormat="1" applyFont="1" applyFill="1" applyAlignment="1"/>
    <xf numFmtId="2" fontId="0" fillId="0" borderId="0" xfId="0" applyNumberFormat="1" applyFont="1" applyFill="1" applyAlignment="1"/>
    <xf numFmtId="164" fontId="0" fillId="0" borderId="0" xfId="0" applyNumberFormat="1" applyFont="1" applyProtection="1"/>
    <xf numFmtId="168" fontId="0" fillId="0" borderId="0" xfId="3" applyNumberFormat="1" applyFont="1" applyProtection="1"/>
    <xf numFmtId="0" fontId="0" fillId="0" borderId="0" xfId="0" applyNumberFormat="1" applyFont="1" applyProtection="1"/>
    <xf numFmtId="10" fontId="8" fillId="4" borderId="1" xfId="1" applyNumberFormat="1" applyFont="1" applyFill="1" applyBorder="1" applyAlignment="1" applyProtection="1">
      <alignment horizontal="center"/>
      <protection locked="0"/>
    </xf>
    <xf numFmtId="0" fontId="25" fillId="14" borderId="1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1" fontId="25" fillId="14" borderId="1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Protection="1"/>
    <xf numFmtId="0" fontId="25" fillId="15" borderId="1" xfId="0" applyFont="1" applyFill="1" applyBorder="1" applyAlignment="1" applyProtection="1">
      <alignment horizontal="center" vertical="center" wrapText="1"/>
    </xf>
    <xf numFmtId="1" fontId="25" fillId="15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Font="1" applyAlignment="1"/>
    <xf numFmtId="0" fontId="5" fillId="0" borderId="0" xfId="4" applyFont="1" applyProtection="1">
      <protection locked="0"/>
    </xf>
    <xf numFmtId="0" fontId="15" fillId="0" borderId="0" xfId="2" applyFont="1" applyAlignment="1">
      <alignment horizontal="left"/>
    </xf>
  </cellXfs>
  <cellStyles count="6">
    <cellStyle name="Currency" xfId="3" builtinId="4"/>
    <cellStyle name="Hyperlink" xfId="2" builtinId="8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679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alignment horizontal="general" vertical="bottom" textRotation="0" wrapText="1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Light8" defaultPivotStyle="PivotStyleLight16"/>
  <colors>
    <mruColors>
      <color rgb="FFFFD69F"/>
      <color rgb="FFFFD5D5"/>
      <color rgb="FFFFC87D"/>
      <color rgb="FFEAF3FA"/>
      <color rgb="FFF1F7ED"/>
      <color rgb="FFFFEBD7"/>
      <color rgb="FFFFE6B9"/>
      <color rgb="FFF5DCFF"/>
      <color rgb="FFC8E6FA"/>
      <color rgb="FFE6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vin/Desktop/FF2021%20Custom%20Cheatsheet%20Upd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tings"/>
      <sheetName val="POS Ranks"/>
      <sheetName val="ARI"/>
      <sheetName val="ATL"/>
      <sheetName val="BAL"/>
      <sheetName val="BUF"/>
      <sheetName val="CAR"/>
      <sheetName val="CHI"/>
      <sheetName val="CIN"/>
      <sheetName val="CLE"/>
      <sheetName val="DAL"/>
      <sheetName val="DEN"/>
      <sheetName val="DET"/>
      <sheetName val="GB"/>
      <sheetName val="HOU"/>
      <sheetName val="IND"/>
      <sheetName val="JAX"/>
      <sheetName val="KC"/>
      <sheetName val="LAC"/>
      <sheetName val="LAR"/>
      <sheetName val="LV"/>
      <sheetName val="MIA"/>
      <sheetName val="MIN"/>
      <sheetName val="NE"/>
      <sheetName val="NO"/>
      <sheetName val="NYG"/>
      <sheetName val="NYJ"/>
      <sheetName val="PHI"/>
      <sheetName val="PIT"/>
      <sheetName val="SEA"/>
      <sheetName val="SF"/>
      <sheetName val="TB"/>
      <sheetName val="TEN"/>
      <sheetName val="WFT"/>
      <sheetName val="DST"/>
      <sheetName val="QB"/>
      <sheetName val="RB"/>
      <sheetName val="WR"/>
      <sheetName val="TE"/>
      <sheetName val="DST1"/>
    </sheetNames>
    <sheetDataSet>
      <sheetData sheetId="0" refreshError="1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0.04</v>
          </cell>
        </row>
        <row r="5">
          <cell r="B5">
            <v>4</v>
          </cell>
        </row>
        <row r="6">
          <cell r="B6">
            <v>-2</v>
          </cell>
        </row>
        <row r="7">
          <cell r="B7">
            <v>0</v>
          </cell>
        </row>
        <row r="8">
          <cell r="B8">
            <v>0.1</v>
          </cell>
        </row>
        <row r="9">
          <cell r="B9">
            <v>6</v>
          </cell>
        </row>
        <row r="10">
          <cell r="B10">
            <v>0</v>
          </cell>
        </row>
        <row r="11">
          <cell r="B11">
            <v>0.5</v>
          </cell>
        </row>
        <row r="12">
          <cell r="B12">
            <v>0.5</v>
          </cell>
        </row>
        <row r="13">
          <cell r="B13">
            <v>0.5</v>
          </cell>
        </row>
        <row r="14">
          <cell r="B14">
            <v>0.1</v>
          </cell>
        </row>
        <row r="15">
          <cell r="B15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LeagueSettings" displayName="TableLeagueSettings" ref="A1:B28" totalsRowShown="0" headerRowDxfId="678" dataDxfId="676" headerRowBorderDxfId="677" tableBorderDxfId="675" totalsRowBorderDxfId="674">
  <tableColumns count="2">
    <tableColumn id="1" xr3:uid="{00000000-0010-0000-0000-000001000000}" name="Catergoy" dataDxfId="673"/>
    <tableColumn id="2" xr3:uid="{00000000-0010-0000-0000-000002000000}" name="Points" dataDxfId="6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RBVORP" displayName="TableRBVORP" ref="H1:M176" totalsRowShown="0" headerRowDxfId="613" dataDxfId="612">
  <sortState xmlns:xlrd2="http://schemas.microsoft.com/office/spreadsheetml/2017/richdata2" ref="H2:M176">
    <sortCondition ref="H1:H176"/>
  </sortState>
  <tableColumns count="6">
    <tableColumn id="1" xr3:uid="{00000000-0010-0000-0900-000001000000}" name="RK" dataDxfId="611">
      <calculatedColumnFormula>IFERROR(RANK(TableRBVORP[[#This Row],[FPS]],TableRBVORP[FPS],0),"")</calculatedColumnFormula>
    </tableColumn>
    <tableColumn id="2" xr3:uid="{00000000-0010-0000-0900-000002000000}" name="RUNNING BACK" dataDxfId="610">
      <calculatedColumnFormula>IFERROR(INDEX(TableRBCalcPts[PLAYER],MATCH(TableRBVORP[[#This Row],[RK]],TableRBCalcPts[RK],0)),"")</calculatedColumnFormula>
    </tableColumn>
    <tableColumn id="3" xr3:uid="{00000000-0010-0000-0900-000003000000}" name="TM" dataDxfId="609">
      <calculatedColumnFormula>IFERROR(INDEX(TableRBCalcPts[TM],MATCH(TableRBVORP[[#This Row],[RK]],TableRBCalcPts[RK],0)),"")</calculatedColumnFormula>
    </tableColumn>
    <tableColumn id="4" xr3:uid="{00000000-0010-0000-0900-000004000000}" name="BYE" dataDxfId="608">
      <calculatedColumnFormula>IFERROR(INDEX(TableRBCalcPts[BYE],MATCH(TableRBVORP[[#This Row],[RK]],TableRBCalcPts[RK],0)),"")</calculatedColumnFormula>
    </tableColumn>
    <tableColumn id="5" xr3:uid="{00000000-0010-0000-0900-000005000000}" name="FPS" dataDxfId="607">
      <calculatedColumnFormula>IFERROR(INDEX(TableRBCalcPts[Custom],MATCH(TableRBVORP[[#This Row],[RK]],TableRBCalcPts[RK],0)),"")</calculatedColumnFormula>
    </tableColumn>
    <tableColumn id="6" xr3:uid="{00000000-0010-0000-0900-000006000000}" name="VORP" dataDxfId="606" dataCellStyle="Percent">
      <calculatedColumnFormula>IFERROR((TableRBVORP[[#This Row],[FPS]]-INDEX(TableRBVORP[FPS],MATCH(RBVORPCalc,TableRBVORP[RK],0)))/INDEX(TableRBVORP[FPS],MATCH(RBVORPCalc,TableRBVORP[RK],0)),"")</calculatedColumnFormula>
    </tableColumn>
  </tableColumns>
  <tableStyleInfo name="TableStyleLight8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WRVORP" displayName="TableWRVORP" ref="O1:T226" totalsRowShown="0" headerRowDxfId="605" dataDxfId="604">
  <sortState xmlns:xlrd2="http://schemas.microsoft.com/office/spreadsheetml/2017/richdata2" ref="O2:T226">
    <sortCondition ref="O1:O226"/>
  </sortState>
  <tableColumns count="6">
    <tableColumn id="1" xr3:uid="{00000000-0010-0000-0A00-000001000000}" name="RK" dataDxfId="603">
      <calculatedColumnFormula>IFERROR(RANK(TableWRVORP[[#This Row],[FPS]],TableWRVORP[FPS],0),"")</calculatedColumnFormula>
    </tableColumn>
    <tableColumn id="2" xr3:uid="{00000000-0010-0000-0A00-000002000000}" name="WIDE RECEIVER" dataDxfId="602">
      <calculatedColumnFormula>IFERROR(INDEX(TableWRCalcPts[PLAYER],MATCH(TableWRVORP[[#This Row],[RK]],TableWRCalcPts[RK],0)),"")</calculatedColumnFormula>
    </tableColumn>
    <tableColumn id="3" xr3:uid="{00000000-0010-0000-0A00-000003000000}" name="TM" dataDxfId="601">
      <calculatedColumnFormula>IFERROR(INDEX(TableWRCalcPts[TM],MATCH(TableWRVORP[[#This Row],[RK]],TableWRCalcPts[RK],0)),"")</calculatedColumnFormula>
    </tableColumn>
    <tableColumn id="4" xr3:uid="{00000000-0010-0000-0A00-000004000000}" name="BYE" dataDxfId="600">
      <calculatedColumnFormula>IFERROR(INDEX(TableWRCalcPts[BYE],MATCH(TableWRVORP[[#This Row],[RK]],TableWRCalcPts[RK],0)),"")</calculatedColumnFormula>
    </tableColumn>
    <tableColumn id="5" xr3:uid="{00000000-0010-0000-0A00-000005000000}" name="FPS" dataDxfId="599">
      <calculatedColumnFormula>IFERROR(INDEX(TableWRCalcPts[Custom],MATCH(TableWRVORP[[#This Row],[RK]],TableWRCalcPts[RK],0)),"")</calculatedColumnFormula>
    </tableColumn>
    <tableColumn id="6" xr3:uid="{00000000-0010-0000-0A00-000006000000}" name="VORP" dataDxfId="598" dataCellStyle="Percent">
      <calculatedColumnFormula>IFERROR((TableWRVORP[[#This Row],[FPS]]-INDEX(TableWRVORP[FPS],MATCH(WRVORPCalc,TableWRVORP[RK],0)))/INDEX(TableWRVORP[FPS],MATCH(WRVORPCalc,TableWRVORP[RK],0)),"")</calculatedColumnFormula>
    </tableColumn>
  </tableColumns>
  <tableStyleInfo name="TableStyleLight8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TEVORP" displayName="TableTEVORP" ref="V1:AA101" totalsRowShown="0" headerRowDxfId="597" dataDxfId="596">
  <sortState xmlns:xlrd2="http://schemas.microsoft.com/office/spreadsheetml/2017/richdata2" ref="V2:AA101">
    <sortCondition ref="V1:V101"/>
  </sortState>
  <tableColumns count="6">
    <tableColumn id="1" xr3:uid="{00000000-0010-0000-0B00-000001000000}" name="RK" dataDxfId="595">
      <calculatedColumnFormula>IFERROR(RANK(TableTEVORP[[#This Row],[FPS]],TableTEVORP[FPS],0),"")</calculatedColumnFormula>
    </tableColumn>
    <tableColumn id="2" xr3:uid="{00000000-0010-0000-0B00-000002000000}" name="TIGHT END" dataDxfId="594">
      <calculatedColumnFormula>IFERROR(INDEX(TableTECalcPts[PLAYER],MATCH(TableTEVORP[[#This Row],[RK]],TableTECalcPts[RK],0)),"")</calculatedColumnFormula>
    </tableColumn>
    <tableColumn id="3" xr3:uid="{00000000-0010-0000-0B00-000003000000}" name="TM" dataDxfId="593">
      <calculatedColumnFormula>IFERROR(INDEX(TableTECalcPts[TM],MATCH(TableTEVORP[[#This Row],[RK]],TableTECalcPts[RK],0)),"")</calculatedColumnFormula>
    </tableColumn>
    <tableColumn id="4" xr3:uid="{00000000-0010-0000-0B00-000004000000}" name="BYE" dataDxfId="592">
      <calculatedColumnFormula>IFERROR(INDEX(TableTECalcPts[BYE],MATCH(TableTEVORP[[#This Row],[RK]],TableTECalcPts[RK],0)),"")</calculatedColumnFormula>
    </tableColumn>
    <tableColumn id="5" xr3:uid="{00000000-0010-0000-0B00-000005000000}" name="FPS" dataDxfId="591">
      <calculatedColumnFormula>IFERROR(INDEX(TableTECalcPts[Custom],MATCH(TableTEVORP[[#This Row],[RK]],TableTECalcPts[RK],0)),"")</calculatedColumnFormula>
    </tableColumn>
    <tableColumn id="6" xr3:uid="{00000000-0010-0000-0B00-000006000000}" name="VORP" dataDxfId="590" dataCellStyle="Percent">
      <calculatedColumnFormula>IFERROR((TableTEVORP[[#This Row],[FPS]]-INDEX(TableTEVORP[FPS],MATCH(TEVORPCalc,TableTEVORP[RK],0)))/INDEX(TableTEVORP[FPS],MATCH(TEVORPCalc,TableTEVORP[RK],0)),"")</calculatedColumnFormula>
    </tableColumn>
  </tableColumns>
  <tableStyleInfo name="TableStyleLight8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C000000}" name="TableOverallMaster" displayName="TableOverallMaster" ref="AF1:AM301" totalsRowShown="0" headerRowDxfId="589" dataDxfId="588">
  <tableColumns count="8">
    <tableColumn id="1" xr3:uid="{00000000-0010-0000-0C00-000001000000}" name="POS" dataDxfId="587"/>
    <tableColumn id="2" xr3:uid="{00000000-0010-0000-0C00-000002000000}" name="RK" dataDxfId="586"/>
    <tableColumn id="7" xr3:uid="{00000000-0010-0000-0C00-000007000000}" name="OVR RK" dataDxfId="585">
      <calculatedColumnFormula>RANK(TableOverallMaster[[#This Row],[VORP]],TableOverallMaster[VORP])+COUNTIF($AM$2:AM2,AM2)-1</calculatedColumnFormula>
    </tableColumn>
    <tableColumn id="3" xr3:uid="{00000000-0010-0000-0C00-000003000000}" name="OVERALL PLAYER" dataDxfId="584">
      <calculatedColumnFormula>IFERROR(INDEX(TableQBVORP[QUARTERBACK],MATCH(TableOverallMaster[[#This Row],[RK]],TableQBVORP[RK],0)),"")</calculatedColumnFormula>
    </tableColumn>
    <tableColumn id="4" xr3:uid="{00000000-0010-0000-0C00-000004000000}" name="POS RK" dataDxfId="583">
      <calculatedColumnFormula>CONCATENATE(AF2,AG2)</calculatedColumnFormula>
    </tableColumn>
    <tableColumn id="9" xr3:uid="{00000000-0010-0000-0C00-000009000000}" name="BYE" dataDxfId="582">
      <calculatedColumnFormula>IFERROR(INDEX(TableQBVORP[BYE],MATCH(TableOverallMaster[[#This Row],[RK]],TableQBVORP[RK],0)),"")</calculatedColumnFormula>
    </tableColumn>
    <tableColumn id="5" xr3:uid="{00000000-0010-0000-0C00-000005000000}" name="Custom" dataDxfId="581">
      <calculatedColumnFormula>VLOOKUP(AG2,V$1:AA$101,5,FALSE)</calculatedColumnFormula>
    </tableColumn>
    <tableColumn id="6" xr3:uid="{00000000-0010-0000-0C00-000006000000}" name="VORP" dataDxfId="580" dataCellStyle="Percent">
      <calculatedColumnFormula>IFERROR(INDEX(TableQBVORP[VORP],MATCH(TableOverallMaster[[#This Row],[RK]],TableQBVORP[RK],0)),"")</calculatedColumnFormula>
    </tableColumn>
  </tableColumns>
  <tableStyleInfo name="TableStyleLight8" showFirstColumn="0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TableOverallRank" displayName="TableOverallRank" ref="AO1:AT301" totalsRowShown="0" headerRowDxfId="579" dataDxfId="578">
  <sortState xmlns:xlrd2="http://schemas.microsoft.com/office/spreadsheetml/2017/richdata2" ref="AO2:AT301">
    <sortCondition descending="1" ref="AT2:AT301"/>
  </sortState>
  <tableColumns count="6">
    <tableColumn id="1" xr3:uid="{00000000-0010-0000-0D00-000001000000}" name="RK" dataDxfId="577"/>
    <tableColumn id="2" xr3:uid="{00000000-0010-0000-0D00-000002000000}" name="OVERALL PLAYER" dataDxfId="576">
      <calculatedColumnFormula>IFERROR(INDEX(TableOverallMaster[OVERALL PLAYER],MATCH(TableOverallRank[[#This Row],[RK]],TableOverallMaster[OVR RK],0)),"")</calculatedColumnFormula>
    </tableColumn>
    <tableColumn id="3" xr3:uid="{00000000-0010-0000-0D00-000003000000}" name="POS RK" dataDxfId="575">
      <calculatedColumnFormula>IFERROR(INDEX(TableOverallMaster[POS RK],MATCH(TableOverallRank[[#This Row],[OVERALL PLAYER]],TableOverallMaster[OVERALL PLAYER],0)),"")</calculatedColumnFormula>
    </tableColumn>
    <tableColumn id="6" xr3:uid="{00000000-0010-0000-0D00-000006000000}" name="BYE" dataDxfId="574">
      <calculatedColumnFormula>IFERROR(INDEX(TableOverallMaster[BYE],MATCH(TableOverallRank[[#This Row],[OVERALL PLAYER]],TableOverallMaster[OVERALL PLAYER],0)),"")</calculatedColumnFormula>
    </tableColumn>
    <tableColumn id="4" xr3:uid="{00000000-0010-0000-0D00-000004000000}" name="FPS" dataDxfId="573">
      <calculatedColumnFormula>IFERROR(INDEX(TableOverallMaster[Custom],MATCH(TableOverallRank[[#This Row],[OVERALL PLAYER]],TableOverallMaster[OVERALL PLAYER],0)),"")</calculatedColumnFormula>
    </tableColumn>
    <tableColumn id="5" xr3:uid="{00000000-0010-0000-0D00-000005000000}" name="VORP" dataDxfId="572" dataCellStyle="Percent">
      <calculatedColumnFormula>IFERROR(INDEX(TableOverallMaster[VORP],MATCH(TableOverallRank[[#This Row],[OVERALL PLAYER]],TableOverallMaster[OVERALL PLAYER],0)),"")</calculatedColumnFormula>
    </tableColumn>
  </tableColumns>
  <tableStyleInfo name="TableStyleLight8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E000000}" name="TableWRTERank" displayName="TableWRTERank" ref="AV1:BA281" totalsRowShown="0" headerRowDxfId="571" dataDxfId="570">
  <tableColumns count="6">
    <tableColumn id="1" xr3:uid="{00000000-0010-0000-0E00-000001000000}" name="RK" dataDxfId="569"/>
    <tableColumn id="2" xr3:uid="{00000000-0010-0000-0E00-000002000000}" name="WR and TE COMBINED" dataDxfId="568">
      <calculatedColumnFormula>IFERROR(INDEX(TableWRTECalcPts[PLAYER],MATCH(TableWRTERank[[#This Row],[RK]],TableWRTECalcPts[RK],0)),"")</calculatedColumnFormula>
    </tableColumn>
    <tableColumn id="3" xr3:uid="{00000000-0010-0000-0E00-000003000000}" name="POS RK" dataDxfId="567">
      <calculatedColumnFormula>IFERROR(INDEX(TableWRTECalcPts[POS RK],MATCH(TableWRTERank[[#This Row],[WR and TE COMBINED]],TableWRTECalcPts[PLAYER],0)),"")</calculatedColumnFormula>
    </tableColumn>
    <tableColumn id="4" xr3:uid="{00000000-0010-0000-0E00-000004000000}" name="BYE" dataDxfId="566">
      <calculatedColumnFormula>IFERROR(INDEX(TableWRTECalcPts[BYE],MATCH(TableWRTERank[[#This Row],[RK]],TableWRTECalcPts[RK],0)),"")</calculatedColumnFormula>
    </tableColumn>
    <tableColumn id="5" xr3:uid="{00000000-0010-0000-0E00-000005000000}" name="FPS" dataDxfId="565">
      <calculatedColumnFormula>IFERROR(INDEX(TableWRTECalcPts[Custom],MATCH(TableWRTERank[[#This Row],[RK]],TableWRTECalcPts[RK],0)),"")</calculatedColumnFormula>
    </tableColumn>
    <tableColumn id="6" xr3:uid="{00000000-0010-0000-0E00-000006000000}" name="VORP" dataDxfId="564" dataCellStyle="Percent">
      <calculatedColumnFormula>IFERROR((TableWRTERank[[#This Row],[FPS]]-INDEX(TableWRTERank[FPS],MATCH(WRTEVORPCalc,TableWRTERank[RK],0)))/INDEX(TableWRTERank[FPS],MATCH(WRTEVORPCalc,TableWRTERank[RK],0)),"")</calculatedColumnFormula>
    </tableColumn>
  </tableColumns>
  <tableStyleInfo name="TableStyleLight8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F000000}" name="TableWRTEMaster" displayName="TableWRTEMaster" ref="BC1:BJ281" totalsRowShown="0" headerRowDxfId="563" dataDxfId="562">
  <tableColumns count="8">
    <tableColumn id="1" xr3:uid="{00000000-0010-0000-0F00-000001000000}" name="POS" dataDxfId="561"/>
    <tableColumn id="2" xr3:uid="{00000000-0010-0000-0F00-000002000000}" name="RK" dataDxfId="560"/>
    <tableColumn id="7" xr3:uid="{00000000-0010-0000-0F00-000007000000}" name="OVR RK" dataDxfId="559">
      <calculatedColumnFormula>RANK(TableWRTEMaster[[#This Row],[VORP]],TableWRTEMaster[VORP])+COUNTIF($BJ$2:BJ2,BJ2)-1</calculatedColumnFormula>
    </tableColumn>
    <tableColumn id="3" xr3:uid="{00000000-0010-0000-0F00-000003000000}" name="OVERALL PLAYER" dataDxfId="558"/>
    <tableColumn id="4" xr3:uid="{00000000-0010-0000-0F00-000004000000}" name="POS RK" dataDxfId="557">
      <calculatedColumnFormula>_xlfn.CONCAT(TableWRTEMaster[[#This Row],[POS]],TableWRTEMaster[[#This Row],[RK]])</calculatedColumnFormula>
    </tableColumn>
    <tableColumn id="8" xr3:uid="{00000000-0010-0000-0F00-000008000000}" name="BYE" dataDxfId="556"/>
    <tableColumn id="5" xr3:uid="{00000000-0010-0000-0F00-000005000000}" name="Custom" dataDxfId="555"/>
    <tableColumn id="6" xr3:uid="{00000000-0010-0000-0F00-000006000000}" name="VORP" dataDxfId="554" dataCellStyle="Percent"/>
  </tableColumns>
  <tableStyleInfo name="TableStyleLight8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88412A6-82F9-4959-A243-0271E6A9084C}" name="TableQBRanks30" displayName="TableQBRanks30" ref="A1:N80" totalsRowShown="0" headerRowDxfId="553" dataDxfId="551" headerRowBorderDxfId="552">
  <sortState xmlns:xlrd2="http://schemas.microsoft.com/office/spreadsheetml/2017/richdata2" ref="A2:N68">
    <sortCondition ref="A1:A68"/>
  </sortState>
  <tableColumns count="14">
    <tableColumn id="1" xr3:uid="{DD294E2D-5990-4AF8-8878-BE34A05D93D2}" name="RK" dataDxfId="550">
      <calculatedColumnFormula>RANK(TableQBRanks30[[#This Row],[FPS]],TableQBRanks30[FPS],0)</calculatedColumnFormula>
    </tableColumn>
    <tableColumn id="2" xr3:uid="{EB4C05A1-12CE-49AE-B841-2DE35B064106}" name="Player" dataDxfId="549">
      <calculatedColumnFormula>IFERROR(INDEX(TableQBCalcPts[PLAYER],MATCH(TableQBRanks30[[#This Row],[RK]],TableQBCalcPts[RK],0)),"")</calculatedColumnFormula>
    </tableColumn>
    <tableColumn id="3" xr3:uid="{904CD835-3612-42DA-BB5B-114E20C8FAE3}" name="TM" dataDxfId="548">
      <calculatedColumnFormula>IFERROR(INDEX(TableQBCalcPts[TM],MATCH(TableQBRanks30[[#This Row],[Player]],TableQBCalcPts[PLAYER],0)),"")</calculatedColumnFormula>
    </tableColumn>
    <tableColumn id="4" xr3:uid="{4A0C9585-18CB-4A5F-AA2C-71D7F53C6180}" name="BYE" dataDxfId="547">
      <calculatedColumnFormula>IFERROR(INDEX(TableQBCalcPts[BYE],MATCH(TableQBRanks30[[#This Row],[RK]],TableQBCalcPts[RK],0)),"")</calculatedColumnFormula>
    </tableColumn>
    <tableColumn id="8" xr3:uid="{67E015BD-1FE5-477A-BFC1-3F737DDEE4C5}" name="PASS ATT" dataDxfId="546">
      <calculatedColumnFormula>VLOOKUP(TableQBRanks30[[#This Row],[Player]],QB!B:O,4,FALSE)</calculatedColumnFormula>
    </tableColumn>
    <tableColumn id="10" xr3:uid="{4749D8FF-DDAD-474E-B69C-C62F500B154F}" name="COMP" dataDxfId="545">
      <calculatedColumnFormula>VLOOKUP(TableQBRanks30[[#This Row],[Player]],QB!B:O,5,FALSE)</calculatedColumnFormula>
    </tableColumn>
    <tableColumn id="9" xr3:uid="{2E281FD5-CDAC-468F-8B8E-F8A9686E01E4}" name="PASS YARDS" dataDxfId="544">
      <calculatedColumnFormula>VLOOKUP(TableQBRanks30[[#This Row],[Player]],QB!B:O,6,FALSE)</calculatedColumnFormula>
    </tableColumn>
    <tableColumn id="14" xr3:uid="{999EC3A5-5EF5-43EE-A502-39A8B180D38B}" name="PASS TD" dataDxfId="543">
      <calculatedColumnFormula>VLOOKUP(TableQBRanks30[[#This Row],[Player]],QB!B:O,7,FALSE)</calculatedColumnFormula>
    </tableColumn>
    <tableColumn id="13" xr3:uid="{20DD91C2-1ACB-4E68-91C4-6404151A74FA}" name="INT" dataDxfId="542">
      <calculatedColumnFormula>VLOOKUP(TableQBRanks30[[#This Row],[Player]],QB!B:O,8,FALSE)</calculatedColumnFormula>
    </tableColumn>
    <tableColumn id="12" xr3:uid="{A3B3A3B7-B512-4584-BB8F-5A8EE269157D}" name="RUSH ATT" dataDxfId="541">
      <calculatedColumnFormula>VLOOKUP(TableQBRanks30[[#This Row],[Player]],QB!B:O,9,FALSE)</calculatedColumnFormula>
    </tableColumn>
    <tableColumn id="11" xr3:uid="{D8FF2F81-4F78-45B3-8213-6C6E15807121}" name="RUSH YARDS" dataDxfId="540">
      <calculatedColumnFormula>VLOOKUP(TableQBRanks30[[#This Row],[Player]],QB!B:O,10,FALSE)</calculatedColumnFormula>
    </tableColumn>
    <tableColumn id="7" xr3:uid="{B7BD51F5-F492-466D-AC1C-D200C03341CA}" name="RUSH TD" dataDxfId="539">
      <calculatedColumnFormula>VLOOKUP(TableQBRanks30[[#This Row],[Player]],QB!B:O,11,FALSE)</calculatedColumnFormula>
    </tableColumn>
    <tableColumn id="5" xr3:uid="{DF1DA9CD-A230-40B5-AD00-5888E844A574}" name="FPS" dataDxfId="538">
      <calculatedColumnFormula>IFERROR(INDEX(TableQBCalcPts[Custom],MATCH(TableQBRanks30[[#This Row],[RK]],TableQBCalcPts[RK],0)),"")</calculatedColumnFormula>
    </tableColumn>
    <tableColumn id="6" xr3:uid="{7568CD2B-8DE4-432F-843B-9D807E9824EF}" name="AUC$" dataDxfId="537" dataCellStyle="Currency">
      <calculatedColumnFormula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calculatedColumnFormula>
    </tableColumn>
  </tableColumns>
  <tableStyleInfo name="TableStyleLight8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074BF76-C86B-400B-9D4A-A1EF83A27677}" name="TableRBRanks31" displayName="TableRBRanks31" ref="P1:AB171" totalsRowShown="0" headerRowDxfId="536" dataDxfId="534" headerRowBorderDxfId="535">
  <sortState xmlns:xlrd2="http://schemas.microsoft.com/office/spreadsheetml/2017/richdata2" ref="P2:AB153">
    <sortCondition ref="P1:P153"/>
  </sortState>
  <tableColumns count="13">
    <tableColumn id="1" xr3:uid="{F8589C02-6C6A-4551-9B26-0AA53FFC4360}" name="RK" dataDxfId="533">
      <calculatedColumnFormula>RANK(TableRBRanks31[[#This Row],[FPS]],TableRBRanks31[FPS],0)</calculatedColumnFormula>
    </tableColumn>
    <tableColumn id="2" xr3:uid="{AA98FD46-655D-4881-A86F-7DC0F21E65D7}" name="Player" dataDxfId="532">
      <calculatedColumnFormula>IFERROR(INDEX(TableRBCalcPts[PLAYER],MATCH(TableRBRanks31[[#This Row],[RK]],TableRBCalcPts[RK],0)),"")</calculatedColumnFormula>
    </tableColumn>
    <tableColumn id="3" xr3:uid="{F1CE2B10-9FA7-40C6-8F57-7006F8593A6A}" name="TM" dataDxfId="531">
      <calculatedColumnFormula>IFERROR(INDEX(TableRBCalcPts[TM],MATCH(TableRBRanks31[[#This Row],[Player]],TableRBCalcPts[PLAYER],0)),"")</calculatedColumnFormula>
    </tableColumn>
    <tableColumn id="4" xr3:uid="{88D3ED97-5373-4CCF-A7B6-EC9F46DBAF12}" name="BYE" dataDxfId="530">
      <calculatedColumnFormula>IFERROR(INDEX(TableRBCalcPts[BYE],MATCH(TableRBRanks31[[#This Row],[RK]],TableRBCalcPts[RK],0)),"")</calculatedColumnFormula>
    </tableColumn>
    <tableColumn id="7" xr3:uid="{CCCE3814-EAC0-47AD-9790-C63A6C9F7A84}" name="RUSH ATT" dataDxfId="529">
      <calculatedColumnFormula>VLOOKUP(TableRBRanks31[[#This Row],[Player]],RB!B:O,4,FALSE)</calculatedColumnFormula>
    </tableColumn>
    <tableColumn id="10" xr3:uid="{46F8E04E-E137-4779-A056-F32C6C79D8ED}" name="RUSH YARDS" dataDxfId="528">
      <calculatedColumnFormula>VLOOKUP(TableRBRanks31[[#This Row],[Player]],RB!B:O,5,FALSE)</calculatedColumnFormula>
    </tableColumn>
    <tableColumn id="9" xr3:uid="{69D6945E-A322-4EA8-8C9F-F64B8C207CE9}" name="RUSH TD" dataDxfId="527">
      <calculatedColumnFormula>VLOOKUP(TableRBRanks31[[#This Row],[Player]],RB!B:O,6,FALSE)</calculatedColumnFormula>
    </tableColumn>
    <tableColumn id="13" xr3:uid="{E88ADEB9-929B-4902-97DB-B92524823CD7}" name="TGTS" dataDxfId="526">
      <calculatedColumnFormula>VLOOKUP(TableRBRanks31[[#This Row],[Player]],RB!B:O,7,FALSE)</calculatedColumnFormula>
    </tableColumn>
    <tableColumn id="12" xr3:uid="{DB54F68E-08C0-4C71-9252-DE6AED1BE87A}" name="REC" dataDxfId="525">
      <calculatedColumnFormula>VLOOKUP(TableRBRanks31[[#This Row],[Player]],RB!B:O,8,FALSE)</calculatedColumnFormula>
    </tableColumn>
    <tableColumn id="11" xr3:uid="{303F7563-DF84-4B47-9C7B-C24D317CBFF2}" name="RECV YARDS" dataDxfId="524">
      <calculatedColumnFormula>VLOOKUP(TableRBRanks31[[#This Row],[Player]],RB!B:O,9,FALSE)</calculatedColumnFormula>
    </tableColumn>
    <tableColumn id="8" xr3:uid="{FA6E86C1-2B15-41FB-95FB-04444BAE609A}" name="RECV TD" dataDxfId="523">
      <calculatedColumnFormula>VLOOKUP(TableRBRanks31[[#This Row],[Player]],RB!B:O,10,FALSE)</calculatedColumnFormula>
    </tableColumn>
    <tableColumn id="5" xr3:uid="{D33B3F1A-7BDB-4CC5-B0DB-EC2951D467F6}" name="FPS" dataDxfId="522">
      <calculatedColumnFormula>IFERROR(INDEX(TableRBCalcPts[Custom],MATCH(TableRBRanks31[[#This Row],[RK]],TableRBCalcPts[RK],0)),"")</calculatedColumnFormula>
    </tableColumn>
    <tableColumn id="6" xr3:uid="{DCEA9BF2-313C-46D1-89FF-73CF9C5802EE}" name="AUC$" dataDxfId="521" dataCellStyle="Currency">
      <calculatedColumnFormula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calculatedColumnFormula>
    </tableColumn>
  </tableColumns>
  <tableStyleInfo name="TableStyleLight8" showFirstColumn="0" showLastColumn="0" showRowStripes="1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4A6F5E5-A022-4994-AB6A-48459B2A5A50}" name="TableWRRanks32" displayName="TableWRRanks32" ref="AD1:AO221" totalsRowShown="0" headerRowDxfId="520" dataDxfId="518" headerRowBorderDxfId="519">
  <sortState xmlns:xlrd2="http://schemas.microsoft.com/office/spreadsheetml/2017/richdata2" ref="AD2:AO221">
    <sortCondition ref="AD1:AD203"/>
  </sortState>
  <tableColumns count="12">
    <tableColumn id="1" xr3:uid="{C133D361-2632-4065-9AF7-A1B699836ED1}" name="RK" dataDxfId="517">
      <calculatedColumnFormula>RANK(TableWRRanks32[[#This Row],[FPS]],TableWRRanks32[FPS],0)</calculatedColumnFormula>
    </tableColumn>
    <tableColumn id="2" xr3:uid="{F9BD7CF4-3EB9-49FC-9B83-8BD0A485D56C}" name="Player" dataDxfId="516">
      <calculatedColumnFormula>IFERROR(INDEX(TableWRCalcPts[PLAYER],MATCH(TableWRRanks32[[#This Row],[RK]],TableWRCalcPts[RK],0)),"")</calculatedColumnFormula>
    </tableColumn>
    <tableColumn id="3" xr3:uid="{A42D73C2-AFF4-42C6-A34E-C3FAC648562F}" name="TM" dataDxfId="515">
      <calculatedColumnFormula>IFERROR(INDEX(TableWRCalcPts[TM],MATCH(TableWRRanks32[[#This Row],[Player]],TableWRCalcPts[PLAYER],0)),"")</calculatedColumnFormula>
    </tableColumn>
    <tableColumn id="4" xr3:uid="{51B6DEB7-D4AE-4BAA-AD0F-7E2FAE3B8FA9}" name="BYE" dataDxfId="514">
      <calculatedColumnFormula>IFERROR(INDEX(TableWRCalcPts[BYE],MATCH(TableWRRanks32[[#This Row],[RK]],TableWRCalcPts[RK],0)),"")</calculatedColumnFormula>
    </tableColumn>
    <tableColumn id="7" xr3:uid="{00F93329-FD97-4880-940E-D5B397F75F7C}" name="RUSH YARDS" dataDxfId="513">
      <calculatedColumnFormula>VLOOKUP(TableWRRanks32[[#This Row],[Player]],WR!B:O,4,FALSE)</calculatedColumnFormula>
    </tableColumn>
    <tableColumn id="10" xr3:uid="{6F6CC6D8-08CF-48E4-B039-BA17647C357D}" name="RUSH TD" dataDxfId="512">
      <calculatedColumnFormula>VLOOKUP(TableWRRanks32[[#This Row],[Player]],WR!B:O,5,FALSE)</calculatedColumnFormula>
    </tableColumn>
    <tableColumn id="13" xr3:uid="{DA79B0A4-BFF6-4BAE-AD35-90EC96A524A1}" name="TGTS" dataDxfId="511">
      <calculatedColumnFormula>VLOOKUP(TableWRRanks32[[#This Row],[Player]],WR!B:O,6,FALSE)</calculatedColumnFormula>
    </tableColumn>
    <tableColumn id="12" xr3:uid="{7F5C25DD-85A3-4423-AF94-30286042FF9F}" name="REC" dataDxfId="510">
      <calculatedColumnFormula>VLOOKUP(TableWRRanks32[[#This Row],[Player]],WR!B:O,7,FALSE)</calculatedColumnFormula>
    </tableColumn>
    <tableColumn id="11" xr3:uid="{32B83406-21A1-4BAC-81BA-F5EF20C28DEF}" name="RECV YARDS" dataDxfId="509">
      <calculatedColumnFormula>VLOOKUP(TableWRRanks32[[#This Row],[Player]],WR!B:O,8,FALSE)</calculatedColumnFormula>
    </tableColumn>
    <tableColumn id="9" xr3:uid="{C046BF52-ED02-48F1-8A0D-A443BF83B1BA}" name="RECV TD" dataDxfId="508">
      <calculatedColumnFormula>VLOOKUP(TableWRRanks32[[#This Row],[Player]],WR!B:O,9,FALSE)</calculatedColumnFormula>
    </tableColumn>
    <tableColumn id="5" xr3:uid="{AAD449F3-E594-415F-9EA3-23F4C2701976}" name="FPS" dataDxfId="507">
      <calculatedColumnFormula>IFERROR(INDEX(TableWRCalcPts[Custom],MATCH(TableWRRanks32[[#This Row],[RK]],TableWRCalcPts[RK],0)),"")</calculatedColumnFormula>
    </tableColumn>
    <tableColumn id="6" xr3:uid="{CB725593-FF7F-435D-BF76-526C56C05BCD}" name="AUC$" dataDxfId="506" dataCellStyle="Currency">
      <calculatedColumnFormula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Roster" displayName="TableRoster" ref="D1:E10" totalsRowShown="0" headerRowDxfId="671" dataDxfId="669" headerRowBorderDxfId="670" tableBorderDxfId="668" totalsRowBorderDxfId="667">
  <tableColumns count="2">
    <tableColumn id="1" xr3:uid="{00000000-0010-0000-0100-000001000000}" name="Category" dataDxfId="666"/>
    <tableColumn id="2" xr3:uid="{00000000-0010-0000-0100-000002000000}" name="Value" dataDxfId="66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8F5D489-B040-44F4-9169-40D5BE9B80CA}" name="TableTERanks33" displayName="TableTERanks33" ref="AQ1:AZ101" totalsRowShown="0" headerRowDxfId="505" dataDxfId="503" headerRowBorderDxfId="504">
  <sortState xmlns:xlrd2="http://schemas.microsoft.com/office/spreadsheetml/2017/richdata2" ref="AQ2:AZ97">
    <sortCondition ref="AQ1:AQ97"/>
  </sortState>
  <tableColumns count="10">
    <tableColumn id="1" xr3:uid="{3B2F49A9-3410-44C7-AA89-529A298B4F79}" name="RK" dataDxfId="502">
      <calculatedColumnFormula>RANK(TableTERanks33[[#This Row],[FPS]],TableTERanks33[FPS],0)</calculatedColumnFormula>
    </tableColumn>
    <tableColumn id="2" xr3:uid="{C86B85C4-F335-40B4-B3CA-FA027C842AE9}" name="Player" dataDxfId="501">
      <calculatedColumnFormula>IFERROR(INDEX(TableTECalcPts[PLAYER],MATCH(TableTERanks33[[#This Row],[RK]],TableTECalcPts[RK],0)),"")</calculatedColumnFormula>
    </tableColumn>
    <tableColumn id="3" xr3:uid="{B1AABAA8-6838-49B0-9C33-401B7367D67D}" name="TM" dataDxfId="500">
      <calculatedColumnFormula>IFERROR(INDEX(TableTECalcPts[TM],MATCH(TableTERanks33[[#This Row],[Player]],TableTECalcPts[PLAYER],0)),"")</calculatedColumnFormula>
    </tableColumn>
    <tableColumn id="4" xr3:uid="{8D0666B6-E022-419F-86F4-4E7DDBA3CFA2}" name="BYE" dataDxfId="499">
      <calculatedColumnFormula>IFERROR(INDEX(TableTECalcPts[BYE],MATCH(TableTERanks33[[#This Row],[RK]],TableTECalcPts[RK],0)),"")</calculatedColumnFormula>
    </tableColumn>
    <tableColumn id="7" xr3:uid="{79C7883E-3123-452F-951D-5CD0F099C1D6}" name="TGTS" dataDxfId="498">
      <calculatedColumnFormula>VLOOKUP(TableTERanks33[[#This Row],[Player]],TE!B:O,4,FALSE)</calculatedColumnFormula>
    </tableColumn>
    <tableColumn id="10" xr3:uid="{928C04D5-7572-4757-B4DD-582E2294DCCC}" name="REC" dataDxfId="497">
      <calculatedColumnFormula>VLOOKUP(TableTERanks33[[#This Row],[Player]],TE!B:O,5,FALSE)</calculatedColumnFormula>
    </tableColumn>
    <tableColumn id="9" xr3:uid="{D6ECB8ED-6792-4CCC-80FE-59D1DCF8BF2C}" name="RECV YARDS" dataDxfId="496">
      <calculatedColumnFormula>VLOOKUP(TableTERanks33[[#This Row],[Player]],TE!B:O,6,FALSE)</calculatedColumnFormula>
    </tableColumn>
    <tableColumn id="8" xr3:uid="{2E2BBA19-5E03-4B2C-9D14-196B82B3B86B}" name="RECV TD" dataDxfId="495">
      <calculatedColumnFormula>VLOOKUP(TableTERanks33[[#This Row],[Player]],TE!B:O,7,FALSE)</calculatedColumnFormula>
    </tableColumn>
    <tableColumn id="5" xr3:uid="{E32F372B-7FFB-435A-B73C-80F3590D4E15}" name="FPS" dataDxfId="494">
      <calculatedColumnFormula>IFERROR(INDEX(TableTECalcPts[Custom],MATCH(TableTERanks33[[#This Row],[RK]],TableTECalcPts[RK],0)),"")</calculatedColumnFormula>
    </tableColumn>
    <tableColumn id="6" xr3:uid="{DE95DB89-5087-4CE2-9742-2FFA1C1C9ACC}" name="AUC$" dataDxfId="493" dataCellStyle="Currency">
      <calculatedColumnFormula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calculatedColumnFormula>
    </tableColumn>
  </tableColumns>
  <tableStyleInfo name="TableStyleLight8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8468F97-B760-475C-A247-A5CE31C704ED}" name="TableQBRanks3040" displayName="TableQBRanks3040" ref="A1:N80" totalsRowShown="0" headerRowDxfId="492" dataDxfId="490" headerRowBorderDxfId="491">
  <sortState xmlns:xlrd2="http://schemas.microsoft.com/office/spreadsheetml/2017/richdata2" ref="A2:N68">
    <sortCondition ref="A1:A68"/>
  </sortState>
  <tableColumns count="14">
    <tableColumn id="1" xr3:uid="{F98CCEBD-C873-4336-8E83-75AFA588B8B9}" name="RK" dataDxfId="489">
      <calculatedColumnFormula>RANK(TableQBRanks3040[[#This Row],[FPS]],TableQBRanks3040[FPS],0)</calculatedColumnFormula>
    </tableColumn>
    <tableColumn id="2" xr3:uid="{1F973880-EA9F-4C6D-8E7E-6FBB94C39DE5}" name="Player" dataDxfId="488">
      <calculatedColumnFormula>VLOOKUP(TableQBRanks3040[[#This Row],[RK]],Rankings!A:Q,3,FALSE)</calculatedColumnFormula>
    </tableColumn>
    <tableColumn id="3" xr3:uid="{C45E752E-64BD-402C-B7B3-18B2269AF0AE}" name="TM" dataDxfId="487">
      <calculatedColumnFormula>IFERROR(INDEX(TableQBCalcPts[TM],MATCH(TableQBRanks3040[[#This Row],[Player]],TableQBCalcPts[PLAYER],0)),"")</calculatedColumnFormula>
    </tableColumn>
    <tableColumn id="4" xr3:uid="{DEA61075-A102-4F66-AAA4-364FACCCDEBE}" name="BYE" dataDxfId="486">
      <calculatedColumnFormula>IFERROR(INDEX(TableQBCalcPts[BYE],MATCH(TableQBRanks3040[[#This Row],[RK]],TableQBCalcPts[RK],0)),"")</calculatedColumnFormula>
    </tableColumn>
    <tableColumn id="8" xr3:uid="{84F3C1A7-54AE-4763-B55D-25BA03BF7BD8}" name="PASS ATT" dataDxfId="485">
      <calculatedColumnFormula>VLOOKUP(TableQBRanks3040[[#This Row],[Player]],QB!B:O,4,FALSE)</calculatedColumnFormula>
    </tableColumn>
    <tableColumn id="10" xr3:uid="{120049A0-F76C-494D-87D5-5BF456348B29}" name="COMP" dataDxfId="484">
      <calculatedColumnFormula>VLOOKUP(TableQBRanks3040[[#This Row],[Player]],QB!B:O,5,FALSE)</calculatedColumnFormula>
    </tableColumn>
    <tableColumn id="9" xr3:uid="{394E9AB7-F047-48B5-BFF3-68A93D163BD3}" name="PASS YARDS" dataDxfId="483">
      <calculatedColumnFormula>VLOOKUP(TableQBRanks3040[[#This Row],[Player]],QB!B:O,6,FALSE)</calculatedColumnFormula>
    </tableColumn>
    <tableColumn id="14" xr3:uid="{F7615B7E-4B61-4C77-AD4B-64BE3F70B618}" name="PASS TD" dataDxfId="482">
      <calculatedColumnFormula>VLOOKUP(TableQBRanks3040[[#This Row],[Player]],QB!B:O,7,FALSE)</calculatedColumnFormula>
    </tableColumn>
    <tableColumn id="13" xr3:uid="{210B4AB8-D1D5-4ED7-83EA-D39FF8D066FD}" name="INT" dataDxfId="481">
      <calculatedColumnFormula>VLOOKUP(TableQBRanks3040[[#This Row],[Player]],QB!B:O,8,FALSE)</calculatedColumnFormula>
    </tableColumn>
    <tableColumn id="12" xr3:uid="{3CAF741E-9C82-466A-BA97-BA2C236672D3}" name="RUSH ATT" dataDxfId="480">
      <calculatedColumnFormula>VLOOKUP(TableQBRanks3040[[#This Row],[Player]],QB!B:O,9,FALSE)</calculatedColumnFormula>
    </tableColumn>
    <tableColumn id="11" xr3:uid="{2EA94DD6-0E5B-4955-9492-1C4CC236C9A5}" name="RUSH YARDS" dataDxfId="479">
      <calculatedColumnFormula>VLOOKUP(TableQBRanks3040[[#This Row],[Player]],QB!B:O,10,FALSE)</calculatedColumnFormula>
    </tableColumn>
    <tableColumn id="7" xr3:uid="{4B95F803-D4E3-4BCF-9BE9-793F197177F2}" name="RUSH TD" dataDxfId="478">
      <calculatedColumnFormula>VLOOKUP(TableQBRanks3040[[#This Row],[Player]],QB!B:O,11,FALSE)</calculatedColumnFormula>
    </tableColumn>
    <tableColumn id="5" xr3:uid="{9088CACE-41B9-425B-BA6E-3F98CE94EDF6}" name="FPS" dataDxfId="477">
      <calculatedColumnFormula>VLOOKUP(TableQBRanks3040[[#This Row],[Player]],QB!B:O,13,FALSE)</calculatedColumnFormula>
    </tableColumn>
    <tableColumn id="6" xr3:uid="{C52D43B9-18E7-4EBA-BD09-FF454090EE15}" name="AUC$" dataDxfId="476" dataCellStyle="Currency">
      <calculatedColumnFormula>IF(VLOOKUP(TableQBRanks3040[[#This Row],[RK]],'Ranks w Proj'!$A:$N,14,FALSE)&lt;0,0,VLOOKUP(TableQBRanks3040[[#This Row],[RK]],'Ranks w Proj'!$A:$N,14,FALSE))</calculatedColumnFormula>
    </tableColumn>
  </tableColumns>
  <tableStyleInfo name="TableStyleLight8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7CB85CA-EAC8-4F88-8732-C09763166654}" name="TableRBRanks3141" displayName="TableRBRanks3141" ref="P1:AB171" totalsRowShown="0" headerRowDxfId="475" dataDxfId="473" headerRowBorderDxfId="474">
  <sortState xmlns:xlrd2="http://schemas.microsoft.com/office/spreadsheetml/2017/richdata2" ref="P2:AB153">
    <sortCondition ref="P1:P153"/>
  </sortState>
  <tableColumns count="13">
    <tableColumn id="1" xr3:uid="{AF88C4A6-CF7E-43D5-8544-2C7F0F428205}" name="RK" dataDxfId="472">
      <calculatedColumnFormula>RANK(TableRBRanks3141[[#This Row],[FPS]],TableRBRanks3141[FPS],0)</calculatedColumnFormula>
    </tableColumn>
    <tableColumn id="2" xr3:uid="{6BDD58F0-BD6D-4F74-8C6E-F5391DE80615}" name="Player" dataDxfId="471">
      <calculatedColumnFormula>VLOOKUP(TableRBRanks3141[[#This Row],[RK]],Rankings!A:Q,7,FALSE)</calculatedColumnFormula>
    </tableColumn>
    <tableColumn id="3" xr3:uid="{2AFEF5B4-6A47-4FEF-B593-7702FF90640A}" name="TM" dataDxfId="470">
      <calculatedColumnFormula>IFERROR(INDEX(TableRBCalcPts[TM],MATCH(TableRBRanks3141[[#This Row],[Player]],TableRBCalcPts[PLAYER],0)),"")</calculatedColumnFormula>
    </tableColumn>
    <tableColumn id="4" xr3:uid="{E338865D-3DE8-462E-AD54-F7DCE2A2A148}" name="BYE" dataDxfId="469">
      <calculatedColumnFormula>IFERROR(INDEX(TableRBCalcPts[BYE],MATCH(TableRBRanks3141[[#This Row],[RK]],TableRBCalcPts[RK],0)),"")</calculatedColumnFormula>
    </tableColumn>
    <tableColumn id="7" xr3:uid="{AE3D60FA-1D38-4E3A-BBCE-40225D089A2B}" name="RUSH ATT" dataDxfId="468">
      <calculatedColumnFormula>VLOOKUP(TableRBRanks3141[[#This Row],[Player]],RB!B:O,4,FALSE)</calculatedColumnFormula>
    </tableColumn>
    <tableColumn id="10" xr3:uid="{90E4DB17-8074-4BAB-864A-E29B8FDFB321}" name="RUSH YARDS" dataDxfId="467">
      <calculatedColumnFormula>VLOOKUP(TableRBRanks3141[[#This Row],[Player]],RB!B:O,5,FALSE)</calculatedColumnFormula>
    </tableColumn>
    <tableColumn id="9" xr3:uid="{A0B2390F-B4B0-4263-AABA-1DBFF701AB18}" name="RUSH TD" dataDxfId="466">
      <calculatedColumnFormula>VLOOKUP(TableRBRanks3141[[#This Row],[Player]],RB!B:O,6,FALSE)</calculatedColumnFormula>
    </tableColumn>
    <tableColumn id="13" xr3:uid="{AAE21B35-7DC3-4531-980A-6E295E92F217}" name="TGTS" dataDxfId="465">
      <calculatedColumnFormula>VLOOKUP(TableRBRanks3141[[#This Row],[Player]],RB!B:O,7,FALSE)</calculatedColumnFormula>
    </tableColumn>
    <tableColumn id="12" xr3:uid="{56573855-32BB-49FA-865B-92C6F8E99EEA}" name="REC" dataDxfId="464">
      <calculatedColumnFormula>VLOOKUP(TableRBRanks3141[[#This Row],[Player]],RB!B:O,8,FALSE)</calculatedColumnFormula>
    </tableColumn>
    <tableColumn id="11" xr3:uid="{ED0B008A-989B-43C2-BFCD-9D9CF902EFEE}" name="RECV YARDS" dataDxfId="463">
      <calculatedColumnFormula>VLOOKUP(TableRBRanks3141[[#This Row],[Player]],RB!B:O,9,FALSE)</calculatedColumnFormula>
    </tableColumn>
    <tableColumn id="8" xr3:uid="{D276DC31-3125-49B8-AB42-93FC53C5B258}" name="RECV TD" dataDxfId="462">
      <calculatedColumnFormula>VLOOKUP(TableRBRanks3141[[#This Row],[Player]],RB!B:O,10,FALSE)</calculatedColumnFormula>
    </tableColumn>
    <tableColumn id="5" xr3:uid="{AC6C6385-E0F3-4E38-874E-D3FD44904935}" name="FPS" dataDxfId="461">
      <calculatedColumnFormula>VLOOKUP(TableRBRanks3141[[#This Row],[Player]],RB!B:O,14,FALSE)</calculatedColumnFormula>
    </tableColumn>
    <tableColumn id="6" xr3:uid="{76D5C035-6884-4478-9B5A-355F1692BFB6}" name="AUC$" dataDxfId="460" dataCellStyle="Currency">
      <calculatedColumnFormula>IF(VLOOKUP(TableRBRanks3141[[#This Row],[RK]],'Ranks w Proj'!$P:$AB,13,FALSE)&lt;0,0,VLOOKUP(TableRBRanks3141[[#This Row],[RK]],'Ranks w Proj'!$P:$AB,13,FALSE))</calculatedColumnFormula>
    </tableColumn>
  </tableColumns>
  <tableStyleInfo name="TableStyleLight8" showFirstColumn="0" showLastColumn="0" showRowStripes="1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697FDE5-3C7D-40E5-A086-E284E77778CE}" name="TableWRRanks3242" displayName="TableWRRanks3242" ref="AD1:AO221" totalsRowShown="0" headerRowDxfId="459" dataDxfId="457" headerRowBorderDxfId="458">
  <sortState xmlns:xlrd2="http://schemas.microsoft.com/office/spreadsheetml/2017/richdata2" ref="AD2:AO221">
    <sortCondition ref="AD1:AD203"/>
  </sortState>
  <tableColumns count="12">
    <tableColumn id="1" xr3:uid="{17718EBB-2698-44E8-A091-DC356478EE0C}" name="RK" dataDxfId="456">
      <calculatedColumnFormula>RANK(TableWRRanks3242[[#This Row],[FPS]],TableWRRanks3242[FPS],0)</calculatedColumnFormula>
    </tableColumn>
    <tableColumn id="2" xr3:uid="{4E2F1325-7C1A-4DBA-808A-67BE5F454653}" name="Player" dataDxfId="455">
      <calculatedColumnFormula>VLOOKUP(TableWRRanks3242[[#This Row],[RK]],Rankings!A:Q,11,FALSE)</calculatedColumnFormula>
    </tableColumn>
    <tableColumn id="3" xr3:uid="{4E930866-C328-40DA-8527-AA83D74F0DD9}" name="TM" dataDxfId="454">
      <calculatedColumnFormula>IFERROR(INDEX(TableWRCalcPts[TM],MATCH(TableWRRanks3242[[#This Row],[Player]],TableWRCalcPts[PLAYER],0)),"")</calculatedColumnFormula>
    </tableColumn>
    <tableColumn id="4" xr3:uid="{4839F7E0-88B5-4D83-BE5C-13BE0DE818A7}" name="BYE" dataDxfId="453">
      <calculatedColumnFormula>IFERROR(INDEX(TableWRCalcPts[BYE],MATCH(TableWRRanks3242[[#This Row],[RK]],TableWRCalcPts[RK],0)),"")</calculatedColumnFormula>
    </tableColumn>
    <tableColumn id="7" xr3:uid="{E8E8F316-8A7D-4F0D-9BE1-BB12B6A9BE92}" name="RUSH YARDS" dataDxfId="452">
      <calculatedColumnFormula>VLOOKUP(TableWRRanks3242[[#This Row],[Player]],WR!B:O,4,FALSE)</calculatedColumnFormula>
    </tableColumn>
    <tableColumn id="10" xr3:uid="{2238F9D8-3C2F-430D-BD37-853D87BA89FE}" name="RUSH TD" dataDxfId="451">
      <calculatedColumnFormula>VLOOKUP(TableWRRanks3242[[#This Row],[Player]],WR!B:O,5,FALSE)</calculatedColumnFormula>
    </tableColumn>
    <tableColumn id="13" xr3:uid="{35352F7D-0F9D-4650-838D-6BCEEDC1E5C2}" name="TGTS" dataDxfId="450">
      <calculatedColumnFormula>VLOOKUP(TableWRRanks3242[[#This Row],[Player]],WR!B:O,6,FALSE)</calculatedColumnFormula>
    </tableColumn>
    <tableColumn id="12" xr3:uid="{34758BC4-A805-4FC1-B7D9-9C09FCBF3B38}" name="REC" dataDxfId="449">
      <calculatedColumnFormula>VLOOKUP(TableWRRanks3242[[#This Row],[Player]],WR!B:O,7,FALSE)</calculatedColumnFormula>
    </tableColumn>
    <tableColumn id="11" xr3:uid="{15ECAF3E-D50B-4A09-92B1-AFF99D96A46B}" name="RECV YARDS" dataDxfId="448">
      <calculatedColumnFormula>VLOOKUP(TableWRRanks3242[[#This Row],[Player]],WR!B:O,8,FALSE)</calculatedColumnFormula>
    </tableColumn>
    <tableColumn id="9" xr3:uid="{C48C0CB4-3BC5-4FF8-8E35-89BEABAB57D2}" name="RECV TD" dataDxfId="447">
      <calculatedColumnFormula>VLOOKUP(TableWRRanks3242[[#This Row],[Player]],WR!B:O,9,FALSE)</calculatedColumnFormula>
    </tableColumn>
    <tableColumn id="5" xr3:uid="{7FE6090D-A368-4A75-9F7F-A3DF9206E1DC}" name="FPS" dataDxfId="446">
      <calculatedColumnFormula>VLOOKUP(TableWRRanks3242[[#This Row],[Player]],WR!B:O,13,FALSE)</calculatedColumnFormula>
    </tableColumn>
    <tableColumn id="6" xr3:uid="{075E308E-09F6-4CC2-9E50-D0739ABAEBFE}" name="AUC$" dataDxfId="445" dataCellStyle="Currency">
      <calculatedColumnFormula>IF(VLOOKUP(TableWRRanks3242[[#This Row],[RK]],'Ranks w Proj'!AD:AO,12,FALSE)&lt;0,0,VLOOKUP(TableWRRanks3242[[#This Row],[RK]],'Ranks w Proj'!AD:AO,12,FALSE))</calculatedColumnFormula>
    </tableColumn>
  </tableColumns>
  <tableStyleInfo name="TableStyleLight8" showFirstColumn="0" showLastColumn="0" showRowStripes="1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F771C98-D01E-4851-B7F7-FD8853D14161}" name="TableTERanks3343" displayName="TableTERanks3343" ref="AQ1:AZ101" totalsRowShown="0" headerRowDxfId="444" dataDxfId="442" headerRowBorderDxfId="443">
  <sortState xmlns:xlrd2="http://schemas.microsoft.com/office/spreadsheetml/2017/richdata2" ref="AQ2:AZ97">
    <sortCondition ref="AQ1:AQ97"/>
  </sortState>
  <tableColumns count="10">
    <tableColumn id="1" xr3:uid="{1DE8B555-0B01-4E23-A3B9-F1E54B658BF5}" name="RK" dataDxfId="441">
      <calculatedColumnFormula>RANK(TableTERanks3343[[#This Row],[FPS]],TableTERanks3343[FPS],0)</calculatedColumnFormula>
    </tableColumn>
    <tableColumn id="2" xr3:uid="{399EB10C-1E56-46FE-9A7E-C5D26C22D252}" name="Player" dataDxfId="440">
      <calculatedColumnFormula>VLOOKUP(TableTERanks3343[[#This Row],[RK]],Rankings!A:Q,15,FALSE)</calculatedColumnFormula>
    </tableColumn>
    <tableColumn id="3" xr3:uid="{0DB04BD7-A8D8-4C87-B996-68F9C25DCBD0}" name="TM" dataDxfId="439">
      <calculatedColumnFormula>IFERROR(INDEX(TableTECalcPts[TM],MATCH(TableTERanks3343[[#This Row],[Player]],TableTECalcPts[PLAYER],0)),"")</calculatedColumnFormula>
    </tableColumn>
    <tableColumn id="4" xr3:uid="{5702DA98-7FE8-4E0B-920D-BB01FFCF4E19}" name="BYE" dataDxfId="438">
      <calculatedColumnFormula>IFERROR(INDEX(TableTECalcPts[BYE],MATCH(TableTERanks3343[[#This Row],[RK]],TableTECalcPts[RK],0)),"")</calculatedColumnFormula>
    </tableColumn>
    <tableColumn id="7" xr3:uid="{6EAFB157-7942-4226-9D34-99E5270657EB}" name="TGTS" dataDxfId="437">
      <calculatedColumnFormula>VLOOKUP(TableTERanks3343[[#This Row],[Player]],TE!B:O,4,FALSE)</calculatedColumnFormula>
    </tableColumn>
    <tableColumn id="10" xr3:uid="{57A234B1-A0FB-4E71-9A3A-6569ADD0B783}" name="REC" dataDxfId="436">
      <calculatedColumnFormula>VLOOKUP(TableTERanks3343[[#This Row],[Player]],TE!B:O,5,FALSE)</calculatedColumnFormula>
    </tableColumn>
    <tableColumn id="9" xr3:uid="{14A8750E-E072-4AA9-9BAA-8A61C7574381}" name="RECV YARDS" dataDxfId="435">
      <calculatedColumnFormula>VLOOKUP(TableTERanks3343[[#This Row],[Player]],TE!B:O,6,FALSE)</calculatedColumnFormula>
    </tableColumn>
    <tableColumn id="8" xr3:uid="{2C8495D7-E2AE-4484-ABDB-85C493308728}" name="RECV TD" dataDxfId="434">
      <calculatedColumnFormula>VLOOKUP(TableTERanks3343[[#This Row],[Player]],TE!B:O,7,FALSE)</calculatedColumnFormula>
    </tableColumn>
    <tableColumn id="5" xr3:uid="{57F3B59C-E84B-4E30-9FBA-62A421D9B00A}" name="FPS" dataDxfId="433">
      <calculatedColumnFormula>VLOOKUP(TableTERanks3343[[#This Row],[Player]],TE!B:O,11,FALSE)</calculatedColumnFormula>
    </tableColumn>
    <tableColumn id="6" xr3:uid="{2EC6160C-D456-423B-A400-AE67C2D32CAB}" name="AUC$" dataDxfId="432" dataCellStyle="Currency">
      <calculatedColumnFormula>IF(VLOOKUP(TableTERanks3343[[#This Row],[RK]],'Ranks w Proj'!AQ:AZ,10,FALSE)&lt;0,0,VLOOKUP(TableTERanks3343[[#This Row],[RK]],'Ranks w Proj'!AQ:AZ,10,FALSE))</calculatedColumnFormula>
    </tableColumn>
  </tableColumns>
  <tableStyleInfo name="TableStyleLight8" showFirstColumn="0" showLastColumn="0" showRowStripes="1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DSTOverall" displayName="TableDSTOverall" ref="A1:S33" totalsRowShown="0" headerRowDxfId="143" dataDxfId="142">
  <autoFilter ref="A1:S33" xr:uid="{00000000-0009-0000-0100-000018000000}"/>
  <tableColumns count="19">
    <tableColumn id="18" xr3:uid="{00000000-0010-0000-1000-000012000000}" name="Ref" dataDxfId="141"/>
    <tableColumn id="1" xr3:uid="{00000000-0010-0000-1000-000001000000}" name="TEAM" dataDxfId="140"/>
    <tableColumn id="19" xr3:uid="{E0B1E5CE-99E0-4122-BCB6-105E4C24EB2C}" name="ABBREV" dataDxfId="139"/>
    <tableColumn id="2" xr3:uid="{00000000-0010-0000-1000-000002000000}" name="BYE" dataDxfId="138"/>
    <tableColumn id="3" xr3:uid="{00000000-0010-0000-1000-000003000000}" name="SACKS" dataDxfId="137"/>
    <tableColumn id="4" xr3:uid="{00000000-0010-0000-1000-000004000000}" name="INT" dataDxfId="136"/>
    <tableColumn id="5" xr3:uid="{00000000-0010-0000-1000-000005000000}" name="FORCED FUMBLE" dataDxfId="135"/>
    <tableColumn id="6" xr3:uid="{00000000-0010-0000-1000-000006000000}" name="RECOV'D FUMBLE" dataDxfId="134"/>
    <tableColumn id="7" xr3:uid="{00000000-0010-0000-1000-000007000000}" name="SAFETIES" dataDxfId="133"/>
    <tableColumn id="8" xr3:uid="{00000000-0010-0000-1000-000008000000}" name="DEF TD" dataDxfId="132"/>
    <tableColumn id="9" xr3:uid="{00000000-0010-0000-1000-000009000000}" name="PTS PER GAME" dataDxfId="131"/>
    <tableColumn id="10" xr3:uid="{00000000-0010-0000-1000-00000A000000}" name="0 PT GAMES" dataDxfId="130"/>
    <tableColumn id="11" xr3:uid="{00000000-0010-0000-1000-00000B000000}" name="1-6 PT GAMES" dataDxfId="129"/>
    <tableColumn id="12" xr3:uid="{00000000-0010-0000-1000-00000C000000}" name="7-13 PT GAMES" dataDxfId="128"/>
    <tableColumn id="13" xr3:uid="{00000000-0010-0000-1000-00000D000000}" name="14-21 PT GAMES" dataDxfId="127"/>
    <tableColumn id="14" xr3:uid="{00000000-0010-0000-1000-00000E000000}" name="22-26 PT GAMES" dataDxfId="126"/>
    <tableColumn id="15" xr3:uid="{00000000-0010-0000-1000-00000F000000}" name="27-34 PT GAMES" dataDxfId="125"/>
    <tableColumn id="16" xr3:uid="{00000000-0010-0000-1000-000010000000}" name="35+ PT GAMES" dataDxfId="124"/>
    <tableColumn id="17" xr3:uid="{00000000-0010-0000-1000-000011000000}" name="YD PER GAME" dataDxfId="123"/>
  </tableColumns>
  <tableStyleInfo name="TableStyleLight8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1000000}" name="TableQBCalcPts" displayName="TableQBCalcPts" ref="A2:F102" totalsRowShown="0" headerRowDxfId="122" dataDxfId="121">
  <tableColumns count="6">
    <tableColumn id="1" xr3:uid="{00000000-0010-0000-1100-000001000000}" name="RK" dataDxfId="120">
      <calculatedColumnFormula>IFERROR(RANK(TableQBCalcPts[[#This Row],[Custom]],TableQBCalcPts[Custom])+COUNTIF($F$3:F3,F3)-1,"")</calculatedColumnFormula>
    </tableColumn>
    <tableColumn id="6" xr3:uid="{00000000-0010-0000-1100-000006000000}" name="QBRef" dataDxfId="119"/>
    <tableColumn id="2" xr3:uid="{00000000-0010-0000-1100-000002000000}" name="PLAYER" dataDxfId="118">
      <calculatedColumnFormula>IFERROR(INDEX(TableQBMaster[Player],MATCH(TableQBCalcPts[[#This Row],[QBRef]],TableQBMaster[QBRef],0)),"")</calculatedColumnFormula>
    </tableColumn>
    <tableColumn id="3" xr3:uid="{00000000-0010-0000-1100-000003000000}" name="TM" dataDxfId="117">
      <calculatedColumnFormula>IFERROR(INDEX(TableQBMaster[TM],MATCH(TableQBCalcPts[[#This Row],[QBRef]],TableQBMaster[QBRef],0)),"")</calculatedColumnFormula>
    </tableColumn>
    <tableColumn id="4" xr3:uid="{00000000-0010-0000-1100-000004000000}" name="BYE" dataDxfId="116">
      <calculatedColumnFormula>IFERROR(INDEX(TableQBMaster[BYE],MATCH(TableQBCalcPts[[#This Row],[QBRef]],TableQBMaster[QBRef],0)),"")</calculatedColumnFormula>
    </tableColumn>
    <tableColumn id="5" xr3:uid="{00000000-0010-0000-1100-000005000000}" name="Custom" dataDxfId="115">
      <calculatedColumnFormula>IFERROR(INDEX(TableQBMaster[Custom],MATCH(TableQBCalcPts[[#This Row],[QBRef]],TableQBMaster[QBRef],0)),"")</calculatedColumnFormula>
    </tableColumn>
  </tableColumns>
  <tableStyleInfo name="TableStyleLight8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2000000}" name="TableRBCalcPts" displayName="TableRBCalcPts" ref="H2:M177" totalsRowShown="0" headerRowDxfId="114" dataDxfId="113">
  <tableColumns count="6">
    <tableColumn id="1" xr3:uid="{00000000-0010-0000-1200-000001000000}" name="RK" dataDxfId="112">
      <calculatedColumnFormula>IFERROR(RANK(TableRBCalcPts[[#This Row],[Custom]],TableRBCalcPts[Custom])+COUNTIF($M$3:M3,M3)-1,"")</calculatedColumnFormula>
    </tableColumn>
    <tableColumn id="6" xr3:uid="{00000000-0010-0000-1200-000006000000}" name="RBRef" dataDxfId="111"/>
    <tableColumn id="2" xr3:uid="{00000000-0010-0000-1200-000002000000}" name="PLAYER" dataDxfId="110">
      <calculatedColumnFormula>IFERROR(INDEX(TableRBMaster[Player],MATCH(TableRBCalcPts[[#This Row],[RBRef]],TableRBMaster[RBRef],0)),"")</calculatedColumnFormula>
    </tableColumn>
    <tableColumn id="3" xr3:uid="{00000000-0010-0000-1200-000003000000}" name="TM" dataDxfId="109">
      <calculatedColumnFormula>IFERROR(INDEX(TableRBMaster[TM],MATCH(TableRBCalcPts[[#This Row],[RBRef]],TableRBMaster[RBRef],0)),"")</calculatedColumnFormula>
    </tableColumn>
    <tableColumn id="4" xr3:uid="{00000000-0010-0000-1200-000004000000}" name="BYE" dataDxfId="108">
      <calculatedColumnFormula>IFERROR(INDEX(TableRBMaster[BYE],MATCH(TableRBCalcPts[[#This Row],[RBRef]],TableRBMaster[RBRef],0)),"")</calculatedColumnFormula>
    </tableColumn>
    <tableColumn id="5" xr3:uid="{00000000-0010-0000-1200-000005000000}" name="Custom" dataDxfId="107">
      <calculatedColumnFormula>IFERROR(INDEX(TableRBMaster[Custom],MATCH(TableRBCalcPts[[#This Row],[RBRef]],TableRBMaster[RBRef],0)),"")</calculatedColumnFormula>
    </tableColumn>
  </tableColumns>
  <tableStyleInfo name="TableStyleLight8" showFirstColumn="0" showLastColumn="0" showRowStripes="1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3000000}" name="TableWRCalcPts" displayName="TableWRCalcPts" ref="O2:T227" totalsRowShown="0" headerRowDxfId="106" dataDxfId="105">
  <tableColumns count="6">
    <tableColumn id="1" xr3:uid="{00000000-0010-0000-1300-000001000000}" name="RK" dataDxfId="104">
      <calculatedColumnFormula>IFERROR(RANK(TableWRCalcPts[[#This Row],[Custom]],TableWRCalcPts[Custom])+COUNTIF($T$3:T3,T3)-1,"")</calculatedColumnFormula>
    </tableColumn>
    <tableColumn id="6" xr3:uid="{00000000-0010-0000-1300-000006000000}" name="WRRef" dataDxfId="103"/>
    <tableColumn id="2" xr3:uid="{00000000-0010-0000-1300-000002000000}" name="PLAYER" dataDxfId="102">
      <calculatedColumnFormula>IFERROR(INDEX(TableWRMaster[Player],MATCH(TableWRCalcPts[[#This Row],[WRRef]],TableWRMaster[WRRef],0)),"")</calculatedColumnFormula>
    </tableColumn>
    <tableColumn id="3" xr3:uid="{00000000-0010-0000-1300-000003000000}" name="TM" dataDxfId="101">
      <calculatedColumnFormula>IFERROR(INDEX(TableWRMaster[TM],MATCH(TableWRCalcPts[[#This Row],[WRRef]],TableWRMaster[WRRef],0)),"")</calculatedColumnFormula>
    </tableColumn>
    <tableColumn id="4" xr3:uid="{00000000-0010-0000-1300-000004000000}" name="BYE" dataDxfId="100">
      <calculatedColumnFormula>IFERROR(INDEX(TableWRMaster[BYE],MATCH(TableWRCalcPts[[#This Row],[WRRef]],TableWRMaster[WRRef],0)),"")</calculatedColumnFormula>
    </tableColumn>
    <tableColumn id="5" xr3:uid="{00000000-0010-0000-1300-000005000000}" name="Custom" dataDxfId="99">
      <calculatedColumnFormula>IFERROR(INDEX(TableWRMaster[Custom],MATCH(TableWRCalcPts[[#This Row],[WRRef]],TableWRMaster[WRRef],0)),"")</calculatedColumnFormula>
    </tableColumn>
  </tableColumns>
  <tableStyleInfo name="TableStyleLight8" showFirstColumn="0" showLastColumn="0" showRowStripes="1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4000000}" name="TableTECalcPts" displayName="TableTECalcPts" ref="V2:AA102" totalsRowShown="0" headerRowDxfId="98" dataDxfId="97">
  <tableColumns count="6">
    <tableColumn id="1" xr3:uid="{00000000-0010-0000-1400-000001000000}" name="RK" dataDxfId="96">
      <calculatedColumnFormula>IFERROR(RANK(TableTECalcPts[[#This Row],[Custom]],TableTECalcPts[Custom])+COUNTIF($AA$3:AA3,AA3)-1,"")</calculatedColumnFormula>
    </tableColumn>
    <tableColumn id="6" xr3:uid="{00000000-0010-0000-1400-000006000000}" name="TERef" dataDxfId="95"/>
    <tableColumn id="2" xr3:uid="{00000000-0010-0000-1400-000002000000}" name="PLAYER" dataDxfId="94">
      <calculatedColumnFormula>IFERROR(INDEX(TableTEMaster[Player],MATCH(TableTECalcPts[[#This Row],[TERef]],TableTEMaster[TERef],0)),"")</calculatedColumnFormula>
    </tableColumn>
    <tableColumn id="3" xr3:uid="{00000000-0010-0000-1400-000003000000}" name="TM" dataDxfId="93">
      <calculatedColumnFormula>IFERROR(INDEX(TableTEMaster[TM],MATCH(TableTECalcPts[[#This Row],[TERef]],TableTEMaster[TERef],0)),"")</calculatedColumnFormula>
    </tableColumn>
    <tableColumn id="4" xr3:uid="{00000000-0010-0000-1400-000004000000}" name="BYE" dataDxfId="92">
      <calculatedColumnFormula>IFERROR(INDEX(TableTEMaster[BYE],MATCH(TableTECalcPts[[#This Row],[TERef]],TableTEMaster[TERef],0)),"")</calculatedColumnFormula>
    </tableColumn>
    <tableColumn id="5" xr3:uid="{00000000-0010-0000-1400-000005000000}" name="Custom" dataDxfId="91">
      <calculatedColumnFormula>IFERROR(INDEX(TableTEMaster[Custom],MATCH(TableTECalcPts[[#This Row],[TERef]],TableTEMaster[TERef],0)),"")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QBRanks" displayName="TableQBRanks" ref="A1:F80" totalsRowShown="0" headerRowDxfId="664" dataDxfId="663">
  <sortState xmlns:xlrd2="http://schemas.microsoft.com/office/spreadsheetml/2017/richdata2" ref="A2:F68">
    <sortCondition ref="A1:A68"/>
  </sortState>
  <tableColumns count="6">
    <tableColumn id="1" xr3:uid="{00000000-0010-0000-0200-000001000000}" name="RK" dataDxfId="662">
      <calculatedColumnFormula>RANK(TableQBRanks[[#This Row],[FPS]],TableQBRanks[FPS],0)</calculatedColumnFormula>
    </tableColumn>
    <tableColumn id="2" xr3:uid="{00000000-0010-0000-0200-000002000000}" name="Player" dataDxfId="661">
      <calculatedColumnFormula>IFERROR(INDEX(TableQBCalcPts[PLAYER],MATCH(TableQBRanks[[#This Row],[RK]],TableQBCalcPts[RK],0)),"")</calculatedColumnFormula>
    </tableColumn>
    <tableColumn id="3" xr3:uid="{00000000-0010-0000-0200-000003000000}" name="TM" dataDxfId="660">
      <calculatedColumnFormula>IFERROR(INDEX(TableQBCalcPts[TM],MATCH(TableQBRanks[[#This Row],[RK]],TableQBCalcPts[RK],0)),"")</calculatedColumnFormula>
    </tableColumn>
    <tableColumn id="4" xr3:uid="{00000000-0010-0000-0200-000004000000}" name="BYE" dataDxfId="659">
      <calculatedColumnFormula>IFERROR(INDEX(TableQBCalcPts[BYE],MATCH(TableQBRanks[[#This Row],[RK]],TableQBCalcPts[RK],0)),"")</calculatedColumnFormula>
    </tableColumn>
    <tableColumn id="5" xr3:uid="{00000000-0010-0000-0200-000005000000}" name="FPS" dataDxfId="658">
      <calculatedColumnFormula>IFERROR(INDEX(TableQBCalcPts[Custom],MATCH(TableQBRanks[[#This Row],[RK]],TableQBCalcPts[RK],0)),"")</calculatedColumnFormula>
    </tableColumn>
    <tableColumn id="6" xr3:uid="{00000000-0010-0000-0200-000006000000}" name="AUC$" dataDxfId="657" dataCellStyle="Currency">
      <calculatedColumnFormula>(((VLOOKUP(TableQBRanks[[#This Row],[Player]],'OVR &amp; VORP Ranks'!$B:$F,5,FALSE)))/('OVR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5000000}" name="TableDSTCalcPts" displayName="TableDSTCalcPts" ref="AC2:AG34" totalsRowShown="0" headerRowDxfId="90" dataDxfId="89">
  <tableColumns count="5">
    <tableColumn id="1" xr3:uid="{00000000-0010-0000-1500-000001000000}" name="RK" dataDxfId="88">
      <calculatedColumnFormula>IFERROR(RANK(TableDSTCalcPts[[#This Row],[Custom]],TableDSTCalcPts[Custom],0),"")</calculatedColumnFormula>
    </tableColumn>
    <tableColumn id="5" xr3:uid="{00000000-0010-0000-1500-000005000000}" name="DSTRef" dataDxfId="87"/>
    <tableColumn id="2" xr3:uid="{00000000-0010-0000-1500-000002000000}" name="PLAYER" dataDxfId="86">
      <calculatedColumnFormula>IFERROR(INDEX(TableDSTMaster[Player],MATCH(TableDSTCalcPts[[#This Row],[DSTRef]],TableDSTMaster[DSTRef],0)),"")</calculatedColumnFormula>
    </tableColumn>
    <tableColumn id="3" xr3:uid="{00000000-0010-0000-1500-000003000000}" name="BYE" dataDxfId="85">
      <calculatedColumnFormula>IFERROR(INDEX(TableDSTMaster[BYE],MATCH(TableDSTCalcPts[[#This Row],[DSTRef]],TableDSTMaster[DSTRef],0)),"")</calculatedColumnFormula>
    </tableColumn>
    <tableColumn id="4" xr3:uid="{00000000-0010-0000-1500-000004000000}" name="Custom" dataDxfId="84">
      <calculatedColumnFormula>IFERROR(INDEX(TableDSTMaster[Custom],MATCH(TableDSTCalcPts[[#This Row],[DSTRef]],TableDSTMaster[DSTRef],0)),"")</calculatedColumnFormula>
    </tableColumn>
  </tableColumns>
  <tableStyleInfo name="TableStyleLight8" showFirstColumn="0" showLastColumn="0" showRowStripes="1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TableWRTECalcPts" displayName="TableWRTECalcPts" ref="AI2:AP327" totalsRowShown="0" headerRowDxfId="83" dataDxfId="82">
  <tableColumns count="8">
    <tableColumn id="8" xr3:uid="{00000000-0010-0000-1600-000008000000}" name="POS" dataDxfId="81"/>
    <tableColumn id="1" xr3:uid="{00000000-0010-0000-1600-000001000000}" name="RK" dataDxfId="80">
      <calculatedColumnFormula>IFERROR(RANK(TableWRTECalcPts[[#This Row],[Custom]],TableWRTECalcPts[Custom])+COUNTIF($AP$3:AP3,AP3)-1,"")</calculatedColumnFormula>
    </tableColumn>
    <tableColumn id="6" xr3:uid="{00000000-0010-0000-1600-000006000000}" name="POSRef" dataDxfId="79"/>
    <tableColumn id="2" xr3:uid="{00000000-0010-0000-1600-000002000000}" name="PLAYER" dataDxfId="78"/>
    <tableColumn id="9" xr3:uid="{00000000-0010-0000-1600-000009000000}" name="POS RK" dataDxfId="77">
      <calculatedColumnFormula>_xlfn.CONCAT(TableWRTECalcPts[[#This Row],[POS]],INDEX(TableTERanks[RK],MATCH(TableWRTECalcPts[[#This Row],[PLAYER]],TableTERanks[Player],0)))</calculatedColumnFormula>
    </tableColumn>
    <tableColumn id="3" xr3:uid="{00000000-0010-0000-1600-000003000000}" name="TM" dataDxfId="76"/>
    <tableColumn id="4" xr3:uid="{00000000-0010-0000-1600-000004000000}" name="BYE" dataDxfId="75"/>
    <tableColumn id="5" xr3:uid="{00000000-0010-0000-1600-000005000000}" name="Custom" dataDxfId="74"/>
  </tableColumns>
  <tableStyleInfo name="TableStyleLight9" showFirstColumn="0" showLastColumn="0" showRowStripes="1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7000000}" name="TableQBMaster" displayName="TableQBMaster" ref="A1:O68" totalsRowShown="0" headerRowDxfId="73" dataDxfId="72">
  <autoFilter ref="A1:O68" xr:uid="{00000000-0009-0000-0100-000004000000}"/>
  <sortState xmlns:xlrd2="http://schemas.microsoft.com/office/spreadsheetml/2017/richdata2" ref="B2:M68">
    <sortCondition ref="C1:C68"/>
  </sortState>
  <tableColumns count="15">
    <tableColumn id="14" xr3:uid="{00000000-0010-0000-1700-00000E000000}" name="QBRef" dataDxfId="71"/>
    <tableColumn id="1" xr3:uid="{00000000-0010-0000-1700-000001000000}" name="Player" dataDxfId="70"/>
    <tableColumn id="2" xr3:uid="{00000000-0010-0000-1700-000002000000}" name="TM" dataDxfId="69"/>
    <tableColumn id="3" xr3:uid="{00000000-0010-0000-1700-000003000000}" name="BYE" dataDxfId="68"/>
    <tableColumn id="4" xr3:uid="{00000000-0010-0000-1700-000004000000}" name="PATT" dataDxfId="67"/>
    <tableColumn id="5" xr3:uid="{00000000-0010-0000-1700-000005000000}" name="CMP" dataDxfId="66"/>
    <tableColumn id="6" xr3:uid="{00000000-0010-0000-1700-000006000000}" name="PAYD" dataDxfId="65"/>
    <tableColumn id="7" xr3:uid="{00000000-0010-0000-1700-000007000000}" name="PATD" dataDxfId="64"/>
    <tableColumn id="8" xr3:uid="{00000000-0010-0000-1700-000008000000}" name="INT" dataDxfId="63"/>
    <tableColumn id="9" xr3:uid="{00000000-0010-0000-1700-000009000000}" name="RUAT" dataDxfId="62"/>
    <tableColumn id="10" xr3:uid="{00000000-0010-0000-1700-00000A000000}" name="RUYD" dataDxfId="61"/>
    <tableColumn id="11" xr3:uid="{00000000-0010-0000-1700-00000B000000}" name="RUTD" dataDxfId="60"/>
    <tableColumn id="12" xr3:uid="{00000000-0010-0000-1700-00000C000000}" name="FPS" dataDxfId="59">
      <calculatedColumnFormula>(G2/25)+(H2*4)+(I2*-1.5)+(K2/10)+(L2*6)</calculatedColumnFormula>
    </tableColumn>
    <tableColumn id="13" xr3:uid="{00000000-0010-0000-1700-00000D000000}" name="Custom" dataDxfId="58">
      <calculatedColumnFormula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calculatedColumnFormula>
    </tableColumn>
    <tableColumn id="15" xr3:uid="{00000000-0010-0000-1700-00000F000000}" name="AUC$" dataDxfId="57"/>
  </tableColumns>
  <tableStyleInfo name="TableStyleLight8" showFirstColumn="0" showLastColumn="0" showRowStripes="1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8000000}" name="TableRBMaster" displayName="TableRBMaster" ref="A1:P161" totalsRowShown="0" headerRowDxfId="56" dataDxfId="55">
  <autoFilter ref="A1:P161" xr:uid="{00000000-0009-0000-0100-000005000000}"/>
  <sortState xmlns:xlrd2="http://schemas.microsoft.com/office/spreadsheetml/2017/richdata2" ref="B2:N152">
    <sortCondition ref="C1:C152"/>
  </sortState>
  <tableColumns count="16">
    <tableColumn id="16" xr3:uid="{00000000-0010-0000-1800-000010000000}" name="RBRef" dataDxfId="54"/>
    <tableColumn id="1" xr3:uid="{00000000-0010-0000-1800-000001000000}" name="Player" dataDxfId="53"/>
    <tableColumn id="2" xr3:uid="{00000000-0010-0000-1800-000002000000}" name="TM" dataDxfId="52"/>
    <tableColumn id="3" xr3:uid="{00000000-0010-0000-1800-000003000000}" name="BYE" dataDxfId="51"/>
    <tableColumn id="4" xr3:uid="{00000000-0010-0000-1800-000004000000}" name="RUAT" dataDxfId="50"/>
    <tableColumn id="5" xr3:uid="{00000000-0010-0000-1800-000005000000}" name="RUYD" dataDxfId="49"/>
    <tableColumn id="6" xr3:uid="{00000000-0010-0000-1800-000006000000}" name="RUTD" dataDxfId="48"/>
    <tableColumn id="7" xr3:uid="{00000000-0010-0000-1800-000007000000}" name="TGT" dataDxfId="47"/>
    <tableColumn id="8" xr3:uid="{00000000-0010-0000-1800-000008000000}" name="REC" dataDxfId="46"/>
    <tableColumn id="9" xr3:uid="{00000000-0010-0000-1800-000009000000}" name="RCYD" dataDxfId="45"/>
    <tableColumn id="10" xr3:uid="{00000000-0010-0000-1800-00000A000000}" name="RCTD" dataDxfId="44"/>
    <tableColumn id="11" xr3:uid="{00000000-0010-0000-1800-00000B000000}" name="FPS" dataDxfId="43">
      <calculatedColumnFormula>(F2/10)+(G2*6)+(J2/10)+(K2*6)</calculatedColumnFormula>
    </tableColumn>
    <tableColumn id="12" xr3:uid="{00000000-0010-0000-1800-00000C000000}" name="HALF" dataDxfId="42">
      <calculatedColumnFormula>L2+(I2*0.5)</calculatedColumnFormula>
    </tableColumn>
    <tableColumn id="13" xr3:uid="{00000000-0010-0000-1800-00000D000000}" name="PPR" dataDxfId="41">
      <calculatedColumnFormula>L2+I2</calculatedColumnFormula>
    </tableColumn>
    <tableColumn id="14" xr3:uid="{00000000-0010-0000-1800-00000E000000}" name="Custom" dataDxfId="40">
      <calculatedColumnFormula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calculatedColumnFormula>
    </tableColumn>
    <tableColumn id="15" xr3:uid="{00000000-0010-0000-1800-00000F000000}" name="AUC$" dataDxfId="39"/>
  </tableColumns>
  <tableStyleInfo name="TableStyleLight8" showFirstColumn="0" showLastColumn="0" showRowStripes="1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9000000}" name="TableWRMaster" displayName="TableWRMaster" ref="A1:O202" totalsRowShown="0" headerRowDxfId="38" dataDxfId="37">
  <autoFilter ref="A1:O202" xr:uid="{00000000-0009-0000-0100-000006000000}"/>
  <sortState xmlns:xlrd2="http://schemas.microsoft.com/office/spreadsheetml/2017/richdata2" ref="B2:M202">
    <sortCondition ref="C1:C202"/>
  </sortState>
  <tableColumns count="15">
    <tableColumn id="15" xr3:uid="{00000000-0010-0000-1900-00000F000000}" name="WRRef" dataDxfId="36"/>
    <tableColumn id="1" xr3:uid="{00000000-0010-0000-1900-000001000000}" name="Player" dataDxfId="35"/>
    <tableColumn id="2" xr3:uid="{00000000-0010-0000-1900-000002000000}" name="TM" dataDxfId="34"/>
    <tableColumn id="3" xr3:uid="{00000000-0010-0000-1900-000003000000}" name="BYE" dataDxfId="33"/>
    <tableColumn id="4" xr3:uid="{00000000-0010-0000-1900-000004000000}" name="RUYD" dataDxfId="32"/>
    <tableColumn id="5" xr3:uid="{00000000-0010-0000-1900-000005000000}" name="RUTD" dataDxfId="31"/>
    <tableColumn id="6" xr3:uid="{00000000-0010-0000-1900-000006000000}" name="TGT" dataDxfId="30"/>
    <tableColumn id="7" xr3:uid="{00000000-0010-0000-1900-000007000000}" name="REC" dataDxfId="29"/>
    <tableColumn id="8" xr3:uid="{00000000-0010-0000-1900-000008000000}" name="RCYD" dataDxfId="28"/>
    <tableColumn id="9" xr3:uid="{00000000-0010-0000-1900-000009000000}" name="RCTD" dataDxfId="27"/>
    <tableColumn id="10" xr3:uid="{00000000-0010-0000-1900-00000A000000}" name="FPS" dataDxfId="26">
      <calculatedColumnFormula>(E2/10)+(F2*6)+(I2/10)+(J2*6)</calculatedColumnFormula>
    </tableColumn>
    <tableColumn id="11" xr3:uid="{00000000-0010-0000-1900-00000B000000}" name="HALF" dataDxfId="25">
      <calculatedColumnFormula>K2+(H2*0.5)</calculatedColumnFormula>
    </tableColumn>
    <tableColumn id="12" xr3:uid="{00000000-0010-0000-1900-00000C000000}" name="PPR" dataDxfId="24">
      <calculatedColumnFormula>K2+H2</calculatedColumnFormula>
    </tableColumn>
    <tableColumn id="13" xr3:uid="{00000000-0010-0000-1900-00000D000000}" name="Custom" dataDxfId="23">
      <calculatedColumnFormula>(TableWRMaster[[#This Row],[RUYD]]*RUSH_YARDS)+(TableWRMaster[[#This Row],[RUTD]]*RUSH_TDS)+(TableWRMaster[[#This Row],[TGT]]*TARGETS)+(TableWRMaster[[#This Row],[REC]]*RECEPTIONS_WR)+(TableWRMaster[[#This Row],[RCYD]]*RECV_YARDS)+(TableWRMaster[[#This Row],[RCTD]]*RECV_TDS)</calculatedColumnFormula>
    </tableColumn>
    <tableColumn id="14" xr3:uid="{00000000-0010-0000-1900-00000E000000}" name="AUC$" dataDxfId="22"/>
  </tableColumns>
  <tableStyleInfo name="TableStyleLight8" showFirstColumn="0" showLastColumn="0" showRowStripes="1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A000000}" name="TableTEMaster" displayName="TableTEMaster" ref="A1:M97" totalsRowShown="0" headerRowDxfId="21" dataDxfId="20">
  <autoFilter ref="A1:M97" xr:uid="{00000000-0009-0000-0100-000007000000}"/>
  <tableColumns count="13">
    <tableColumn id="13" xr3:uid="{00000000-0010-0000-1A00-00000D000000}" name="TERef" dataDxfId="19"/>
    <tableColumn id="1" xr3:uid="{00000000-0010-0000-1A00-000001000000}" name="Player" dataDxfId="18"/>
    <tableColumn id="2" xr3:uid="{00000000-0010-0000-1A00-000002000000}" name="TM" dataDxfId="17"/>
    <tableColumn id="3" xr3:uid="{00000000-0010-0000-1A00-000003000000}" name="BYE" dataDxfId="16"/>
    <tableColumn id="4" xr3:uid="{00000000-0010-0000-1A00-000004000000}" name="TGT" dataDxfId="15"/>
    <tableColumn id="5" xr3:uid="{00000000-0010-0000-1A00-000005000000}" name="REC" dataDxfId="14"/>
    <tableColumn id="6" xr3:uid="{00000000-0010-0000-1A00-000006000000}" name="RCYD" dataDxfId="13"/>
    <tableColumn id="7" xr3:uid="{00000000-0010-0000-1A00-000007000000}" name="RCTD" dataDxfId="12"/>
    <tableColumn id="8" xr3:uid="{00000000-0010-0000-1A00-000008000000}" name="FPS" dataDxfId="11">
      <calculatedColumnFormula>(G2/10)+(H2*6)</calculatedColumnFormula>
    </tableColumn>
    <tableColumn id="9" xr3:uid="{00000000-0010-0000-1A00-000009000000}" name="HALF" dataDxfId="10">
      <calculatedColumnFormula>I2+(F2*0.5)</calculatedColumnFormula>
    </tableColumn>
    <tableColumn id="10" xr3:uid="{00000000-0010-0000-1A00-00000A000000}" name="PPR" dataDxfId="9">
      <calculatedColumnFormula>I2+F2</calculatedColumnFormula>
    </tableColumn>
    <tableColumn id="11" xr3:uid="{00000000-0010-0000-1A00-00000B000000}" name="Custom" dataDxfId="8">
      <calculatedColumnFormula>(TableTEMaster[[#This Row],[TGT]]*TARGETS)+(TableTEMaster[[#This Row],[REC]]*RECEPTIONS_TE)+(TableTEMaster[[#This Row],[RCYD]]*RECV_YARDS)+(TableTEMaster[[#This Row],[RCTD]]*RECV_TDS)</calculatedColumnFormula>
    </tableColumn>
    <tableColumn id="12" xr3:uid="{00000000-0010-0000-1A00-00000C000000}" name="AUC$" dataDxfId="7"/>
  </tableColumns>
  <tableStyleInfo name="TableStyleLight8" showFirstColumn="0" showLastColumn="0" showRowStripes="1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B000000}" name="TableDSTMaster" displayName="TableDSTMaster" ref="A1:E33" totalsRowShown="0" headerRowDxfId="6" dataDxfId="5">
  <autoFilter ref="A1:E33" xr:uid="{00000000-0009-0000-0100-00000C000000}"/>
  <tableColumns count="5">
    <tableColumn id="1" xr3:uid="{00000000-0010-0000-1B00-000001000000}" name="DSTRef" dataDxfId="4"/>
    <tableColumn id="2" xr3:uid="{00000000-0010-0000-1B00-000002000000}" name="Player" dataDxfId="3">
      <calculatedColumnFormula>DST!B2</calculatedColumnFormula>
    </tableColumn>
    <tableColumn id="3" xr3:uid="{00000000-0010-0000-1B00-000003000000}" name="BYE" dataDxfId="2">
      <calculatedColumnFormula>DST!D2</calculatedColumnFormula>
    </tableColumn>
    <tableColumn id="4" xr3:uid="{00000000-0010-0000-1B00-000004000000}" name="Custom" dataDxfId="1">
      <calculatedColumnFormula>(DST!E2*Settings!B$16)+(DST!F2*Settings!B$17)+(DST!G2*Settings!B$18)+(DST!H2*Settings!B$19)+(DST!I2*Settings!B$20)+(DST!J2*Settings!B$21)+(DST!L2*Settings!B$22)+(DST!M2*Settings!B$23)+(DST!N2*Settings!B$24)+(DST!O2*Settings!B$25)+(DST!P2*Settings!B$26)+(DST!Q2*Settings!B$27)+(DST!R2*Settings!B$28)</calculatedColumnFormula>
    </tableColumn>
    <tableColumn id="5" xr3:uid="{00000000-0010-0000-1B00-000005000000}" name="AUC$" dataDxfId="0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RBRanks" displayName="TableRBRanks" ref="H1:M171" totalsRowShown="0" headerRowDxfId="656" dataDxfId="655">
  <sortState xmlns:xlrd2="http://schemas.microsoft.com/office/spreadsheetml/2017/richdata2" ref="H2:M153">
    <sortCondition ref="H1:H153"/>
  </sortState>
  <tableColumns count="6">
    <tableColumn id="1" xr3:uid="{00000000-0010-0000-0300-000001000000}" name="RK" dataDxfId="654">
      <calculatedColumnFormula>RANK(TableRBRanks[[#This Row],[FPS]],TableRBRanks[FPS],0)</calculatedColumnFormula>
    </tableColumn>
    <tableColumn id="2" xr3:uid="{00000000-0010-0000-0300-000002000000}" name="Player" dataDxfId="653">
      <calculatedColumnFormula>IFERROR(INDEX(TableRBCalcPts[PLAYER],MATCH(TableRBRanks[[#This Row],[RK]],TableRBCalcPts[RK],0)),"")</calculatedColumnFormula>
    </tableColumn>
    <tableColumn id="3" xr3:uid="{00000000-0010-0000-0300-000003000000}" name="TM" dataDxfId="652">
      <calculatedColumnFormula>IFERROR(INDEX(TableRBCalcPts[TM],MATCH(TableRBRanks[[#This Row],[RK]],TableRBCalcPts[RK],0)),"")</calculatedColumnFormula>
    </tableColumn>
    <tableColumn id="4" xr3:uid="{00000000-0010-0000-0300-000004000000}" name="BYE" dataDxfId="651">
      <calculatedColumnFormula>IFERROR(INDEX(TableRBCalcPts[BYE],MATCH(TableRBRanks[[#This Row],[RK]],TableRBCalcPts[RK],0)),"")</calculatedColumnFormula>
    </tableColumn>
    <tableColumn id="5" xr3:uid="{00000000-0010-0000-0300-000005000000}" name="FPS" dataDxfId="650">
      <calculatedColumnFormula>IFERROR(INDEX(TableRBCalcPts[Custom],MATCH(TableRBRanks[[#This Row],[RK]],TableRBCalcPts[RK],0)),"")</calculatedColumnFormula>
    </tableColumn>
    <tableColumn id="6" xr3:uid="{00000000-0010-0000-0300-000006000000}" name="AUC$" dataDxfId="649" dataCellStyle="Currency">
      <calculatedColumnFormula>(((VLOOKUP(TableRBRanks[[#This Row],[Player]],'OVR &amp; VORP Ranks'!$I:$M,5,FALSE)))/('OVR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4000000}" name="TableWRRanks" displayName="TableWRRanks" ref="O1:T221" totalsRowShown="0" headerRowDxfId="648" dataDxfId="647">
  <sortState xmlns:xlrd2="http://schemas.microsoft.com/office/spreadsheetml/2017/richdata2" ref="O2:T221">
    <sortCondition ref="O1:O203"/>
  </sortState>
  <tableColumns count="6">
    <tableColumn id="1" xr3:uid="{00000000-0010-0000-0400-000001000000}" name="RK" dataDxfId="646">
      <calculatedColumnFormula>RANK(TableWRRanks[[#This Row],[FPS]],TableWRRanks[FPS],0)</calculatedColumnFormula>
    </tableColumn>
    <tableColumn id="2" xr3:uid="{00000000-0010-0000-0400-000002000000}" name="Player" dataDxfId="645">
      <calculatedColumnFormula>IFERROR(INDEX(TableWRCalcPts[PLAYER],MATCH(TableWRRanks[[#This Row],[RK]],TableWRCalcPts[RK],0)),"")</calculatedColumnFormula>
    </tableColumn>
    <tableColumn id="3" xr3:uid="{00000000-0010-0000-0400-000003000000}" name="TM" dataDxfId="644">
      <calculatedColumnFormula>IFERROR(INDEX(TableWRCalcPts[TM],MATCH(TableWRRanks[[#This Row],[RK]],TableWRCalcPts[RK],0)),"")</calculatedColumnFormula>
    </tableColumn>
    <tableColumn id="4" xr3:uid="{00000000-0010-0000-0400-000004000000}" name="BYE" dataDxfId="643">
      <calculatedColumnFormula>IFERROR(INDEX(TableWRCalcPts[BYE],MATCH(TableWRRanks[[#This Row],[RK]],TableWRCalcPts[RK],0)),"")</calculatedColumnFormula>
    </tableColumn>
    <tableColumn id="5" xr3:uid="{00000000-0010-0000-0400-000005000000}" name="FPS" dataDxfId="642">
      <calculatedColumnFormula>IFERROR(INDEX(TableWRCalcPts[Custom],MATCH(TableWRRanks[[#This Row],[RK]],TableWRCalcPts[RK],0)),"")</calculatedColumnFormula>
    </tableColumn>
    <tableColumn id="6" xr3:uid="{00000000-0010-0000-0400-000006000000}" name="AUC$" dataDxfId="641" dataCellStyle="Currency">
      <calculatedColumnFormula>(((VLOOKUP(TableWRRanks[[#This Row],[Player]],'OVR &amp; VORP Ranks'!$P:$T,5,FALSE)))/('OVR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5000000}" name="TableTERanks" displayName="TableTERanks" ref="V1:AA101" totalsRowShown="0" headerRowDxfId="640" dataDxfId="639">
  <sortState xmlns:xlrd2="http://schemas.microsoft.com/office/spreadsheetml/2017/richdata2" ref="V2:AA97">
    <sortCondition ref="V1:V97"/>
  </sortState>
  <tableColumns count="6">
    <tableColumn id="1" xr3:uid="{00000000-0010-0000-0500-000001000000}" name="RK" dataDxfId="638">
      <calculatedColumnFormula>RANK(TableTERanks[[#This Row],[FPS]],TableTERanks[FPS],0)</calculatedColumnFormula>
    </tableColumn>
    <tableColumn id="2" xr3:uid="{00000000-0010-0000-0500-000002000000}" name="Player" dataDxfId="637">
      <calculatedColumnFormula>IFERROR(INDEX(TableTECalcPts[PLAYER],MATCH(TableTERanks[[#This Row],[RK]],TableTECalcPts[RK],0)),"")</calculatedColumnFormula>
    </tableColumn>
    <tableColumn id="3" xr3:uid="{00000000-0010-0000-0500-000003000000}" name="TM" dataDxfId="636">
      <calculatedColumnFormula>IFERROR(INDEX(TableTECalcPts[TM],MATCH(TableTERanks[[#This Row],[RK]],TableTECalcPts[RK],0)),"")</calculatedColumnFormula>
    </tableColumn>
    <tableColumn id="4" xr3:uid="{00000000-0010-0000-0500-000004000000}" name="BYE" dataDxfId="635">
      <calculatedColumnFormula>IFERROR(INDEX(TableTECalcPts[BYE],MATCH(TableTERanks[[#This Row],[RK]],TableTECalcPts[RK],0)),"")</calculatedColumnFormula>
    </tableColumn>
    <tableColumn id="5" xr3:uid="{00000000-0010-0000-0500-000005000000}" name="FPS" dataDxfId="634">
      <calculatedColumnFormula>IFERROR(INDEX(TableTECalcPts[Custom],MATCH(TableTERanks[[#This Row],[RK]],TableTECalcPts[RK],0)),"")</calculatedColumnFormula>
    </tableColumn>
    <tableColumn id="6" xr3:uid="{00000000-0010-0000-0500-000006000000}" name="AUC$" dataDxfId="633" dataCellStyle="Currency">
      <calculatedColumnFormula>(((VLOOKUP(TableTERanks[[#This Row],[Player]],'OVR &amp; VORP Ranks'!$W:$AA,5,FALSE)))/('OVR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6000000}" name="TableDSTRanks" displayName="TableDSTRanks" ref="AC1:AG33" totalsRowShown="0" headerRowDxfId="632" dataDxfId="631">
  <sortState xmlns:xlrd2="http://schemas.microsoft.com/office/spreadsheetml/2017/richdata2" ref="AC2:AG33">
    <sortCondition ref="AC1:AC33"/>
  </sortState>
  <tableColumns count="5">
    <tableColumn id="1" xr3:uid="{00000000-0010-0000-0600-000001000000}" name="RK" dataDxfId="630">
      <calculatedColumnFormula>RANK(TableDSTRanks[[#This Row],[FPS]],TableDSTRanks[FPS],0)</calculatedColumnFormula>
    </tableColumn>
    <tableColumn id="2" xr3:uid="{00000000-0010-0000-0600-000002000000}" name="Player" dataDxfId="629">
      <calculatedColumnFormula>IFERROR(INDEX(TableDSTCalcPts[PLAYER],MATCH(TableDSTRanks[[#This Row],[RK]],TableDSTCalcPts[RK],0)),"")</calculatedColumnFormula>
    </tableColumn>
    <tableColumn id="4" xr3:uid="{00000000-0010-0000-0600-000004000000}" name="BYE" dataDxfId="628">
      <calculatedColumnFormula>IFERROR(INDEX(TableDSTCalcPts[BYE],MATCH(TableDSTRanks[[#This Row],[RK]],TableDSTCalcPts[RK],0)),"")</calculatedColumnFormula>
    </tableColumn>
    <tableColumn id="5" xr3:uid="{00000000-0010-0000-0600-000005000000}" name="FPS" dataDxfId="627">
      <calculatedColumnFormula>IFERROR(INDEX(TableDSTCalcPts[Custom],MATCH(TableDSTRanks[[#This Row],[RK]],TableDSTCalcPts[RK],0)),"")</calculatedColumnFormula>
    </tableColumn>
    <tableColumn id="6" xr3:uid="{00000000-0010-0000-0600-000006000000}" name="AUC$" dataDxfId="626" dataCellStyle="Currency">
      <calculatedColumnFormula>IFERROR(INDEX(TableDSTMaster[AUC$],MATCH(TableDSTRanks[[#This Row],[Player]],TableDSTMaster[Player],0)),"")</calculatedColumnFormula>
    </tableColumn>
  </tableColumns>
  <tableStyleInfo name="TableStyleLight8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QBVORP" displayName="TableQBVORP" ref="A1:F101" totalsRowShown="0" headerRowDxfId="625" dataDxfId="624">
  <sortState xmlns:xlrd2="http://schemas.microsoft.com/office/spreadsheetml/2017/richdata2" ref="A2:F101">
    <sortCondition ref="A1:A101"/>
  </sortState>
  <tableColumns count="6">
    <tableColumn id="1" xr3:uid="{00000000-0010-0000-0700-000001000000}" name="RK" dataDxfId="623">
      <calculatedColumnFormula>IFERROR(RANK(TableQBVORP[[#This Row],[FPS]],TableQBVORP[FPS],0),"")</calculatedColumnFormula>
    </tableColumn>
    <tableColumn id="2" xr3:uid="{00000000-0010-0000-0700-000002000000}" name="QUARTERBACK" dataDxfId="622">
      <calculatedColumnFormula>IFERROR(INDEX(TableQBCalcPts[PLAYER],MATCH(TableQBVORP[[#This Row],[RK]],TableQBCalcPts[RK],0)),"")</calculatedColumnFormula>
    </tableColumn>
    <tableColumn id="3" xr3:uid="{00000000-0010-0000-0700-000003000000}" name="TM" dataDxfId="621">
      <calculatedColumnFormula>IFERROR(INDEX(TableQBCalcPts[TM],MATCH(TableQBVORP[[#This Row],[RK]],TableQBCalcPts[RK],0)),"")</calculatedColumnFormula>
    </tableColumn>
    <tableColumn id="4" xr3:uid="{00000000-0010-0000-0700-000004000000}" name="BYE" dataDxfId="620">
      <calculatedColumnFormula>IFERROR(INDEX(TableQBCalcPts[BYE],MATCH(TableQBVORP[[#This Row],[RK]],TableQBCalcPts[RK],0)),"")</calculatedColumnFormula>
    </tableColumn>
    <tableColumn id="5" xr3:uid="{00000000-0010-0000-0700-000005000000}" name="FPS" dataDxfId="619">
      <calculatedColumnFormula>IFERROR(INDEX(TableQBCalcPts[Custom],MATCH(TableQBVORP[[#This Row],[RK]],TableQBCalcPts[RK],0)),"")</calculatedColumnFormula>
    </tableColumn>
    <tableColumn id="6" xr3:uid="{00000000-0010-0000-0700-000006000000}" name="VORP" dataDxfId="618" dataCellStyle="Percent">
      <calculatedColumnFormula>(IFERROR((TableQBVORP[[#This Row],[FPS]]-INDEX(TableQBVORP[FPS],MATCH(QBVORPCalc,TableQBVORP[RK],0)))/INDEX(TableQBVORP[FPS],MATCH(QBVORPCalc,TableQBVORP[RK],0)),""))+(TableRBVORP[[#This Row],[VORP]]*0.45)</calculatedColumnFormula>
    </tableColumn>
  </tableColumns>
  <tableStyleInfo name="TableStyleLight8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VORPVari" displayName="TableVORPVari" ref="AC1:AD8" totalsRowShown="0" headerRowDxfId="617" dataDxfId="616">
  <tableColumns count="2">
    <tableColumn id="1" xr3:uid="{00000000-0010-0000-0800-000001000000}" name="Pos" dataDxfId="615"/>
    <tableColumn id="2" xr3:uid="{00000000-0010-0000-0800-000002000000}" name="Calc" dataDxfId="614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.com/launch/excel" TargetMode="External"/><Relationship Id="rId1" Type="http://schemas.openxmlformats.org/officeDocument/2006/relationships/hyperlink" Target="https://theathletic.com/2705029/2021/07/14/fantasy-football-cheat-sheet-a-fully-customizable-rankings-and-projection-too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0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2">
    <tabColor theme="7" tint="0.79998168889431442"/>
  </sheetPr>
  <dimension ref="A1:B15"/>
  <sheetViews>
    <sheetView showGridLines="0" workbookViewId="0">
      <selection activeCell="A2" sqref="A2"/>
    </sheetView>
  </sheetViews>
  <sheetFormatPr defaultColWidth="9.109375" defaultRowHeight="13.8" x14ac:dyDescent="0.3"/>
  <cols>
    <col min="1" max="1" width="26.33203125" style="124" bestFit="1" customWidth="1"/>
    <col min="2" max="2" width="208" style="124" bestFit="1" customWidth="1"/>
    <col min="3" max="16384" width="9.109375" style="124"/>
  </cols>
  <sheetData>
    <row r="1" spans="1:2" ht="18" x14ac:dyDescent="0.35">
      <c r="A1" s="284" t="s">
        <v>499</v>
      </c>
      <c r="B1" s="284"/>
    </row>
    <row r="3" spans="1:2" x14ac:dyDescent="0.3">
      <c r="A3" s="125" t="s">
        <v>500</v>
      </c>
      <c r="B3" s="124" t="s">
        <v>501</v>
      </c>
    </row>
    <row r="4" spans="1:2" x14ac:dyDescent="0.3">
      <c r="A4" s="125"/>
      <c r="B4" s="140" t="s">
        <v>502</v>
      </c>
    </row>
    <row r="5" spans="1:2" x14ac:dyDescent="0.3">
      <c r="A5" s="125" t="s">
        <v>481</v>
      </c>
      <c r="B5" s="124" t="s">
        <v>495</v>
      </c>
    </row>
    <row r="6" spans="1:2" x14ac:dyDescent="0.3">
      <c r="A6" s="125" t="s">
        <v>478</v>
      </c>
      <c r="B6" s="124" t="s">
        <v>496</v>
      </c>
    </row>
    <row r="7" spans="1:2" x14ac:dyDescent="0.3">
      <c r="A7" s="125" t="s">
        <v>479</v>
      </c>
      <c r="B7" s="124" t="s">
        <v>480</v>
      </c>
    </row>
    <row r="8" spans="1:2" x14ac:dyDescent="0.3">
      <c r="A8" s="125" t="s">
        <v>482</v>
      </c>
      <c r="B8" s="124" t="s">
        <v>483</v>
      </c>
    </row>
    <row r="9" spans="1:2" x14ac:dyDescent="0.3">
      <c r="A9" s="125" t="s">
        <v>494</v>
      </c>
      <c r="B9" s="124" t="s">
        <v>497</v>
      </c>
    </row>
    <row r="10" spans="1:2" x14ac:dyDescent="0.3">
      <c r="A10" s="125"/>
    </row>
    <row r="11" spans="1:2" x14ac:dyDescent="0.3">
      <c r="A11" s="125" t="s">
        <v>485</v>
      </c>
      <c r="B11" s="124" t="s">
        <v>484</v>
      </c>
    </row>
    <row r="12" spans="1:2" x14ac:dyDescent="0.3">
      <c r="A12" s="125" t="s">
        <v>486</v>
      </c>
      <c r="B12" s="124" t="s">
        <v>487</v>
      </c>
    </row>
    <row r="13" spans="1:2" x14ac:dyDescent="0.3">
      <c r="A13" s="125" t="s">
        <v>488</v>
      </c>
      <c r="B13" s="124" t="s">
        <v>489</v>
      </c>
    </row>
    <row r="14" spans="1:2" x14ac:dyDescent="0.3">
      <c r="A14" s="125" t="s">
        <v>490</v>
      </c>
      <c r="B14" s="124" t="s">
        <v>491</v>
      </c>
    </row>
    <row r="15" spans="1:2" x14ac:dyDescent="0.3">
      <c r="A15" s="125" t="s">
        <v>492</v>
      </c>
      <c r="B15" s="124" t="s">
        <v>493</v>
      </c>
    </row>
  </sheetData>
  <mergeCells count="1">
    <mergeCell ref="A1:B1"/>
  </mergeCells>
  <hyperlinks>
    <hyperlink ref="A1" r:id="rId1" xr:uid="{00000000-0004-0000-0000-000000000000}"/>
    <hyperlink ref="B4" r:id="rId2" xr:uid="{00000000-0004-0000-0000-000001000000}"/>
  </hyperlinks>
  <pageMargins left="0.7" right="0.7" top="0.75" bottom="0.75" header="0.3" footer="0.3"/>
  <pageSetup orientation="portrait" verticalDpi="9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31</v>
      </c>
      <c r="B2" s="59" t="s">
        <v>9</v>
      </c>
      <c r="C2" s="60">
        <v>7</v>
      </c>
      <c r="D2" s="4">
        <f>D$34*Q2</f>
        <v>651.94629884999995</v>
      </c>
      <c r="E2" s="4">
        <f>D2*R2</f>
        <v>420.11444548436134</v>
      </c>
      <c r="F2" s="4">
        <f>E2*S2</f>
        <v>4659.0692004215671</v>
      </c>
      <c r="G2" s="4">
        <f t="shared" ref="G2:G3" si="0">E2*T2</f>
        <v>37.390185648108158</v>
      </c>
      <c r="H2" s="4">
        <f>E2*U2</f>
        <v>10.126478057632715</v>
      </c>
      <c r="I2" s="4">
        <f>D$37*W2</f>
        <v>120.56485053562976</v>
      </c>
      <c r="J2" s="4">
        <f>I2*V2</f>
        <v>700.66180489306487</v>
      </c>
      <c r="K2" s="4">
        <f>I2*X2</f>
        <v>6.0282425267814883</v>
      </c>
      <c r="L2" s="44"/>
      <c r="M2" s="44"/>
      <c r="N2" s="44"/>
      <c r="O2" s="44"/>
      <c r="Q2" s="43">
        <f>AE2</f>
        <v>0.99</v>
      </c>
      <c r="R2" s="61">
        <v>0.64440038424241664</v>
      </c>
      <c r="S2" s="236">
        <v>11.09</v>
      </c>
      <c r="T2" s="237">
        <v>8.8999999999999996E-2</v>
      </c>
      <c r="U2" s="61">
        <v>2.4104093935540884E-2</v>
      </c>
      <c r="V2" s="236">
        <v>5.8114931655474722</v>
      </c>
      <c r="W2" s="43">
        <f>(AF2/SUM(AF$2:AF$22))*0.98</f>
        <v>0.27348060520308753</v>
      </c>
      <c r="X2" s="61">
        <v>0.05</v>
      </c>
      <c r="Y2" s="64"/>
      <c r="Z2" s="65"/>
      <c r="AA2" s="1"/>
      <c r="AB2" s="1"/>
      <c r="AC2" s="1"/>
      <c r="AE2" s="61">
        <v>0.99</v>
      </c>
      <c r="AF2" s="61">
        <v>0.2733578874527639</v>
      </c>
      <c r="AG2" s="47"/>
      <c r="AH2" s="47"/>
    </row>
    <row r="3" spans="1:34" x14ac:dyDescent="0.3">
      <c r="A3" s="58" t="s">
        <v>266</v>
      </c>
      <c r="B3" s="59" t="s">
        <v>9</v>
      </c>
      <c r="C3" s="60">
        <v>7</v>
      </c>
      <c r="D3" s="4">
        <f>D$34*Q3</f>
        <v>6.5853161500000059</v>
      </c>
      <c r="E3" s="4">
        <f t="shared" ref="E3:E4" si="1">D3*R3</f>
        <v>4.368299701908632</v>
      </c>
      <c r="F3" s="4">
        <f t="shared" ref="F3:F4" si="2">E3*S3</f>
        <v>46.260293843212409</v>
      </c>
      <c r="G3" s="4">
        <f t="shared" si="0"/>
        <v>0.37200896910894371</v>
      </c>
      <c r="H3" s="4">
        <f t="shared" ref="H3" si="3">E3*U3</f>
        <v>0.10583638724706224</v>
      </c>
      <c r="I3" s="4">
        <f t="shared" ref="I3:I4" si="4">D$37*W3</f>
        <v>0.83370743920929435</v>
      </c>
      <c r="J3" s="4">
        <f>I3*V3</f>
        <v>3.2014365665636904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0.66333940579430317</v>
      </c>
      <c r="S3" s="236">
        <v>10.59</v>
      </c>
      <c r="T3" s="237">
        <v>8.5161045371132074E-2</v>
      </c>
      <c r="U3" s="61">
        <v>2.4228279758556712E-2</v>
      </c>
      <c r="V3" s="236">
        <v>3.84</v>
      </c>
      <c r="W3" s="43">
        <f t="shared" ref="W3:W4" si="6">(AF3/SUM(AF$2:AF$22))*0.98</f>
        <v>1.8911217823796326E-3</v>
      </c>
      <c r="X3" s="61">
        <v>0</v>
      </c>
      <c r="Y3" s="64"/>
      <c r="Z3" s="65"/>
      <c r="AA3" s="1"/>
      <c r="AB3" s="1"/>
      <c r="AC3" s="1"/>
      <c r="AE3" s="61">
        <f>1-AE2</f>
        <v>1.0000000000000009E-2</v>
      </c>
      <c r="AF3" s="61">
        <v>1.8902731876116441E-3</v>
      </c>
      <c r="AG3" s="47"/>
      <c r="AH3" s="47"/>
    </row>
    <row r="4" spans="1:34" x14ac:dyDescent="0.3">
      <c r="B4" s="59" t="s">
        <v>9</v>
      </c>
      <c r="C4" s="60">
        <v>7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30</v>
      </c>
      <c r="B7" s="59" t="s">
        <v>357</v>
      </c>
      <c r="C7" s="60">
        <v>7</v>
      </c>
      <c r="D7" s="44"/>
      <c r="E7" s="44"/>
      <c r="F7" s="44"/>
      <c r="G7" s="44"/>
      <c r="H7" s="44"/>
      <c r="I7" s="4">
        <f t="shared" ref="I7:I12" si="9">D$37*W7</f>
        <v>164.07108211576426</v>
      </c>
      <c r="J7" s="4">
        <f>I7*V7</f>
        <v>736.67915869978151</v>
      </c>
      <c r="K7" s="4">
        <f>I7*X7</f>
        <v>5.7895261192420922</v>
      </c>
      <c r="L7" s="7">
        <f>((D$2+D$3+D$4)*AA7)</f>
        <v>45.579983249220071</v>
      </c>
      <c r="M7" s="4">
        <f t="shared" ref="M7:N9" si="10">L7*Y7</f>
        <v>33.824905569246212</v>
      </c>
      <c r="N7" s="4">
        <f t="shared" si="10"/>
        <v>200.88530733828148</v>
      </c>
      <c r="O7" s="4">
        <f>M7*AH7</f>
        <v>1.0823969782158789</v>
      </c>
      <c r="Q7" s="45"/>
      <c r="R7" s="45"/>
      <c r="S7" s="44"/>
      <c r="T7" s="45"/>
      <c r="U7" s="45"/>
      <c r="V7" s="63">
        <v>4.49</v>
      </c>
      <c r="W7" s="43">
        <f t="shared" ref="W7:W12" si="11">(AF7/SUM(AF$2:AF$22))*0.98</f>
        <v>0.37216700086302901</v>
      </c>
      <c r="X7" s="237">
        <v>3.5286694307026967E-2</v>
      </c>
      <c r="Y7" s="237">
        <v>0.74209999999999998</v>
      </c>
      <c r="Z7" s="63">
        <v>5.9389761466452544</v>
      </c>
      <c r="AA7" s="43">
        <f>(AG7/SUM(AG$7:AG$27))*0.98</f>
        <v>6.9214571041088246E-2</v>
      </c>
      <c r="AB7" s="17">
        <v>4.0719766176599795E-2</v>
      </c>
      <c r="AC7" s="43">
        <f>(AH7/SUM(AH$7:AH$27))*0.98</f>
        <v>3.184630977855181E-2</v>
      </c>
      <c r="AE7" s="47"/>
      <c r="AF7" s="61">
        <v>0.372</v>
      </c>
      <c r="AG7" s="61">
        <v>6.9218299247481657E-2</v>
      </c>
      <c r="AH7" s="61">
        <v>3.2000000000000001E-2</v>
      </c>
    </row>
    <row r="8" spans="1:34" x14ac:dyDescent="0.3">
      <c r="A8" s="101" t="s">
        <v>676</v>
      </c>
      <c r="B8" s="59" t="s">
        <v>357</v>
      </c>
      <c r="C8" s="60">
        <v>7</v>
      </c>
      <c r="D8" s="44"/>
      <c r="E8" s="44"/>
      <c r="F8" s="44"/>
      <c r="G8" s="44"/>
      <c r="H8" s="44"/>
      <c r="I8" s="4">
        <f t="shared" si="9"/>
        <v>93.061823458135095</v>
      </c>
      <c r="J8" s="4">
        <f>I8*V8</f>
        <v>391.05999794947365</v>
      </c>
      <c r="K8" s="4">
        <f>I8*X8</f>
        <v>2.7380026249973199</v>
      </c>
      <c r="L8" s="7">
        <f>((D$2+D$3+D$4)*AA8)</f>
        <v>57.323995606519439</v>
      </c>
      <c r="M8" s="4">
        <f t="shared" si="10"/>
        <v>41.387924827907035</v>
      </c>
      <c r="N8" s="4">
        <f t="shared" si="10"/>
        <v>327.37848538874465</v>
      </c>
      <c r="O8" s="4">
        <f t="shared" ref="O8:O12" si="12">M8*AH8</f>
        <v>1.6969049179441886</v>
      </c>
      <c r="Q8" s="45"/>
      <c r="R8" s="45"/>
      <c r="S8" s="44"/>
      <c r="T8" s="45"/>
      <c r="U8" s="45"/>
      <c r="V8" s="63">
        <v>4.2021527562846046</v>
      </c>
      <c r="W8" s="43">
        <f t="shared" si="11"/>
        <v>0.2110947236077933</v>
      </c>
      <c r="X8" s="237">
        <v>2.9421330071283648E-2</v>
      </c>
      <c r="Y8" s="237">
        <v>0.72199999999999998</v>
      </c>
      <c r="Z8" s="63">
        <v>7.91</v>
      </c>
      <c r="AA8" s="43">
        <f t="shared" ref="AA8:AA12" si="13">(AG8/SUM(AG$7:AG$27))*0.98</f>
        <v>8.7048205888367924E-2</v>
      </c>
      <c r="AB8" s="17">
        <v>7.153442652174713E-2</v>
      </c>
      <c r="AC8" s="43">
        <f t="shared" ref="AC8:AC12" si="14">(AH8/SUM(AH$7:AH$27))*0.98</f>
        <v>4.0803084403769507E-2</v>
      </c>
      <c r="AE8" s="47"/>
      <c r="AF8" s="61">
        <v>0.21099999999999999</v>
      </c>
      <c r="AG8" s="61">
        <v>8.7052894694104141E-2</v>
      </c>
      <c r="AH8" s="61">
        <v>4.1000000000000002E-2</v>
      </c>
    </row>
    <row r="9" spans="1:34" x14ac:dyDescent="0.3">
      <c r="A9" s="101" t="s">
        <v>582</v>
      </c>
      <c r="B9" s="59" t="s">
        <v>357</v>
      </c>
      <c r="C9" s="60">
        <v>7</v>
      </c>
      <c r="D9" s="44"/>
      <c r="E9" s="44"/>
      <c r="F9" s="44"/>
      <c r="G9" s="44"/>
      <c r="H9" s="44"/>
      <c r="I9" s="4">
        <f t="shared" si="9"/>
        <v>25.5809751685869</v>
      </c>
      <c r="J9" s="4">
        <f>I9*V9</f>
        <v>108.20752496312259</v>
      </c>
      <c r="K9" s="4">
        <f>I9*X9</f>
        <v>0.89673902203506295</v>
      </c>
      <c r="L9" s="7">
        <f>((D$2+D$3+D$4)*AA9)</f>
        <v>10.607166633084187</v>
      </c>
      <c r="M9" s="4">
        <f t="shared" si="10"/>
        <v>7.7655066920809332</v>
      </c>
      <c r="N9" s="4">
        <f t="shared" si="10"/>
        <v>60.105021796706424</v>
      </c>
      <c r="O9" s="4">
        <f t="shared" si="12"/>
        <v>0.26330674186480107</v>
      </c>
      <c r="Q9" s="45"/>
      <c r="R9" s="45"/>
      <c r="S9" s="44"/>
      <c r="T9" s="45"/>
      <c r="U9" s="45"/>
      <c r="V9" s="63">
        <v>4.2300000000000004</v>
      </c>
      <c r="W9" s="43">
        <f t="shared" si="11"/>
        <v>5.8026037768966886E-2</v>
      </c>
      <c r="X9" s="237">
        <v>3.5054919373685434E-2</v>
      </c>
      <c r="Y9" s="237">
        <v>0.73209999999999997</v>
      </c>
      <c r="Z9" s="63">
        <v>7.74</v>
      </c>
      <c r="AA9" s="43">
        <f t="shared" si="13"/>
        <v>1.6107300532692249E-2</v>
      </c>
      <c r="AB9" s="17">
        <v>2.4087473260946013E-2</v>
      </c>
      <c r="AC9" s="43">
        <f t="shared" si="14"/>
        <v>3.374436949474429E-2</v>
      </c>
      <c r="AE9" s="47"/>
      <c r="AF9" s="61">
        <v>5.8000000000000003E-2</v>
      </c>
      <c r="AG9" s="61">
        <v>1.6108168143946978E-2</v>
      </c>
      <c r="AH9" s="61">
        <v>3.3907219748238016E-2</v>
      </c>
    </row>
    <row r="10" spans="1:34" x14ac:dyDescent="0.3">
      <c r="A10" s="101" t="s">
        <v>240</v>
      </c>
      <c r="B10" s="59" t="s">
        <v>357</v>
      </c>
      <c r="C10" s="60">
        <v>7</v>
      </c>
      <c r="D10" s="44"/>
      <c r="E10" s="44"/>
      <c r="F10" s="44"/>
      <c r="G10" s="44"/>
      <c r="H10" s="44"/>
      <c r="I10" s="4">
        <f t="shared" si="9"/>
        <v>14.995744064344043</v>
      </c>
      <c r="J10" s="4">
        <f t="shared" ref="J10:J12" si="15">I10*V10</f>
        <v>60.978808909169018</v>
      </c>
      <c r="K10" s="4">
        <f t="shared" ref="K10:K12" si="16">I10*X10</f>
        <v>0.68389959534110401</v>
      </c>
      <c r="L10" s="7">
        <f t="shared" ref="L10:L12" si="17">((D$2+D$3+D$4)*AA10)</f>
        <v>6.4907218092617498</v>
      </c>
      <c r="M10" s="4">
        <f t="shared" ref="M10:N10" si="18">L10*Y10</f>
        <v>4.3617650558238958</v>
      </c>
      <c r="N10" s="4">
        <f t="shared" si="18"/>
        <v>32.189826111980352</v>
      </c>
      <c r="O10" s="4">
        <f t="shared" si="12"/>
        <v>0.20848876986228387</v>
      </c>
      <c r="Q10" s="45"/>
      <c r="R10" s="45"/>
      <c r="S10" s="44"/>
      <c r="T10" s="45"/>
      <c r="U10" s="45"/>
      <c r="V10" s="63">
        <v>4.0664076852418862</v>
      </c>
      <c r="W10" s="43">
        <f t="shared" si="11"/>
        <v>3.4015263519739207E-2</v>
      </c>
      <c r="X10" s="237">
        <v>4.5606246172688311E-2</v>
      </c>
      <c r="Y10" s="237">
        <v>0.67200000000000004</v>
      </c>
      <c r="Z10" s="63">
        <v>7.38</v>
      </c>
      <c r="AA10" s="43">
        <f t="shared" si="13"/>
        <v>9.8563556576729428E-3</v>
      </c>
      <c r="AB10" s="17">
        <v>6.393753860495624E-4</v>
      </c>
      <c r="AC10" s="43">
        <f t="shared" si="14"/>
        <v>4.7569603886033159E-2</v>
      </c>
      <c r="AE10" s="47"/>
      <c r="AF10" s="61">
        <v>3.4000000000000002E-2</v>
      </c>
      <c r="AG10" s="61">
        <v>9.8568865650761929E-3</v>
      </c>
      <c r="AH10" s="61">
        <v>4.7799174690508942E-2</v>
      </c>
    </row>
    <row r="11" spans="1:34" x14ac:dyDescent="0.3">
      <c r="A11" s="101"/>
      <c r="B11" s="59" t="s">
        <v>357</v>
      </c>
      <c r="C11" s="60">
        <v>7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/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7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131</v>
      </c>
      <c r="B15" s="59" t="s">
        <v>358</v>
      </c>
      <c r="C15" s="60">
        <v>7</v>
      </c>
      <c r="D15" s="44"/>
      <c r="E15" s="44"/>
      <c r="F15" s="44"/>
      <c r="G15" s="44"/>
      <c r="H15" s="44"/>
      <c r="I15" s="4">
        <f t="shared" ref="I15:I22" si="21">D$37*W15</f>
        <v>0.12505611588139415</v>
      </c>
      <c r="J15" s="4">
        <f t="shared" ref="J15:J22" si="22">I15*V15</f>
        <v>1.0004489270511532</v>
      </c>
      <c r="K15" s="4">
        <f t="shared" ref="K15:K22" si="23">I15*X15</f>
        <v>0</v>
      </c>
      <c r="L15" s="7">
        <f t="shared" ref="L15:L20" si="24">((D$2+D$3+D$4)*AA15)</f>
        <v>157.38057876306368</v>
      </c>
      <c r="M15" s="4">
        <f t="shared" ref="M15:N19" si="25">L15*Y15</f>
        <v>103.18940848040141</v>
      </c>
      <c r="N15" s="4">
        <f t="shared" si="25"/>
        <v>1270.1682810512925</v>
      </c>
      <c r="O15" s="4">
        <f t="shared" ref="O15:O22" si="26">M15*AH15</f>
        <v>10.112562031079339</v>
      </c>
      <c r="Q15" s="45"/>
      <c r="R15" s="45"/>
      <c r="S15" s="44"/>
      <c r="T15" s="45"/>
      <c r="U15" s="45"/>
      <c r="V15" s="63">
        <v>8</v>
      </c>
      <c r="W15" s="43">
        <f t="shared" ref="W15:W22" si="27">(AF15/SUM(AF$2:AF$22))*0.98</f>
        <v>2.8366826735694485E-4</v>
      </c>
      <c r="X15" s="237">
        <v>0</v>
      </c>
      <c r="Y15" s="237">
        <v>0.65566799468791492</v>
      </c>
      <c r="Z15" s="63">
        <v>12.309095475554871</v>
      </c>
      <c r="AA15" s="43">
        <f t="shared" ref="AA15:AA22" si="28">(AG15/SUM(AG$7:AG$27))*0.98</f>
        <v>0.23898712708434461</v>
      </c>
      <c r="AB15" s="17">
        <v>0.23784569067102512</v>
      </c>
      <c r="AC15" s="43">
        <f t="shared" ref="AC15:AC22" si="29">(AH15/SUM(AH$7:AH$27))*0.98</f>
        <v>9.7529323696814926E-2</v>
      </c>
      <c r="AE15" s="47"/>
      <c r="AF15" s="61">
        <v>2.8354097814174662E-4</v>
      </c>
      <c r="AG15" s="61">
        <v>0.23899999999999999</v>
      </c>
      <c r="AH15" s="61">
        <v>9.8000000000000004E-2</v>
      </c>
    </row>
    <row r="16" spans="1:34" x14ac:dyDescent="0.3">
      <c r="A16" s="66" t="s">
        <v>246</v>
      </c>
      <c r="B16" s="59" t="s">
        <v>358</v>
      </c>
      <c r="C16" s="60">
        <v>7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113.91983316322182</v>
      </c>
      <c r="M16" s="4">
        <f t="shared" si="25"/>
        <v>65.4241601856383</v>
      </c>
      <c r="N16" s="4">
        <f t="shared" si="25"/>
        <v>1000.0308328399603</v>
      </c>
      <c r="O16" s="4">
        <f t="shared" si="26"/>
        <v>8.308868343576064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0.57430000000000003</v>
      </c>
      <c r="Z16" s="63">
        <v>15.285344588335791</v>
      </c>
      <c r="AA16" s="43">
        <f t="shared" si="28"/>
        <v>0.17299068194808206</v>
      </c>
      <c r="AB16" s="17">
        <v>0.15343363682460368</v>
      </c>
      <c r="AC16" s="43">
        <f t="shared" si="29"/>
        <v>0.12639004193362749</v>
      </c>
      <c r="AE16" s="47"/>
      <c r="AF16" s="61">
        <v>0</v>
      </c>
      <c r="AG16" s="61">
        <v>0.17299999999999999</v>
      </c>
      <c r="AH16" s="61">
        <v>0.127</v>
      </c>
    </row>
    <row r="17" spans="1:34" x14ac:dyDescent="0.3">
      <c r="A17" s="66" t="s">
        <v>112</v>
      </c>
      <c r="B17" s="59" t="s">
        <v>358</v>
      </c>
      <c r="C17" s="60">
        <v>7</v>
      </c>
      <c r="D17" s="44"/>
      <c r="E17" s="44"/>
      <c r="F17" s="44"/>
      <c r="G17" s="44"/>
      <c r="H17" s="44"/>
      <c r="I17" s="4">
        <f t="shared" si="21"/>
        <v>0.12505611588139415</v>
      </c>
      <c r="J17" s="4">
        <f t="shared" si="22"/>
        <v>0.62528057940697068</v>
      </c>
      <c r="K17" s="4">
        <f t="shared" si="23"/>
        <v>0</v>
      </c>
      <c r="L17" s="7">
        <f t="shared" si="24"/>
        <v>75.068560581545029</v>
      </c>
      <c r="M17" s="4">
        <f t="shared" si="25"/>
        <v>49.417633430831096</v>
      </c>
      <c r="N17" s="4">
        <f t="shared" si="25"/>
        <v>533.71044105297585</v>
      </c>
      <c r="O17" s="4">
        <f t="shared" si="26"/>
        <v>3.5086519735890076</v>
      </c>
      <c r="Q17" s="45"/>
      <c r="R17" s="45"/>
      <c r="S17" s="44"/>
      <c r="T17" s="45"/>
      <c r="U17" s="45"/>
      <c r="V17" s="63">
        <v>5</v>
      </c>
      <c r="W17" s="43">
        <f t="shared" si="27"/>
        <v>2.8366826735694485E-4</v>
      </c>
      <c r="X17" s="237">
        <v>0</v>
      </c>
      <c r="Y17" s="237">
        <v>0.6583</v>
      </c>
      <c r="Z17" s="63">
        <v>10.8</v>
      </c>
      <c r="AA17" s="43">
        <f t="shared" si="28"/>
        <v>0.11399385978081709</v>
      </c>
      <c r="AB17" s="17">
        <v>9.9804973821368603E-2</v>
      </c>
      <c r="AC17" s="43">
        <f t="shared" si="29"/>
        <v>7.0658999821161819E-2</v>
      </c>
      <c r="AE17" s="47"/>
      <c r="AF17" s="61">
        <v>2.8354097814174662E-4</v>
      </c>
      <c r="AG17" s="61">
        <v>0.114</v>
      </c>
      <c r="AH17" s="61">
        <v>7.0999999999999994E-2</v>
      </c>
    </row>
    <row r="18" spans="1:34" x14ac:dyDescent="0.3">
      <c r="A18" s="227" t="s">
        <v>777</v>
      </c>
      <c r="B18" s="59" t="s">
        <v>358</v>
      </c>
      <c r="C18" s="60">
        <v>7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7.2434575999736426</v>
      </c>
      <c r="M18" s="4">
        <f t="shared" si="25"/>
        <v>4.828971733315762</v>
      </c>
      <c r="N18" s="4">
        <f t="shared" si="25"/>
        <v>62.486894229105957</v>
      </c>
      <c r="O18" s="4">
        <f t="shared" si="26"/>
        <v>0.38631773866526098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0.66666666666666674</v>
      </c>
      <c r="Z18" s="63">
        <v>12.94</v>
      </c>
      <c r="AA18" s="43">
        <f t="shared" si="28"/>
        <v>1.0999407522710421E-2</v>
      </c>
      <c r="AB18" s="17">
        <v>0.11251939817047332</v>
      </c>
      <c r="AC18" s="43">
        <f t="shared" si="29"/>
        <v>7.9615774446379531E-2</v>
      </c>
      <c r="AE18" s="47"/>
      <c r="AF18" s="61">
        <v>0</v>
      </c>
      <c r="AG18" s="61">
        <v>1.0999999999999999E-2</v>
      </c>
      <c r="AH18" s="61">
        <v>0.08</v>
      </c>
    </row>
    <row r="19" spans="1:34" x14ac:dyDescent="0.3">
      <c r="A19" s="66" t="s">
        <v>247</v>
      </c>
      <c r="B19" s="59" t="s">
        <v>358</v>
      </c>
      <c r="C19" s="60">
        <v>7</v>
      </c>
      <c r="D19" s="44"/>
      <c r="E19" s="44"/>
      <c r="F19" s="44"/>
      <c r="G19" s="44"/>
      <c r="H19" s="44"/>
      <c r="I19" s="4">
        <f t="shared" si="21"/>
        <v>11.344090383833025</v>
      </c>
      <c r="J19" s="4">
        <f t="shared" si="22"/>
        <v>62.198576760721551</v>
      </c>
      <c r="K19" s="4">
        <f t="shared" si="23"/>
        <v>0.80502790330049445</v>
      </c>
      <c r="L19" s="7">
        <f t="shared" si="24"/>
        <v>40.697807834028566</v>
      </c>
      <c r="M19" s="4">
        <f t="shared" si="25"/>
        <v>24.015776402860254</v>
      </c>
      <c r="N19" s="4">
        <f t="shared" si="25"/>
        <v>267.23803556649437</v>
      </c>
      <c r="O19" s="4">
        <f t="shared" si="26"/>
        <v>1.4649623605744755</v>
      </c>
      <c r="Q19" s="45"/>
      <c r="R19" s="45"/>
      <c r="S19" s="44"/>
      <c r="T19" s="45"/>
      <c r="U19" s="45"/>
      <c r="V19" s="63">
        <v>5.4829056060205188</v>
      </c>
      <c r="W19" s="43">
        <f t="shared" si="27"/>
        <v>2.5732115868483181E-2</v>
      </c>
      <c r="X19" s="237">
        <v>7.0964517741129426E-2</v>
      </c>
      <c r="Y19" s="237">
        <v>0.59009999999999996</v>
      </c>
      <c r="Z19" s="63">
        <v>11.127603417171498</v>
      </c>
      <c r="AA19" s="43">
        <f t="shared" si="28"/>
        <v>6.1800841306652476E-2</v>
      </c>
      <c r="AB19" s="17">
        <v>4.3915097041795893E-2</v>
      </c>
      <c r="AC19" s="43">
        <f t="shared" si="29"/>
        <v>6.0707028015364387E-2</v>
      </c>
      <c r="AE19" s="47"/>
      <c r="AF19" s="61">
        <v>2.5720569209194119E-2</v>
      </c>
      <c r="AG19" s="61">
        <v>6.1804170176400726E-2</v>
      </c>
      <c r="AH19" s="61">
        <v>6.0999999999999999E-2</v>
      </c>
    </row>
    <row r="20" spans="1:34" x14ac:dyDescent="0.3">
      <c r="A20" s="58" t="s">
        <v>641</v>
      </c>
      <c r="B20" s="59" t="s">
        <v>358</v>
      </c>
      <c r="C20" s="60">
        <v>7</v>
      </c>
      <c r="D20" s="44"/>
      <c r="E20" s="44"/>
      <c r="F20" s="44"/>
      <c r="G20" s="44"/>
      <c r="H20" s="44"/>
      <c r="I20" s="4">
        <f t="shared" si="21"/>
        <v>1.3339319027348708</v>
      </c>
      <c r="J20" s="4">
        <f t="shared" si="22"/>
        <v>8.0369397139775973</v>
      </c>
      <c r="K20" s="4">
        <f t="shared" si="23"/>
        <v>3.3348297568371772E-2</v>
      </c>
      <c r="L20" s="7">
        <f t="shared" si="24"/>
        <v>15.499165145637411</v>
      </c>
      <c r="M20" s="4">
        <f t="shared" ref="M20:N20" si="30">L20*Y20</f>
        <v>11.142349823198735</v>
      </c>
      <c r="N20" s="4">
        <f t="shared" si="30"/>
        <v>110.47376941416765</v>
      </c>
      <c r="O20" s="4">
        <f t="shared" si="26"/>
        <v>0.77826689296363449</v>
      </c>
      <c r="Q20" s="45"/>
      <c r="R20" s="45"/>
      <c r="S20" s="44"/>
      <c r="T20" s="45"/>
      <c r="U20" s="45"/>
      <c r="V20" s="63">
        <v>6.0250000000000004</v>
      </c>
      <c r="W20" s="43">
        <f t="shared" si="27"/>
        <v>3.0257948518074116E-3</v>
      </c>
      <c r="X20" s="237">
        <v>2.5000000000000001E-2</v>
      </c>
      <c r="Y20" s="237">
        <v>0.71889999999999998</v>
      </c>
      <c r="Z20" s="63">
        <v>9.9147640459248247</v>
      </c>
      <c r="AA20" s="43">
        <f t="shared" si="28"/>
        <v>2.3535946934965926E-2</v>
      </c>
      <c r="AB20" s="17">
        <v>2.2666737369454869E-2</v>
      </c>
      <c r="AC20" s="43">
        <f t="shared" si="29"/>
        <v>6.9512179199702734E-2</v>
      </c>
      <c r="AE20" s="47"/>
      <c r="AF20" s="61">
        <v>3.0244371001786302E-3</v>
      </c>
      <c r="AG20" s="61">
        <v>2.3537214686344253E-2</v>
      </c>
      <c r="AH20" s="61">
        <v>6.9847644824726066E-2</v>
      </c>
    </row>
    <row r="21" spans="1:34" x14ac:dyDescent="0.3">
      <c r="B21" s="59" t="s">
        <v>358</v>
      </c>
      <c r="C21" s="60">
        <v>7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1.1137513520659007E-2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7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29</v>
      </c>
      <c r="B24" s="59" t="s">
        <v>10</v>
      </c>
      <c r="C24" s="60">
        <v>7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74.995960382116522</v>
      </c>
      <c r="M24" s="4">
        <f t="shared" ref="M24:N27" si="34">L24*Y24</f>
        <v>46.979269486406956</v>
      </c>
      <c r="N24" s="4">
        <f t="shared" si="34"/>
        <v>572.15678107651104</v>
      </c>
      <c r="O24" s="4">
        <f t="shared" ref="O24:O27" si="35">M24*AH24</f>
        <v>7.6106416567979274</v>
      </c>
      <c r="Q24" s="45"/>
      <c r="R24" s="45"/>
      <c r="S24" s="44"/>
      <c r="T24" s="45"/>
      <c r="U24" s="45"/>
      <c r="V24" s="46"/>
      <c r="W24" s="46"/>
      <c r="X24" s="45"/>
      <c r="Y24" s="237">
        <v>0.62642399999999998</v>
      </c>
      <c r="Z24" s="236">
        <v>12.178920347879391</v>
      </c>
      <c r="AA24" s="43">
        <f t="shared" ref="AA24:AA27" si="36">(AG24/SUM(AG$7:AG$27))*0.98</f>
        <v>0.11388361420144805</v>
      </c>
      <c r="AB24" s="17">
        <v>8.5577980808139081E-2</v>
      </c>
      <c r="AC24" s="43">
        <f t="shared" ref="AC24:AC27" si="37">(AH24/SUM(AH$7:AH$27))*0.98</f>
        <v>0.16122194325391856</v>
      </c>
      <c r="AE24" s="47"/>
      <c r="AF24" s="47"/>
      <c r="AG24" s="61">
        <v>0.11388974848231091</v>
      </c>
      <c r="AH24" s="61">
        <v>0.16200000000000001</v>
      </c>
    </row>
    <row r="25" spans="1:34" x14ac:dyDescent="0.3">
      <c r="A25" s="58" t="s">
        <v>90</v>
      </c>
      <c r="B25" s="59" t="s">
        <v>10</v>
      </c>
      <c r="C25" s="60">
        <v>7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34.241799563511762</v>
      </c>
      <c r="M25" s="4">
        <f t="shared" si="34"/>
        <v>22.016822817435578</v>
      </c>
      <c r="N25" s="4">
        <f t="shared" si="34"/>
        <v>230.36094321130582</v>
      </c>
      <c r="O25" s="4">
        <f t="shared" si="35"/>
        <v>2.0035308763866375</v>
      </c>
      <c r="Q25" s="45"/>
      <c r="R25" s="45"/>
      <c r="S25" s="44"/>
      <c r="T25" s="45"/>
      <c r="U25" s="45"/>
      <c r="V25" s="46"/>
      <c r="W25" s="46"/>
      <c r="X25" s="45"/>
      <c r="Y25" s="237">
        <v>0.64298089171974526</v>
      </c>
      <c r="Z25" s="236">
        <v>10.462951222411538</v>
      </c>
      <c r="AA25" s="43">
        <f t="shared" si="36"/>
        <v>5.1997199198267445E-2</v>
      </c>
      <c r="AB25" s="17">
        <v>4.3608632576712804E-2</v>
      </c>
      <c r="AC25" s="43">
        <f t="shared" si="37"/>
        <v>9.0562943432756698E-2</v>
      </c>
      <c r="AE25" s="47"/>
      <c r="AF25" s="47"/>
      <c r="AG25" s="61">
        <v>5.1999999999999998E-2</v>
      </c>
      <c r="AH25" s="61">
        <v>9.0999999999999998E-2</v>
      </c>
    </row>
    <row r="26" spans="1:34" x14ac:dyDescent="0.3">
      <c r="A26" s="58" t="s">
        <v>820</v>
      </c>
      <c r="B26" s="59" t="s">
        <v>10</v>
      </c>
      <c r="C26" s="60">
        <v>7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6.3119523688160069</v>
      </c>
      <c r="M26" s="4">
        <f t="shared" si="34"/>
        <v>3.7997953260272359</v>
      </c>
      <c r="N26" s="4">
        <f t="shared" si="34"/>
        <v>36.49803405263004</v>
      </c>
      <c r="O26" s="4">
        <f t="shared" si="35"/>
        <v>0.26665230358085867</v>
      </c>
      <c r="Q26" s="45"/>
      <c r="R26" s="45"/>
      <c r="S26" s="44"/>
      <c r="T26" s="45"/>
      <c r="U26" s="45"/>
      <c r="V26" s="46"/>
      <c r="W26" s="46"/>
      <c r="X26" s="45"/>
      <c r="Y26" s="237">
        <v>0.60199999999999998</v>
      </c>
      <c r="Z26" s="236">
        <v>9.6052631578947398</v>
      </c>
      <c r="AA26" s="43">
        <f t="shared" si="36"/>
        <v>9.5848889028904202E-3</v>
      </c>
      <c r="AB26" s="17">
        <v>9.40814247606051E-3</v>
      </c>
      <c r="AC26" s="43">
        <f t="shared" si="37"/>
        <v>6.9838398637175031E-2</v>
      </c>
      <c r="AE26" s="47"/>
      <c r="AF26" s="47"/>
      <c r="AG26" s="61">
        <v>9.5854051878799858E-3</v>
      </c>
      <c r="AH26" s="61">
        <v>7.0175438596491238E-2</v>
      </c>
    </row>
    <row r="27" spans="1:34" x14ac:dyDescent="0.3">
      <c r="A27" s="100"/>
      <c r="B27" s="59" t="s">
        <v>10</v>
      </c>
      <c r="C27" s="60">
        <v>7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1.810115537436472E-2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0.97500000000000009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0.97956024890603177</v>
      </c>
      <c r="AG30" s="28">
        <f>SUM(AG7:AG27)</f>
        <v>0.98005278718354494</v>
      </c>
    </row>
    <row r="31" spans="1:34" s="86" customFormat="1" x14ac:dyDescent="0.3">
      <c r="A31" s="102"/>
      <c r="B31" s="80"/>
      <c r="C31" s="80"/>
      <c r="D31" s="105">
        <v>1099.385</v>
      </c>
      <c r="E31" s="106">
        <v>0.59899999999999998</v>
      </c>
      <c r="F31" s="8">
        <f>1-E31</f>
        <v>0.40100000000000002</v>
      </c>
      <c r="G31" s="234">
        <v>4.71</v>
      </c>
      <c r="H31" s="275">
        <v>4.0189602446483182E-2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658.53161499999999</v>
      </c>
      <c r="E34" s="2">
        <f>SUM(E2:E4)</f>
        <v>424.48274518626999</v>
      </c>
      <c r="F34" s="2">
        <f>SUM(F2:F4)</f>
        <v>4705.3294942647799</v>
      </c>
      <c r="G34" s="2">
        <f>SUM(G2:G4)</f>
        <v>37.762194617217105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440.853385</v>
      </c>
      <c r="E37" s="2">
        <f>D37*G31</f>
        <v>2076.4194433500002</v>
      </c>
      <c r="F37" s="2">
        <f>D37*H31</f>
        <v>17.717722280336393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432.03631730000012</v>
      </c>
      <c r="E40" s="3">
        <f>SUM(J2:J4,J7:J12,J15:J22)</f>
        <v>2072.6499779623323</v>
      </c>
      <c r="F40" s="3">
        <f>SUM(K2:K4,K7:K12,K15:K22)</f>
        <v>16.974786089265933</v>
      </c>
      <c r="G40" s="3">
        <f>SUM(L7:L12,L15:L22,L24:L27)</f>
        <v>645.36098270000002</v>
      </c>
      <c r="H40" s="3">
        <f>SUM(M7:M12,M15:M22,M24:M27)</f>
        <v>418.1542898311734</v>
      </c>
      <c r="I40" s="3">
        <f>SUM(N7:N12,N15:N22,N24:N27)</f>
        <v>4703.6826531301576</v>
      </c>
      <c r="J40" s="3">
        <f>SUM(O7:O12,O15:O22,O24:O27)</f>
        <v>37.691551585100356</v>
      </c>
    </row>
    <row r="41" spans="1:32" ht="14.4" thickTop="1" x14ac:dyDescent="0.3">
      <c r="D41" s="50">
        <f>D37-D40</f>
        <v>8.8170676999998818</v>
      </c>
      <c r="E41" s="50">
        <f>E37-E40</f>
        <v>3.7694653876678785</v>
      </c>
      <c r="F41" s="50">
        <f>F37-F40</f>
        <v>0.74293619107045927</v>
      </c>
      <c r="G41" s="50">
        <f>SUM(D2:D4)-G40</f>
        <v>13.170632299999966</v>
      </c>
      <c r="H41" s="50">
        <f>E34-H40</f>
        <v>6.3284553550965938</v>
      </c>
      <c r="I41" s="50">
        <f>F34-I40</f>
        <v>1.6468411346222638</v>
      </c>
      <c r="J41" s="50">
        <f>G34-J40</f>
        <v>7.0643032116748827E-2</v>
      </c>
    </row>
  </sheetData>
  <sheetProtection sheet="1" selectLockedCells="1"/>
  <conditionalFormatting sqref="AA30:AB30 AD30:AF30">
    <cfRule type="cellIs" dxfId="404" priority="14" operator="greaterThan">
      <formula>1</formula>
    </cfRule>
    <cfRule type="cellIs" dxfId="403" priority="15" operator="greaterThan">
      <formula>1</formula>
    </cfRule>
  </conditionalFormatting>
  <conditionalFormatting sqref="AC30">
    <cfRule type="cellIs" dxfId="402" priority="10" operator="greaterThan">
      <formula>1</formula>
    </cfRule>
    <cfRule type="cellIs" dxfId="401" priority="11" operator="greaterThan">
      <formula>1</formula>
    </cfRule>
  </conditionalFormatting>
  <conditionalFormatting sqref="AG30">
    <cfRule type="cellIs" dxfId="400" priority="8" operator="greaterThan">
      <formula>1</formula>
    </cfRule>
    <cfRule type="cellIs" dxfId="399" priority="9" operator="greaterThan">
      <formula>1</formula>
    </cfRule>
  </conditionalFormatting>
  <conditionalFormatting sqref="W30">
    <cfRule type="cellIs" dxfId="398" priority="2" operator="greaterThan">
      <formula>1</formula>
    </cfRule>
    <cfRule type="cellIs" dxfId="397" priority="3" operator="greaterThan">
      <formula>1</formula>
    </cfRule>
  </conditionalFormatting>
  <conditionalFormatting sqref="D41:J41">
    <cfRule type="cellIs" dxfId="396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CCFF"/>
  </sheetPr>
  <dimension ref="A1:AH44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66" customWidth="1"/>
    <col min="2" max="3" width="8.6640625" style="60"/>
    <col min="4" max="15" width="8.6640625" style="74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7" t="s">
        <v>0</v>
      </c>
      <c r="B1" s="127" t="s">
        <v>8</v>
      </c>
      <c r="C1" s="127" t="s">
        <v>174</v>
      </c>
      <c r="D1" s="31" t="s">
        <v>360</v>
      </c>
      <c r="E1" s="31" t="s">
        <v>1</v>
      </c>
      <c r="F1" s="31" t="s">
        <v>363</v>
      </c>
      <c r="G1" s="31" t="s">
        <v>410</v>
      </c>
      <c r="H1" s="31" t="s">
        <v>2</v>
      </c>
      <c r="I1" s="31" t="s">
        <v>411</v>
      </c>
      <c r="J1" s="31" t="s">
        <v>367</v>
      </c>
      <c r="K1" s="31" t="s">
        <v>412</v>
      </c>
      <c r="L1" s="31" t="s">
        <v>369</v>
      </c>
      <c r="M1" s="31" t="s">
        <v>4</v>
      </c>
      <c r="N1" s="31" t="s">
        <v>373</v>
      </c>
      <c r="O1" s="31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66" t="s">
        <v>111</v>
      </c>
      <c r="B2" s="60" t="s">
        <v>9</v>
      </c>
      <c r="C2" s="60">
        <v>13</v>
      </c>
      <c r="D2" s="4">
        <f>D$34*Q2</f>
        <v>437.03593849999987</v>
      </c>
      <c r="E2" s="4">
        <f>D2*R2</f>
        <v>269.6511740544999</v>
      </c>
      <c r="F2" s="4">
        <f>E2*S2</f>
        <v>2904.1431445669637</v>
      </c>
      <c r="G2" s="4">
        <f t="shared" ref="G2:G3" si="0">E2*T2</f>
        <v>11.835034186481824</v>
      </c>
      <c r="H2" s="4">
        <f>E2*U2</f>
        <v>8.1900632541385381</v>
      </c>
      <c r="I2" s="4">
        <f>D$37*W2</f>
        <v>40.507422682692706</v>
      </c>
      <c r="J2" s="4">
        <f>I2*V2</f>
        <v>178.23265980384792</v>
      </c>
      <c r="K2" s="4">
        <f>I2*X2</f>
        <v>2.9026693253343501</v>
      </c>
      <c r="L2" s="44"/>
      <c r="M2" s="44"/>
      <c r="N2" s="44"/>
      <c r="O2" s="44"/>
      <c r="Q2" s="43">
        <f>AE2</f>
        <v>0.7</v>
      </c>
      <c r="R2" s="61">
        <v>0.61699999999999999</v>
      </c>
      <c r="S2" s="236">
        <v>10.77</v>
      </c>
      <c r="T2" s="237">
        <v>4.389016375686098E-2</v>
      </c>
      <c r="U2" s="61">
        <v>3.0372807694444615E-2</v>
      </c>
      <c r="V2" s="236">
        <v>4.4000000000000004</v>
      </c>
      <c r="W2" s="43">
        <f>(AF2/SUM(AF$2:AF$22))*0.98</f>
        <v>9.2979878245288763E-2</v>
      </c>
      <c r="X2" s="61">
        <v>7.1657714391553995E-2</v>
      </c>
      <c r="Y2" s="64"/>
      <c r="Z2" s="65"/>
      <c r="AA2" s="1"/>
      <c r="AB2" s="1"/>
      <c r="AC2" s="1"/>
      <c r="AE2" s="61">
        <v>0.7</v>
      </c>
      <c r="AF2" s="61">
        <v>9.2945625036173735E-2</v>
      </c>
      <c r="AG2" s="47"/>
      <c r="AH2" s="47"/>
    </row>
    <row r="3" spans="1:34" x14ac:dyDescent="0.3">
      <c r="A3" s="66" t="s">
        <v>675</v>
      </c>
      <c r="B3" s="60" t="s">
        <v>9</v>
      </c>
      <c r="C3" s="60">
        <v>13</v>
      </c>
      <c r="D3" s="4">
        <f>D$34*Q3</f>
        <v>187.30111649999998</v>
      </c>
      <c r="E3" s="4">
        <f t="shared" ref="E3:E4" si="1">D3*R3</f>
        <v>115.75208999699998</v>
      </c>
      <c r="F3" s="4">
        <f t="shared" ref="F3:F4" si="2">E3*S3</f>
        <v>1222.5798242202841</v>
      </c>
      <c r="G3" s="4">
        <f t="shared" si="0"/>
        <v>6.17211809198397</v>
      </c>
      <c r="H3" s="4">
        <f t="shared" ref="H3" si="3">E3*U3</f>
        <v>3.083215315079495</v>
      </c>
      <c r="I3" s="4">
        <f t="shared" ref="I3:I4" si="4">D$37*W3</f>
        <v>12.204496060476657</v>
      </c>
      <c r="J3" s="4">
        <f>I3*V3</f>
        <v>54.554097390330654</v>
      </c>
      <c r="K3" s="4">
        <f>I3*X3</f>
        <v>0.52019163536457891</v>
      </c>
      <c r="L3" s="44"/>
      <c r="M3" s="44"/>
      <c r="N3" s="44"/>
      <c r="O3" s="44"/>
      <c r="Q3" s="43">
        <f t="shared" ref="Q3:Q4" si="5">AE3</f>
        <v>0.30000000000000004</v>
      </c>
      <c r="R3" s="61">
        <v>0.61799999999999999</v>
      </c>
      <c r="S3" s="236">
        <v>10.562053991871512</v>
      </c>
      <c r="T3" s="237">
        <v>5.3321871701357069E-2</v>
      </c>
      <c r="U3" s="61">
        <v>2.6636368424616821E-2</v>
      </c>
      <c r="V3" s="236">
        <v>4.47</v>
      </c>
      <c r="W3" s="43">
        <f t="shared" ref="W3:W4" si="6">(AF3/SUM(AF$2:AF$22))*0.98</f>
        <v>2.8013941213620372E-2</v>
      </c>
      <c r="X3" s="61">
        <v>4.2622950819672135E-2</v>
      </c>
      <c r="Y3" s="64"/>
      <c r="Z3" s="65"/>
      <c r="AA3" s="1"/>
      <c r="AB3" s="1"/>
      <c r="AC3" s="1"/>
      <c r="AE3" s="61">
        <f>1-AE2</f>
        <v>0.30000000000000004</v>
      </c>
      <c r="AF3" s="61">
        <v>2.8003621051832302E-2</v>
      </c>
      <c r="AG3" s="47"/>
      <c r="AH3" s="47"/>
    </row>
    <row r="4" spans="1:34" x14ac:dyDescent="0.3">
      <c r="B4" s="60" t="s">
        <v>9</v>
      </c>
      <c r="C4" s="60">
        <v>13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20"/>
      <c r="B5" s="69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5</v>
      </c>
      <c r="B7" s="60" t="s">
        <v>357</v>
      </c>
      <c r="C7" s="60">
        <v>13</v>
      </c>
      <c r="D7" s="44"/>
      <c r="E7" s="44"/>
      <c r="F7" s="44"/>
      <c r="G7" s="44"/>
      <c r="H7" s="44"/>
      <c r="I7" s="4">
        <f t="shared" ref="I7:I12" si="9">D$37*W7</f>
        <v>260.61946169948999</v>
      </c>
      <c r="J7" s="4">
        <f>I7*V7</f>
        <v>1158.6820075018884</v>
      </c>
      <c r="K7" s="4">
        <f>I7*X7</f>
        <v>10.763583768188937</v>
      </c>
      <c r="L7" s="7">
        <f>((D$2+D$3+D$4)*AA7)</f>
        <v>110.45809452544658</v>
      </c>
      <c r="M7" s="4">
        <f t="shared" ref="M7:N9" si="10">L7*Y7</f>
        <v>87.173528199482448</v>
      </c>
      <c r="N7" s="4">
        <f t="shared" si="10"/>
        <v>697.52005654678067</v>
      </c>
      <c r="O7" s="4">
        <f>M7*AH7</f>
        <v>2.7164661558891661</v>
      </c>
      <c r="Q7" s="45"/>
      <c r="R7" s="45"/>
      <c r="S7" s="44"/>
      <c r="T7" s="45"/>
      <c r="U7" s="45"/>
      <c r="V7" s="63">
        <v>4.4458767581905256</v>
      </c>
      <c r="W7" s="43">
        <f t="shared" ref="W7:W12" si="11">(AF7/SUM(AF$2:AF$22))*0.98</f>
        <v>0.59822038066926564</v>
      </c>
      <c r="X7" s="237">
        <v>4.1300000000000003E-2</v>
      </c>
      <c r="Y7" s="237">
        <v>0.78920000000000001</v>
      </c>
      <c r="Z7" s="63">
        <v>8.0015122819236986</v>
      </c>
      <c r="AA7" s="43">
        <f>(AG7/SUM(AG$7:AG$27))*0.98</f>
        <v>0.17692061305803258</v>
      </c>
      <c r="AB7" s="17">
        <v>0.19523954163326915</v>
      </c>
      <c r="AC7" s="43">
        <f>(AH7/SUM(AH$7:AH$27))*0.98</f>
        <v>7.4208761279905597E-2</v>
      </c>
      <c r="AE7" s="47"/>
      <c r="AF7" s="61">
        <v>0.59799999999999998</v>
      </c>
      <c r="AG7" s="61">
        <v>0.17699999999999999</v>
      </c>
      <c r="AH7" s="61">
        <v>3.1161594717985658E-2</v>
      </c>
    </row>
    <row r="8" spans="1:34" x14ac:dyDescent="0.3">
      <c r="A8" s="101" t="s">
        <v>589</v>
      </c>
      <c r="B8" s="60" t="s">
        <v>357</v>
      </c>
      <c r="C8" s="60">
        <v>13</v>
      </c>
      <c r="D8" s="44"/>
      <c r="E8" s="44"/>
      <c r="F8" s="44"/>
      <c r="G8" s="44"/>
      <c r="H8" s="44"/>
      <c r="I8" s="4">
        <f t="shared" si="9"/>
        <v>57.528041712930914</v>
      </c>
      <c r="J8" s="4">
        <f>I8*V8</f>
        <v>234.71441018875814</v>
      </c>
      <c r="K8" s="4">
        <f>I8*X8</f>
        <v>1.7430996639018068</v>
      </c>
      <c r="L8" s="7">
        <f>((D$2+D$3+D$4)*AA8)</f>
        <v>20.593882030168011</v>
      </c>
      <c r="M8" s="4">
        <f t="shared" si="10"/>
        <v>14.654606452667556</v>
      </c>
      <c r="N8" s="4">
        <f t="shared" si="10"/>
        <v>92.417468216432098</v>
      </c>
      <c r="O8" s="4">
        <f t="shared" ref="O8:O12" si="12">M8*AH8</f>
        <v>0.29652095442207543</v>
      </c>
      <c r="Q8" s="45"/>
      <c r="R8" s="45"/>
      <c r="S8" s="44"/>
      <c r="T8" s="45"/>
      <c r="U8" s="45"/>
      <c r="V8" s="63">
        <v>4.08</v>
      </c>
      <c r="W8" s="43">
        <f t="shared" si="11"/>
        <v>0.13204864590023926</v>
      </c>
      <c r="X8" s="237">
        <v>3.0300000000000001E-2</v>
      </c>
      <c r="Y8" s="237">
        <v>0.71160000000000001</v>
      </c>
      <c r="Z8" s="63">
        <v>6.3063766683143845</v>
      </c>
      <c r="AA8" s="43">
        <f t="shared" ref="AA8:AA12" si="13">(AG8/SUM(AG$7:AG$27))*0.98</f>
        <v>3.2985199044717944E-2</v>
      </c>
      <c r="AB8" s="17">
        <v>2.8601058003566718E-2</v>
      </c>
      <c r="AC8" s="43">
        <f t="shared" ref="AC8:AC12" si="14">(AH8/SUM(AH$7:AH$27))*0.98</f>
        <v>4.8185540698737955E-2</v>
      </c>
      <c r="AE8" s="47"/>
      <c r="AF8" s="61">
        <v>0.13200000000000001</v>
      </c>
      <c r="AG8" s="61">
        <v>3.3000000000000002E-2</v>
      </c>
      <c r="AH8" s="61">
        <v>2.0233975943318504E-2</v>
      </c>
    </row>
    <row r="9" spans="1:34" x14ac:dyDescent="0.3">
      <c r="A9" s="66" t="s">
        <v>299</v>
      </c>
      <c r="B9" s="60" t="s">
        <v>357</v>
      </c>
      <c r="C9" s="60">
        <v>13</v>
      </c>
      <c r="D9" s="44"/>
      <c r="E9" s="44"/>
      <c r="F9" s="44"/>
      <c r="G9" s="44"/>
      <c r="H9" s="44"/>
      <c r="I9" s="4">
        <f t="shared" si="9"/>
        <v>44.017668280348651</v>
      </c>
      <c r="J9" s="4">
        <f>I9*V9</f>
        <v>165.06625605130745</v>
      </c>
      <c r="K9" s="4">
        <f>I9*X9</f>
        <v>1.3601459498627733</v>
      </c>
      <c r="L9" s="7">
        <f>((D$2+D$3+D$4)*AA9)</f>
        <v>17.092330414081115</v>
      </c>
      <c r="M9" s="4">
        <f t="shared" si="10"/>
        <v>12.405613414540072</v>
      </c>
      <c r="N9" s="4">
        <f t="shared" si="10"/>
        <v>94.351414735729463</v>
      </c>
      <c r="O9" s="4">
        <f t="shared" si="12"/>
        <v>0.15205662238268444</v>
      </c>
      <c r="Q9" s="45"/>
      <c r="R9" s="45"/>
      <c r="S9" s="44"/>
      <c r="T9" s="45"/>
      <c r="U9" s="45"/>
      <c r="V9" s="63">
        <v>3.75</v>
      </c>
      <c r="W9" s="43">
        <f t="shared" si="11"/>
        <v>0.10103722148427398</v>
      </c>
      <c r="X9" s="237">
        <v>3.09E-2</v>
      </c>
      <c r="Y9" s="237">
        <v>0.7258</v>
      </c>
      <c r="Z9" s="63">
        <v>7.6055420705875241</v>
      </c>
      <c r="AA9" s="43">
        <f t="shared" si="13"/>
        <v>2.7376767528368342E-2</v>
      </c>
      <c r="AB9" s="17">
        <v>7.811405791954551E-3</v>
      </c>
      <c r="AC9" s="43">
        <f t="shared" si="14"/>
        <v>2.9189227616012822E-2</v>
      </c>
      <c r="AE9" s="47"/>
      <c r="AF9" s="61">
        <v>0.10100000000000001</v>
      </c>
      <c r="AG9" s="61">
        <v>2.7389051896014736E-2</v>
      </c>
      <c r="AH9" s="61">
        <v>1.2257082120942571E-2</v>
      </c>
    </row>
    <row r="10" spans="1:34" x14ac:dyDescent="0.3">
      <c r="A10" s="120"/>
      <c r="B10" s="60" t="s">
        <v>357</v>
      </c>
      <c r="C10" s="60">
        <v>13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8.4219091272792462E-3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A11" s="120"/>
      <c r="B11" s="60" t="s">
        <v>357</v>
      </c>
      <c r="C11" s="60">
        <v>13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1.14793355909557E-2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60" t="s">
        <v>357</v>
      </c>
      <c r="C12" s="60">
        <v>13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20"/>
      <c r="B13" s="69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324</v>
      </c>
      <c r="B15" s="60" t="s">
        <v>358</v>
      </c>
      <c r="C15" s="60">
        <v>13</v>
      </c>
      <c r="D15" s="44"/>
      <c r="E15" s="44"/>
      <c r="F15" s="44"/>
      <c r="G15" s="44"/>
      <c r="H15" s="44"/>
      <c r="I15" s="4">
        <f t="shared" ref="I15:I22" si="21">D$37*W15</f>
        <v>7.8528929569460457</v>
      </c>
      <c r="J15" s="4">
        <f t="shared" ref="J15:J22" si="22">I15*V15</f>
        <v>47.838873543612245</v>
      </c>
      <c r="K15" s="4">
        <f t="shared" ref="K15:K22" si="23">I15*X15</f>
        <v>0</v>
      </c>
      <c r="L15" s="7">
        <f t="shared" ref="L15:L20" si="24">((D$2+D$3+D$4)*AA15)</f>
        <v>139.43743232539856</v>
      </c>
      <c r="M15" s="4">
        <f t="shared" ref="M15:N19" si="25">L15*Y15</f>
        <v>85.865570825980441</v>
      </c>
      <c r="N15" s="4">
        <f t="shared" si="25"/>
        <v>1137.2537381854802</v>
      </c>
      <c r="O15" s="4">
        <f t="shared" ref="O15:O22" si="26">M15*AH15</f>
        <v>4.5194476345675323</v>
      </c>
      <c r="Q15" s="45"/>
      <c r="R15" s="45"/>
      <c r="S15" s="44"/>
      <c r="T15" s="45"/>
      <c r="U15" s="45"/>
      <c r="V15" s="63">
        <v>6.0918789808917202</v>
      </c>
      <c r="W15" s="43">
        <f t="shared" ref="W15:W22" si="27">(AF15/SUM(AF$2:AF$22))*0.98</f>
        <v>1.8025363813681961E-2</v>
      </c>
      <c r="X15" s="237">
        <v>0</v>
      </c>
      <c r="Y15" s="237">
        <v>0.61580000000000001</v>
      </c>
      <c r="Z15" s="63">
        <v>13.244583681744768</v>
      </c>
      <c r="AA15" s="43">
        <f t="shared" ref="AA15:AA22" si="28">(AG15/SUM(AG$7:AG$27))*0.98</f>
        <v>0.22333678773142593</v>
      </c>
      <c r="AB15" s="17">
        <v>0.18002907075064498</v>
      </c>
      <c r="AC15" s="43">
        <f t="shared" ref="AC15:AC22" si="29">(AH15/SUM(AH$7:AH$27))*0.98</f>
        <v>0.12534349630137365</v>
      </c>
      <c r="AE15" s="47"/>
      <c r="AF15" s="61">
        <v>1.801872338171177E-2</v>
      </c>
      <c r="AG15" s="61">
        <v>0.22343700230959387</v>
      </c>
      <c r="AH15" s="61">
        <v>5.2633990446844831E-2</v>
      </c>
    </row>
    <row r="16" spans="1:34" x14ac:dyDescent="0.3">
      <c r="A16" s="66" t="s">
        <v>821</v>
      </c>
      <c r="B16" s="60" t="s">
        <v>358</v>
      </c>
      <c r="C16" s="60">
        <v>13</v>
      </c>
      <c r="D16" s="44"/>
      <c r="E16" s="44"/>
      <c r="F16" s="44"/>
      <c r="G16" s="44"/>
      <c r="H16" s="44"/>
      <c r="I16" s="4">
        <f t="shared" si="21"/>
        <v>4.2148027071150231</v>
      </c>
      <c r="J16" s="4">
        <f t="shared" si="22"/>
        <v>27.87726981289369</v>
      </c>
      <c r="K16" s="4">
        <f t="shared" si="23"/>
        <v>2.5009213238681677E-2</v>
      </c>
      <c r="L16" s="7">
        <f t="shared" si="24"/>
        <v>106.71375233814331</v>
      </c>
      <c r="M16" s="4">
        <f t="shared" si="25"/>
        <v>55.490055592093888</v>
      </c>
      <c r="N16" s="4">
        <f t="shared" si="25"/>
        <v>692.05183139774715</v>
      </c>
      <c r="O16" s="4">
        <f t="shared" si="26"/>
        <v>4.4800054754688707</v>
      </c>
      <c r="Q16" s="45"/>
      <c r="R16" s="45"/>
      <c r="S16" s="44"/>
      <c r="T16" s="45"/>
      <c r="U16" s="45"/>
      <c r="V16" s="63">
        <v>6.6141339820803413</v>
      </c>
      <c r="W16" s="43">
        <f t="shared" si="27"/>
        <v>9.6745686736300039E-3</v>
      </c>
      <c r="X16" s="237">
        <v>5.9336616626119981E-3</v>
      </c>
      <c r="Y16" s="237">
        <v>0.51998973305954832</v>
      </c>
      <c r="Z16" s="63">
        <v>12.47163701700002</v>
      </c>
      <c r="AA16" s="43">
        <f t="shared" si="28"/>
        <v>0.17092330414081114</v>
      </c>
      <c r="AB16" s="17">
        <v>0.18309885137357515</v>
      </c>
      <c r="AC16" s="43">
        <f t="shared" si="29"/>
        <v>0.19226440674305104</v>
      </c>
      <c r="AE16" s="47"/>
      <c r="AF16" s="61">
        <v>9.6710046226747923E-3</v>
      </c>
      <c r="AG16" s="61">
        <v>0.17100000000000001</v>
      </c>
      <c r="AH16" s="61">
        <v>8.0735285406835541E-2</v>
      </c>
    </row>
    <row r="17" spans="1:34" x14ac:dyDescent="0.3">
      <c r="A17" s="66" t="s">
        <v>776</v>
      </c>
      <c r="B17" s="60" t="s">
        <v>358</v>
      </c>
      <c r="C17" s="60">
        <v>13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81.127414058237591</v>
      </c>
      <c r="M17" s="4">
        <f t="shared" si="25"/>
        <v>46.851081618632207</v>
      </c>
      <c r="N17" s="4">
        <f t="shared" si="25"/>
        <v>492.57094924292869</v>
      </c>
      <c r="O17" s="4">
        <f t="shared" si="26"/>
        <v>1.7587838340402027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0.57750000000000001</v>
      </c>
      <c r="Z17" s="63">
        <v>10.513544879336107</v>
      </c>
      <c r="AA17" s="43">
        <f t="shared" si="28"/>
        <v>0.12994169320646459</v>
      </c>
      <c r="AB17" s="17">
        <v>0.10033620703176584</v>
      </c>
      <c r="AC17" s="43">
        <f t="shared" si="29"/>
        <v>8.9398112789592185E-2</v>
      </c>
      <c r="AE17" s="47"/>
      <c r="AF17" s="61">
        <v>0</v>
      </c>
      <c r="AG17" s="61">
        <v>0.13</v>
      </c>
      <c r="AH17" s="61">
        <v>3.7539876845463303E-2</v>
      </c>
    </row>
    <row r="18" spans="1:34" x14ac:dyDescent="0.3">
      <c r="A18" s="66" t="s">
        <v>248</v>
      </c>
      <c r="B18" s="60" t="s">
        <v>358</v>
      </c>
      <c r="C18" s="60">
        <v>13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29.330680467208982</v>
      </c>
      <c r="M18" s="4">
        <f t="shared" si="25"/>
        <v>17.586676008138507</v>
      </c>
      <c r="N18" s="4">
        <f t="shared" si="25"/>
        <v>208.76556866727617</v>
      </c>
      <c r="O18" s="4">
        <f t="shared" si="26"/>
        <v>0.41873038114615491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0.59960000000000002</v>
      </c>
      <c r="Z18" s="63">
        <v>11.870666666666667</v>
      </c>
      <c r="AA18" s="43">
        <f t="shared" si="28"/>
        <v>4.6978919851567977E-2</v>
      </c>
      <c r="AB18" s="17">
        <v>6.295807984469376E-2</v>
      </c>
      <c r="AC18" s="43">
        <f t="shared" si="29"/>
        <v>5.6700412304296691E-2</v>
      </c>
      <c r="AE18" s="47"/>
      <c r="AF18" s="61">
        <v>0</v>
      </c>
      <c r="AG18" s="61">
        <v>4.7E-2</v>
      </c>
      <c r="AH18" s="61">
        <v>2.3809523809523808E-2</v>
      </c>
    </row>
    <row r="19" spans="1:34" x14ac:dyDescent="0.3">
      <c r="A19" s="66" t="s">
        <v>325</v>
      </c>
      <c r="B19" s="60" t="s">
        <v>358</v>
      </c>
      <c r="C19" s="60">
        <v>13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14.977368749213095</v>
      </c>
      <c r="M19" s="4">
        <f t="shared" si="25"/>
        <v>8.9594619857792726</v>
      </c>
      <c r="N19" s="4">
        <f t="shared" si="25"/>
        <v>108.01507764067911</v>
      </c>
      <c r="O19" s="4">
        <f t="shared" si="26"/>
        <v>0.48999157670396126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0.59819999999999995</v>
      </c>
      <c r="Z19" s="63">
        <v>12.055978117003441</v>
      </c>
      <c r="AA19" s="43">
        <f t="shared" si="28"/>
        <v>2.3989235668885774E-2</v>
      </c>
      <c r="AB19" s="17">
        <v>4.6208358846457104E-2</v>
      </c>
      <c r="AC19" s="43">
        <f t="shared" si="29"/>
        <v>0.13023934112243271</v>
      </c>
      <c r="AE19" s="47"/>
      <c r="AF19" s="61">
        <v>0</v>
      </c>
      <c r="AG19" s="61">
        <v>2.4E-2</v>
      </c>
      <c r="AH19" s="61">
        <v>5.4689843818935852E-2</v>
      </c>
    </row>
    <row r="20" spans="1:34" x14ac:dyDescent="0.3">
      <c r="B20" s="60" t="s">
        <v>358</v>
      </c>
      <c r="C20" s="60">
        <v>13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0</v>
      </c>
      <c r="M20" s="4">
        <f t="shared" ref="M20:N20" si="30">L20*Y20</f>
        <v>0</v>
      </c>
      <c r="N20" s="4">
        <f t="shared" si="30"/>
        <v>0</v>
      </c>
      <c r="O20" s="4">
        <f t="shared" si="26"/>
        <v>0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</v>
      </c>
      <c r="Z20" s="63">
        <v>0</v>
      </c>
      <c r="AA20" s="43">
        <f t="shared" si="28"/>
        <v>0</v>
      </c>
      <c r="AB20" s="17">
        <v>1.9754716531954681E-3</v>
      </c>
      <c r="AC20" s="43">
        <f t="shared" si="29"/>
        <v>0</v>
      </c>
      <c r="AE20" s="47"/>
      <c r="AF20" s="61">
        <v>0</v>
      </c>
      <c r="AG20" s="61">
        <v>0</v>
      </c>
      <c r="AH20" s="61">
        <v>0</v>
      </c>
    </row>
    <row r="21" spans="1:34" x14ac:dyDescent="0.3">
      <c r="B21" s="60" t="s">
        <v>358</v>
      </c>
      <c r="C21" s="60">
        <v>13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1.9288069684743152E-3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60" t="s">
        <v>358</v>
      </c>
      <c r="C22" s="60">
        <v>13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282</v>
      </c>
      <c r="B24" s="60" t="s">
        <v>10</v>
      </c>
      <c r="C24" s="60">
        <v>13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60.533532028069587</v>
      </c>
      <c r="M24" s="4">
        <f t="shared" ref="M24:N27" si="34">L24*Y24</f>
        <v>37.409722793347001</v>
      </c>
      <c r="N24" s="4">
        <f t="shared" si="34"/>
        <v>384.97270779498683</v>
      </c>
      <c r="O24" s="4">
        <f t="shared" ref="O24:O27" si="35">M24*AH24</f>
        <v>1.9975499754331536</v>
      </c>
      <c r="Q24" s="45"/>
      <c r="R24" s="45"/>
      <c r="S24" s="44"/>
      <c r="T24" s="45"/>
      <c r="U24" s="45"/>
      <c r="V24" s="46"/>
      <c r="W24" s="46"/>
      <c r="X24" s="45"/>
      <c r="Y24" s="237">
        <v>0.61799999999999999</v>
      </c>
      <c r="Z24" s="236">
        <v>10.290712655680275</v>
      </c>
      <c r="AA24" s="43">
        <f t="shared" ref="AA24:AA27" si="36">(AG24/SUM(AG$7:AG$27))*0.98</f>
        <v>9.6956494161746662E-2</v>
      </c>
      <c r="AB24" s="17">
        <v>6.969921651998548E-2</v>
      </c>
      <c r="AC24" s="43">
        <f t="shared" ref="AC24:AC27" si="37">(AH24/SUM(AH$7:AH$27))*0.98</f>
        <v>0.12715945875645163</v>
      </c>
      <c r="AE24" s="47"/>
      <c r="AF24" s="47"/>
      <c r="AG24" s="61">
        <v>9.7000000000000003E-2</v>
      </c>
      <c r="AH24" s="61">
        <v>5.3396545771475235E-2</v>
      </c>
    </row>
    <row r="25" spans="1:34" x14ac:dyDescent="0.3">
      <c r="A25" s="66" t="s">
        <v>7</v>
      </c>
      <c r="B25" s="60" t="s">
        <v>10</v>
      </c>
      <c r="C25" s="60">
        <v>13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31.585826964032936</v>
      </c>
      <c r="M25" s="4">
        <f t="shared" si="34"/>
        <v>18.926227516848535</v>
      </c>
      <c r="N25" s="4">
        <f t="shared" si="34"/>
        <v>199.95909769111532</v>
      </c>
      <c r="O25" s="4">
        <f t="shared" si="35"/>
        <v>0.85285219614490659</v>
      </c>
      <c r="Q25" s="45"/>
      <c r="R25" s="45"/>
      <c r="S25" s="44"/>
      <c r="T25" s="45"/>
      <c r="U25" s="45"/>
      <c r="V25" s="46"/>
      <c r="W25" s="46"/>
      <c r="X25" s="45"/>
      <c r="Y25" s="237">
        <v>0.59919999999999995</v>
      </c>
      <c r="Z25" s="236">
        <v>10.565185138618219</v>
      </c>
      <c r="AA25" s="43">
        <f t="shared" si="36"/>
        <v>5.0590985607978922E-2</v>
      </c>
      <c r="AB25" s="17">
        <v>4.3820774496873237E-2</v>
      </c>
      <c r="AC25" s="43">
        <f t="shared" si="37"/>
        <v>0.10731124238814577</v>
      </c>
      <c r="AE25" s="47"/>
      <c r="AF25" s="47"/>
      <c r="AG25" s="61">
        <v>5.06136865446822E-2</v>
      </c>
      <c r="AH25" s="61">
        <v>4.5061922424090024E-2</v>
      </c>
    </row>
    <row r="26" spans="1:34" x14ac:dyDescent="0.3">
      <c r="B26" s="60" t="s">
        <v>10</v>
      </c>
      <c r="C26" s="60">
        <v>13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0</v>
      </c>
      <c r="M26" s="4">
        <f t="shared" si="34"/>
        <v>0</v>
      </c>
      <c r="N26" s="4">
        <f t="shared" si="34"/>
        <v>0</v>
      </c>
      <c r="O26" s="4">
        <f t="shared" si="35"/>
        <v>0</v>
      </c>
      <c r="Q26" s="45"/>
      <c r="R26" s="45"/>
      <c r="S26" s="44"/>
      <c r="T26" s="45"/>
      <c r="U26" s="45"/>
      <c r="V26" s="46"/>
      <c r="W26" s="46"/>
      <c r="X26" s="45"/>
      <c r="Y26" s="237">
        <v>0</v>
      </c>
      <c r="Z26" s="236">
        <v>0</v>
      </c>
      <c r="AA26" s="43">
        <f t="shared" si="36"/>
        <v>0</v>
      </c>
      <c r="AB26" s="17">
        <v>3.3391912367309158E-2</v>
      </c>
      <c r="AC26" s="43">
        <f t="shared" si="37"/>
        <v>0</v>
      </c>
      <c r="AE26" s="47"/>
      <c r="AF26" s="47"/>
      <c r="AG26" s="61">
        <v>0</v>
      </c>
      <c r="AH26" s="61">
        <v>0</v>
      </c>
    </row>
    <row r="27" spans="1:34" x14ac:dyDescent="0.3">
      <c r="B27" s="60" t="s">
        <v>10</v>
      </c>
      <c r="C27" s="60">
        <v>13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/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20"/>
      <c r="B28" s="69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21"/>
      <c r="B29" s="82"/>
      <c r="C29" s="82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22" t="s">
        <v>447</v>
      </c>
      <c r="B30" s="82"/>
      <c r="C30" s="82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0.97499999999999987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0.97963897409239253</v>
      </c>
      <c r="AG30" s="28">
        <f>SUM(AG7:AG27)</f>
        <v>0.98043974075029094</v>
      </c>
    </row>
    <row r="31" spans="1:34" s="86" customFormat="1" x14ac:dyDescent="0.3">
      <c r="A31" s="121"/>
      <c r="B31" s="82"/>
      <c r="C31" s="82"/>
      <c r="D31" s="105">
        <v>1059.9949999999999</v>
      </c>
      <c r="E31" s="106">
        <v>0.58899999999999997</v>
      </c>
      <c r="F31" s="8">
        <f>1-E31</f>
        <v>0.41100000000000003</v>
      </c>
      <c r="G31" s="234">
        <v>4.29</v>
      </c>
      <c r="H31" s="275">
        <v>4.050889404485692E-2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21"/>
      <c r="B32" s="82"/>
      <c r="C32" s="82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22" t="s">
        <v>447</v>
      </c>
      <c r="B33" s="82"/>
      <c r="C33" s="82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21"/>
      <c r="B34" s="82"/>
      <c r="C34" s="82"/>
      <c r="D34" s="9">
        <f>D31*E31</f>
        <v>624.33705499999985</v>
      </c>
      <c r="E34" s="2">
        <f>SUM(E2:E4)</f>
        <v>385.40326405149989</v>
      </c>
      <c r="F34" s="2">
        <f>SUM(F2:F4)</f>
        <v>4126.7229687872477</v>
      </c>
      <c r="G34" s="2">
        <f>SUM(G2:G4)</f>
        <v>18.007152278465796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21"/>
      <c r="B35" s="82"/>
      <c r="C35" s="82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22" t="s">
        <v>447</v>
      </c>
      <c r="B36" s="82"/>
      <c r="C36" s="82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21"/>
      <c r="B37" s="82"/>
      <c r="C37" s="82"/>
      <c r="D37" s="9">
        <f>D31*F31</f>
        <v>435.65794499999998</v>
      </c>
      <c r="E37" s="2">
        <f>D37*G31</f>
        <v>1868.97258405</v>
      </c>
      <c r="F37" s="2">
        <f>D37*H31</f>
        <v>17.648021533805103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21"/>
      <c r="B38" s="82"/>
      <c r="C38" s="82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23" t="s">
        <v>461</v>
      </c>
      <c r="B39" s="94"/>
      <c r="C39" s="94"/>
      <c r="D39" s="35" t="s">
        <v>455</v>
      </c>
      <c r="E39" s="42" t="s">
        <v>456</v>
      </c>
      <c r="F39" s="35" t="s">
        <v>457</v>
      </c>
      <c r="G39" s="35" t="s">
        <v>453</v>
      </c>
      <c r="H39" s="42" t="s">
        <v>454</v>
      </c>
      <c r="I39" s="35" t="s">
        <v>458</v>
      </c>
      <c r="J39" s="36" t="s">
        <v>459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E39" s="98"/>
      <c r="AF39" s="94"/>
    </row>
    <row r="40" spans="1:32" ht="14.4" thickBot="1" x14ac:dyDescent="0.35">
      <c r="D40" s="3">
        <f>SUM(I2:I22)</f>
        <v>426.94478609999999</v>
      </c>
      <c r="E40" s="3">
        <f>SUM(J2:J4,J7:J12,J15:J22)</f>
        <v>1866.9655742926384</v>
      </c>
      <c r="F40" s="3">
        <f>SUM(K2:K4,K7:K12,K15:K22)</f>
        <v>17.314699555891128</v>
      </c>
      <c r="G40" s="3">
        <f>SUM(L7:L12,L15:L22,L24:L27)</f>
        <v>611.85031389999972</v>
      </c>
      <c r="H40" s="3">
        <f>SUM(M7:M12,M15:M22,M24:M27)</f>
        <v>385.32254440750995</v>
      </c>
      <c r="I40" s="3">
        <f>SUM(N7:N12,N15:N22,N24:N27)</f>
        <v>4107.8779101191558</v>
      </c>
      <c r="J40" s="3">
        <f>SUM(O7:O12,O15:O22,O24:O27)</f>
        <v>17.682404806198708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C40" s="60"/>
    </row>
    <row r="41" spans="1:32" ht="14.4" thickTop="1" x14ac:dyDescent="0.3">
      <c r="D41" s="50">
        <f>D37-D40</f>
        <v>8.7131588999999963</v>
      </c>
      <c r="E41" s="50">
        <f>E37-E40</f>
        <v>2.0070097573616295</v>
      </c>
      <c r="F41" s="50">
        <f>F37-F40</f>
        <v>0.33332197791397533</v>
      </c>
      <c r="G41" s="50">
        <f>SUM(D2:D4)-G40</f>
        <v>12.486741100000131</v>
      </c>
      <c r="H41" s="50">
        <f>E34-H40</f>
        <v>8.071964398993714E-2</v>
      </c>
      <c r="I41" s="50">
        <f>F34-I40</f>
        <v>18.845058668091951</v>
      </c>
      <c r="J41" s="50">
        <f>G34-J40</f>
        <v>0.324747472267088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C41" s="60"/>
    </row>
    <row r="42" spans="1:32" x14ac:dyDescent="0.3">
      <c r="I42" s="75"/>
      <c r="J42" s="76"/>
      <c r="K42" s="75"/>
      <c r="L42" s="75"/>
      <c r="M42" s="76"/>
      <c r="N42" s="75"/>
      <c r="O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C42" s="60"/>
    </row>
    <row r="43" spans="1:32" x14ac:dyDescent="0.3">
      <c r="I43" s="75"/>
      <c r="J43" s="76"/>
      <c r="K43" s="75"/>
      <c r="L43" s="75"/>
      <c r="M43" s="76"/>
      <c r="N43" s="75"/>
      <c r="O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C43" s="60"/>
    </row>
    <row r="44" spans="1:32" x14ac:dyDescent="0.3">
      <c r="I44" s="75"/>
      <c r="J44" s="76"/>
      <c r="K44" s="75"/>
      <c r="L44" s="75"/>
      <c r="M44" s="76"/>
      <c r="N44" s="75"/>
      <c r="O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C44" s="60"/>
    </row>
  </sheetData>
  <sheetProtection sheet="1" selectLockedCells="1"/>
  <conditionalFormatting sqref="AA30:AB30 AD30:AF30">
    <cfRule type="cellIs" dxfId="395" priority="14" operator="greaterThan">
      <formula>1</formula>
    </cfRule>
    <cfRule type="cellIs" dxfId="394" priority="15" operator="greaterThan">
      <formula>1</formula>
    </cfRule>
  </conditionalFormatting>
  <conditionalFormatting sqref="AC30">
    <cfRule type="cellIs" dxfId="393" priority="10" operator="greaterThan">
      <formula>1</formula>
    </cfRule>
    <cfRule type="cellIs" dxfId="392" priority="11" operator="greaterThan">
      <formula>1</formula>
    </cfRule>
  </conditionalFormatting>
  <conditionalFormatting sqref="AG30">
    <cfRule type="cellIs" dxfId="391" priority="8" operator="greaterThan">
      <formula>1</formula>
    </cfRule>
    <cfRule type="cellIs" dxfId="390" priority="9" operator="greaterThan">
      <formula>1</formula>
    </cfRule>
  </conditionalFormatting>
  <conditionalFormatting sqref="W30">
    <cfRule type="cellIs" dxfId="389" priority="2" operator="greaterThan">
      <formula>1</formula>
    </cfRule>
    <cfRule type="cellIs" dxfId="388" priority="3" operator="greaterThan">
      <formula>1</formula>
    </cfRule>
  </conditionalFormatting>
  <conditionalFormatting sqref="D41:J41">
    <cfRule type="cellIs" dxfId="387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33CC"/>
  </sheetPr>
  <dimension ref="A1:AH46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264</v>
      </c>
      <c r="B2" s="59" t="s">
        <v>9</v>
      </c>
      <c r="C2" s="59">
        <v>14</v>
      </c>
      <c r="D2" s="4">
        <f>D$34*Q2</f>
        <v>555.81244349999997</v>
      </c>
      <c r="E2" s="4">
        <f>D2*R2</f>
        <v>346.82696474400001</v>
      </c>
      <c r="F2" s="4">
        <f>E2*S2</f>
        <v>3880.99373548536</v>
      </c>
      <c r="G2" s="4">
        <f t="shared" ref="G2:G3" si="0">E2*T2</f>
        <v>19.769136990408001</v>
      </c>
      <c r="H2" s="4">
        <f>E2*U2</f>
        <v>10.242241068988218</v>
      </c>
      <c r="I2" s="4">
        <f>D$37*W2</f>
        <v>116.82231299571052</v>
      </c>
      <c r="J2" s="4">
        <f>I2*V2</f>
        <v>620.32648200722281</v>
      </c>
      <c r="K2" s="4">
        <f>I2*X2</f>
        <v>5.6074710237941048</v>
      </c>
      <c r="L2" s="44"/>
      <c r="M2" s="44"/>
      <c r="N2" s="44"/>
      <c r="O2" s="44"/>
      <c r="Q2" s="43">
        <f>AE2</f>
        <v>0.95</v>
      </c>
      <c r="R2" s="61">
        <v>0.624</v>
      </c>
      <c r="S2" s="236">
        <v>11.19</v>
      </c>
      <c r="T2" s="237">
        <v>5.7000000000000002E-2</v>
      </c>
      <c r="U2" s="61">
        <v>2.9531270951058324E-2</v>
      </c>
      <c r="V2" s="236">
        <v>5.31</v>
      </c>
      <c r="W2" s="43">
        <f>(AF2/SUM(AF$2:AF$22))*0.98</f>
        <v>0.24110724731231839</v>
      </c>
      <c r="X2" s="61">
        <v>4.8000000000000001E-2</v>
      </c>
      <c r="Y2" s="64"/>
      <c r="Z2" s="65"/>
      <c r="AA2" s="1"/>
      <c r="AB2" s="1"/>
      <c r="AC2" s="1"/>
      <c r="AE2" s="61">
        <v>0.95</v>
      </c>
      <c r="AF2" s="61">
        <v>0.24100356211258517</v>
      </c>
      <c r="AG2" s="47"/>
      <c r="AH2" s="47"/>
    </row>
    <row r="3" spans="1:34" x14ac:dyDescent="0.3">
      <c r="A3" s="58" t="s">
        <v>590</v>
      </c>
      <c r="B3" s="59" t="s">
        <v>9</v>
      </c>
      <c r="C3" s="59">
        <v>14</v>
      </c>
      <c r="D3" s="4">
        <f>D$34*Q3</f>
        <v>29.253286500000026</v>
      </c>
      <c r="E3" s="4">
        <f t="shared" ref="E3:E4" si="1">D3*R3</f>
        <v>17.79251888947347</v>
      </c>
      <c r="F3" s="4">
        <f t="shared" ref="F3:F4" si="2">E3*S3</f>
        <v>194.82808183973449</v>
      </c>
      <c r="G3" s="4">
        <f t="shared" si="0"/>
        <v>1.0766852442387023</v>
      </c>
      <c r="H3" s="4">
        <f t="shared" ref="H3" si="3">E3*U3</f>
        <v>0.47030335142688978</v>
      </c>
      <c r="I3" s="4">
        <f t="shared" ref="I3:I4" si="4">D$37*W3</f>
        <v>1.1053533923819034</v>
      </c>
      <c r="J3" s="4">
        <f>I3*V3</f>
        <v>3.4818631860029958</v>
      </c>
      <c r="K3" s="4">
        <f>I3*X3</f>
        <v>0</v>
      </c>
      <c r="L3" s="44"/>
      <c r="M3" s="44"/>
      <c r="N3" s="44"/>
      <c r="O3" s="44"/>
      <c r="Q3" s="43">
        <f t="shared" ref="Q3:Q4" si="5">AE3</f>
        <v>5.0000000000000044E-2</v>
      </c>
      <c r="R3" s="61">
        <v>0.6082229047827995</v>
      </c>
      <c r="S3" s="236">
        <v>10.95</v>
      </c>
      <c r="T3" s="237">
        <v>6.051336805806052E-2</v>
      </c>
      <c r="U3" s="61">
        <v>2.6432645897323387E-2</v>
      </c>
      <c r="V3" s="236">
        <v>3.15</v>
      </c>
      <c r="W3" s="43">
        <f t="shared" ref="W3:W4" si="6">(AF3/SUM(AF$2:AF$22))*0.98</f>
        <v>2.2813168726963946E-3</v>
      </c>
      <c r="X3" s="61">
        <v>0</v>
      </c>
      <c r="Y3" s="64"/>
      <c r="Z3" s="65"/>
      <c r="AA3" s="1"/>
      <c r="AB3" s="1"/>
      <c r="AC3" s="1"/>
      <c r="AE3" s="61">
        <f>1-AE2</f>
        <v>5.0000000000000044E-2</v>
      </c>
      <c r="AF3" s="61">
        <v>2.2803358204956125E-3</v>
      </c>
      <c r="AG3" s="47"/>
      <c r="AH3" s="47"/>
    </row>
    <row r="4" spans="1:34" x14ac:dyDescent="0.3">
      <c r="B4" s="59" t="s">
        <v>9</v>
      </c>
      <c r="C4" s="59">
        <v>14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236"/>
      <c r="T4" s="61"/>
      <c r="U4" s="61"/>
      <c r="V4" s="236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77" t="s">
        <v>33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213.76713098971263</v>
      </c>
      <c r="J7" s="4">
        <f>I7*V7</f>
        <v>842.24249609946776</v>
      </c>
      <c r="K7" s="4">
        <f>I7*X7</f>
        <v>6.6909111999780055</v>
      </c>
      <c r="L7" s="7">
        <f>((D$2+D$3+D$4)*AA7)</f>
        <v>60.287396727151737</v>
      </c>
      <c r="M7" s="4">
        <f t="shared" ref="M7:N9" si="10">L7*Y7</f>
        <v>43.780707503257588</v>
      </c>
      <c r="N7" s="4">
        <f t="shared" si="10"/>
        <v>310.95572235731669</v>
      </c>
      <c r="O7" s="4">
        <f>M7*AH7</f>
        <v>0.96317556507166691</v>
      </c>
      <c r="Q7" s="45"/>
      <c r="R7" s="45"/>
      <c r="S7" s="44"/>
      <c r="T7" s="45"/>
      <c r="U7" s="45"/>
      <c r="V7" s="63">
        <v>3.94</v>
      </c>
      <c r="W7" s="43">
        <f t="shared" ref="W7:W12" si="11">(AF7/SUM(AF$2:AF$22))*0.98</f>
        <v>0.4411897282043532</v>
      </c>
      <c r="X7" s="237">
        <v>3.1300000000000001E-2</v>
      </c>
      <c r="Y7" s="237">
        <v>0.72619999999999996</v>
      </c>
      <c r="Z7" s="63">
        <v>7.1025741722921998</v>
      </c>
      <c r="AA7" s="43">
        <f>(AG7/SUM(AG$7:AG$27))*0.98</f>
        <v>0.10304380112496374</v>
      </c>
      <c r="AB7" s="17">
        <v>7.2668193894709771E-2</v>
      </c>
      <c r="AC7" s="43">
        <f>(AH7/SUM(AH$7:AH$27))*0.98</f>
        <v>3.259139993486905E-2</v>
      </c>
      <c r="AE7" s="47"/>
      <c r="AF7" s="61">
        <v>0.441</v>
      </c>
      <c r="AG7" s="61">
        <v>0.10299999999999999</v>
      </c>
      <c r="AH7" s="61">
        <v>2.1999999999999999E-2</v>
      </c>
    </row>
    <row r="8" spans="1:34" x14ac:dyDescent="0.3">
      <c r="A8" s="77" t="s">
        <v>301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113.42745725984751</v>
      </c>
      <c r="J8" s="4">
        <f>I8*V8</f>
        <v>476.3953204913596</v>
      </c>
      <c r="K8" s="4">
        <f>I8*X8</f>
        <v>3.6410213780411049</v>
      </c>
      <c r="L8" s="7">
        <f>((D$2+D$3+D$4)*AA8)</f>
        <v>45.654533443862476</v>
      </c>
      <c r="M8" s="4">
        <f t="shared" si="10"/>
        <v>34.925718084554795</v>
      </c>
      <c r="N8" s="4">
        <f t="shared" si="10"/>
        <v>266.8324861659986</v>
      </c>
      <c r="O8" s="4">
        <f t="shared" ref="O8:O12" si="12">M8*AH8</f>
        <v>1.3621030052976371</v>
      </c>
      <c r="Q8" s="45"/>
      <c r="R8" s="45"/>
      <c r="S8" s="44"/>
      <c r="T8" s="45"/>
      <c r="U8" s="45"/>
      <c r="V8" s="63">
        <v>4.2</v>
      </c>
      <c r="W8" s="43">
        <f t="shared" si="11"/>
        <v>0.2341006721084323</v>
      </c>
      <c r="X8" s="237">
        <v>3.2099999999999997E-2</v>
      </c>
      <c r="Y8" s="237">
        <v>0.76500000000000001</v>
      </c>
      <c r="Z8" s="63">
        <v>7.64</v>
      </c>
      <c r="AA8" s="43">
        <f t="shared" ref="AA8:AA12" si="13">(AG8/SUM(AG$7:AG$27))*0.98</f>
        <v>7.8033169783953124E-2</v>
      </c>
      <c r="AB8" s="17">
        <v>8.885193964057371E-2</v>
      </c>
      <c r="AC8" s="43">
        <f t="shared" ref="AC8:AC12" si="14">(AH8/SUM(AH$7:AH$27))*0.98</f>
        <v>5.7775663520904227E-2</v>
      </c>
      <c r="AE8" s="47"/>
      <c r="AF8" s="61">
        <v>0.23400000000000001</v>
      </c>
      <c r="AG8" s="61">
        <v>7.8E-2</v>
      </c>
      <c r="AH8" s="61">
        <v>3.9E-2</v>
      </c>
    </row>
    <row r="9" spans="1:34" x14ac:dyDescent="0.3">
      <c r="A9" s="77" t="s">
        <v>229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15.996179869978494</v>
      </c>
      <c r="J9" s="4">
        <f>I9*V9</f>
        <v>64.446775784256317</v>
      </c>
      <c r="K9" s="4">
        <f>I9*X9</f>
        <v>0.49748119395633117</v>
      </c>
      <c r="L9" s="7">
        <f>((D$2+D$3+D$4)*AA9)</f>
        <v>8.9217907970738572</v>
      </c>
      <c r="M9" s="4">
        <f t="shared" si="10"/>
        <v>6.7082945003198331</v>
      </c>
      <c r="N9" s="4">
        <f t="shared" si="10"/>
        <v>51.050121147433934</v>
      </c>
      <c r="O9" s="4">
        <f t="shared" si="12"/>
        <v>0.13416589000639667</v>
      </c>
      <c r="Q9" s="45"/>
      <c r="R9" s="45"/>
      <c r="S9" s="44"/>
      <c r="T9" s="45"/>
      <c r="U9" s="45"/>
      <c r="V9" s="63">
        <v>4.028885415649115</v>
      </c>
      <c r="W9" s="43">
        <f t="shared" si="11"/>
        <v>3.3014197348625068E-2</v>
      </c>
      <c r="X9" s="237">
        <v>3.1099999999999999E-2</v>
      </c>
      <c r="Y9" s="237">
        <v>0.75190000000000001</v>
      </c>
      <c r="Z9" s="63">
        <v>7.61</v>
      </c>
      <c r="AA9" s="43">
        <f t="shared" si="13"/>
        <v>1.5249211053728709E-2</v>
      </c>
      <c r="AB9" s="17">
        <v>3.6086874636924879E-2</v>
      </c>
      <c r="AC9" s="43">
        <f t="shared" si="14"/>
        <v>2.9628545395335503E-2</v>
      </c>
      <c r="AE9" s="47"/>
      <c r="AF9" s="61">
        <v>3.3000000000000002E-2</v>
      </c>
      <c r="AG9" s="61">
        <v>1.5242729027719665E-2</v>
      </c>
      <c r="AH9" s="61">
        <v>0.02</v>
      </c>
    </row>
    <row r="10" spans="1:34" x14ac:dyDescent="0.3">
      <c r="A10" s="58" t="s">
        <v>744</v>
      </c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6.7862581266575432</v>
      </c>
      <c r="J10" s="4">
        <f t="shared" ref="J10:J12" si="15">I10*V10</f>
        <v>26.873582181563872</v>
      </c>
      <c r="K10" s="4">
        <f t="shared" ref="K10:K12" si="16">I10*X10</f>
        <v>0.16083431760178377</v>
      </c>
      <c r="L10" s="7">
        <f t="shared" ref="L10:L12" si="17">((D$2+D$3+D$4)*AA10)</f>
        <v>7.2231907752712221</v>
      </c>
      <c r="M10" s="4">
        <f t="shared" ref="M10:N10" si="18">L10*Y10</f>
        <v>5.4101698906781452</v>
      </c>
      <c r="N10" s="4">
        <f t="shared" si="18"/>
        <v>41.351616998813853</v>
      </c>
      <c r="O10" s="4">
        <f t="shared" si="12"/>
        <v>0.14607458704830992</v>
      </c>
      <c r="Q10" s="45"/>
      <c r="R10" s="45"/>
      <c r="S10" s="44"/>
      <c r="T10" s="45"/>
      <c r="U10" s="45"/>
      <c r="V10" s="63">
        <v>3.96</v>
      </c>
      <c r="W10" s="43">
        <f t="shared" si="11"/>
        <v>1.4006023117598514E-2</v>
      </c>
      <c r="X10" s="237">
        <v>2.3699999999999999E-2</v>
      </c>
      <c r="Y10" s="237">
        <v>0.749</v>
      </c>
      <c r="Z10" s="63">
        <v>7.6433121019108281</v>
      </c>
      <c r="AA10" s="43">
        <f t="shared" si="13"/>
        <v>1.2345947480586877E-2</v>
      </c>
      <c r="AB10" s="17">
        <v>5.9169428450324786E-3</v>
      </c>
      <c r="AC10" s="43">
        <f t="shared" si="14"/>
        <v>3.999853628370293E-2</v>
      </c>
      <c r="AE10" s="47"/>
      <c r="AF10" s="61">
        <v>1.4E-2</v>
      </c>
      <c r="AG10" s="61">
        <v>1.2340699553176503E-2</v>
      </c>
      <c r="AH10" s="61">
        <v>2.7E-2</v>
      </c>
    </row>
    <row r="11" spans="1:34" x14ac:dyDescent="0.3"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4.0214480433331101E-3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326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5.4184423294560906</v>
      </c>
      <c r="J15" s="4">
        <f t="shared" ref="J15:J22" si="22">I15*V15</f>
        <v>30.171173521760245</v>
      </c>
      <c r="K15" s="4">
        <f t="shared" ref="K15:K22" si="23">I15*X15</f>
        <v>0</v>
      </c>
      <c r="L15" s="7">
        <f t="shared" ref="L15:L20" si="24">((D$2+D$3+D$4)*AA15)</f>
        <v>124.67199517362447</v>
      </c>
      <c r="M15" s="4">
        <f t="shared" ref="M15:N19" si="25">L15*Y15</f>
        <v>73.436299602231898</v>
      </c>
      <c r="N15" s="4">
        <f t="shared" si="25"/>
        <v>1053.8108992920277</v>
      </c>
      <c r="O15" s="4">
        <f t="shared" ref="O15:O22" si="26">M15*AH15</f>
        <v>4.3091956701704817</v>
      </c>
      <c r="Q15" s="45"/>
      <c r="R15" s="45"/>
      <c r="S15" s="44"/>
      <c r="T15" s="45"/>
      <c r="U15" s="45"/>
      <c r="V15" s="63">
        <v>5.568237454100367</v>
      </c>
      <c r="W15" s="43">
        <f t="shared" ref="W15:W22" si="27">(AF15/SUM(AF$2:AF$22))*0.98</f>
        <v>1.1183015309957727E-2</v>
      </c>
      <c r="X15" s="237">
        <v>0</v>
      </c>
      <c r="Y15" s="237">
        <v>0.58903605015673988</v>
      </c>
      <c r="Z15" s="63">
        <v>14.35</v>
      </c>
      <c r="AA15" s="43">
        <f t="shared" ref="AA15:AA22" si="28">(AG15/SUM(AG$7:AG$27))*0.98</f>
        <v>0.21309057902541045</v>
      </c>
      <c r="AB15" s="17">
        <v>0.1993113419107847</v>
      </c>
      <c r="AC15" s="43">
        <f t="shared" ref="AC15:AC22" si="29">(AH15/SUM(AH$7:AH$27))*0.98</f>
        <v>8.6929216356612937E-2</v>
      </c>
      <c r="AE15" s="47"/>
      <c r="AF15" s="61">
        <v>1.1178206192069494E-2</v>
      </c>
      <c r="AG15" s="61">
        <v>0.21299999999999999</v>
      </c>
      <c r="AH15" s="61">
        <v>5.8679368289405412E-2</v>
      </c>
    </row>
    <row r="16" spans="1:34" x14ac:dyDescent="0.3">
      <c r="A16" s="66" t="s">
        <v>249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84.285292511746107</v>
      </c>
      <c r="M16" s="4">
        <f t="shared" si="25"/>
        <v>52.998591931385953</v>
      </c>
      <c r="N16" s="4">
        <f t="shared" si="25"/>
        <v>623.26344111309879</v>
      </c>
      <c r="O16" s="4">
        <f t="shared" si="26"/>
        <v>4.1064797127260952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0.62880000000000003</v>
      </c>
      <c r="Z16" s="63">
        <v>11.76</v>
      </c>
      <c r="AA16" s="43">
        <f t="shared" si="28"/>
        <v>0.14406123652422115</v>
      </c>
      <c r="AB16" s="17">
        <v>0.12380296082197549</v>
      </c>
      <c r="AC16" s="43">
        <f t="shared" si="29"/>
        <v>0.11478514442520178</v>
      </c>
      <c r="AE16" s="47"/>
      <c r="AF16" s="61">
        <v>0</v>
      </c>
      <c r="AG16" s="61">
        <v>0.14399999999999999</v>
      </c>
      <c r="AH16" s="61">
        <v>7.7482807808224502E-2</v>
      </c>
    </row>
    <row r="17" spans="1:34" x14ac:dyDescent="0.3">
      <c r="A17" s="101" t="s">
        <v>592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22.241952190599669</v>
      </c>
      <c r="M17" s="4">
        <f t="shared" si="25"/>
        <v>12.268660828334777</v>
      </c>
      <c r="N17" s="4">
        <f t="shared" si="25"/>
        <v>154.70781304530155</v>
      </c>
      <c r="O17" s="4">
        <f t="shared" si="26"/>
        <v>0.93469932443815062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0.55159999999999998</v>
      </c>
      <c r="Z17" s="63">
        <v>12.61</v>
      </c>
      <c r="AA17" s="43">
        <f t="shared" si="28"/>
        <v>3.8016159638336135E-2</v>
      </c>
      <c r="AB17" s="17">
        <v>9.0701916920885875E-2</v>
      </c>
      <c r="AC17" s="43">
        <f t="shared" si="29"/>
        <v>0.11286391299181446</v>
      </c>
      <c r="AE17" s="47"/>
      <c r="AF17" s="61">
        <v>0</v>
      </c>
      <c r="AG17" s="61">
        <v>3.7999999999999999E-2</v>
      </c>
      <c r="AH17" s="61">
        <v>7.6185929134126792E-2</v>
      </c>
    </row>
    <row r="18" spans="1:34" x14ac:dyDescent="0.3">
      <c r="A18" s="101" t="s">
        <v>674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1.5106496362552679</v>
      </c>
      <c r="J18" s="4">
        <f t="shared" si="22"/>
        <v>9.2849684960079895</v>
      </c>
      <c r="K18" s="4">
        <f t="shared" si="23"/>
        <v>7.3690226158793573E-2</v>
      </c>
      <c r="L18" s="7">
        <f t="shared" si="24"/>
        <v>55.604880476499176</v>
      </c>
      <c r="M18" s="4">
        <f t="shared" si="25"/>
        <v>33.640952688281999</v>
      </c>
      <c r="N18" s="4">
        <f t="shared" si="25"/>
        <v>407.39193705509501</v>
      </c>
      <c r="O18" s="4">
        <f t="shared" si="26"/>
        <v>2.3328501620833366</v>
      </c>
      <c r="Q18" s="45"/>
      <c r="R18" s="45"/>
      <c r="S18" s="44"/>
      <c r="T18" s="45"/>
      <c r="U18" s="45"/>
      <c r="V18" s="63">
        <v>6.1463414634146352</v>
      </c>
      <c r="W18" s="43">
        <f t="shared" si="27"/>
        <v>3.1177997260184061E-3</v>
      </c>
      <c r="X18" s="237">
        <v>4.8780487804878057E-2</v>
      </c>
      <c r="Y18" s="237">
        <v>0.60499999999999998</v>
      </c>
      <c r="Z18" s="63">
        <v>12.11</v>
      </c>
      <c r="AA18" s="43">
        <f t="shared" si="28"/>
        <v>9.5040399095840347E-2</v>
      </c>
      <c r="AB18" s="17">
        <v>7.2569469037278622E-2</v>
      </c>
      <c r="AC18" s="43">
        <f t="shared" si="29"/>
        <v>0.10273037979670209</v>
      </c>
      <c r="AE18" s="47"/>
      <c r="AF18" s="61">
        <v>3.1164589546773371E-3</v>
      </c>
      <c r="AG18" s="61">
        <v>9.5000000000000001E-2</v>
      </c>
      <c r="AH18" s="61">
        <v>6.9345543917842964E-2</v>
      </c>
    </row>
    <row r="19" spans="1:34" x14ac:dyDescent="0.3">
      <c r="A19" s="101" t="s">
        <v>822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20.486008596604961</v>
      </c>
      <c r="M19" s="4">
        <f t="shared" si="25"/>
        <v>10.48678780060208</v>
      </c>
      <c r="N19" s="4">
        <f t="shared" si="25"/>
        <v>123.74409604710455</v>
      </c>
      <c r="O19" s="4">
        <f t="shared" si="26"/>
        <v>0.22921940547764114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0.51190000000000002</v>
      </c>
      <c r="Z19" s="63">
        <v>11.8</v>
      </c>
      <c r="AA19" s="43">
        <f t="shared" si="28"/>
        <v>3.5014883877414867E-2</v>
      </c>
      <c r="AB19" s="17">
        <v>2.5703001397240962E-2</v>
      </c>
      <c r="AC19" s="43">
        <f t="shared" si="29"/>
        <v>3.2380923929328419E-2</v>
      </c>
      <c r="AE19" s="47"/>
      <c r="AF19" s="61">
        <v>0</v>
      </c>
      <c r="AG19" s="61">
        <v>3.5000000000000003E-2</v>
      </c>
      <c r="AH19" s="61">
        <v>2.1857923497267763E-2</v>
      </c>
    </row>
    <row r="20" spans="1:34" x14ac:dyDescent="0.3">
      <c r="A20" s="101" t="s">
        <v>593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13.462234220626115</v>
      </c>
      <c r="M20" s="4">
        <f t="shared" ref="M20:N20" si="30">L20*Y20</f>
        <v>7.7677091453012679</v>
      </c>
      <c r="N20" s="4">
        <f t="shared" si="30"/>
        <v>96.483124120584165</v>
      </c>
      <c r="O20" s="4">
        <f t="shared" si="26"/>
        <v>0.42109160103475296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0.57699999999999996</v>
      </c>
      <c r="Z20" s="63">
        <v>12.421052631578947</v>
      </c>
      <c r="AA20" s="43">
        <f t="shared" si="28"/>
        <v>2.3009780833729766E-2</v>
      </c>
      <c r="AB20" s="17">
        <v>1.2913762741130704E-2</v>
      </c>
      <c r="AC20" s="43">
        <f t="shared" si="29"/>
        <v>8.0308951992619906E-2</v>
      </c>
      <c r="AE20" s="47"/>
      <c r="AF20" s="61">
        <v>0</v>
      </c>
      <c r="AG20" s="61">
        <v>2.3E-2</v>
      </c>
      <c r="AH20" s="61">
        <v>5.4210526315789473E-2</v>
      </c>
    </row>
    <row r="21" spans="1:34" x14ac:dyDescent="0.3">
      <c r="A21" s="101"/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1.2514351805374456E-2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1.6496008854847991E-2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200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88.967808762398676</v>
      </c>
      <c r="M24" s="4">
        <f t="shared" ref="M24:N27" si="34">L24*Y24</f>
        <v>58.007011313083936</v>
      </c>
      <c r="N24" s="4">
        <f t="shared" si="34"/>
        <v>662.44006919541857</v>
      </c>
      <c r="O24" s="4">
        <f t="shared" ref="O24:O27" si="35">M24*AH24</f>
        <v>4.4085328597943789</v>
      </c>
      <c r="Q24" s="45"/>
      <c r="R24" s="45"/>
      <c r="S24" s="44"/>
      <c r="T24" s="45"/>
      <c r="U24" s="45"/>
      <c r="V24" s="46"/>
      <c r="W24" s="46"/>
      <c r="X24" s="45"/>
      <c r="Y24" s="237">
        <v>0.65200000000000002</v>
      </c>
      <c r="Z24" s="236">
        <v>11.42</v>
      </c>
      <c r="AA24" s="43">
        <f t="shared" ref="AA24:AA27" si="36">(AG24/SUM(AG$7:AG$27))*0.98</f>
        <v>0.15206463855334454</v>
      </c>
      <c r="AB24" s="17">
        <v>9.5820640034972884E-2</v>
      </c>
      <c r="AC24" s="43">
        <f t="shared" ref="AC24:AC27" si="37">(AH24/SUM(AH$7:AH$27))*0.98</f>
        <v>0.11258847250227491</v>
      </c>
      <c r="AE24" s="47"/>
      <c r="AF24" s="47"/>
      <c r="AG24" s="61">
        <v>0.152</v>
      </c>
      <c r="AH24" s="61">
        <v>7.5999999999999998E-2</v>
      </c>
    </row>
    <row r="25" spans="1:34" x14ac:dyDescent="0.3">
      <c r="A25" s="77" t="s">
        <v>580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17.559435939947107</v>
      </c>
      <c r="M25" s="4">
        <f t="shared" si="34"/>
        <v>10.588339871788106</v>
      </c>
      <c r="N25" s="4">
        <f t="shared" si="34"/>
        <v>121.9722206098712</v>
      </c>
      <c r="O25" s="4">
        <f t="shared" si="35"/>
        <v>0.7510792602793479</v>
      </c>
      <c r="Q25" s="45"/>
      <c r="R25" s="45"/>
      <c r="S25" s="44"/>
      <c r="T25" s="45"/>
      <c r="U25" s="45"/>
      <c r="V25" s="46"/>
      <c r="W25" s="46"/>
      <c r="X25" s="45"/>
      <c r="Y25" s="237">
        <v>0.60299999999999998</v>
      </c>
      <c r="Z25" s="236">
        <v>11.519484837737187</v>
      </c>
      <c r="AA25" s="43">
        <f t="shared" si="36"/>
        <v>3.001275760921274E-2</v>
      </c>
      <c r="AB25" s="17">
        <v>7.3361355804633321E-2</v>
      </c>
      <c r="AC25" s="43">
        <f t="shared" si="37"/>
        <v>0.10508439579831709</v>
      </c>
      <c r="AE25" s="47"/>
      <c r="AF25" s="47"/>
      <c r="AG25" s="61">
        <v>0.03</v>
      </c>
      <c r="AH25" s="61">
        <v>7.0934562865756348E-2</v>
      </c>
    </row>
    <row r="26" spans="1:34" x14ac:dyDescent="0.3">
      <c r="A26" s="58" t="s">
        <v>65</v>
      </c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23.99789578459438</v>
      </c>
      <c r="M26" s="4">
        <f t="shared" si="34"/>
        <v>14.571522320405707</v>
      </c>
      <c r="N26" s="4">
        <f t="shared" si="34"/>
        <v>155.84190498683435</v>
      </c>
      <c r="O26" s="4">
        <f t="shared" si="35"/>
        <v>0.71149166568914779</v>
      </c>
      <c r="Q26" s="45"/>
      <c r="R26" s="45"/>
      <c r="S26" s="44"/>
      <c r="T26" s="45"/>
      <c r="U26" s="45"/>
      <c r="V26" s="46"/>
      <c r="W26" s="46"/>
      <c r="X26" s="45"/>
      <c r="Y26" s="237">
        <v>0.60719999999999996</v>
      </c>
      <c r="Z26" s="236">
        <v>10.694963886415357</v>
      </c>
      <c r="AA26" s="43">
        <f t="shared" si="36"/>
        <v>4.101743539925741E-2</v>
      </c>
      <c r="AB26" s="17">
        <v>3.0878556620216914E-2</v>
      </c>
      <c r="AC26" s="43">
        <f t="shared" si="37"/>
        <v>7.233445707231656E-2</v>
      </c>
      <c r="AE26" s="47"/>
      <c r="AF26" s="47"/>
      <c r="AG26" s="61">
        <v>4.1000000000000002E-2</v>
      </c>
      <c r="AH26" s="61">
        <v>4.8827545265657468E-2</v>
      </c>
    </row>
    <row r="27" spans="1:34" x14ac:dyDescent="0.3"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1.3381234990084118E-2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0.97499999999999987</v>
      </c>
      <c r="AC30" s="28">
        <f>SUM(AC7:AC27)</f>
        <v>0.97999999999999987</v>
      </c>
      <c r="AD30" s="89"/>
      <c r="AE30" s="28">
        <f>SUM(AE2:AE4,AE7:AE27)</f>
        <v>1</v>
      </c>
      <c r="AF30" s="28">
        <f>SUM(AF2:AF4,AF7:AF27)</f>
        <v>0.9795785630798276</v>
      </c>
      <c r="AG30" s="28">
        <f>SUM(AG7:AG27)</f>
        <v>0.97958342858089631</v>
      </c>
    </row>
    <row r="31" spans="1:34" s="86" customFormat="1" x14ac:dyDescent="0.3">
      <c r="A31" s="102"/>
      <c r="B31" s="80"/>
      <c r="C31" s="80"/>
      <c r="D31" s="105">
        <v>1069.5899999999999</v>
      </c>
      <c r="E31" s="106">
        <v>0.54700000000000004</v>
      </c>
      <c r="F31" s="8">
        <f>1-E31</f>
        <v>0.45299999999999996</v>
      </c>
      <c r="G31" s="234">
        <v>4.28</v>
      </c>
      <c r="H31" s="275">
        <v>3.4799999999999998E-2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585.06573000000003</v>
      </c>
      <c r="E34" s="2">
        <f>SUM(E2:E4)</f>
        <v>364.61948363347346</v>
      </c>
      <c r="F34" s="2">
        <f>SUM(F2:F4)</f>
        <v>4075.8218173250943</v>
      </c>
      <c r="G34" s="2">
        <f>SUM(G2:G4)</f>
        <v>20.845822234646704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484.52426999999994</v>
      </c>
      <c r="E37" s="2">
        <f>D37*G31</f>
        <v>2073.7638755999997</v>
      </c>
      <c r="F37" s="2">
        <f>D37*H31</f>
        <v>16.861444595999998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19" t="s">
        <v>461</v>
      </c>
      <c r="B39" s="96"/>
      <c r="C39" s="96"/>
      <c r="D39" s="35" t="s">
        <v>455</v>
      </c>
      <c r="E39" s="42" t="s">
        <v>456</v>
      </c>
      <c r="F39" s="35" t="s">
        <v>457</v>
      </c>
      <c r="G39" s="35" t="s">
        <v>453</v>
      </c>
      <c r="H39" s="42" t="s">
        <v>454</v>
      </c>
      <c r="I39" s="35" t="s">
        <v>458</v>
      </c>
      <c r="J39" s="36" t="s">
        <v>459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E39" s="98"/>
      <c r="AF39" s="94"/>
    </row>
    <row r="40" spans="1:32" ht="14.4" thickBot="1" x14ac:dyDescent="0.35">
      <c r="A40" s="116"/>
      <c r="B40" s="74"/>
      <c r="C40" s="74"/>
      <c r="D40" s="3">
        <f>SUM(I2:I22)</f>
        <v>474.83378459999994</v>
      </c>
      <c r="E40" s="3">
        <f>SUM(J2:J4,J7:J12,J15:J22)</f>
        <v>2073.2226617676415</v>
      </c>
      <c r="F40" s="3">
        <f>SUM(K2:K4,K7:K12,K15:K22)</f>
        <v>16.671409339530122</v>
      </c>
      <c r="G40" s="3">
        <f>SUM(L7:L12,L15:L22,L24:L27)</f>
        <v>573.36441539999987</v>
      </c>
      <c r="H40" s="3">
        <f>SUM(M7:M12,M15:M22,M24:M27)</f>
        <v>364.5907654802262</v>
      </c>
      <c r="I40" s="3">
        <f>SUM(N7:N12,N15:N22,N24:N27)</f>
        <v>4069.8454521348995</v>
      </c>
      <c r="J40" s="3">
        <f>SUM(O7:O12,O15:O22,O24:O27)</f>
        <v>20.810158709117346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C40" s="60"/>
    </row>
    <row r="41" spans="1:32" ht="14.4" thickTop="1" x14ac:dyDescent="0.3">
      <c r="A41" s="116"/>
      <c r="B41" s="74"/>
      <c r="C41" s="74"/>
      <c r="D41" s="50">
        <f>D37-D40</f>
        <v>9.6904854</v>
      </c>
      <c r="E41" s="50">
        <f>E37-E40</f>
        <v>0.54121383235815301</v>
      </c>
      <c r="F41" s="50">
        <f>F37-F40</f>
        <v>0.1900352564698764</v>
      </c>
      <c r="G41" s="50">
        <f>SUM(D2:D4)-G40</f>
        <v>11.70131460000016</v>
      </c>
      <c r="H41" s="50">
        <f>E34-H40</f>
        <v>2.8718153247268674E-2</v>
      </c>
      <c r="I41" s="50">
        <f>F34-I40</f>
        <v>5.9763651901948833</v>
      </c>
      <c r="J41" s="50">
        <f>G34-J40</f>
        <v>3.5663525529358253E-2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C41" s="60"/>
    </row>
    <row r="42" spans="1:32" x14ac:dyDescent="0.3">
      <c r="A42" s="116"/>
      <c r="B42" s="74"/>
      <c r="C42" s="74"/>
      <c r="D42" s="60"/>
      <c r="E42" s="60"/>
      <c r="F42" s="60"/>
      <c r="G42" s="75"/>
      <c r="I42" s="75"/>
      <c r="J42" s="76"/>
      <c r="K42" s="75"/>
      <c r="L42" s="75"/>
      <c r="M42" s="76"/>
      <c r="N42" s="75"/>
      <c r="Q42" s="60"/>
      <c r="R42" s="60"/>
      <c r="S42" s="60"/>
      <c r="T42" s="60"/>
      <c r="U42" s="60"/>
      <c r="V42" s="60"/>
      <c r="W42" s="60"/>
      <c r="X42" s="60"/>
      <c r="Y42" s="60"/>
      <c r="Z42" s="60"/>
      <c r="AC42" s="60"/>
    </row>
    <row r="43" spans="1:32" x14ac:dyDescent="0.3">
      <c r="A43" s="116"/>
      <c r="B43" s="74"/>
      <c r="C43" s="74"/>
      <c r="D43" s="60"/>
      <c r="E43" s="60"/>
      <c r="F43" s="60"/>
      <c r="G43" s="75"/>
      <c r="I43" s="75"/>
      <c r="J43" s="76"/>
      <c r="K43" s="75"/>
      <c r="L43" s="75"/>
      <c r="M43" s="76"/>
      <c r="N43" s="75"/>
      <c r="Q43" s="60"/>
      <c r="R43" s="60"/>
      <c r="S43" s="60"/>
      <c r="T43" s="60"/>
      <c r="U43" s="60"/>
      <c r="V43" s="60"/>
      <c r="W43" s="60"/>
      <c r="X43" s="60"/>
      <c r="Y43" s="60"/>
      <c r="Z43" s="60"/>
      <c r="AC43" s="60"/>
    </row>
    <row r="44" spans="1:32" x14ac:dyDescent="0.3">
      <c r="A44" s="116"/>
      <c r="B44" s="74"/>
      <c r="C44" s="74"/>
      <c r="D44" s="60"/>
      <c r="E44" s="60"/>
      <c r="F44" s="60"/>
      <c r="G44" s="75"/>
      <c r="I44" s="75"/>
      <c r="J44" s="76"/>
      <c r="K44" s="75"/>
      <c r="L44" s="75"/>
      <c r="M44" s="76"/>
      <c r="N44" s="75"/>
      <c r="Q44" s="60"/>
      <c r="R44" s="60"/>
      <c r="S44" s="60"/>
      <c r="T44" s="60"/>
      <c r="U44" s="60"/>
      <c r="V44" s="60"/>
      <c r="W44" s="60"/>
      <c r="X44" s="60"/>
      <c r="Y44" s="60"/>
      <c r="Z44" s="60"/>
      <c r="AC44" s="60"/>
    </row>
    <row r="45" spans="1:32" x14ac:dyDescent="0.3">
      <c r="A45" s="116"/>
      <c r="B45" s="74"/>
      <c r="C45" s="74"/>
      <c r="D45" s="60"/>
      <c r="E45" s="60"/>
      <c r="F45" s="60"/>
      <c r="G45" s="75"/>
      <c r="I45" s="75"/>
      <c r="J45" s="76"/>
      <c r="K45" s="75"/>
      <c r="L45" s="75"/>
      <c r="M45" s="76"/>
      <c r="N45" s="75"/>
      <c r="Q45" s="60"/>
      <c r="R45" s="60"/>
      <c r="S45" s="60"/>
      <c r="T45" s="60"/>
      <c r="U45" s="60"/>
      <c r="V45" s="60"/>
      <c r="W45" s="60"/>
      <c r="X45" s="60"/>
      <c r="Y45" s="60"/>
      <c r="Z45" s="60"/>
      <c r="AC45" s="60"/>
    </row>
    <row r="46" spans="1:32" x14ac:dyDescent="0.3">
      <c r="A46" s="116"/>
      <c r="B46" s="74"/>
      <c r="C46" s="74"/>
      <c r="D46" s="60"/>
      <c r="E46" s="60"/>
      <c r="F46" s="60"/>
      <c r="G46" s="75"/>
      <c r="I46" s="75"/>
      <c r="J46" s="76"/>
      <c r="K46" s="75"/>
      <c r="L46" s="75"/>
      <c r="M46" s="76"/>
      <c r="N46" s="75"/>
      <c r="Q46" s="60"/>
      <c r="R46" s="60"/>
      <c r="S46" s="60"/>
      <c r="T46" s="60"/>
      <c r="U46" s="60"/>
      <c r="V46" s="60"/>
      <c r="W46" s="60"/>
      <c r="X46" s="60"/>
      <c r="Y46" s="60"/>
      <c r="Z46" s="60"/>
      <c r="AC46" s="60"/>
    </row>
  </sheetData>
  <sheetProtection sheet="1" selectLockedCells="1"/>
  <conditionalFormatting sqref="AA30:AB30 AD30:AF30">
    <cfRule type="cellIs" dxfId="386" priority="14" operator="greaterThan">
      <formula>1</formula>
    </cfRule>
    <cfRule type="cellIs" dxfId="385" priority="15" operator="greaterThan">
      <formula>1</formula>
    </cfRule>
  </conditionalFormatting>
  <conditionalFormatting sqref="AC30">
    <cfRule type="cellIs" dxfId="384" priority="10" operator="greaterThan">
      <formula>1</formula>
    </cfRule>
    <cfRule type="cellIs" dxfId="383" priority="11" operator="greaterThan">
      <formula>1</formula>
    </cfRule>
  </conditionalFormatting>
  <conditionalFormatting sqref="AG30">
    <cfRule type="cellIs" dxfId="382" priority="8" operator="greaterThan">
      <formula>1</formula>
    </cfRule>
    <cfRule type="cellIs" dxfId="381" priority="9" operator="greaterThan">
      <formula>1</formula>
    </cfRule>
  </conditionalFormatting>
  <conditionalFormatting sqref="W30">
    <cfRule type="cellIs" dxfId="380" priority="2" operator="greaterThan">
      <formula>1</formula>
    </cfRule>
    <cfRule type="cellIs" dxfId="379" priority="3" operator="greaterThan">
      <formula>1</formula>
    </cfRule>
  </conditionalFormatting>
  <conditionalFormatting sqref="D41:J41">
    <cfRule type="cellIs" dxfId="378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6600"/>
  </sheetPr>
  <dimension ref="A1:AH44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201</v>
      </c>
      <c r="B2" s="59" t="s">
        <v>9</v>
      </c>
      <c r="C2" s="60">
        <v>10</v>
      </c>
      <c r="D2" s="4">
        <f>D$34*Q2</f>
        <v>619.48004580000008</v>
      </c>
      <c r="E2" s="4">
        <f>D2*R2</f>
        <v>420.15831819475358</v>
      </c>
      <c r="F2" s="4">
        <f>E2*S2</f>
        <v>5130.1330651579419</v>
      </c>
      <c r="G2" s="4">
        <f t="shared" ref="G2:G3" si="0">E2*T2</f>
        <v>37.394090319333067</v>
      </c>
      <c r="H2" s="4">
        <f>E2*U2</f>
        <v>9.9590801954200856</v>
      </c>
      <c r="I2" s="4">
        <f>D$37*W2</f>
        <v>39.767721090205143</v>
      </c>
      <c r="J2" s="4">
        <f>I2*V2</f>
        <v>139.58470102662005</v>
      </c>
      <c r="K2" s="4">
        <f>I2*X2</f>
        <v>2.1433940800279623</v>
      </c>
      <c r="L2" s="44"/>
      <c r="M2" s="44"/>
      <c r="N2" s="44"/>
      <c r="O2" s="44"/>
      <c r="Q2" s="43">
        <f>AE2</f>
        <v>0.99</v>
      </c>
      <c r="R2" s="61">
        <v>0.67824350605540284</v>
      </c>
      <c r="S2" s="236">
        <v>12.21</v>
      </c>
      <c r="T2" s="237">
        <v>8.8999999999999996E-2</v>
      </c>
      <c r="U2" s="61">
        <v>2.37031608423466E-2</v>
      </c>
      <c r="V2" s="236">
        <v>3.51</v>
      </c>
      <c r="W2" s="43">
        <f>(AF2/SUM(AF$2:AF$22))*0.98</f>
        <v>9.298202248494733E-2</v>
      </c>
      <c r="X2" s="61">
        <v>5.3897835261067645E-2</v>
      </c>
      <c r="Y2" s="64"/>
      <c r="Z2" s="65"/>
      <c r="AA2" s="1"/>
      <c r="AB2" s="1"/>
      <c r="AC2" s="1"/>
      <c r="AE2" s="61">
        <v>0.99</v>
      </c>
      <c r="AF2" s="61">
        <v>9.2999999999999999E-2</v>
      </c>
      <c r="AG2" s="47"/>
      <c r="AH2" s="47"/>
    </row>
    <row r="3" spans="1:34" x14ac:dyDescent="0.3">
      <c r="A3" s="58" t="s">
        <v>265</v>
      </c>
      <c r="B3" s="59" t="s">
        <v>9</v>
      </c>
      <c r="C3" s="60">
        <v>10</v>
      </c>
      <c r="D3" s="4">
        <f>D$34*Q3</f>
        <v>6.2573742000000063</v>
      </c>
      <c r="E3" s="4">
        <f t="shared" ref="E3:E4" si="1">D3*R3</f>
        <v>3.7397932164900691</v>
      </c>
      <c r="F3" s="4">
        <f t="shared" ref="F3:F4" si="2">E3*S3</f>
        <v>37.933523311632968</v>
      </c>
      <c r="G3" s="4">
        <f t="shared" si="0"/>
        <v>0.26579311394416105</v>
      </c>
      <c r="H3" s="4">
        <f t="shared" ref="H3" si="3">E3*U3</f>
        <v>7.3323542490030577E-2</v>
      </c>
      <c r="I3" s="4">
        <f t="shared" ref="I3:I4" si="4">D$37*W3</f>
        <v>1.2330949218433878</v>
      </c>
      <c r="J3" s="4">
        <f>I3*V3</f>
        <v>4.1925227342675182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0.59766175027379143</v>
      </c>
      <c r="S3" s="236">
        <v>10.143214107232097</v>
      </c>
      <c r="T3" s="237">
        <v>7.1071607053616051E-2</v>
      </c>
      <c r="U3" s="61">
        <v>1.9606309291840304E-2</v>
      </c>
      <c r="V3" s="236">
        <v>3.4</v>
      </c>
      <c r="W3" s="43">
        <f t="shared" ref="W3:W4" si="6">(AF3/SUM(AF$2:AF$22))*0.98</f>
        <v>2.8831337729623169E-3</v>
      </c>
      <c r="X3" s="61">
        <v>0</v>
      </c>
      <c r="Y3" s="64"/>
      <c r="Z3" s="65"/>
      <c r="AA3" s="1"/>
      <c r="AB3" s="1"/>
      <c r="AC3" s="1"/>
      <c r="AE3" s="61">
        <f>1-AE2</f>
        <v>1.0000000000000009E-2</v>
      </c>
      <c r="AF3" s="61">
        <v>2.8836912095443253E-3</v>
      </c>
      <c r="AG3" s="47"/>
      <c r="AH3" s="47"/>
    </row>
    <row r="4" spans="1:34" x14ac:dyDescent="0.3">
      <c r="B4" s="59" t="s">
        <v>9</v>
      </c>
      <c r="C4" s="60">
        <v>10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39</v>
      </c>
      <c r="B7" s="59" t="s">
        <v>357</v>
      </c>
      <c r="C7" s="60">
        <v>10</v>
      </c>
      <c r="D7" s="44"/>
      <c r="E7" s="44"/>
      <c r="F7" s="44"/>
      <c r="G7" s="44"/>
      <c r="H7" s="44"/>
      <c r="I7" s="4">
        <f t="shared" ref="I7:I12" si="9">D$37*W7</f>
        <v>270.05028740043531</v>
      </c>
      <c r="J7" s="4">
        <f>I7*V7</f>
        <v>1134.2112070818284</v>
      </c>
      <c r="K7" s="4">
        <f>I7*X7</f>
        <v>10.288915949956586</v>
      </c>
      <c r="L7" s="7">
        <f>((D$2+D$3+D$4)*AA7)</f>
        <v>55.88072590833319</v>
      </c>
      <c r="M7" s="4">
        <f t="shared" ref="M7:N9" si="10">L7*Y7</f>
        <v>43.727517730194201</v>
      </c>
      <c r="N7" s="4">
        <f t="shared" si="10"/>
        <v>319.64815460771962</v>
      </c>
      <c r="O7" s="4">
        <f>M7*AH7</f>
        <v>2.973471205653206</v>
      </c>
      <c r="Q7" s="45"/>
      <c r="R7" s="45"/>
      <c r="S7" s="44"/>
      <c r="T7" s="45"/>
      <c r="U7" s="45"/>
      <c r="V7" s="63">
        <v>4.2</v>
      </c>
      <c r="W7" s="43">
        <f t="shared" ref="W7:W12" si="11">(AF7/SUM(AF$2:AF$22))*0.98</f>
        <v>0.63141214046882754</v>
      </c>
      <c r="X7" s="237">
        <v>3.8100000000000002E-2</v>
      </c>
      <c r="Y7" s="237">
        <v>0.78251520572450817</v>
      </c>
      <c r="Z7" s="63">
        <v>7.31</v>
      </c>
      <c r="AA7" s="43">
        <f>(AG7/SUM(AG$7:AG$27))*0.98</f>
        <v>8.9303794406818737E-2</v>
      </c>
      <c r="AB7" s="17">
        <v>0.11019295035647354</v>
      </c>
      <c r="AC7" s="43">
        <f>(AH7/SUM(AH$7:AH$27))*0.98</f>
        <v>7.6368445424738571E-2</v>
      </c>
      <c r="AE7" s="47"/>
      <c r="AF7" s="61">
        <v>0.63153422021022654</v>
      </c>
      <c r="AG7" s="61">
        <v>8.9334596610827585E-2</v>
      </c>
      <c r="AH7" s="61">
        <v>6.8000000000000005E-2</v>
      </c>
    </row>
    <row r="8" spans="1:34" x14ac:dyDescent="0.3">
      <c r="A8" s="101" t="s">
        <v>303</v>
      </c>
      <c r="B8" s="59" t="s">
        <v>357</v>
      </c>
      <c r="C8" s="60">
        <v>10</v>
      </c>
      <c r="D8" s="44"/>
      <c r="E8" s="44"/>
      <c r="F8" s="44"/>
      <c r="G8" s="44"/>
      <c r="H8" s="44"/>
      <c r="I8" s="4">
        <f t="shared" si="9"/>
        <v>66.279535150341914</v>
      </c>
      <c r="J8" s="4">
        <f>I8*V8</f>
        <v>274.34533016958886</v>
      </c>
      <c r="K8" s="4">
        <f>I8*X8</f>
        <v>1.8558269842095736</v>
      </c>
      <c r="L8" s="7">
        <f>((D$2+D$3+D$4)*AA8)</f>
        <v>33.152648419556371</v>
      </c>
      <c r="M8" s="4">
        <f t="shared" si="10"/>
        <v>22.016673815427385</v>
      </c>
      <c r="N8" s="4">
        <f t="shared" si="10"/>
        <v>170.66607267687289</v>
      </c>
      <c r="O8" s="4">
        <f t="shared" ref="O8:O12" si="12">M8*AH8</f>
        <v>1.2549504074793609</v>
      </c>
      <c r="Q8" s="45"/>
      <c r="R8" s="45"/>
      <c r="S8" s="44"/>
      <c r="T8" s="45"/>
      <c r="U8" s="45"/>
      <c r="V8" s="63">
        <v>4.139216268600725</v>
      </c>
      <c r="W8" s="43">
        <f t="shared" si="11"/>
        <v>0.15497003747491223</v>
      </c>
      <c r="X8" s="237">
        <v>2.8000000000000001E-2</v>
      </c>
      <c r="Y8" s="237">
        <v>0.66410000000000002</v>
      </c>
      <c r="Z8" s="63">
        <v>7.7516737590618634</v>
      </c>
      <c r="AA8" s="43">
        <f t="shared" ref="AA8:AA12" si="13">(AG8/SUM(AG$7:AG$27))*0.98</f>
        <v>5.2981725816487635E-2</v>
      </c>
      <c r="AB8" s="17">
        <v>3.0610151942138949E-2</v>
      </c>
      <c r="AC8" s="43">
        <f t="shared" ref="AC8:AC12" si="14">(AH8/SUM(AH$7:AH$27))*0.98</f>
        <v>6.4014726311913211E-2</v>
      </c>
      <c r="AE8" s="47"/>
      <c r="AF8" s="61">
        <v>0.155</v>
      </c>
      <c r="AG8" s="61">
        <v>5.2999999999999999E-2</v>
      </c>
      <c r="AH8" s="61">
        <v>5.7000000000000002E-2</v>
      </c>
    </row>
    <row r="9" spans="1:34" x14ac:dyDescent="0.3">
      <c r="A9" s="66" t="s">
        <v>302</v>
      </c>
      <c r="B9" s="59" t="s">
        <v>357</v>
      </c>
      <c r="C9" s="60">
        <v>10</v>
      </c>
      <c r="D9" s="44"/>
      <c r="E9" s="44"/>
      <c r="F9" s="44"/>
      <c r="G9" s="44"/>
      <c r="H9" s="44"/>
      <c r="I9" s="4">
        <f t="shared" si="9"/>
        <v>30.360303197898546</v>
      </c>
      <c r="J9" s="4">
        <f>I9*V9</f>
        <v>124.47724311138403</v>
      </c>
      <c r="K9" s="4">
        <f>I9*X9</f>
        <v>0.70465451689717185</v>
      </c>
      <c r="L9" s="7">
        <f>((D$2+D$3+D$4)*AA9)</f>
        <v>30.025040078088786</v>
      </c>
      <c r="M9" s="4">
        <f t="shared" si="10"/>
        <v>20.777327734037438</v>
      </c>
      <c r="N9" s="4">
        <f t="shared" si="10"/>
        <v>147.31125363432542</v>
      </c>
      <c r="O9" s="4">
        <f t="shared" si="12"/>
        <v>0.99731173123379702</v>
      </c>
      <c r="Q9" s="45"/>
      <c r="R9" s="45"/>
      <c r="S9" s="44"/>
      <c r="T9" s="45"/>
      <c r="U9" s="45"/>
      <c r="V9" s="63">
        <v>4.0999999999999996</v>
      </c>
      <c r="W9" s="43">
        <f t="shared" si="11"/>
        <v>7.0986275230443652E-2</v>
      </c>
      <c r="X9" s="237">
        <v>2.3209732534751039E-2</v>
      </c>
      <c r="Y9" s="237">
        <v>0.69199999999999995</v>
      </c>
      <c r="Z9" s="63">
        <v>7.09</v>
      </c>
      <c r="AA9" s="43">
        <f t="shared" si="13"/>
        <v>4.7983449796064274E-2</v>
      </c>
      <c r="AB9" s="17">
        <v>2.4073819007893484E-2</v>
      </c>
      <c r="AC9" s="43">
        <f t="shared" si="14"/>
        <v>5.3907137946874281E-2</v>
      </c>
      <c r="AE9" s="47"/>
      <c r="AF9" s="61">
        <v>7.0999999999999994E-2</v>
      </c>
      <c r="AG9" s="61">
        <v>4.8000000000000001E-2</v>
      </c>
      <c r="AH9" s="61">
        <v>4.8000000000000001E-2</v>
      </c>
    </row>
    <row r="10" spans="1:34" x14ac:dyDescent="0.3">
      <c r="A10" s="101"/>
      <c r="B10" s="59" t="s">
        <v>357</v>
      </c>
      <c r="C10" s="60">
        <v>10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1.5647423061763123E-2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A11" s="101"/>
      <c r="B11" s="59" t="s">
        <v>357</v>
      </c>
      <c r="C11" s="60">
        <v>10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4.7228101233942645E-3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10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327</v>
      </c>
      <c r="B15" s="59" t="s">
        <v>358</v>
      </c>
      <c r="C15" s="60">
        <v>10</v>
      </c>
      <c r="D15" s="44"/>
      <c r="E15" s="44"/>
      <c r="F15" s="44"/>
      <c r="G15" s="44"/>
      <c r="H15" s="44"/>
      <c r="I15" s="4">
        <f t="shared" ref="I15:I22" si="21">D$37*W15</f>
        <v>8.948269905809445</v>
      </c>
      <c r="J15" s="4">
        <f t="shared" ref="J15:J22" si="22">I15*V15</f>
        <v>46.033349728575963</v>
      </c>
      <c r="K15" s="4">
        <f t="shared" ref="K15:K22" si="23">I15*X15</f>
        <v>0</v>
      </c>
      <c r="L15" s="7">
        <f>((D$2+D$3+D$4)*AA15)</f>
        <v>141.99341870262825</v>
      </c>
      <c r="M15" s="4">
        <f t="shared" ref="M15:N19" si="24">L15*Y15</f>
        <v>91.642552430676261</v>
      </c>
      <c r="N15" s="4">
        <f t="shared" si="24"/>
        <v>1573.5026252347116</v>
      </c>
      <c r="O15" s="4">
        <f t="shared" ref="O15:O22" si="25">M15*AH15</f>
        <v>12.00517436841859</v>
      </c>
      <c r="Q15" s="45"/>
      <c r="R15" s="45"/>
      <c r="S15" s="44"/>
      <c r="T15" s="45"/>
      <c r="U15" s="45"/>
      <c r="V15" s="63">
        <v>5.1443854748603348</v>
      </c>
      <c r="W15" s="43">
        <f t="shared" ref="W15:W22" si="26">(AF15/SUM(AF$2:AF$22))*0.98</f>
        <v>2.0922200487577886E-2</v>
      </c>
      <c r="X15" s="237">
        <v>0</v>
      </c>
      <c r="Y15" s="237">
        <v>0.64539999999999997</v>
      </c>
      <c r="Z15" s="63">
        <v>17.170000000000002</v>
      </c>
      <c r="AA15" s="43">
        <f t="shared" ref="AA15:AA22" si="27">(AG15/SUM(AG$7:AG$27))*0.98</f>
        <v>0.22692173132722065</v>
      </c>
      <c r="AB15" s="17">
        <v>0.17413459905904427</v>
      </c>
      <c r="AC15" s="43">
        <f t="shared" ref="AC15:AC22" si="28">(AH15/SUM(AH$7:AH$27))*0.98</f>
        <v>0.14712156398001106</v>
      </c>
      <c r="AE15" s="47"/>
      <c r="AF15" s="61">
        <v>2.0926245669260844E-2</v>
      </c>
      <c r="AG15" s="61">
        <v>0.22700000000000001</v>
      </c>
      <c r="AH15" s="61">
        <v>0.13100000000000001</v>
      </c>
    </row>
    <row r="16" spans="1:34" x14ac:dyDescent="0.3">
      <c r="A16" s="66" t="s">
        <v>202</v>
      </c>
      <c r="B16" s="59" t="s">
        <v>358</v>
      </c>
      <c r="C16" s="60">
        <v>10</v>
      </c>
      <c r="D16" s="44"/>
      <c r="E16" s="44"/>
      <c r="F16" s="44"/>
      <c r="G16" s="44"/>
      <c r="H16" s="44"/>
      <c r="I16" s="4">
        <f t="shared" si="21"/>
        <v>0.12497583667331634</v>
      </c>
      <c r="J16" s="4">
        <f t="shared" si="22"/>
        <v>0.69986468537057145</v>
      </c>
      <c r="K16" s="4">
        <f t="shared" si="23"/>
        <v>0</v>
      </c>
      <c r="L16" s="7">
        <f>((D$2+D$3+D$4)*AA16)</f>
        <v>131.98507200993194</v>
      </c>
      <c r="M16" s="4">
        <f t="shared" si="24"/>
        <v>86.96496394734416</v>
      </c>
      <c r="N16" s="4">
        <f t="shared" si="24"/>
        <v>1250.5561815628091</v>
      </c>
      <c r="O16" s="4">
        <f t="shared" si="25"/>
        <v>8.0007766831556619</v>
      </c>
      <c r="Q16" s="45"/>
      <c r="R16" s="45"/>
      <c r="S16" s="44"/>
      <c r="T16" s="45"/>
      <c r="U16" s="45"/>
      <c r="V16" s="63">
        <v>5.6</v>
      </c>
      <c r="W16" s="43">
        <f t="shared" si="26"/>
        <v>2.9220950401645106E-4</v>
      </c>
      <c r="X16" s="237">
        <v>0</v>
      </c>
      <c r="Y16" s="237">
        <v>0.65890000000000004</v>
      </c>
      <c r="Z16" s="63">
        <v>14.38</v>
      </c>
      <c r="AA16" s="43">
        <f t="shared" si="27"/>
        <v>0.21092724806186586</v>
      </c>
      <c r="AB16" s="17">
        <v>0.17701615556825709</v>
      </c>
      <c r="AC16" s="43">
        <f t="shared" si="28"/>
        <v>0.1033220143981757</v>
      </c>
      <c r="AE16" s="47"/>
      <c r="AF16" s="61">
        <v>2.9226600096733028E-4</v>
      </c>
      <c r="AG16" s="61">
        <v>0.21099999999999999</v>
      </c>
      <c r="AH16" s="61">
        <v>9.1999999999999998E-2</v>
      </c>
    </row>
    <row r="17" spans="1:34" x14ac:dyDescent="0.3">
      <c r="A17" s="66" t="s">
        <v>38</v>
      </c>
      <c r="B17" s="59" t="s">
        <v>358</v>
      </c>
      <c r="C17" s="60">
        <v>10</v>
      </c>
      <c r="D17" s="44"/>
      <c r="E17" s="44"/>
      <c r="F17" s="44"/>
      <c r="G17" s="44"/>
      <c r="H17" s="44"/>
      <c r="I17" s="4">
        <f t="shared" si="21"/>
        <v>2.3745408967930097</v>
      </c>
      <c r="J17" s="4">
        <f t="shared" si="22"/>
        <v>15.553242873994213</v>
      </c>
      <c r="K17" s="4">
        <f t="shared" si="23"/>
        <v>0</v>
      </c>
      <c r="L17" s="7">
        <f>((D$2+D$3+D$4)*AA17)</f>
        <v>100.70898859525614</v>
      </c>
      <c r="M17" s="4">
        <f t="shared" si="24"/>
        <v>71.634303587805704</v>
      </c>
      <c r="N17" s="4">
        <f t="shared" si="24"/>
        <v>850.29918358725365</v>
      </c>
      <c r="O17" s="4">
        <f t="shared" si="25"/>
        <v>4.8910741951336316</v>
      </c>
      <c r="Q17" s="45"/>
      <c r="R17" s="45"/>
      <c r="S17" s="44"/>
      <c r="T17" s="45"/>
      <c r="U17" s="45"/>
      <c r="V17" s="63">
        <v>6.55</v>
      </c>
      <c r="W17" s="43">
        <f t="shared" si="26"/>
        <v>5.5519805763125686E-3</v>
      </c>
      <c r="X17" s="237">
        <v>0</v>
      </c>
      <c r="Y17" s="237">
        <v>0.71130000000000004</v>
      </c>
      <c r="Z17" s="63">
        <v>11.87</v>
      </c>
      <c r="AA17" s="43">
        <f t="shared" si="27"/>
        <v>0.16094448785763227</v>
      </c>
      <c r="AB17" s="17">
        <v>0.18602938435109759</v>
      </c>
      <c r="AC17" s="43">
        <f t="shared" si="28"/>
        <v>7.6681084265224519E-2</v>
      </c>
      <c r="AE17" s="47"/>
      <c r="AF17" s="61">
        <v>5.5530540183792746E-3</v>
      </c>
      <c r="AG17" s="61">
        <v>0.161</v>
      </c>
      <c r="AH17" s="61">
        <v>6.8278379912473083E-2</v>
      </c>
    </row>
    <row r="18" spans="1:34" x14ac:dyDescent="0.3">
      <c r="A18" s="66" t="s">
        <v>594</v>
      </c>
      <c r="B18" s="59" t="s">
        <v>358</v>
      </c>
      <c r="C18" s="60">
        <v>10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>((D$2+D$3+D$4)*AA18)</f>
        <v>6.9975864285927072</v>
      </c>
      <c r="M18" s="4">
        <f t="shared" si="24"/>
        <v>4.4952495217279553</v>
      </c>
      <c r="N18" s="4">
        <f t="shared" si="24"/>
        <v>56.202852273385595</v>
      </c>
      <c r="O18" s="4">
        <f t="shared" si="25"/>
        <v>0.30118171795577303</v>
      </c>
      <c r="Q18" s="45"/>
      <c r="R18" s="45"/>
      <c r="S18" s="44"/>
      <c r="T18" s="45"/>
      <c r="U18" s="45"/>
      <c r="V18" s="63">
        <v>0</v>
      </c>
      <c r="W18" s="43">
        <f t="shared" si="26"/>
        <v>0</v>
      </c>
      <c r="X18" s="237">
        <v>0</v>
      </c>
      <c r="Y18" s="237">
        <v>0.64239999999999997</v>
      </c>
      <c r="Z18" s="63">
        <v>12.502721373246807</v>
      </c>
      <c r="AA18" s="43">
        <f t="shared" si="27"/>
        <v>1.1182943843429896E-2</v>
      </c>
      <c r="AB18" s="17">
        <v>6.1298574977772351E-2</v>
      </c>
      <c r="AC18" s="43">
        <f t="shared" si="28"/>
        <v>7.5245380050845356E-2</v>
      </c>
      <c r="AE18" s="47"/>
      <c r="AF18" s="61">
        <v>0</v>
      </c>
      <c r="AG18" s="61">
        <v>1.1186801006722596E-2</v>
      </c>
      <c r="AH18" s="61">
        <v>6.7000000000000004E-2</v>
      </c>
    </row>
    <row r="19" spans="1:34" x14ac:dyDescent="0.3">
      <c r="A19" s="66" t="s">
        <v>328</v>
      </c>
      <c r="B19" s="59" t="s">
        <v>358</v>
      </c>
      <c r="C19" s="60">
        <v>10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>((D$2+D$3+D$4)*AA19)</f>
        <v>12.395724530649938</v>
      </c>
      <c r="M19" s="4">
        <f t="shared" si="24"/>
        <v>7.847733200354476</v>
      </c>
      <c r="N19" s="4">
        <f t="shared" si="24"/>
        <v>93.781712183469239</v>
      </c>
      <c r="O19" s="4">
        <f t="shared" si="25"/>
        <v>0.54934132402481339</v>
      </c>
      <c r="Q19" s="45"/>
      <c r="R19" s="45"/>
      <c r="S19" s="44"/>
      <c r="T19" s="45"/>
      <c r="U19" s="45"/>
      <c r="V19" s="63">
        <v>0</v>
      </c>
      <c r="W19" s="43">
        <f t="shared" si="26"/>
        <v>0</v>
      </c>
      <c r="X19" s="237">
        <v>0</v>
      </c>
      <c r="Y19" s="237">
        <v>0.6331</v>
      </c>
      <c r="Z19" s="63">
        <v>11.950165708899634</v>
      </c>
      <c r="AA19" s="43">
        <f t="shared" si="27"/>
        <v>1.9809786236932955E-2</v>
      </c>
      <c r="AB19" s="17">
        <v>3.0066480365919933E-2</v>
      </c>
      <c r="AC19" s="43">
        <f t="shared" si="28"/>
        <v>7.8614576172525E-2</v>
      </c>
      <c r="AE19" s="47"/>
      <c r="AF19" s="61">
        <v>0</v>
      </c>
      <c r="AG19" s="61">
        <v>1.9816618926194313E-2</v>
      </c>
      <c r="AH19" s="61">
        <v>7.0000000000000007E-2</v>
      </c>
    </row>
    <row r="20" spans="1:34" x14ac:dyDescent="0.3">
      <c r="B20" s="59" t="s">
        <v>358</v>
      </c>
      <c r="C20" s="60">
        <v>10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ref="L20:L22" si="29">((D$2+D$3+D$4)*AA20)</f>
        <v>0</v>
      </c>
      <c r="M20" s="4">
        <f t="shared" ref="M20:N20" si="30">L20*Y20</f>
        <v>0</v>
      </c>
      <c r="N20" s="4">
        <f t="shared" si="30"/>
        <v>0</v>
      </c>
      <c r="O20" s="4">
        <f t="shared" si="25"/>
        <v>0</v>
      </c>
      <c r="Q20" s="45"/>
      <c r="R20" s="45"/>
      <c r="S20" s="44"/>
      <c r="T20" s="45"/>
      <c r="U20" s="45"/>
      <c r="V20" s="63">
        <v>0</v>
      </c>
      <c r="W20" s="43">
        <f t="shared" si="26"/>
        <v>0</v>
      </c>
      <c r="X20" s="237">
        <v>0</v>
      </c>
      <c r="Y20" s="237">
        <v>0</v>
      </c>
      <c r="Z20" s="63">
        <v>0</v>
      </c>
      <c r="AA20" s="43">
        <f t="shared" si="27"/>
        <v>0</v>
      </c>
      <c r="AB20" s="17"/>
      <c r="AC20" s="43">
        <f t="shared" si="28"/>
        <v>0</v>
      </c>
      <c r="AE20" s="47"/>
      <c r="AF20" s="61">
        <v>0</v>
      </c>
      <c r="AG20" s="61">
        <v>0</v>
      </c>
      <c r="AH20" s="61">
        <v>0</v>
      </c>
    </row>
    <row r="21" spans="1:34" x14ac:dyDescent="0.3">
      <c r="B21" s="59" t="s">
        <v>358</v>
      </c>
      <c r="C21" s="60">
        <v>10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si="29"/>
        <v>0</v>
      </c>
      <c r="M21" s="4">
        <f t="shared" ref="M21:N21" si="31">L21*Y21</f>
        <v>0</v>
      </c>
      <c r="N21" s="4">
        <f t="shared" si="31"/>
        <v>0</v>
      </c>
      <c r="O21" s="4">
        <f t="shared" si="25"/>
        <v>0</v>
      </c>
      <c r="Q21" s="45"/>
      <c r="R21" s="45"/>
      <c r="S21" s="44"/>
      <c r="T21" s="45"/>
      <c r="U21" s="45"/>
      <c r="V21" s="63">
        <v>0</v>
      </c>
      <c r="W21" s="43">
        <f t="shared" si="26"/>
        <v>0</v>
      </c>
      <c r="X21" s="237">
        <v>0</v>
      </c>
      <c r="Y21" s="237">
        <v>0</v>
      </c>
      <c r="Z21" s="63">
        <v>0</v>
      </c>
      <c r="AA21" s="43">
        <f t="shared" si="27"/>
        <v>0</v>
      </c>
      <c r="AB21" s="17"/>
      <c r="AC21" s="43">
        <f t="shared" si="28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10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29"/>
        <v>0</v>
      </c>
      <c r="M22" s="4">
        <f t="shared" ref="M22:N22" si="32">L22*Y22</f>
        <v>0</v>
      </c>
      <c r="N22" s="4">
        <f t="shared" si="32"/>
        <v>0</v>
      </c>
      <c r="O22" s="4">
        <f t="shared" si="25"/>
        <v>0</v>
      </c>
      <c r="Q22" s="45"/>
      <c r="R22" s="45"/>
      <c r="S22" s="44"/>
      <c r="T22" s="45"/>
      <c r="U22" s="45"/>
      <c r="V22" s="63">
        <v>0</v>
      </c>
      <c r="W22" s="43">
        <f t="shared" si="26"/>
        <v>0</v>
      </c>
      <c r="X22" s="237">
        <v>0</v>
      </c>
      <c r="Y22" s="237">
        <v>0</v>
      </c>
      <c r="Z22" s="63">
        <v>0</v>
      </c>
      <c r="AA22" s="43">
        <f t="shared" si="27"/>
        <v>0</v>
      </c>
      <c r="AB22" s="17"/>
      <c r="AC22" s="43">
        <f t="shared" si="28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27</v>
      </c>
      <c r="B24" s="59" t="s">
        <v>10</v>
      </c>
      <c r="C24" s="60">
        <v>10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69.43290518058032</v>
      </c>
      <c r="M24" s="4">
        <f t="shared" ref="M24:N27" si="33">L24*Y24</f>
        <v>45.672965027785736</v>
      </c>
      <c r="N24" s="4">
        <f t="shared" si="33"/>
        <v>494.95327366166907</v>
      </c>
      <c r="O24" s="4">
        <f t="shared" ref="O24:O27" si="34">M24*AH24</f>
        <v>4.9326802230008591</v>
      </c>
      <c r="Q24" s="45"/>
      <c r="R24" s="45"/>
      <c r="S24" s="44"/>
      <c r="T24" s="45"/>
      <c r="U24" s="45"/>
      <c r="V24" s="46"/>
      <c r="W24" s="46"/>
      <c r="X24" s="45"/>
      <c r="Y24" s="237">
        <v>0.65780000000000005</v>
      </c>
      <c r="Z24" s="236">
        <v>10.836898225472288</v>
      </c>
      <c r="AA24" s="43">
        <f t="shared" ref="AA24:AA27" si="35">(AG24/SUM(AG$7:AG$27))*0.98</f>
        <v>0.11096172765339864</v>
      </c>
      <c r="AB24" s="17">
        <v>8.0561620434466574E-2</v>
      </c>
      <c r="AC24" s="43">
        <f t="shared" ref="AC24:AC27" si="36">(AH24/SUM(AH$7:AH$27))*0.98</f>
        <v>0.12129106038046714</v>
      </c>
      <c r="AE24" s="47"/>
      <c r="AF24" s="47"/>
      <c r="AG24" s="61">
        <v>0.111</v>
      </c>
      <c r="AH24" s="61">
        <v>0.108</v>
      </c>
    </row>
    <row r="25" spans="1:34" x14ac:dyDescent="0.3">
      <c r="A25" s="58" t="s">
        <v>36</v>
      </c>
      <c r="B25" s="59" t="s">
        <v>10</v>
      </c>
      <c r="C25" s="60">
        <v>10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18.765650048805494</v>
      </c>
      <c r="M25" s="4">
        <f t="shared" si="33"/>
        <v>12.535454232602071</v>
      </c>
      <c r="N25" s="4">
        <f t="shared" si="33"/>
        <v>122.72209693717426</v>
      </c>
      <c r="O25" s="4">
        <f t="shared" si="34"/>
        <v>1.0028363386081656</v>
      </c>
      <c r="Q25" s="45"/>
      <c r="R25" s="45"/>
      <c r="S25" s="44"/>
      <c r="T25" s="45"/>
      <c r="U25" s="45"/>
      <c r="V25" s="46"/>
      <c r="W25" s="46"/>
      <c r="X25" s="45"/>
      <c r="Y25" s="237">
        <v>0.66800000000000004</v>
      </c>
      <c r="Z25" s="236">
        <v>9.7899999999999991</v>
      </c>
      <c r="AA25" s="43">
        <f t="shared" si="35"/>
        <v>2.9989656122540172E-2</v>
      </c>
      <c r="AB25" s="17">
        <v>5.1475813957129843E-2</v>
      </c>
      <c r="AC25" s="43">
        <f t="shared" si="36"/>
        <v>8.9845229911457145E-2</v>
      </c>
      <c r="AE25" s="47"/>
      <c r="AF25" s="47"/>
      <c r="AG25" s="61">
        <v>0.03</v>
      </c>
      <c r="AH25" s="61">
        <v>0.08</v>
      </c>
    </row>
    <row r="26" spans="1:34" x14ac:dyDescent="0.3">
      <c r="A26" s="77" t="s">
        <v>811</v>
      </c>
      <c r="B26" s="59" t="s">
        <v>10</v>
      </c>
      <c r="C26" s="60">
        <v>10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11.884911697576813</v>
      </c>
      <c r="M26" s="4">
        <f t="shared" si="33"/>
        <v>7.2890163441238585</v>
      </c>
      <c r="N26" s="4">
        <f t="shared" si="33"/>
        <v>77.142089641977506</v>
      </c>
      <c r="O26" s="4">
        <f t="shared" si="34"/>
        <v>0.60741802867698813</v>
      </c>
      <c r="Q26" s="45"/>
      <c r="R26" s="45"/>
      <c r="S26" s="44"/>
      <c r="T26" s="45"/>
      <c r="U26" s="45"/>
      <c r="V26" s="46"/>
      <c r="W26" s="46"/>
      <c r="X26" s="45"/>
      <c r="Y26" s="237">
        <v>0.61329999999999996</v>
      </c>
      <c r="Z26" s="236">
        <v>10.583333333333334</v>
      </c>
      <c r="AA26" s="43">
        <f t="shared" si="35"/>
        <v>1.8993448877608777E-2</v>
      </c>
      <c r="AB26" s="17">
        <v>2.9170216794649029E-2</v>
      </c>
      <c r="AC26" s="43">
        <f t="shared" si="36"/>
        <v>9.358878115776785E-2</v>
      </c>
      <c r="AE26" s="47"/>
      <c r="AF26" s="47"/>
      <c r="AG26" s="61">
        <v>1.9E-2</v>
      </c>
      <c r="AH26" s="61">
        <v>8.3333333333333329E-2</v>
      </c>
    </row>
    <row r="27" spans="1:34" x14ac:dyDescent="0.3">
      <c r="A27" s="77"/>
      <c r="B27" s="59" t="s">
        <v>10</v>
      </c>
      <c r="C27" s="60">
        <v>10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3"/>
        <v>0</v>
      </c>
      <c r="N27" s="4">
        <f t="shared" si="33"/>
        <v>0</v>
      </c>
      <c r="O27" s="4">
        <f t="shared" si="34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5"/>
        <v>0</v>
      </c>
      <c r="AB27" s="17"/>
      <c r="AC27" s="43">
        <f t="shared" si="36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0.97999999999999987</v>
      </c>
      <c r="AB30" s="28">
        <f t="shared" ref="AB30" si="37">SUM(AB2:AB4,AB7:AB12,AB15:AB22,AB24:AB27)</f>
        <v>0.97500000000000009</v>
      </c>
      <c r="AC30" s="28">
        <f>SUM(AC7:AC27)</f>
        <v>0.97999999999999965</v>
      </c>
      <c r="AD30" s="89"/>
      <c r="AE30" s="28">
        <f>SUM(AE2:AE4,AE7:AE27)</f>
        <v>1</v>
      </c>
      <c r="AF30" s="28">
        <f>SUM(AF2:AF4,AF7:AF27)</f>
        <v>0.98018947710837823</v>
      </c>
      <c r="AG30" s="28">
        <f>SUM(AG7:AG27)</f>
        <v>0.98033801654374464</v>
      </c>
    </row>
    <row r="31" spans="1:34" s="86" customFormat="1" x14ac:dyDescent="0.3">
      <c r="A31" s="102"/>
      <c r="B31" s="80"/>
      <c r="C31" s="80"/>
      <c r="D31" s="105">
        <v>1053.43</v>
      </c>
      <c r="E31" s="106">
        <v>0.59399999999999997</v>
      </c>
      <c r="F31" s="8">
        <f>1-E31</f>
        <v>0.40600000000000003</v>
      </c>
      <c r="G31" s="234">
        <v>4.0999999999999996</v>
      </c>
      <c r="H31" s="275">
        <v>3.5492325855962216E-2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625.73742000000004</v>
      </c>
      <c r="E34" s="2">
        <f>SUM(E2:E4)</f>
        <v>423.89811141124363</v>
      </c>
      <c r="F34" s="2">
        <f>SUM(F2:F4)</f>
        <v>5168.0665884695745</v>
      </c>
      <c r="G34" s="2">
        <f>SUM(G2:G4)</f>
        <v>37.65988343327723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427.69258000000008</v>
      </c>
      <c r="E37" s="2">
        <f>D37*G31</f>
        <v>1753.5395780000001</v>
      </c>
      <c r="F37" s="2">
        <f>D37*H31</f>
        <v>15.179804415537191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419.1387284000001</v>
      </c>
      <c r="E40" s="3">
        <f>SUM(J2:J4,J7:J12,J15:J22)</f>
        <v>1739.0974614116296</v>
      </c>
      <c r="F40" s="3">
        <f>SUM(K2:K4,K7:K12,K15:K22)</f>
        <v>14.992791531091292</v>
      </c>
      <c r="G40" s="3">
        <f>SUM(L7:L12,L15:L22,L24:L27)</f>
        <v>613.2226715999999</v>
      </c>
      <c r="H40" s="3">
        <f>SUM(M7:M12,M15:M22,M24:M27)</f>
        <v>414.60375757207919</v>
      </c>
      <c r="I40" s="3">
        <f>SUM(N7:N12,N15:N22,N24:N27)</f>
        <v>5156.7854960013683</v>
      </c>
      <c r="J40" s="3">
        <f>SUM(O7:O12,O15:O22,O24:O27)</f>
        <v>37.516216223340848</v>
      </c>
    </row>
    <row r="41" spans="1:32" ht="14.4" thickTop="1" x14ac:dyDescent="0.3">
      <c r="D41" s="50">
        <f>D37-D40</f>
        <v>8.5538515999999731</v>
      </c>
      <c r="E41" s="50">
        <f>E37-E40</f>
        <v>14.442116588370482</v>
      </c>
      <c r="F41" s="50">
        <f>F37-F40</f>
        <v>0.18701288444589892</v>
      </c>
      <c r="G41" s="50">
        <f>SUM(D2:D4)-G40</f>
        <v>12.514748400000144</v>
      </c>
      <c r="H41" s="50">
        <f>E34-H40</f>
        <v>9.2943538391644438</v>
      </c>
      <c r="I41" s="50">
        <f>F34-I40</f>
        <v>11.281092468206225</v>
      </c>
      <c r="J41" s="50">
        <f>G34-J40</f>
        <v>0.14366720993638182</v>
      </c>
    </row>
    <row r="42" spans="1:32" x14ac:dyDescent="0.3">
      <c r="N42" s="74"/>
      <c r="O42" s="74"/>
    </row>
    <row r="44" spans="1:32" x14ac:dyDescent="0.3">
      <c r="N44" s="74"/>
      <c r="O44" s="74"/>
    </row>
  </sheetData>
  <sheetProtection sheet="1" selectLockedCells="1"/>
  <conditionalFormatting sqref="AA30:AB30 AD30:AF30">
    <cfRule type="cellIs" dxfId="377" priority="14" operator="greaterThan">
      <formula>1</formula>
    </cfRule>
    <cfRule type="cellIs" dxfId="376" priority="15" operator="greaterThan">
      <formula>1</formula>
    </cfRule>
  </conditionalFormatting>
  <conditionalFormatting sqref="AC30">
    <cfRule type="cellIs" dxfId="375" priority="10" operator="greaterThan">
      <formula>1</formula>
    </cfRule>
    <cfRule type="cellIs" dxfId="374" priority="11" operator="greaterThan">
      <formula>1</formula>
    </cfRule>
  </conditionalFormatting>
  <conditionalFormatting sqref="AG30">
    <cfRule type="cellIs" dxfId="373" priority="8" operator="greaterThan">
      <formula>1</formula>
    </cfRule>
    <cfRule type="cellIs" dxfId="372" priority="9" operator="greaterThan">
      <formula>1</formula>
    </cfRule>
  </conditionalFormatting>
  <conditionalFormatting sqref="W30">
    <cfRule type="cellIs" dxfId="371" priority="2" operator="greaterThan">
      <formula>1</formula>
    </cfRule>
    <cfRule type="cellIs" dxfId="370" priority="3" operator="greaterThan">
      <formula>1</formula>
    </cfRule>
  </conditionalFormatting>
  <conditionalFormatting sqref="D41:J41">
    <cfRule type="cellIs" dxfId="369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E65D00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61</v>
      </c>
      <c r="B2" s="59" t="s">
        <v>9</v>
      </c>
      <c r="C2" s="60">
        <v>9</v>
      </c>
      <c r="D2" s="4">
        <f>D$34*Q2</f>
        <v>276.77232000000004</v>
      </c>
      <c r="E2" s="4">
        <f>D2*R2</f>
        <v>182.45860618510085</v>
      </c>
      <c r="F2" s="4">
        <f>E2*S2</f>
        <v>2265.5017241412725</v>
      </c>
      <c r="G2" s="4">
        <f t="shared" ref="G2:G3" si="0">E2*T2</f>
        <v>15.910359668620705</v>
      </c>
      <c r="H2" s="4">
        <f>E2*U2</f>
        <v>3.4538361548477265</v>
      </c>
      <c r="I2" s="4">
        <f>D$37*W2</f>
        <v>86.013589908041283</v>
      </c>
      <c r="J2" s="4">
        <f>I2*V2</f>
        <v>390.12896754391994</v>
      </c>
      <c r="K2" s="4">
        <f>I2*X2</f>
        <v>4.214665905494023</v>
      </c>
      <c r="L2" s="44"/>
      <c r="M2" s="44"/>
      <c r="N2" s="44"/>
      <c r="O2" s="44"/>
      <c r="Q2" s="43">
        <f>AE2</f>
        <v>0.5</v>
      </c>
      <c r="R2" s="61">
        <v>0.65923718883846771</v>
      </c>
      <c r="S2" s="236">
        <v>12.416524336719766</v>
      </c>
      <c r="T2" s="237">
        <v>8.7199831245449402E-2</v>
      </c>
      <c r="U2" s="61">
        <v>1.8929423100732635E-2</v>
      </c>
      <c r="V2" s="236">
        <v>4.5356666075792678</v>
      </c>
      <c r="W2" s="43">
        <f>(AF2/SUM(AF$2:AF$22))*0.98</f>
        <v>0.17382264256143959</v>
      </c>
      <c r="X2" s="61">
        <v>4.9000000000000002E-2</v>
      </c>
      <c r="Y2" s="64"/>
      <c r="Z2" s="65"/>
      <c r="AA2" s="1"/>
      <c r="AB2" s="1"/>
      <c r="AC2" s="1"/>
      <c r="AE2" s="61">
        <v>0.5</v>
      </c>
      <c r="AF2" s="61">
        <v>0.17385732094812301</v>
      </c>
      <c r="AG2" s="47"/>
      <c r="AH2" s="47"/>
    </row>
    <row r="3" spans="1:34" x14ac:dyDescent="0.3">
      <c r="A3" s="58" t="s">
        <v>175</v>
      </c>
      <c r="B3" s="59" t="s">
        <v>9</v>
      </c>
      <c r="C3" s="60">
        <v>9</v>
      </c>
      <c r="D3" s="4">
        <f>D$34*Q3</f>
        <v>276.77232000000004</v>
      </c>
      <c r="E3" s="4">
        <f t="shared" ref="E3:E4" si="1">D3*R3</f>
        <v>173.81301696000003</v>
      </c>
      <c r="F3" s="4">
        <f t="shared" ref="F3:F4" si="2">E3*S3</f>
        <v>1873.7043228288003</v>
      </c>
      <c r="G3" s="4">
        <f t="shared" si="0"/>
        <v>14.339573899200003</v>
      </c>
      <c r="H3" s="4">
        <f t="shared" ref="H3" si="3">E3*U3</f>
        <v>3.2976447285908996</v>
      </c>
      <c r="I3" s="4">
        <f t="shared" ref="I3:I4" si="4">D$37*W3</f>
        <v>13.357889761858702</v>
      </c>
      <c r="J3" s="4">
        <f>I3*V3</f>
        <v>53.707767100346274</v>
      </c>
      <c r="K3" s="4">
        <f>I3*X3</f>
        <v>0.59275342048080326</v>
      </c>
      <c r="L3" s="44"/>
      <c r="M3" s="44"/>
      <c r="N3" s="44"/>
      <c r="O3" s="44"/>
      <c r="Q3" s="43">
        <f t="shared" ref="Q3:Q4" si="5">AE3</f>
        <v>0.5</v>
      </c>
      <c r="R3" s="61">
        <v>0.628</v>
      </c>
      <c r="S3" s="236">
        <v>10.78</v>
      </c>
      <c r="T3" s="237">
        <v>8.2500000000000004E-2</v>
      </c>
      <c r="U3" s="61">
        <v>1.8972369194591415E-2</v>
      </c>
      <c r="V3" s="236">
        <v>4.0206775215124271</v>
      </c>
      <c r="W3" s="43">
        <f t="shared" ref="W3:W4" si="6">(AF3/SUM(AF$2:AF$22))*0.98</f>
        <v>2.6994614454914259E-2</v>
      </c>
      <c r="X3" s="61">
        <v>4.4374780077412745E-2</v>
      </c>
      <c r="Y3" s="64"/>
      <c r="Z3" s="65"/>
      <c r="AA3" s="1"/>
      <c r="AB3" s="1"/>
      <c r="AC3" s="1"/>
      <c r="AE3" s="61">
        <f>1-AE2</f>
        <v>0.5</v>
      </c>
      <c r="AF3" s="61">
        <v>2.7E-2</v>
      </c>
      <c r="AG3" s="47"/>
      <c r="AH3" s="47"/>
    </row>
    <row r="4" spans="1:34" x14ac:dyDescent="0.3">
      <c r="B4" s="59" t="s">
        <v>9</v>
      </c>
      <c r="C4" s="60">
        <v>9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42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 t="shared" ref="I7:I12" si="9">D$37*W7</f>
        <v>242.4209623448431</v>
      </c>
      <c r="J7" s="4">
        <f>I7*V7</f>
        <v>1293.1631883249388</v>
      </c>
      <c r="K7" s="4">
        <f>I7*X7</f>
        <v>9.5998701088557876</v>
      </c>
      <c r="L7" s="7">
        <f>((D$2+D$3+D$4)*AA7)</f>
        <v>39.088068229416074</v>
      </c>
      <c r="M7" s="4">
        <f t="shared" ref="M7:N9" si="10">L7*Y7</f>
        <v>27.443732703873025</v>
      </c>
      <c r="N7" s="4">
        <f t="shared" si="10"/>
        <v>230.52735471253342</v>
      </c>
      <c r="O7" s="4">
        <f>M7*AH7</f>
        <v>1.1562203046296531</v>
      </c>
      <c r="Q7" s="45"/>
      <c r="R7" s="45"/>
      <c r="S7" s="44"/>
      <c r="T7" s="45"/>
      <c r="U7" s="45"/>
      <c r="V7" s="63">
        <v>5.3343703276180303</v>
      </c>
      <c r="W7" s="43">
        <f t="shared" ref="W7:W12" si="11">(AF7/SUM(AF$2:AF$22))*0.98</f>
        <v>0.4899022623299254</v>
      </c>
      <c r="X7" s="237">
        <v>3.9600000000000003E-2</v>
      </c>
      <c r="Y7" s="237">
        <v>0.70209999999999995</v>
      </c>
      <c r="Z7" s="63">
        <v>8.4</v>
      </c>
      <c r="AA7" s="43">
        <f>(AG7/SUM(AG$7:AG$27))*0.98</f>
        <v>7.0614121075070063E-2</v>
      </c>
      <c r="AB7" s="17">
        <v>5.5325685623115413E-2</v>
      </c>
      <c r="AC7" s="43">
        <f>(AH7/SUM(AH$7:AH$27))*0.98</f>
        <v>5.022978111377116E-2</v>
      </c>
      <c r="AE7" s="47"/>
      <c r="AF7" s="61">
        <v>0.49</v>
      </c>
      <c r="AG7" s="61">
        <v>7.0635739814046167E-2</v>
      </c>
      <c r="AH7" s="61">
        <v>4.213057739286611E-2</v>
      </c>
    </row>
    <row r="8" spans="1:34" x14ac:dyDescent="0.3">
      <c r="A8" s="101" t="s">
        <v>43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si="9"/>
        <v>104.88417146348313</v>
      </c>
      <c r="J8" s="4">
        <f>I8*V8</f>
        <v>502.30665648709174</v>
      </c>
      <c r="K8" s="4">
        <f>I8*X8</f>
        <v>4.2058552756856731</v>
      </c>
      <c r="L8" s="7">
        <f>((D$2+D$3+D$4)*AA8)</f>
        <v>61.981024311204955</v>
      </c>
      <c r="M8" s="4">
        <f t="shared" si="10"/>
        <v>46.076693472949763</v>
      </c>
      <c r="N8" s="4">
        <f t="shared" si="10"/>
        <v>369.99584858778655</v>
      </c>
      <c r="O8" s="4">
        <f t="shared" ref="O8:O12" si="12">M8*AH8</f>
        <v>1.8430677389179906</v>
      </c>
      <c r="Q8" s="45"/>
      <c r="R8" s="45"/>
      <c r="S8" s="44"/>
      <c r="T8" s="45"/>
      <c r="U8" s="45"/>
      <c r="V8" s="63">
        <v>4.7891559753797237</v>
      </c>
      <c r="W8" s="43">
        <f t="shared" si="11"/>
        <v>0.21195771349784526</v>
      </c>
      <c r="X8" s="237">
        <v>4.0099999999999997E-2</v>
      </c>
      <c r="Y8" s="237">
        <v>0.74339999999999995</v>
      </c>
      <c r="Z8" s="63">
        <v>8.0299999999999994</v>
      </c>
      <c r="AA8" s="43">
        <f t="shared" ref="AA8:AA12" si="13">(AG8/SUM(AG$7:AG$27))*0.98</f>
        <v>0.11197113987266673</v>
      </c>
      <c r="AB8" s="17">
        <v>8.6025680728689546E-2</v>
      </c>
      <c r="AC8" s="43">
        <f t="shared" ref="AC8:AC12" si="14">(AH8/SUM(AH$7:AH$27))*0.98</f>
        <v>4.7689620434469976E-2</v>
      </c>
      <c r="AE8" s="47"/>
      <c r="AF8" s="61">
        <v>0.21199999999999999</v>
      </c>
      <c r="AG8" s="61">
        <v>0.1120054201951987</v>
      </c>
      <c r="AH8" s="61">
        <v>0.04</v>
      </c>
    </row>
    <row r="9" spans="1:34" x14ac:dyDescent="0.3">
      <c r="A9" s="101" t="s">
        <v>304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9"/>
        <v>0.39578932627729491</v>
      </c>
      <c r="J9" s="4">
        <f>I9*V9</f>
        <v>1.7674561516963172</v>
      </c>
      <c r="K9" s="4">
        <f>I9*X9</f>
        <v>1.0963364337881068E-2</v>
      </c>
      <c r="L9" s="7">
        <f>((D$2+D$3+D$4)*AA9)</f>
        <v>20.873073927383746</v>
      </c>
      <c r="M9" s="4">
        <f t="shared" si="10"/>
        <v>15.483646239333263</v>
      </c>
      <c r="N9" s="4">
        <f t="shared" si="10"/>
        <v>127.89491793689275</v>
      </c>
      <c r="O9" s="4">
        <f t="shared" si="12"/>
        <v>1.0745635040660515</v>
      </c>
      <c r="Q9" s="45"/>
      <c r="R9" s="45"/>
      <c r="S9" s="44"/>
      <c r="T9" s="45"/>
      <c r="U9" s="45"/>
      <c r="V9" s="63">
        <v>4.4656488549618327</v>
      </c>
      <c r="W9" s="43">
        <f t="shared" si="11"/>
        <v>7.9984042829375583E-4</v>
      </c>
      <c r="X9" s="237">
        <v>2.7699999999999999E-2</v>
      </c>
      <c r="Y9" s="237">
        <v>0.74180000000000001</v>
      </c>
      <c r="Z9" s="63">
        <v>8.26</v>
      </c>
      <c r="AA9" s="43">
        <f t="shared" si="13"/>
        <v>3.7708022838742951E-2</v>
      </c>
      <c r="AB9" s="17">
        <v>1.7632052311916925E-2</v>
      </c>
      <c r="AC9" s="43">
        <f t="shared" si="14"/>
        <v>8.2741372493167181E-2</v>
      </c>
      <c r="AE9" s="47"/>
      <c r="AF9" s="61">
        <v>8.0000000000000004E-4</v>
      </c>
      <c r="AG9" s="61">
        <v>3.7719567270517292E-2</v>
      </c>
      <c r="AH9" s="61">
        <v>6.9399900220939365E-2</v>
      </c>
    </row>
    <row r="10" spans="1:34" x14ac:dyDescent="0.3">
      <c r="A10" s="101" t="s">
        <v>241</v>
      </c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9"/>
        <v>25.726306208024166</v>
      </c>
      <c r="J10" s="4">
        <f t="shared" ref="J10:J12" si="15">I10*V10</f>
        <v>134.610237528532</v>
      </c>
      <c r="K10" s="4">
        <f t="shared" ref="K10:K12" si="16">I10*X10</f>
        <v>0.96730911342170867</v>
      </c>
      <c r="L10" s="7">
        <f t="shared" ref="L10:L12" si="17">((D$2+D$3+D$4)*AA10)</f>
        <v>11.620879670527763</v>
      </c>
      <c r="M10" s="4">
        <f t="shared" ref="M10:N10" si="18">L10*Y10</f>
        <v>8.1450745610729083</v>
      </c>
      <c r="N10" s="4">
        <f t="shared" si="18"/>
        <v>61.322425406843323</v>
      </c>
      <c r="O10" s="4">
        <f t="shared" si="12"/>
        <v>9.2781126754682405E-2</v>
      </c>
      <c r="Q10" s="45"/>
      <c r="R10" s="45"/>
      <c r="S10" s="44"/>
      <c r="T10" s="45"/>
      <c r="U10" s="45"/>
      <c r="V10" s="63">
        <v>5.2323966153581107</v>
      </c>
      <c r="W10" s="43">
        <f t="shared" si="11"/>
        <v>5.1989627839094124E-2</v>
      </c>
      <c r="X10" s="237">
        <v>3.7600000000000001E-2</v>
      </c>
      <c r="Y10" s="237">
        <v>0.70089999999999997</v>
      </c>
      <c r="Z10" s="63">
        <v>7.5287739783152627</v>
      </c>
      <c r="AA10" s="43">
        <f t="shared" si="13"/>
        <v>2.0993572750569425E-2</v>
      </c>
      <c r="AB10" s="17">
        <v>9.2169728902344508E-3</v>
      </c>
      <c r="AC10" s="43">
        <f t="shared" si="14"/>
        <v>1.3580896912717791E-2</v>
      </c>
      <c r="AE10" s="47"/>
      <c r="AF10" s="61">
        <v>5.1999999999999998E-2</v>
      </c>
      <c r="AG10" s="61">
        <v>2.1000000000000001E-2</v>
      </c>
      <c r="AH10" s="61">
        <v>1.1391071506957553E-2</v>
      </c>
    </row>
    <row r="11" spans="1:34" x14ac:dyDescent="0.3">
      <c r="A11" s="101" t="s">
        <v>642</v>
      </c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9"/>
        <v>7.9157865255458972</v>
      </c>
      <c r="J11" s="4">
        <f t="shared" si="15"/>
        <v>34.61992518672573</v>
      </c>
      <c r="K11" s="4">
        <f t="shared" si="16"/>
        <v>0.16297207552594495</v>
      </c>
      <c r="L11" s="7">
        <f t="shared" si="17"/>
        <v>4.3133384778390802</v>
      </c>
      <c r="M11" s="4">
        <f t="shared" ref="M11:N11" si="19">L11*Y11</f>
        <v>2.8991124274595865</v>
      </c>
      <c r="N11" s="4">
        <f t="shared" si="19"/>
        <v>23.742731086953512</v>
      </c>
      <c r="O11" s="4">
        <f t="shared" si="12"/>
        <v>0</v>
      </c>
      <c r="Q11" s="45"/>
      <c r="R11" s="45"/>
      <c r="S11" s="44"/>
      <c r="T11" s="45"/>
      <c r="U11" s="45"/>
      <c r="V11" s="63">
        <v>4.3735294117647054</v>
      </c>
      <c r="W11" s="43">
        <f t="shared" si="11"/>
        <v>1.5996808565875115E-2</v>
      </c>
      <c r="X11" s="237">
        <v>2.0588235294117647E-2</v>
      </c>
      <c r="Y11" s="237">
        <v>0.67212727272727268</v>
      </c>
      <c r="Z11" s="63">
        <v>8.1896551724137936</v>
      </c>
      <c r="AA11" s="43">
        <f t="shared" si="13"/>
        <v>7.7922143331368527E-3</v>
      </c>
      <c r="AB11" s="17">
        <v>1.2013480832522988E-2</v>
      </c>
      <c r="AC11" s="43">
        <f t="shared" si="14"/>
        <v>0</v>
      </c>
      <c r="AE11" s="47"/>
      <c r="AF11" s="61">
        <v>1.6E-2</v>
      </c>
      <c r="AG11" s="61">
        <v>7.7945999444727909E-3</v>
      </c>
      <c r="AH11" s="61">
        <v>0</v>
      </c>
    </row>
    <row r="12" spans="1:34" x14ac:dyDescent="0.3">
      <c r="A12" s="101"/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45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0.12497506692089934</v>
      </c>
      <c r="J15" s="4">
        <f t="shared" ref="J15:J22" si="22">I15*V15</f>
        <v>0.99980053536719471</v>
      </c>
      <c r="K15" s="4">
        <f t="shared" ref="K15:K22" si="23">I15*X15</f>
        <v>0</v>
      </c>
      <c r="L15" s="7">
        <f t="shared" ref="L15:L20" si="24">((D$2+D$3+D$4)*AA15)</f>
        <v>124.11200271348541</v>
      </c>
      <c r="M15" s="4">
        <f t="shared" ref="M15:N19" si="25">L15*Y15</f>
        <v>78.525664116822227</v>
      </c>
      <c r="N15" s="4">
        <f t="shared" si="25"/>
        <v>1068.7342886299505</v>
      </c>
      <c r="O15" s="4">
        <f t="shared" ref="O15:O22" si="26">M15*AH15</f>
        <v>8.3237203963831554</v>
      </c>
      <c r="Q15" s="45"/>
      <c r="R15" s="45"/>
      <c r="S15" s="44"/>
      <c r="T15" s="45"/>
      <c r="U15" s="45"/>
      <c r="V15" s="63">
        <v>8</v>
      </c>
      <c r="W15" s="43">
        <f t="shared" ref="W15:W22" si="27">(AF15/SUM(AF$2:AF$22))*0.98</f>
        <v>2.5255888528438899E-4</v>
      </c>
      <c r="X15" s="237">
        <v>0</v>
      </c>
      <c r="Y15" s="237">
        <v>0.63270000000000004</v>
      </c>
      <c r="Z15" s="63">
        <v>13.61</v>
      </c>
      <c r="AA15" s="43">
        <f t="shared" ref="AA15:AA22" si="28">(AG15/SUM(AG$7:AG$27))*0.98</f>
        <v>0.22421317766438023</v>
      </c>
      <c r="AB15" s="17">
        <v>0.1552631323112294</v>
      </c>
      <c r="AC15" s="43">
        <f t="shared" ref="AC15:AC22" si="29">(AH15/SUM(AH$7:AH$27))*0.98</f>
        <v>0.12637749415134544</v>
      </c>
      <c r="AE15" s="47"/>
      <c r="AF15" s="61">
        <v>2.5260927190005173E-4</v>
      </c>
      <c r="AG15" s="61">
        <v>0.22428182124570833</v>
      </c>
      <c r="AH15" s="61">
        <v>0.106</v>
      </c>
    </row>
    <row r="16" spans="1:34" x14ac:dyDescent="0.3">
      <c r="A16" s="66" t="s">
        <v>673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49.18494187276265</v>
      </c>
      <c r="M16" s="4">
        <f t="shared" si="25"/>
        <v>32.088256077790355</v>
      </c>
      <c r="N16" s="4">
        <f t="shared" si="25"/>
        <v>419.39350693671997</v>
      </c>
      <c r="O16" s="4">
        <f t="shared" si="26"/>
        <v>2.6312369983788093</v>
      </c>
      <c r="Q16" s="45"/>
      <c r="R16" s="45"/>
      <c r="S16" s="44"/>
      <c r="T16" s="45"/>
      <c r="U16" s="45"/>
      <c r="V16" s="63">
        <v>6</v>
      </c>
      <c r="W16" s="43">
        <f t="shared" si="27"/>
        <v>0</v>
      </c>
      <c r="X16" s="237">
        <v>0</v>
      </c>
      <c r="Y16" s="237">
        <v>0.65239999999999998</v>
      </c>
      <c r="Z16" s="63">
        <v>13.07</v>
      </c>
      <c r="AA16" s="43">
        <f t="shared" si="28"/>
        <v>8.8854517447341991E-2</v>
      </c>
      <c r="AB16" s="17">
        <v>0.18009043977311381</v>
      </c>
      <c r="AC16" s="43">
        <f t="shared" si="29"/>
        <v>9.7763721890663458E-2</v>
      </c>
      <c r="AE16" s="47"/>
      <c r="AF16" s="61">
        <v>0</v>
      </c>
      <c r="AG16" s="61">
        <v>8.888172054199639E-2</v>
      </c>
      <c r="AH16" s="61">
        <v>8.2000000000000003E-2</v>
      </c>
    </row>
    <row r="17" spans="1:34" x14ac:dyDescent="0.3">
      <c r="A17" s="66" t="s">
        <v>235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65.729876588092353</v>
      </c>
      <c r="M17" s="4">
        <f t="shared" si="25"/>
        <v>39.589104669008023</v>
      </c>
      <c r="N17" s="4">
        <f t="shared" si="25"/>
        <v>626.29963586370695</v>
      </c>
      <c r="O17" s="4">
        <f t="shared" si="26"/>
        <v>3.8401431528937784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0.60229999999999995</v>
      </c>
      <c r="Z17" s="63">
        <v>15.82</v>
      </c>
      <c r="AA17" s="43">
        <f t="shared" si="28"/>
        <v>0.11874358784883608</v>
      </c>
      <c r="AB17" s="17">
        <v>7.7639242991379379E-2</v>
      </c>
      <c r="AC17" s="43">
        <f t="shared" si="29"/>
        <v>0.1156473295535897</v>
      </c>
      <c r="AE17" s="47"/>
      <c r="AF17" s="61">
        <v>0</v>
      </c>
      <c r="AG17" s="61">
        <v>0.11877994157797281</v>
      </c>
      <c r="AH17" s="61">
        <v>9.7000000000000003E-2</v>
      </c>
    </row>
    <row r="18" spans="1:34" x14ac:dyDescent="0.3">
      <c r="A18" s="66" t="s">
        <v>595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1.3663940650018327</v>
      </c>
      <c r="J18" s="4">
        <f t="shared" si="22"/>
        <v>8.5649579196456358</v>
      </c>
      <c r="K18" s="4">
        <f t="shared" si="23"/>
        <v>3.3326684512239829E-2</v>
      </c>
      <c r="L18" s="7">
        <f t="shared" si="24"/>
        <v>13.945730470021115</v>
      </c>
      <c r="M18" s="4">
        <f t="shared" si="25"/>
        <v>8.9461860965185451</v>
      </c>
      <c r="N18" s="4">
        <f t="shared" si="25"/>
        <v>89.909170270011387</v>
      </c>
      <c r="O18" s="4">
        <f t="shared" si="26"/>
        <v>0.47468687005643201</v>
      </c>
      <c r="Q18" s="45"/>
      <c r="R18" s="45"/>
      <c r="S18" s="44"/>
      <c r="T18" s="45"/>
      <c r="U18" s="45"/>
      <c r="V18" s="63">
        <v>6.2682926829268304</v>
      </c>
      <c r="W18" s="43">
        <f t="shared" si="27"/>
        <v>2.7613104791093194E-3</v>
      </c>
      <c r="X18" s="237">
        <v>2.4390243902439029E-2</v>
      </c>
      <c r="Y18" s="237">
        <v>0.64149999999999996</v>
      </c>
      <c r="Z18" s="63">
        <v>10.050000000000001</v>
      </c>
      <c r="AA18" s="43">
        <f t="shared" si="28"/>
        <v>2.5193506471350012E-2</v>
      </c>
      <c r="AB18" s="17">
        <v>5.6345140854276228E-2</v>
      </c>
      <c r="AC18" s="43">
        <f t="shared" si="29"/>
        <v>6.3260579463653696E-2</v>
      </c>
      <c r="AE18" s="47"/>
      <c r="AF18" s="61">
        <v>2.7618613727738986E-3</v>
      </c>
      <c r="AG18" s="61">
        <v>2.5201219543919705E-2</v>
      </c>
      <c r="AH18" s="61">
        <v>5.3060249913777099E-2</v>
      </c>
    </row>
    <row r="19" spans="1:34" x14ac:dyDescent="0.3">
      <c r="A19" s="112" t="s">
        <v>329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2.7327881300036654</v>
      </c>
      <c r="J19" s="4">
        <f t="shared" si="22"/>
        <v>17.429855999901427</v>
      </c>
      <c r="K19" s="4">
        <f t="shared" si="23"/>
        <v>6.6653369024479658E-2</v>
      </c>
      <c r="L19" s="7">
        <f t="shared" si="24"/>
        <v>40.396391235644117</v>
      </c>
      <c r="M19" s="4">
        <f t="shared" si="25"/>
        <v>24.197438350150826</v>
      </c>
      <c r="N19" s="4">
        <f t="shared" si="25"/>
        <v>286.49767006578577</v>
      </c>
      <c r="O19" s="4">
        <f t="shared" si="26"/>
        <v>1.9357950680120661</v>
      </c>
      <c r="Q19" s="45"/>
      <c r="R19" s="45"/>
      <c r="S19" s="44"/>
      <c r="T19" s="45"/>
      <c r="U19" s="45"/>
      <c r="V19" s="63">
        <v>6.3780487804878057</v>
      </c>
      <c r="W19" s="43">
        <f t="shared" si="27"/>
        <v>5.5226209582186388E-3</v>
      </c>
      <c r="X19" s="237">
        <v>2.4390243902439029E-2</v>
      </c>
      <c r="Y19" s="237">
        <v>0.59899999999999998</v>
      </c>
      <c r="Z19" s="63">
        <v>11.84</v>
      </c>
      <c r="AA19" s="43">
        <f t="shared" si="28"/>
        <v>7.2977657656741315E-2</v>
      </c>
      <c r="AB19" s="17">
        <v>6.7741016058129294E-2</v>
      </c>
      <c r="AC19" s="43">
        <f t="shared" si="29"/>
        <v>9.5379240868939952E-2</v>
      </c>
      <c r="AE19" s="47"/>
      <c r="AF19" s="61">
        <v>5.5237227455477971E-3</v>
      </c>
      <c r="AG19" s="61">
        <v>7.2999999999999995E-2</v>
      </c>
      <c r="AH19" s="61">
        <v>0.08</v>
      </c>
    </row>
    <row r="20" spans="1:34" s="112" customFormat="1" x14ac:dyDescent="0.3"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0</v>
      </c>
      <c r="M20" s="4">
        <f t="shared" ref="M20:N20" si="30">L20*Y20</f>
        <v>0</v>
      </c>
      <c r="N20" s="4">
        <f t="shared" si="30"/>
        <v>0</v>
      </c>
      <c r="O20" s="4">
        <f t="shared" si="26"/>
        <v>0</v>
      </c>
      <c r="P20" s="99"/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</v>
      </c>
      <c r="Z20" s="63">
        <v>0</v>
      </c>
      <c r="AA20" s="43">
        <f t="shared" si="28"/>
        <v>0</v>
      </c>
      <c r="AB20" s="17">
        <v>1.3683142804749313E-2</v>
      </c>
      <c r="AC20" s="43">
        <f t="shared" si="29"/>
        <v>0</v>
      </c>
      <c r="AE20" s="47"/>
      <c r="AF20" s="61">
        <v>0</v>
      </c>
      <c r="AG20" s="61">
        <v>0</v>
      </c>
      <c r="AH20" s="61">
        <v>0</v>
      </c>
    </row>
    <row r="21" spans="1:34" s="112" customFormat="1" x14ac:dyDescent="0.3"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P21" s="99"/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/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s="112" customFormat="1" x14ac:dyDescent="0.3"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P22" s="99"/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15"/>
      <c r="M23" s="15"/>
      <c r="N23" s="15"/>
      <c r="O23" s="15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44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76.365780692039579</v>
      </c>
      <c r="M24" s="4">
        <f t="shared" ref="M24:N27" si="34">L24*Y24</f>
        <v>49.874491369971047</v>
      </c>
      <c r="N24" s="4">
        <f t="shared" si="34"/>
        <v>600.98762100815111</v>
      </c>
      <c r="O24" s="4">
        <f t="shared" ref="O24:O27" si="35">M24*AH24</f>
        <v>6.3340604039863226</v>
      </c>
      <c r="Q24" s="45"/>
      <c r="R24" s="45"/>
      <c r="S24" s="44"/>
      <c r="T24" s="45"/>
      <c r="U24" s="45"/>
      <c r="V24" s="46"/>
      <c r="W24" s="46"/>
      <c r="X24" s="45"/>
      <c r="Y24" s="237">
        <v>0.65310000000000001</v>
      </c>
      <c r="Z24" s="236">
        <v>12.05</v>
      </c>
      <c r="AA24" s="43">
        <f t="shared" ref="AA24:AA27" si="36">(AG24/SUM(AG$7:AG$27))*0.98</f>
        <v>0.13795776378945621</v>
      </c>
      <c r="AB24" s="17">
        <v>0.12691514210755367</v>
      </c>
      <c r="AC24" s="43">
        <f t="shared" ref="AC24:AC27" si="37">(AH24/SUM(AH$7:AH$27))*0.98</f>
        <v>0.15141454487944217</v>
      </c>
      <c r="AE24" s="47"/>
      <c r="AF24" s="47"/>
      <c r="AG24" s="61">
        <v>0.13800000000000001</v>
      </c>
      <c r="AH24" s="61">
        <v>0.127</v>
      </c>
    </row>
    <row r="25" spans="1:34" x14ac:dyDescent="0.3">
      <c r="A25" s="77" t="s">
        <v>250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34.86263901158329</v>
      </c>
      <c r="M25" s="4">
        <f t="shared" si="34"/>
        <v>21.775204326634924</v>
      </c>
      <c r="N25" s="4">
        <f t="shared" si="34"/>
        <v>232.12367812192829</v>
      </c>
      <c r="O25" s="4">
        <f t="shared" si="35"/>
        <v>2.4823732932363813</v>
      </c>
      <c r="Q25" s="45"/>
      <c r="R25" s="45"/>
      <c r="S25" s="44"/>
      <c r="T25" s="45"/>
      <c r="U25" s="45"/>
      <c r="V25" s="46"/>
      <c r="W25" s="46"/>
      <c r="X25" s="45"/>
      <c r="Y25" s="237">
        <v>0.62460000000000004</v>
      </c>
      <c r="Z25" s="236">
        <v>10.66</v>
      </c>
      <c r="AA25" s="43">
        <f t="shared" si="36"/>
        <v>6.298071825170827E-2</v>
      </c>
      <c r="AB25" s="17">
        <v>5.7662481630238557E-2</v>
      </c>
      <c r="AC25" s="43">
        <f t="shared" si="37"/>
        <v>0.13591541823823944</v>
      </c>
      <c r="AE25" s="47"/>
      <c r="AF25" s="47"/>
      <c r="AG25" s="61">
        <v>6.3E-2</v>
      </c>
      <c r="AH25" s="61">
        <v>0.114</v>
      </c>
    </row>
    <row r="26" spans="1:34" s="112" customFormat="1" x14ac:dyDescent="0.3"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0</v>
      </c>
      <c r="M26" s="4">
        <f t="shared" si="34"/>
        <v>0</v>
      </c>
      <c r="N26" s="4">
        <f t="shared" si="34"/>
        <v>0</v>
      </c>
      <c r="O26" s="4">
        <f t="shared" si="35"/>
        <v>0</v>
      </c>
      <c r="P26" s="99"/>
      <c r="Q26" s="45"/>
      <c r="R26" s="45"/>
      <c r="S26" s="44"/>
      <c r="T26" s="45"/>
      <c r="U26" s="45"/>
      <c r="V26" s="46"/>
      <c r="W26" s="46"/>
      <c r="X26" s="45"/>
      <c r="Y26" s="237">
        <v>0</v>
      </c>
      <c r="Z26" s="236">
        <v>0</v>
      </c>
      <c r="AA26" s="43">
        <f t="shared" si="36"/>
        <v>0</v>
      </c>
      <c r="AB26" s="17">
        <v>5.944638908285093E-2</v>
      </c>
      <c r="AC26" s="43">
        <f t="shared" si="37"/>
        <v>0</v>
      </c>
      <c r="AE26" s="47"/>
      <c r="AF26" s="47"/>
      <c r="AG26" s="61">
        <v>0</v>
      </c>
      <c r="AH26" s="61">
        <v>0</v>
      </c>
    </row>
    <row r="27" spans="1:34" s="112" customFormat="1" x14ac:dyDescent="0.3"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P27" s="99"/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/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0.9800000000000002</v>
      </c>
      <c r="AB30" s="28">
        <f t="shared" ref="AB30" si="38">SUM(AB2:AB4,AB7:AB12,AB15:AB22,AB24:AB27)</f>
        <v>0.97499999999999998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0.98019551433834484</v>
      </c>
      <c r="AG30" s="28">
        <f>SUM(AG7:AG27)</f>
        <v>0.98030003013383205</v>
      </c>
    </row>
    <row r="31" spans="1:34" s="86" customFormat="1" x14ac:dyDescent="0.3">
      <c r="A31" s="102"/>
      <c r="B31" s="80"/>
      <c r="C31" s="80"/>
      <c r="D31" s="105">
        <v>1048.3800000000001</v>
      </c>
      <c r="E31" s="106">
        <v>0.52800000000000002</v>
      </c>
      <c r="F31" s="8">
        <f>1-E31</f>
        <v>0.47199999999999998</v>
      </c>
      <c r="G31" s="234">
        <v>4.9438775510204085</v>
      </c>
      <c r="H31" s="275">
        <v>4.0557823129251706E-2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553.54464000000007</v>
      </c>
      <c r="E34" s="2">
        <f>SUM(E2:E4)</f>
        <v>356.27162314510088</v>
      </c>
      <c r="F34" s="2">
        <f>SUM(F2:F4)</f>
        <v>4139.2060469700727</v>
      </c>
      <c r="G34" s="2">
        <f>SUM(G2:G4)</f>
        <v>30.249933567820708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494.83536000000004</v>
      </c>
      <c r="E37" s="2">
        <f>D37*G31</f>
        <v>2446.4054277551022</v>
      </c>
      <c r="F37" s="2">
        <f>D37*H31</f>
        <v>20.069445008979596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484.93865279999994</v>
      </c>
      <c r="E40" s="3">
        <f>SUM(J2:J4,J7:J12,J15:J22)</f>
        <v>2437.298812778165</v>
      </c>
      <c r="F40" s="3">
        <f>SUM(K2:K4,K7:K12,K15:K22)</f>
        <v>19.854369317338545</v>
      </c>
      <c r="G40" s="3">
        <f>SUM(L7:L12,L15:L22,L24:L27)</f>
        <v>542.47374720000005</v>
      </c>
      <c r="H40" s="3">
        <f>SUM(M7:M12,M15:M22,M24:M27)</f>
        <v>355.04460441158454</v>
      </c>
      <c r="I40" s="3">
        <f>SUM(N7:N12,N15:N22,N24:N27)</f>
        <v>4137.4288486272635</v>
      </c>
      <c r="J40" s="3">
        <f>SUM(O7:O12,O15:O22,O24:O27)</f>
        <v>30.188648857315318</v>
      </c>
    </row>
    <row r="41" spans="1:32" ht="14.4" thickTop="1" x14ac:dyDescent="0.3">
      <c r="D41" s="50">
        <f>D37-D40</f>
        <v>9.896707200000094</v>
      </c>
      <c r="E41" s="50">
        <f>E37-E40</f>
        <v>9.1066149769371805</v>
      </c>
      <c r="F41" s="50">
        <f>F37-F40</f>
        <v>0.21507569164105078</v>
      </c>
      <c r="G41" s="50">
        <f>SUM(D2:D4)-G40</f>
        <v>11.070892800000024</v>
      </c>
      <c r="H41" s="50">
        <f>E34-H40</f>
        <v>1.2270187335163314</v>
      </c>
      <c r="I41" s="50">
        <f>F34-I40</f>
        <v>1.7771983428092426</v>
      </c>
      <c r="J41" s="50">
        <f>G34-J40</f>
        <v>6.1284710505390194E-2</v>
      </c>
    </row>
  </sheetData>
  <sheetProtection sheet="1" selectLockedCells="1"/>
  <conditionalFormatting sqref="AA30:AB30 AD30:AF30">
    <cfRule type="cellIs" dxfId="368" priority="14" operator="greaterThan">
      <formula>1</formula>
    </cfRule>
    <cfRule type="cellIs" dxfId="367" priority="15" operator="greaterThan">
      <formula>1</formula>
    </cfRule>
  </conditionalFormatting>
  <conditionalFormatting sqref="AC30">
    <cfRule type="cellIs" dxfId="366" priority="10" operator="greaterThan">
      <formula>1</formula>
    </cfRule>
    <cfRule type="cellIs" dxfId="365" priority="11" operator="greaterThan">
      <formula>1</formula>
    </cfRule>
  </conditionalFormatting>
  <conditionalFormatting sqref="AG30">
    <cfRule type="cellIs" dxfId="364" priority="8" operator="greaterThan">
      <formula>1</formula>
    </cfRule>
    <cfRule type="cellIs" dxfId="363" priority="9" operator="greaterThan">
      <formula>1</formula>
    </cfRule>
  </conditionalFormatting>
  <conditionalFormatting sqref="W30">
    <cfRule type="cellIs" dxfId="362" priority="2" operator="greaterThan">
      <formula>1</formula>
    </cfRule>
    <cfRule type="cellIs" dxfId="361" priority="3" operator="greaterThan">
      <formula>1</formula>
    </cfRule>
  </conditionalFormatting>
  <conditionalFormatting sqref="D41:J41">
    <cfRule type="cellIs" dxfId="360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2CB8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50</v>
      </c>
      <c r="B2" s="59" t="s">
        <v>9</v>
      </c>
      <c r="C2" s="60">
        <v>9</v>
      </c>
      <c r="D2" s="4">
        <f>D$34*Q2</f>
        <v>626.92223999999999</v>
      </c>
      <c r="E2" s="4">
        <f>D2*R2</f>
        <v>420.80921620897954</v>
      </c>
      <c r="F2" s="4">
        <f>E2*S2</f>
        <v>4633.1094704608649</v>
      </c>
      <c r="G2" s="4">
        <f t="shared" ref="G2:G3" si="0">E2*T2</f>
        <v>33.117685315646689</v>
      </c>
      <c r="H2" s="4">
        <f>E2*U2</f>
        <v>8.2662984259280616</v>
      </c>
      <c r="I2" s="4">
        <f>D$37*W2</f>
        <v>51.335939219324352</v>
      </c>
      <c r="J2" s="4">
        <f>I2*V2</f>
        <v>186.94156246984693</v>
      </c>
      <c r="K2" s="4">
        <f>I2*X2</f>
        <v>2.4121462502255273</v>
      </c>
      <c r="L2" s="44"/>
      <c r="M2" s="44"/>
      <c r="N2" s="44"/>
      <c r="O2" s="44"/>
      <c r="Q2" s="43">
        <f>AE2</f>
        <v>0.96</v>
      </c>
      <c r="R2" s="61">
        <v>0.67123032069970834</v>
      </c>
      <c r="S2" s="236">
        <v>11.01</v>
      </c>
      <c r="T2" s="237">
        <v>7.8700000000000006E-2</v>
      </c>
      <c r="U2" s="61">
        <v>1.9643815077051228E-2</v>
      </c>
      <c r="V2" s="236">
        <v>3.6415338905395274</v>
      </c>
      <c r="W2" s="43">
        <f>(AF2/SUM(AF$2:AF$22))*0.98</f>
        <v>0.10900368446165745</v>
      </c>
      <c r="X2" s="61">
        <v>4.6987476744508934E-2</v>
      </c>
      <c r="Y2" s="64"/>
      <c r="Z2" s="65"/>
      <c r="AA2" s="1"/>
      <c r="AB2" s="1"/>
      <c r="AC2" s="1"/>
      <c r="AE2" s="61">
        <v>0.96</v>
      </c>
      <c r="AF2" s="61">
        <v>0.109</v>
      </c>
      <c r="AG2" s="47"/>
      <c r="AH2" s="47"/>
    </row>
    <row r="3" spans="1:34" x14ac:dyDescent="0.3">
      <c r="A3" s="58" t="s">
        <v>567</v>
      </c>
      <c r="B3" s="59" t="s">
        <v>9</v>
      </c>
      <c r="C3" s="60">
        <v>9</v>
      </c>
      <c r="D3" s="4">
        <f>D$34*Q3</f>
        <v>26.121760000000023</v>
      </c>
      <c r="E3" s="4">
        <f t="shared" ref="E3:E4" si="1">D3*R3</f>
        <v>16.386720373160585</v>
      </c>
      <c r="F3" s="4">
        <f t="shared" ref="F3:F4" si="2">E3*S3</f>
        <v>176.6488456226711</v>
      </c>
      <c r="G3" s="4">
        <f t="shared" si="0"/>
        <v>1.2126173076138833</v>
      </c>
      <c r="H3" s="4">
        <f t="shared" ref="H3" si="3">E3*U3</f>
        <v>0.41448317241876798</v>
      </c>
      <c r="I3" s="4">
        <f t="shared" ref="I3:I4" si="4">D$37*W3</f>
        <v>4.201530115026606</v>
      </c>
      <c r="J3" s="4">
        <f>I3*V3</f>
        <v>11.753271204741239</v>
      </c>
      <c r="K3" s="4">
        <f>I3*X3</f>
        <v>0</v>
      </c>
      <c r="L3" s="44"/>
      <c r="M3" s="44"/>
      <c r="N3" s="44"/>
      <c r="O3" s="44"/>
      <c r="Q3" s="43">
        <f t="shared" ref="Q3:Q4" si="5">AE3</f>
        <v>4.0000000000000036E-2</v>
      </c>
      <c r="R3" s="61">
        <v>0.62732068486811654</v>
      </c>
      <c r="S3" s="236">
        <v>10.78</v>
      </c>
      <c r="T3" s="237">
        <v>7.3999999999999996E-2</v>
      </c>
      <c r="U3" s="61">
        <v>2.5293845441925034E-2</v>
      </c>
      <c r="V3" s="236">
        <v>2.7973787841496436</v>
      </c>
      <c r="W3" s="43">
        <f t="shared" ref="W3:W4" si="6">(AF3/SUM(AF$2:AF$22))*0.98</f>
        <v>8.9212795144909627E-3</v>
      </c>
      <c r="X3" s="61">
        <v>0</v>
      </c>
      <c r="Y3" s="64"/>
      <c r="Z3" s="65"/>
      <c r="AA3" s="1"/>
      <c r="AB3" s="1"/>
      <c r="AC3" s="1"/>
      <c r="AE3" s="61">
        <f>1-AE2</f>
        <v>4.0000000000000036E-2</v>
      </c>
      <c r="AF3" s="61">
        <v>8.9209779640207279E-3</v>
      </c>
      <c r="AG3" s="47"/>
      <c r="AH3" s="47"/>
    </row>
    <row r="4" spans="1:34" x14ac:dyDescent="0.3">
      <c r="B4" s="59" t="s">
        <v>9</v>
      </c>
      <c r="C4" s="60">
        <v>9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48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 t="shared" ref="I7:I12" si="9">D$37*W7</f>
        <v>219.68713102982608</v>
      </c>
      <c r="J7" s="4">
        <f>I7*V7</f>
        <v>924.88282163556778</v>
      </c>
      <c r="K7" s="4">
        <f>I7*X7</f>
        <v>8.8328303299313937</v>
      </c>
      <c r="L7" s="7">
        <f>((D$2+D$3+D$4)*AA7)</f>
        <v>60.716613683764443</v>
      </c>
      <c r="M7" s="4">
        <f t="shared" ref="M7:N9" si="10">L7*Y7</f>
        <v>43.290945556524044</v>
      </c>
      <c r="N7" s="4">
        <f t="shared" si="10"/>
        <v>267.02302116065783</v>
      </c>
      <c r="O7" s="4">
        <f>M7*AH7</f>
        <v>1.695938448839684</v>
      </c>
      <c r="Q7" s="45"/>
      <c r="R7" s="45"/>
      <c r="S7" s="44"/>
      <c r="T7" s="45"/>
      <c r="U7" s="45"/>
      <c r="V7" s="63">
        <v>4.21</v>
      </c>
      <c r="W7" s="43">
        <f t="shared" ref="W7:W12" si="11">(AF7/SUM(AF$2:AF$22))*0.98</f>
        <v>0.46647060665927614</v>
      </c>
      <c r="X7" s="237">
        <v>4.0206407578476655E-2</v>
      </c>
      <c r="Y7" s="237">
        <v>0.71299999999999997</v>
      </c>
      <c r="Z7" s="63">
        <v>6.1681032310096278</v>
      </c>
      <c r="AA7" s="43">
        <f>(AG7/SUM(AG$7:AG$27))*0.98</f>
        <v>9.2974766912741633E-2</v>
      </c>
      <c r="AB7" s="17">
        <v>0.10971117726803035</v>
      </c>
      <c r="AC7" s="43">
        <f>(AH7/SUM(AH$7:AH$27))*0.98</f>
        <v>4.2227656918084146E-2</v>
      </c>
      <c r="AE7" s="47"/>
      <c r="AF7" s="61">
        <v>0.4664548393659681</v>
      </c>
      <c r="AG7" s="61">
        <v>9.2999999999999999E-2</v>
      </c>
      <c r="AH7" s="61">
        <v>3.9175361661374065E-2</v>
      </c>
    </row>
    <row r="8" spans="1:34" x14ac:dyDescent="0.3">
      <c r="A8" s="66" t="s">
        <v>49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si="9"/>
        <v>148.35615462465293</v>
      </c>
      <c r="J8" s="4">
        <f>I8*V8</f>
        <v>718.04378838332013</v>
      </c>
      <c r="K8" s="4">
        <f>I8*X8</f>
        <v>4.2726572531900047</v>
      </c>
      <c r="L8" s="7">
        <f>((D$2+D$3+D$4)*AA8)</f>
        <v>56.85765009316021</v>
      </c>
      <c r="M8" s="4">
        <f t="shared" si="10"/>
        <v>43.899791636928995</v>
      </c>
      <c r="N8" s="4">
        <f t="shared" si="10"/>
        <v>326.73990885990042</v>
      </c>
      <c r="O8" s="4">
        <f t="shared" ref="O8:O12" si="12">M8*AH8</f>
        <v>1.2567681645092461</v>
      </c>
      <c r="Q8" s="45"/>
      <c r="R8" s="45"/>
      <c r="S8" s="44"/>
      <c r="T8" s="45"/>
      <c r="U8" s="45"/>
      <c r="V8" s="63">
        <v>4.84</v>
      </c>
      <c r="W8" s="43">
        <f t="shared" si="11"/>
        <v>0.31501064775616605</v>
      </c>
      <c r="X8" s="237">
        <v>2.8799999999999999E-2</v>
      </c>
      <c r="Y8" s="237">
        <v>0.77210000000000001</v>
      </c>
      <c r="Z8" s="63">
        <v>7.4428578514036312</v>
      </c>
      <c r="AA8" s="43">
        <f t="shared" ref="AA8:AA12" si="13">(AG8/SUM(AG$7:AG$27))*0.98</f>
        <v>8.7065573059641022E-2</v>
      </c>
      <c r="AB8" s="17">
        <v>5.7342375667335743E-2</v>
      </c>
      <c r="AC8" s="43">
        <f t="shared" ref="AC8:AC12" si="14">(AH8/SUM(AH$7:AH$27))*0.98</f>
        <v>3.0858632894392488E-2</v>
      </c>
      <c r="AE8" s="47"/>
      <c r="AF8" s="61">
        <v>0.315</v>
      </c>
      <c r="AG8" s="61">
        <v>8.708920240849731E-2</v>
      </c>
      <c r="AH8" s="61">
        <v>2.8628112290447379E-2</v>
      </c>
    </row>
    <row r="9" spans="1:34" x14ac:dyDescent="0.3">
      <c r="A9" s="101" t="s">
        <v>739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9"/>
        <v>26.374427488827191</v>
      </c>
      <c r="J9" s="4">
        <f>I9*V9</f>
        <v>105.90568161353106</v>
      </c>
      <c r="K9" s="4">
        <f>I9*X9</f>
        <v>0.72793419869163045</v>
      </c>
      <c r="L9" s="7">
        <f>((D$2+D$3+D$4)*AA9)</f>
        <v>9.1401353932548624</v>
      </c>
      <c r="M9" s="4">
        <f t="shared" si="10"/>
        <v>6.938276777019766</v>
      </c>
      <c r="N9" s="4">
        <f t="shared" si="10"/>
        <v>44.189773483585782</v>
      </c>
      <c r="O9" s="4">
        <f t="shared" si="12"/>
        <v>0.14841233747635865</v>
      </c>
      <c r="Q9" s="45"/>
      <c r="R9" s="45"/>
      <c r="S9" s="44"/>
      <c r="T9" s="45"/>
      <c r="U9" s="45"/>
      <c r="V9" s="63">
        <v>4.0154684555103657</v>
      </c>
      <c r="W9" s="43">
        <f t="shared" si="11"/>
        <v>5.6001892934429524E-2</v>
      </c>
      <c r="X9" s="237">
        <v>2.76E-2</v>
      </c>
      <c r="Y9" s="237">
        <v>0.7591</v>
      </c>
      <c r="Z9" s="63">
        <v>6.3689839572192515</v>
      </c>
      <c r="AA9" s="43">
        <f t="shared" si="13"/>
        <v>1.3996201470735299E-2</v>
      </c>
      <c r="AB9" s="17">
        <v>7.8154687715691583E-3</v>
      </c>
      <c r="AC9" s="43">
        <f t="shared" si="14"/>
        <v>2.3056976383008562E-2</v>
      </c>
      <c r="AE9" s="47"/>
      <c r="AF9" s="61">
        <v>5.6000000000000001E-2</v>
      </c>
      <c r="AG9" s="61">
        <v>1.4E-2</v>
      </c>
      <c r="AH9" s="61">
        <v>2.1390374331550804E-2</v>
      </c>
    </row>
    <row r="10" spans="1:34" x14ac:dyDescent="0.3">
      <c r="A10" s="118"/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0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204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10.978475133197135</v>
      </c>
      <c r="J15" s="4">
        <f t="shared" ref="J15:J22" si="22">I15*V15</f>
        <v>72.741122938416865</v>
      </c>
      <c r="K15" s="4">
        <f t="shared" ref="K15:K22" si="23">I15*X15</f>
        <v>0</v>
      </c>
      <c r="L15" s="7">
        <f t="shared" ref="L15:L20" si="24">((D$2+D$3+D$4)*AA15)</f>
        <v>137.75489771262687</v>
      </c>
      <c r="M15" s="4">
        <f t="shared" ref="M15:N19" si="25">L15*Y15</f>
        <v>94.401862586935451</v>
      </c>
      <c r="N15" s="4">
        <f t="shared" si="25"/>
        <v>1268.1640666241594</v>
      </c>
      <c r="O15" s="4">
        <f t="shared" ref="O15:O22" si="26">M15*AH15</f>
        <v>8.2129620450633833</v>
      </c>
      <c r="Q15" s="45"/>
      <c r="R15" s="45"/>
      <c r="S15" s="44"/>
      <c r="T15" s="45"/>
      <c r="U15" s="45"/>
      <c r="V15" s="63">
        <v>6.6257947534498181</v>
      </c>
      <c r="W15" s="43">
        <f t="shared" ref="W15:W22" si="27">(AF15/SUM(AF$2:AF$22))*0.98</f>
        <v>2.3311042078659437E-2</v>
      </c>
      <c r="X15" s="237">
        <v>0</v>
      </c>
      <c r="Y15" s="237">
        <v>0.68528861154446197</v>
      </c>
      <c r="Z15" s="63">
        <v>13.433676326632821</v>
      </c>
      <c r="AA15" s="43">
        <f t="shared" ref="AA15:AA22" si="28">(AG15/SUM(AG$7:AG$27))*0.98</f>
        <v>0.21094275073751059</v>
      </c>
      <c r="AB15" s="17">
        <v>0.19706501903396839</v>
      </c>
      <c r="AC15" s="43">
        <f t="shared" ref="AC15:AC22" si="29">(AH15/SUM(AH$7:AH$27))*0.98</f>
        <v>9.377848719379156E-2</v>
      </c>
      <c r="AE15" s="47"/>
      <c r="AF15" s="61">
        <v>2.3310254136112738E-2</v>
      </c>
      <c r="AG15" s="61">
        <v>0.21099999999999999</v>
      </c>
      <c r="AH15" s="61">
        <v>8.6999999999999994E-2</v>
      </c>
    </row>
    <row r="16" spans="1:34" x14ac:dyDescent="0.3">
      <c r="A16" s="66" t="s">
        <v>46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107.07015746384266</v>
      </c>
      <c r="M16" s="4">
        <f t="shared" si="25"/>
        <v>61.421880526807001</v>
      </c>
      <c r="N16" s="4">
        <f t="shared" si="25"/>
        <v>816.29679220126502</v>
      </c>
      <c r="O16" s="4">
        <f t="shared" si="26"/>
        <v>6.9406724995291915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0.57366013071895428</v>
      </c>
      <c r="Z16" s="63">
        <v>13.29</v>
      </c>
      <c r="AA16" s="43">
        <f t="shared" si="28"/>
        <v>0.16395550294289921</v>
      </c>
      <c r="AB16" s="17">
        <v>0.19101895662388133</v>
      </c>
      <c r="AC16" s="43">
        <f t="shared" si="29"/>
        <v>0.12180424198733848</v>
      </c>
      <c r="AE16" s="47"/>
      <c r="AF16" s="61">
        <v>0</v>
      </c>
      <c r="AG16" s="61">
        <v>0.16400000000000001</v>
      </c>
      <c r="AH16" s="61">
        <v>0.113</v>
      </c>
    </row>
    <row r="17" spans="1:34" x14ac:dyDescent="0.3">
      <c r="A17" s="66" t="s">
        <v>672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0.25852388106242963</v>
      </c>
      <c r="J17" s="4">
        <f t="shared" si="22"/>
        <v>1.421881345843363</v>
      </c>
      <c r="K17" s="4">
        <f t="shared" si="23"/>
        <v>0</v>
      </c>
      <c r="L17" s="7">
        <f t="shared" si="24"/>
        <v>69.203882263215391</v>
      </c>
      <c r="M17" s="4">
        <f t="shared" si="25"/>
        <v>42.673952937129918</v>
      </c>
      <c r="N17" s="4">
        <f t="shared" si="25"/>
        <v>547.27707703884823</v>
      </c>
      <c r="O17" s="4">
        <f t="shared" si="26"/>
        <v>3.8406557643416925</v>
      </c>
      <c r="Q17" s="45"/>
      <c r="R17" s="45"/>
      <c r="S17" s="44"/>
      <c r="T17" s="45"/>
      <c r="U17" s="45"/>
      <c r="V17" s="63">
        <v>5.5</v>
      </c>
      <c r="W17" s="43">
        <f t="shared" si="27"/>
        <v>5.4893425513727312E-4</v>
      </c>
      <c r="X17" s="237">
        <v>0</v>
      </c>
      <c r="Y17" s="237">
        <v>0.61664102564102563</v>
      </c>
      <c r="Z17" s="63">
        <v>12.82461640816666</v>
      </c>
      <c r="AA17" s="43">
        <f t="shared" si="28"/>
        <v>0.10597123970699583</v>
      </c>
      <c r="AB17" s="17">
        <v>0.13390050001312528</v>
      </c>
      <c r="AC17" s="43">
        <f t="shared" si="29"/>
        <v>9.7012228131508518E-2</v>
      </c>
      <c r="AE17" s="47"/>
      <c r="AF17" s="61">
        <v>5.4891570046891017E-4</v>
      </c>
      <c r="AG17" s="61">
        <v>0.106</v>
      </c>
      <c r="AH17" s="61">
        <v>0.09</v>
      </c>
    </row>
    <row r="18" spans="1:34" x14ac:dyDescent="0.3">
      <c r="A18" s="66" t="s">
        <v>100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0.34469850808323937</v>
      </c>
      <c r="J18" s="4">
        <f t="shared" si="22"/>
        <v>2.0681910484994361</v>
      </c>
      <c r="K18" s="4">
        <f t="shared" si="23"/>
        <v>0</v>
      </c>
      <c r="L18" s="7">
        <f t="shared" si="24"/>
        <v>43.089209711058643</v>
      </c>
      <c r="M18" s="4">
        <f t="shared" si="25"/>
        <v>26.68945649502972</v>
      </c>
      <c r="N18" s="4">
        <f t="shared" si="25"/>
        <v>373.9696692134857</v>
      </c>
      <c r="O18" s="4">
        <f t="shared" si="26"/>
        <v>2.2952932585725558</v>
      </c>
      <c r="Q18" s="45"/>
      <c r="R18" s="45"/>
      <c r="S18" s="44"/>
      <c r="T18" s="45"/>
      <c r="U18" s="45"/>
      <c r="V18" s="63">
        <v>6</v>
      </c>
      <c r="W18" s="43">
        <f t="shared" si="27"/>
        <v>7.3191234018303065E-4</v>
      </c>
      <c r="X18" s="237">
        <v>0</v>
      </c>
      <c r="Y18" s="237">
        <v>0.61939999999999995</v>
      </c>
      <c r="Z18" s="63">
        <v>14.011887776100975</v>
      </c>
      <c r="AA18" s="43">
        <f t="shared" si="28"/>
        <v>6.5982092647752136E-2</v>
      </c>
      <c r="AB18" s="17">
        <v>3.458244539730021E-2</v>
      </c>
      <c r="AC18" s="43">
        <f t="shared" si="29"/>
        <v>9.2700573547885912E-2</v>
      </c>
      <c r="AE18" s="47"/>
      <c r="AF18" s="61">
        <v>7.3188760062521349E-4</v>
      </c>
      <c r="AG18" s="61">
        <v>6.6000000000000003E-2</v>
      </c>
      <c r="AH18" s="61">
        <v>8.5999999999999993E-2</v>
      </c>
    </row>
    <row r="19" spans="1:34" x14ac:dyDescent="0.3">
      <c r="A19" s="77" t="s">
        <v>596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22.850338483137158</v>
      </c>
      <c r="M19" s="4">
        <f t="shared" si="25"/>
        <v>14.226620739601195</v>
      </c>
      <c r="N19" s="4">
        <f t="shared" si="25"/>
        <v>163.51879011356093</v>
      </c>
      <c r="O19" s="4">
        <f t="shared" si="26"/>
        <v>0.9958634517720838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0.62260000000000004</v>
      </c>
      <c r="Z19" s="63">
        <v>11.493860215053763</v>
      </c>
      <c r="AA19" s="43">
        <f t="shared" si="28"/>
        <v>3.4990503676838251E-2</v>
      </c>
      <c r="AB19" s="17">
        <v>2.6997234152718364E-2</v>
      </c>
      <c r="AC19" s="43">
        <f t="shared" si="29"/>
        <v>7.5453955213395527E-2</v>
      </c>
      <c r="AE19" s="47"/>
      <c r="AF19" s="61">
        <v>0</v>
      </c>
      <c r="AG19" s="61">
        <v>3.5000000000000003E-2</v>
      </c>
      <c r="AH19" s="61">
        <v>7.0000000000000007E-2</v>
      </c>
    </row>
    <row r="20" spans="1:34" x14ac:dyDescent="0.3">
      <c r="A20" s="77" t="s">
        <v>331</v>
      </c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11.65686937498282</v>
      </c>
      <c r="M20" s="4">
        <f t="shared" ref="M20:N20" si="30">L20*Y20</f>
        <v>6.9428313997397684</v>
      </c>
      <c r="N20" s="4">
        <f t="shared" si="30"/>
        <v>80.335641975494383</v>
      </c>
      <c r="O20" s="4">
        <f t="shared" si="26"/>
        <v>0.49294102938152351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0.59560000000000002</v>
      </c>
      <c r="Z20" s="63">
        <v>11.571020142949967</v>
      </c>
      <c r="AA20" s="43">
        <f t="shared" si="28"/>
        <v>1.7850052025564618E-2</v>
      </c>
      <c r="AB20" s="17">
        <v>1.7104335421759966E-2</v>
      </c>
      <c r="AC20" s="43">
        <f t="shared" si="29"/>
        <v>7.6531868859301161E-2</v>
      </c>
      <c r="AE20" s="47"/>
      <c r="AF20" s="61">
        <v>0</v>
      </c>
      <c r="AG20" s="61">
        <v>1.7854896478906999E-2</v>
      </c>
      <c r="AH20" s="61">
        <v>7.0999999999999994E-2</v>
      </c>
    </row>
    <row r="21" spans="1:34" x14ac:dyDescent="0.3">
      <c r="A21" s="77" t="s">
        <v>823</v>
      </c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189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97.93002207058781</v>
      </c>
      <c r="M24" s="4">
        <f t="shared" ref="M24:N27" si="34">L24*Y24</f>
        <v>72.693455382997328</v>
      </c>
      <c r="N24" s="4">
        <f t="shared" si="34"/>
        <v>755.28500142934229</v>
      </c>
      <c r="O24" s="4">
        <f t="shared" ref="O24:O27" si="35">M24*AH24</f>
        <v>7.3420389936827304</v>
      </c>
      <c r="Q24" s="45"/>
      <c r="R24" s="45"/>
      <c r="S24" s="44"/>
      <c r="T24" s="45"/>
      <c r="U24" s="45"/>
      <c r="V24" s="46"/>
      <c r="W24" s="46"/>
      <c r="X24" s="45"/>
      <c r="Y24" s="237">
        <v>0.74229999999999996</v>
      </c>
      <c r="Z24" s="236">
        <v>10.39</v>
      </c>
      <c r="AA24" s="43">
        <f t="shared" ref="AA24:AA27" si="36">(AG24/SUM(AG$7:AG$27))*0.98</f>
        <v>0.14995930147216391</v>
      </c>
      <c r="AB24" s="17">
        <v>0.1173594878512651</v>
      </c>
      <c r="AC24" s="43">
        <f t="shared" ref="AC24:AC27" si="37">(AH24/SUM(AH$7:AH$27))*0.98</f>
        <v>0.10886927823647069</v>
      </c>
      <c r="AE24" s="47"/>
      <c r="AF24" s="47"/>
      <c r="AG24" s="61">
        <v>0.15</v>
      </c>
      <c r="AH24" s="61">
        <v>0.10100000000000001</v>
      </c>
    </row>
    <row r="25" spans="1:34" x14ac:dyDescent="0.3">
      <c r="A25" s="58" t="s">
        <v>808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10.4458690208627</v>
      </c>
      <c r="M25" s="4">
        <f t="shared" si="34"/>
        <v>6.8107066016024804</v>
      </c>
      <c r="N25" s="4">
        <f t="shared" si="34"/>
        <v>68.856243742201073</v>
      </c>
      <c r="O25" s="4">
        <f t="shared" si="35"/>
        <v>0.46037729457388965</v>
      </c>
      <c r="Q25" s="45"/>
      <c r="R25" s="45"/>
      <c r="S25" s="44"/>
      <c r="T25" s="45"/>
      <c r="U25" s="45"/>
      <c r="V25" s="46"/>
      <c r="W25" s="46"/>
      <c r="X25" s="45"/>
      <c r="Y25" s="237">
        <v>0.65200000000000002</v>
      </c>
      <c r="Z25" s="236">
        <v>10.11</v>
      </c>
      <c r="AA25" s="43">
        <f t="shared" si="36"/>
        <v>1.5995658823697485E-2</v>
      </c>
      <c r="AB25" s="17">
        <v>6.6566878931794998E-2</v>
      </c>
      <c r="AC25" s="43">
        <f t="shared" si="37"/>
        <v>7.2862772853782856E-2</v>
      </c>
      <c r="AE25" s="47"/>
      <c r="AF25" s="47"/>
      <c r="AG25" s="61">
        <v>1.6E-2</v>
      </c>
      <c r="AH25" s="61">
        <v>6.7596113223489643E-2</v>
      </c>
    </row>
    <row r="26" spans="1:34" x14ac:dyDescent="0.3">
      <c r="A26" s="77" t="s">
        <v>597</v>
      </c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8.0445402190749284</v>
      </c>
      <c r="M26" s="4">
        <f t="shared" si="34"/>
        <v>4.9160185278766884</v>
      </c>
      <c r="N26" s="4">
        <f t="shared" si="34"/>
        <v>50.068830973400843</v>
      </c>
      <c r="O26" s="4">
        <f t="shared" si="35"/>
        <v>0.34104277262862737</v>
      </c>
      <c r="Q26" s="45"/>
      <c r="R26" s="45"/>
      <c r="S26" s="44"/>
      <c r="T26" s="45"/>
      <c r="U26" s="45"/>
      <c r="V26" s="46"/>
      <c r="W26" s="46"/>
      <c r="X26" s="45"/>
      <c r="Y26" s="237">
        <v>0.61109999999999998</v>
      </c>
      <c r="Z26" s="236">
        <v>10.184833659491193</v>
      </c>
      <c r="AA26" s="43">
        <f t="shared" si="36"/>
        <v>1.2318527111611053E-2</v>
      </c>
      <c r="AB26" s="17">
        <v>1.5536120867251138E-2</v>
      </c>
      <c r="AC26" s="43">
        <f t="shared" si="37"/>
        <v>7.4778940797172788E-2</v>
      </c>
      <c r="AE26" s="47"/>
      <c r="AF26" s="47"/>
      <c r="AG26" s="61">
        <v>1.2321870324827103E-2</v>
      </c>
      <c r="AH26" s="61">
        <v>6.9373776908023474E-2</v>
      </c>
    </row>
    <row r="27" spans="1:34" x14ac:dyDescent="0.3">
      <c r="A27" s="77" t="s">
        <v>643</v>
      </c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5.22293451043135</v>
      </c>
      <c r="M27" s="4">
        <f t="shared" si="34"/>
        <v>3.431675382305075</v>
      </c>
      <c r="N27" s="4">
        <f t="shared" si="34"/>
        <v>34.58072885245884</v>
      </c>
      <c r="O27" s="4">
        <f t="shared" si="35"/>
        <v>0.22305889984982988</v>
      </c>
      <c r="Q27" s="45"/>
      <c r="R27" s="45"/>
      <c r="S27" s="44"/>
      <c r="T27" s="45"/>
      <c r="U27" s="45"/>
      <c r="V27" s="46"/>
      <c r="W27" s="46"/>
      <c r="X27" s="45"/>
      <c r="Y27" s="237">
        <v>0.65703971119133575</v>
      </c>
      <c r="Z27" s="236">
        <v>10.076923076923078</v>
      </c>
      <c r="AA27" s="43">
        <f t="shared" si="36"/>
        <v>7.9978294118487423E-3</v>
      </c>
      <c r="AB27" s="17">
        <v>0</v>
      </c>
      <c r="AC27" s="43">
        <f t="shared" si="37"/>
        <v>7.0064386983867258E-2</v>
      </c>
      <c r="AE27" s="47"/>
      <c r="AF27" s="47"/>
      <c r="AG27" s="61">
        <v>8.0000000000000002E-3</v>
      </c>
      <c r="AH27" s="61">
        <v>6.5000000000000002E-2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1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0.97499999999999987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0.97996687476719579</v>
      </c>
      <c r="AG30" s="28">
        <f>SUM(AG7:AG27)</f>
        <v>0.98026596921223164</v>
      </c>
    </row>
    <row r="31" spans="1:34" s="86" customFormat="1" x14ac:dyDescent="0.3">
      <c r="A31" s="102"/>
      <c r="B31" s="80"/>
      <c r="C31" s="80"/>
      <c r="D31" s="105">
        <v>1124</v>
      </c>
      <c r="E31" s="106">
        <v>0.58099999999999996</v>
      </c>
      <c r="F31" s="8">
        <f>1-E31</f>
        <v>0.41900000000000004</v>
      </c>
      <c r="G31" s="234">
        <v>4.3266888150609084</v>
      </c>
      <c r="H31" s="275">
        <v>3.4799999999999998E-2</v>
      </c>
      <c r="I31" s="83"/>
      <c r="J31" s="81"/>
      <c r="K31" s="81"/>
      <c r="L31" s="81"/>
      <c r="M31" s="81"/>
      <c r="N31" s="81"/>
      <c r="O31" s="81"/>
      <c r="P31" s="81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1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653.04399999999998</v>
      </c>
      <c r="E34" s="2">
        <f>SUM(E2:E4)</f>
        <v>437.19593658214012</v>
      </c>
      <c r="F34" s="2">
        <f>SUM(F2:F4)</f>
        <v>4809.7583160835356</v>
      </c>
      <c r="G34" s="2">
        <f>SUM(G2:G4)</f>
        <v>34.330302623260572</v>
      </c>
      <c r="H34" s="133"/>
      <c r="I34" s="133"/>
      <c r="J34" s="133"/>
      <c r="K34" s="81"/>
      <c r="L34" s="81"/>
      <c r="M34" s="81"/>
      <c r="N34" s="81"/>
      <c r="O34" s="81"/>
      <c r="P34" s="81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1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1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470.95600000000002</v>
      </c>
      <c r="E37" s="2">
        <f>D37*G31</f>
        <v>2037.6800575858254</v>
      </c>
      <c r="F37" s="2">
        <f>D37*H31</f>
        <v>16.3892688</v>
      </c>
      <c r="G37" s="133"/>
      <c r="H37" s="133"/>
      <c r="I37" s="133"/>
      <c r="J37" s="133"/>
      <c r="K37" s="81"/>
      <c r="L37" s="81"/>
      <c r="M37" s="81"/>
      <c r="N37" s="81"/>
      <c r="O37" s="81"/>
      <c r="P37" s="81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1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461.53688</v>
      </c>
      <c r="E40" s="3">
        <f>SUM(J2:J4,J7:J12,J15:J22)</f>
        <v>2023.7583206397665</v>
      </c>
      <c r="F40" s="3">
        <f>SUM(K2:K4,K7:K12,K15:K22)</f>
        <v>16.245568032038555</v>
      </c>
      <c r="G40" s="3">
        <f>SUM(L7:L12,L15:L22,L24:L27)</f>
        <v>639.98311999999987</v>
      </c>
      <c r="H40" s="3">
        <f>SUM(M7:M12,M15:M22,M24:M27)</f>
        <v>428.3374745504974</v>
      </c>
      <c r="I40" s="3">
        <f>SUM(N7:N12,N15:N22,N24:N27)</f>
        <v>4796.3055456683614</v>
      </c>
      <c r="J40" s="3">
        <f>SUM(O7:O12,O15:O22,O24:O27)</f>
        <v>34.246024960220794</v>
      </c>
    </row>
    <row r="41" spans="1:32" ht="14.4" thickTop="1" x14ac:dyDescent="0.3">
      <c r="D41" s="50">
        <f>D37-D40</f>
        <v>9.4191200000000208</v>
      </c>
      <c r="E41" s="50">
        <f>E37-E40</f>
        <v>13.9217369460589</v>
      </c>
      <c r="F41" s="50">
        <f>F37-F40</f>
        <v>0.1437007679614446</v>
      </c>
      <c r="G41" s="50">
        <f>SUM(D2:D4)-G40</f>
        <v>13.060880000000111</v>
      </c>
      <c r="H41" s="50">
        <f>E34-H40</f>
        <v>8.8584620316427163</v>
      </c>
      <c r="I41" s="50">
        <f>F34-I40</f>
        <v>13.4527704151742</v>
      </c>
      <c r="J41" s="50">
        <f>G34-J40</f>
        <v>8.4277663039777906E-2</v>
      </c>
    </row>
  </sheetData>
  <sheetProtection sheet="1" selectLockedCells="1"/>
  <conditionalFormatting sqref="AA30:AB30 AD30:AF30">
    <cfRule type="cellIs" dxfId="359" priority="14" operator="greaterThan">
      <formula>1</formula>
    </cfRule>
    <cfRule type="cellIs" dxfId="358" priority="15" operator="greaterThan">
      <formula>1</formula>
    </cfRule>
  </conditionalFormatting>
  <conditionalFormatting sqref="AC30">
    <cfRule type="cellIs" dxfId="357" priority="10" operator="greaterThan">
      <formula>1</formula>
    </cfRule>
    <cfRule type="cellIs" dxfId="356" priority="11" operator="greaterThan">
      <formula>1</formula>
    </cfRule>
  </conditionalFormatting>
  <conditionalFormatting sqref="AG30">
    <cfRule type="cellIs" dxfId="355" priority="8" operator="greaterThan">
      <formula>1</formula>
    </cfRule>
    <cfRule type="cellIs" dxfId="354" priority="9" operator="greaterThan">
      <formula>1</formula>
    </cfRule>
  </conditionalFormatting>
  <conditionalFormatting sqref="W30">
    <cfRule type="cellIs" dxfId="353" priority="2" operator="greaterThan">
      <formula>1</formula>
    </cfRule>
    <cfRule type="cellIs" dxfId="352" priority="3" operator="greaterThan">
      <formula>1</formula>
    </cfRule>
  </conditionalFormatting>
  <conditionalFormatting sqref="D41:J41">
    <cfRule type="cellIs" dxfId="351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00FF"/>
  </sheetPr>
  <dimension ref="A1:AH44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94</v>
      </c>
      <c r="B2" s="59" t="s">
        <v>9</v>
      </c>
      <c r="C2" s="60">
        <v>9</v>
      </c>
      <c r="D2" s="4">
        <f>D$34*Q2</f>
        <v>578.71428439999988</v>
      </c>
      <c r="E2" s="4">
        <f>D2*R2</f>
        <v>379.63657056639994</v>
      </c>
      <c r="F2" s="4">
        <f>E2*S2</f>
        <v>4352.5105903618705</v>
      </c>
      <c r="G2" s="4">
        <f t="shared" ref="G2:G3" si="0">E2*T2</f>
        <v>31.927435584634232</v>
      </c>
      <c r="H2" s="4">
        <f>E2*U2</f>
        <v>7.2440794789437346</v>
      </c>
      <c r="I2" s="4">
        <f>D$37*W2</f>
        <v>50.729726711340213</v>
      </c>
      <c r="J2" s="4">
        <f>I2*V2</f>
        <v>231.84326106246735</v>
      </c>
      <c r="K2" s="4">
        <f>I2*X2</f>
        <v>1.7964011331592831</v>
      </c>
      <c r="L2" s="44"/>
      <c r="M2" s="44"/>
      <c r="N2" s="44"/>
      <c r="O2" s="44"/>
      <c r="Q2" s="43">
        <f>AE2</f>
        <v>0.98</v>
      </c>
      <c r="R2" s="61">
        <v>0.65600000000000003</v>
      </c>
      <c r="S2" s="236">
        <v>11.464940229199019</v>
      </c>
      <c r="T2" s="237">
        <v>8.4099999999999994E-2</v>
      </c>
      <c r="U2" s="61">
        <v>1.9081616579076952E-2</v>
      </c>
      <c r="V2" s="236">
        <v>4.5701657803459188</v>
      </c>
      <c r="W2" s="43">
        <f>(AF2/SUM(AF$2:AF$22))*0.98</f>
        <v>0.11203432396680456</v>
      </c>
      <c r="X2" s="61">
        <v>3.541121251019301E-2</v>
      </c>
      <c r="Y2" s="64"/>
      <c r="Z2" s="65"/>
      <c r="AA2" s="1"/>
      <c r="AB2" s="1"/>
      <c r="AC2" s="1"/>
      <c r="AE2" s="61">
        <v>0.98</v>
      </c>
      <c r="AF2" s="61">
        <v>0.112</v>
      </c>
      <c r="AG2" s="47"/>
      <c r="AH2" s="47"/>
    </row>
    <row r="3" spans="1:34" x14ac:dyDescent="0.3">
      <c r="A3" s="58" t="s">
        <v>699</v>
      </c>
      <c r="B3" s="59" t="s">
        <v>9</v>
      </c>
      <c r="C3" s="60">
        <v>9</v>
      </c>
      <c r="D3" s="4">
        <f>D$34*Q3</f>
        <v>11.810495600000008</v>
      </c>
      <c r="E3" s="4">
        <f t="shared" ref="E3:E4" si="1">D3*R3</f>
        <v>6.9515781757767527</v>
      </c>
      <c r="F3" s="4">
        <f t="shared" ref="F3:F4" si="2">E3*S3</f>
        <v>78.701206541874527</v>
      </c>
      <c r="G3" s="4">
        <f t="shared" si="0"/>
        <v>0.57698098858947056</v>
      </c>
      <c r="H3" s="4">
        <f t="shared" ref="H3" si="3">E3*U3</f>
        <v>0.16826705791652816</v>
      </c>
      <c r="I3" s="4">
        <f t="shared" ref="I3:I4" si="4">D$37*W3</f>
        <v>0.8002451711914611</v>
      </c>
      <c r="J3" s="4">
        <f>I3*V3</f>
        <v>2.9258964071687799</v>
      </c>
      <c r="K3" s="4">
        <f>I3*X3</f>
        <v>2.5007661599733166E-2</v>
      </c>
      <c r="L3" s="44"/>
      <c r="M3" s="44"/>
      <c r="N3" s="44"/>
      <c r="O3" s="44"/>
      <c r="Q3" s="43">
        <f t="shared" ref="Q3:Q4" si="5">AE3</f>
        <v>2.0000000000000018E-2</v>
      </c>
      <c r="R3" s="61">
        <v>0.58859326578782589</v>
      </c>
      <c r="S3" s="236">
        <v>11.321343808822325</v>
      </c>
      <c r="T3" s="237">
        <v>8.3000000000000004E-2</v>
      </c>
      <c r="U3" s="61">
        <v>2.4205590969668754E-2</v>
      </c>
      <c r="V3" s="236">
        <v>3.65625</v>
      </c>
      <c r="W3" s="43">
        <f t="shared" ref="W3:W4" si="6">(AF3/SUM(AF$2:AF$22))*0.98</f>
        <v>1.7673055341355407E-3</v>
      </c>
      <c r="X3" s="61">
        <v>3.1250000000000007E-2</v>
      </c>
      <c r="Y3" s="64"/>
      <c r="Z3" s="65"/>
      <c r="AA3" s="1"/>
      <c r="AB3" s="1"/>
      <c r="AC3" s="1"/>
      <c r="AE3" s="61">
        <f>1-AE2</f>
        <v>2.0000000000000018E-2</v>
      </c>
      <c r="AF3" s="61">
        <v>1.766764084565986E-3</v>
      </c>
      <c r="AG3" s="47"/>
      <c r="AH3" s="47"/>
    </row>
    <row r="4" spans="1:34" x14ac:dyDescent="0.3">
      <c r="B4" s="59" t="s">
        <v>9</v>
      </c>
      <c r="C4" s="60">
        <v>9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305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 t="shared" ref="I7:I12" si="9">D$37*W7</f>
        <v>215.14839453470179</v>
      </c>
      <c r="J7" s="4">
        <f>I7*V7</f>
        <v>953.49686561483679</v>
      </c>
      <c r="K7" s="4">
        <f>I7*X7</f>
        <v>7.0353525012847484</v>
      </c>
      <c r="L7" s="7">
        <f>((D$2+D$3+D$4)*AA7)</f>
        <v>66.727022380707382</v>
      </c>
      <c r="M7" s="4">
        <f t="shared" ref="M7:N9" si="10">L7*Y7</f>
        <v>52.82111091656796</v>
      </c>
      <c r="N7" s="4">
        <f t="shared" si="10"/>
        <v>364.06813087684418</v>
      </c>
      <c r="O7" s="4">
        <f>M7*AH7</f>
        <v>3.127946973411873</v>
      </c>
      <c r="Q7" s="45"/>
      <c r="R7" s="45"/>
      <c r="S7" s="44"/>
      <c r="T7" s="45"/>
      <c r="U7" s="45"/>
      <c r="V7" s="63">
        <v>4.4318102753076554</v>
      </c>
      <c r="W7" s="43">
        <f t="shared" ref="W7:W12" si="11">(AF7/SUM(AF$2:AF$22))*0.98</f>
        <v>0.47514557039493005</v>
      </c>
      <c r="X7" s="237">
        <v>3.27E-2</v>
      </c>
      <c r="Y7" s="237">
        <v>0.79159999999999997</v>
      </c>
      <c r="Z7" s="63">
        <v>6.8924739476210064</v>
      </c>
      <c r="AA7" s="43">
        <f>(AG7/SUM(AG$7:AG$27))*0.98</f>
        <v>0.11299614282182603</v>
      </c>
      <c r="AB7" s="17">
        <v>6.8073917432316638E-2</v>
      </c>
      <c r="AC7" s="43">
        <f>(AH7/SUM(AH$7:AH$27))*0.98</f>
        <v>6.6463568564109371E-2</v>
      </c>
      <c r="AE7" s="47"/>
      <c r="AF7" s="61">
        <v>0.47499999999999998</v>
      </c>
      <c r="AG7" s="61">
        <v>0.113</v>
      </c>
      <c r="AH7" s="61">
        <v>5.9217743041272454E-2</v>
      </c>
    </row>
    <row r="8" spans="1:34" x14ac:dyDescent="0.3">
      <c r="A8" s="101" t="s">
        <v>737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si="9"/>
        <v>156.70926103164786</v>
      </c>
      <c r="J8" s="4">
        <f>I8*V8</f>
        <v>699.74798185772386</v>
      </c>
      <c r="K8" s="4">
        <f>I8*X8</f>
        <v>6.1804935184044512</v>
      </c>
      <c r="L8" s="7">
        <f>((D$2+D$3+D$4)*AA8)</f>
        <v>33.998839433115798</v>
      </c>
      <c r="M8" s="4">
        <f t="shared" si="10"/>
        <v>24.592360527838341</v>
      </c>
      <c r="N8" s="4">
        <f t="shared" si="10"/>
        <v>167.01049901556337</v>
      </c>
      <c r="O8" s="4">
        <f t="shared" ref="O8:O12" si="12">M8*AH8</f>
        <v>1.111362063116615</v>
      </c>
      <c r="Q8" s="45"/>
      <c r="R8" s="45"/>
      <c r="S8" s="44"/>
      <c r="T8" s="45"/>
      <c r="U8" s="45"/>
      <c r="V8" s="63">
        <v>4.4652624691811154</v>
      </c>
      <c r="W8" s="43">
        <f t="shared" si="11"/>
        <v>0.34608536763698938</v>
      </c>
      <c r="X8" s="237">
        <v>3.9439235931029527E-2</v>
      </c>
      <c r="Y8" s="237">
        <v>0.723329411764706</v>
      </c>
      <c r="Z8" s="63">
        <v>6.7911536522290694</v>
      </c>
      <c r="AA8" s="43">
        <f t="shared" ref="AA8:AA12" si="13">(AG8/SUM(AG$7:AG$27))*0.98</f>
        <v>5.7573941999717285E-2</v>
      </c>
      <c r="AB8" s="17">
        <v>6.9752696430286074E-2</v>
      </c>
      <c r="AC8" s="43">
        <f t="shared" ref="AC8:AC12" si="14">(AH8/SUM(AH$7:AH$27))*0.98</f>
        <v>5.0720923854728622E-2</v>
      </c>
      <c r="AE8" s="47"/>
      <c r="AF8" s="61">
        <v>0.34597933742901638</v>
      </c>
      <c r="AG8" s="61">
        <v>5.757590731416895E-2</v>
      </c>
      <c r="AH8" s="61">
        <v>4.5191353707528914E-2</v>
      </c>
    </row>
    <row r="9" spans="1:34" x14ac:dyDescent="0.3">
      <c r="A9" s="66" t="s">
        <v>196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9"/>
        <v>16.053918440564701</v>
      </c>
      <c r="J9" s="4">
        <f>I9*V9</f>
        <v>69.513466847645148</v>
      </c>
      <c r="K9" s="4">
        <f>I9*X9</f>
        <v>0.37511492399599744</v>
      </c>
      <c r="L9" s="7">
        <f>((D$2+D$3+D$4)*AA9)</f>
        <v>4.0549211071096174</v>
      </c>
      <c r="M9" s="4">
        <f t="shared" si="10"/>
        <v>2.7249069839776632</v>
      </c>
      <c r="N9" s="4">
        <f t="shared" si="10"/>
        <v>17.099416303125889</v>
      </c>
      <c r="O9" s="4">
        <f t="shared" si="12"/>
        <v>2.499914664199691E-2</v>
      </c>
      <c r="Q9" s="45"/>
      <c r="R9" s="45"/>
      <c r="S9" s="44"/>
      <c r="T9" s="45"/>
      <c r="U9" s="45"/>
      <c r="V9" s="63">
        <v>4.33</v>
      </c>
      <c r="W9" s="43">
        <f t="shared" si="11"/>
        <v>3.5454358146676621E-2</v>
      </c>
      <c r="X9" s="237">
        <v>2.3365941803227618E-2</v>
      </c>
      <c r="Y9" s="237">
        <v>0.67200000000000004</v>
      </c>
      <c r="Z9" s="63">
        <v>6.2752293577981657</v>
      </c>
      <c r="AA9" s="43">
        <f t="shared" si="13"/>
        <v>6.8666400538003143E-3</v>
      </c>
      <c r="AB9" s="17">
        <v>1.1650317612260847E-2</v>
      </c>
      <c r="AC9" s="43">
        <f t="shared" si="14"/>
        <v>1.029687182332319E-2</v>
      </c>
      <c r="AE9" s="47"/>
      <c r="AF9" s="61">
        <v>3.5443495991499388E-2</v>
      </c>
      <c r="AG9" s="61">
        <v>6.8668744498910353E-3</v>
      </c>
      <c r="AH9" s="61">
        <v>9.1743119266055051E-3</v>
      </c>
    </row>
    <row r="10" spans="1:34" x14ac:dyDescent="0.3">
      <c r="A10" s="66"/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7.1621042610960422E-3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A11" s="66"/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66"/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51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0.12503830799866578</v>
      </c>
      <c r="J15" s="4">
        <f t="shared" ref="J15:J22" si="22">I15*V15</f>
        <v>1.0003064639893262</v>
      </c>
      <c r="K15" s="4">
        <f t="shared" ref="K15:K22" si="23">I15*X15</f>
        <v>0</v>
      </c>
      <c r="L15" s="7">
        <f t="shared" ref="L15:L20" si="24">((D$2+D$3+D$4)*AA15)</f>
        <v>111.79618378301021</v>
      </c>
      <c r="M15" s="4">
        <f t="shared" ref="M15:N19" si="25">L15*Y15</f>
        <v>67.893822411422093</v>
      </c>
      <c r="N15" s="4">
        <f t="shared" si="25"/>
        <v>983.78148674150611</v>
      </c>
      <c r="O15" s="4">
        <f t="shared" ref="O15:O22" si="26">M15*AH15</f>
        <v>6.6535945963193655</v>
      </c>
      <c r="Q15" s="45"/>
      <c r="R15" s="45"/>
      <c r="S15" s="44"/>
      <c r="T15" s="45"/>
      <c r="U15" s="45"/>
      <c r="V15" s="63">
        <v>8</v>
      </c>
      <c r="W15" s="43">
        <f t="shared" ref="W15:W22" si="27">(AF15/SUM(AF$2:AF$22))*0.98</f>
        <v>2.7614148970867822E-4</v>
      </c>
      <c r="X15" s="237">
        <v>0</v>
      </c>
      <c r="Y15" s="237">
        <v>0.60729999999999995</v>
      </c>
      <c r="Z15" s="63">
        <v>14.49</v>
      </c>
      <c r="AA15" s="43">
        <f t="shared" ref="AA15:AA22" si="28">(AG15/SUM(AG$7:AG$27))*0.98</f>
        <v>0.18931666810495273</v>
      </c>
      <c r="AB15" s="17">
        <v>0.17296040692049197</v>
      </c>
      <c r="AC15" s="43">
        <f t="shared" ref="AC15:AC22" si="29">(AH15/SUM(AH$7:AH$27))*0.98</f>
        <v>0.10999118481673832</v>
      </c>
      <c r="AE15" s="47"/>
      <c r="AF15" s="61">
        <v>2.7605688821343531E-4</v>
      </c>
      <c r="AG15" s="61">
        <v>0.18932313052129673</v>
      </c>
      <c r="AH15" s="61">
        <v>9.8000000000000004E-2</v>
      </c>
    </row>
    <row r="16" spans="1:34" x14ac:dyDescent="0.3">
      <c r="A16" s="77" t="s">
        <v>206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2.4319950905740497</v>
      </c>
      <c r="J16" s="4">
        <f t="shared" si="22"/>
        <v>12.133467331574533</v>
      </c>
      <c r="K16" s="4">
        <f t="shared" si="23"/>
        <v>2.5007661599733163E-2</v>
      </c>
      <c r="L16" s="7">
        <f t="shared" si="24"/>
        <v>113.96739220775687</v>
      </c>
      <c r="M16" s="4">
        <f t="shared" si="25"/>
        <v>69.611283160497905</v>
      </c>
      <c r="N16" s="4">
        <f t="shared" si="25"/>
        <v>980.82297973141544</v>
      </c>
      <c r="O16" s="4">
        <f t="shared" si="26"/>
        <v>5.9865703518028193</v>
      </c>
      <c r="Q16" s="45"/>
      <c r="R16" s="45"/>
      <c r="S16" s="44"/>
      <c r="T16" s="45"/>
      <c r="U16" s="45"/>
      <c r="V16" s="63">
        <v>4.989100257069409</v>
      </c>
      <c r="W16" s="43">
        <f t="shared" si="27"/>
        <v>5.3709519748337915E-3</v>
      </c>
      <c r="X16" s="237">
        <v>1.0282776349614397E-2</v>
      </c>
      <c r="Y16" s="237">
        <v>0.61080000000000001</v>
      </c>
      <c r="Z16" s="63">
        <v>14.09</v>
      </c>
      <c r="AA16" s="43">
        <f t="shared" si="28"/>
        <v>0.19299341207621618</v>
      </c>
      <c r="AB16" s="17">
        <v>0.16914700718371889</v>
      </c>
      <c r="AC16" s="43">
        <f t="shared" si="29"/>
        <v>9.6522876471831581E-2</v>
      </c>
      <c r="AE16" s="47"/>
      <c r="AF16" s="61">
        <v>5.3693064757513167E-3</v>
      </c>
      <c r="AG16" s="61">
        <v>0.193</v>
      </c>
      <c r="AH16" s="61">
        <v>8.5999999999999993E-2</v>
      </c>
    </row>
    <row r="17" spans="1:34" x14ac:dyDescent="0.3">
      <c r="A17" s="77" t="s">
        <v>52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87.394684180041523</v>
      </c>
      <c r="M17" s="4">
        <f t="shared" si="25"/>
        <v>54.237141002133775</v>
      </c>
      <c r="N17" s="4">
        <f t="shared" si="25"/>
        <v>735.55425273387016</v>
      </c>
      <c r="O17" s="4">
        <f t="shared" si="26"/>
        <v>6.0745597922389827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0.62060000000000004</v>
      </c>
      <c r="Z17" s="63">
        <v>13.561818324917464</v>
      </c>
      <c r="AA17" s="43">
        <f t="shared" si="28"/>
        <v>0.14799494812062169</v>
      </c>
      <c r="AB17" s="17">
        <v>9.6930999688846331E-2</v>
      </c>
      <c r="AC17" s="43">
        <f t="shared" si="29"/>
        <v>0.1257042112191295</v>
      </c>
      <c r="AE17" s="47"/>
      <c r="AF17" s="61">
        <v>0</v>
      </c>
      <c r="AG17" s="61">
        <v>0.14799999999999999</v>
      </c>
      <c r="AH17" s="61">
        <v>0.112</v>
      </c>
    </row>
    <row r="18" spans="1:34" x14ac:dyDescent="0.3">
      <c r="A18" s="77" t="s">
        <v>599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1.7505363119813213</v>
      </c>
      <c r="J18" s="4">
        <f t="shared" si="22"/>
        <v>9.7529880238959326</v>
      </c>
      <c r="K18" s="4">
        <f t="shared" si="23"/>
        <v>0</v>
      </c>
      <c r="L18" s="7">
        <f t="shared" si="24"/>
        <v>42.516332844344518</v>
      </c>
      <c r="M18" s="4">
        <f t="shared" si="25"/>
        <v>25.233443543118472</v>
      </c>
      <c r="N18" s="4">
        <f t="shared" si="25"/>
        <v>340.04058452581864</v>
      </c>
      <c r="O18" s="4">
        <f t="shared" si="26"/>
        <v>2.1579465627823899</v>
      </c>
      <c r="Q18" s="45"/>
      <c r="R18" s="45"/>
      <c r="S18" s="44"/>
      <c r="T18" s="45"/>
      <c r="U18" s="45"/>
      <c r="V18" s="63">
        <v>5.5714285714285712</v>
      </c>
      <c r="W18" s="43">
        <f t="shared" si="27"/>
        <v>3.8659808559214958E-3</v>
      </c>
      <c r="X18" s="237">
        <v>0</v>
      </c>
      <c r="Y18" s="237">
        <v>0.59350000000000003</v>
      </c>
      <c r="Z18" s="63">
        <v>13.475789935082114</v>
      </c>
      <c r="AA18" s="43">
        <f t="shared" si="28"/>
        <v>7.1997542328951086E-2</v>
      </c>
      <c r="AB18" s="17">
        <v>0.10907946740763651</v>
      </c>
      <c r="AC18" s="43">
        <f t="shared" si="29"/>
        <v>9.5983364464046136E-2</v>
      </c>
      <c r="AE18" s="47"/>
      <c r="AF18" s="61">
        <v>3.8647964349880948E-3</v>
      </c>
      <c r="AG18" s="61">
        <v>7.1999999999999995E-2</v>
      </c>
      <c r="AH18" s="61">
        <v>8.551930532568526E-2</v>
      </c>
    </row>
    <row r="19" spans="1:34" x14ac:dyDescent="0.3">
      <c r="A19" s="77" t="s">
        <v>600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10.399645003070717</v>
      </c>
      <c r="M19" s="4">
        <f t="shared" si="25"/>
        <v>6.408261250892175</v>
      </c>
      <c r="N19" s="4">
        <f t="shared" si="25"/>
        <v>72.901411038207087</v>
      </c>
      <c r="O19" s="4">
        <f t="shared" si="26"/>
        <v>0.47390410919781817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0.61619999999999997</v>
      </c>
      <c r="Z19" s="63">
        <v>11.376160893574299</v>
      </c>
      <c r="AA19" s="43">
        <f t="shared" si="28"/>
        <v>1.7610852846972346E-2</v>
      </c>
      <c r="AB19" s="17">
        <v>1.7228678004791002E-2</v>
      </c>
      <c r="AC19" s="43">
        <f t="shared" si="29"/>
        <v>8.3000760251801933E-2</v>
      </c>
      <c r="AE19" s="47"/>
      <c r="AF19" s="61">
        <v>0</v>
      </c>
      <c r="AG19" s="61">
        <v>1.7611454001981091E-2</v>
      </c>
      <c r="AH19" s="61">
        <v>7.3952058232931744E-2</v>
      </c>
    </row>
    <row r="20" spans="1:34" x14ac:dyDescent="0.3">
      <c r="A20" s="77" t="s">
        <v>831</v>
      </c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4.9998293283993815</v>
      </c>
      <c r="M20" s="4">
        <f t="shared" ref="M20:N20" si="30">L20*Y20</f>
        <v>3.0288966071443455</v>
      </c>
      <c r="N20" s="4">
        <f t="shared" si="30"/>
        <v>33.998864204211088</v>
      </c>
      <c r="O20" s="4">
        <f t="shared" si="26"/>
        <v>0.22700050854109477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0.60580000000000001</v>
      </c>
      <c r="Z20" s="63">
        <v>11.224834853727588</v>
      </c>
      <c r="AA20" s="43">
        <f t="shared" si="28"/>
        <v>8.4667561764290109E-3</v>
      </c>
      <c r="AB20" s="17">
        <v>4.0220732546576553E-3</v>
      </c>
      <c r="AC20" s="43">
        <f t="shared" si="29"/>
        <v>8.4115142685698571E-2</v>
      </c>
      <c r="AE20" s="47"/>
      <c r="AF20" s="61">
        <v>0</v>
      </c>
      <c r="AG20" s="61">
        <v>8.46704519326014E-3</v>
      </c>
      <c r="AH20" s="61">
        <v>7.494495124252909E-2</v>
      </c>
    </row>
    <row r="21" spans="1:34" x14ac:dyDescent="0.3">
      <c r="A21" s="77"/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251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71.451059363412327</v>
      </c>
      <c r="M24" s="4">
        <f t="shared" ref="M24:N27" si="34">L24*Y24</f>
        <v>51.712184174399567</v>
      </c>
      <c r="N24" s="4">
        <f t="shared" si="34"/>
        <v>537.05538115973718</v>
      </c>
      <c r="O24" s="4">
        <f t="shared" ref="O24:O27" si="35">M24*AH24</f>
        <v>5.2746427857887559</v>
      </c>
      <c r="Q24" s="45"/>
      <c r="R24" s="45"/>
      <c r="S24" s="44"/>
      <c r="T24" s="45"/>
      <c r="U24" s="45"/>
      <c r="V24" s="46"/>
      <c r="W24" s="46"/>
      <c r="X24" s="45"/>
      <c r="Y24" s="237">
        <v>0.72374272173324317</v>
      </c>
      <c r="Z24" s="236">
        <v>10.385470846648357</v>
      </c>
      <c r="AA24" s="43">
        <f t="shared" ref="AA24:AA27" si="36">(AG24/SUM(AG$7:AG$27))*0.98</f>
        <v>0.12099586974726505</v>
      </c>
      <c r="AB24" s="17">
        <v>0.16917769963646839</v>
      </c>
      <c r="AC24" s="43">
        <f t="shared" ref="AC24:AC27" si="37">(AH24/SUM(AH$7:AH$27))*0.98</f>
        <v>0.11448062093170722</v>
      </c>
      <c r="AE24" s="47"/>
      <c r="AF24" s="47"/>
      <c r="AG24" s="61">
        <v>0.121</v>
      </c>
      <c r="AH24" s="61">
        <v>0.10199999999999999</v>
      </c>
    </row>
    <row r="25" spans="1:34" x14ac:dyDescent="0.3">
      <c r="A25" s="77" t="s">
        <v>671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25.982203404877207</v>
      </c>
      <c r="M25" s="4">
        <f t="shared" si="34"/>
        <v>16.057001704214112</v>
      </c>
      <c r="N25" s="4">
        <f t="shared" si="34"/>
        <v>161.02014225113768</v>
      </c>
      <c r="O25" s="4">
        <f t="shared" si="35"/>
        <v>1.0587452098932997</v>
      </c>
      <c r="Q25" s="45"/>
      <c r="R25" s="45"/>
      <c r="S25" s="44"/>
      <c r="T25" s="45"/>
      <c r="U25" s="45"/>
      <c r="V25" s="46"/>
      <c r="W25" s="46"/>
      <c r="X25" s="45"/>
      <c r="Y25" s="237">
        <v>0.61799999999999999</v>
      </c>
      <c r="Z25" s="236">
        <v>10.028032955173595</v>
      </c>
      <c r="AA25" s="43">
        <f t="shared" si="36"/>
        <v>4.3998498089914559E-2</v>
      </c>
      <c r="AB25" s="17">
        <v>5.5579734095602698E-2</v>
      </c>
      <c r="AC25" s="43">
        <f t="shared" si="37"/>
        <v>7.4004616014300237E-2</v>
      </c>
      <c r="AE25" s="47"/>
      <c r="AF25" s="47"/>
      <c r="AG25" s="61">
        <v>4.3999999999999997E-2</v>
      </c>
      <c r="AH25" s="61">
        <v>6.5936669211128951E-2</v>
      </c>
    </row>
    <row r="26" spans="1:34" x14ac:dyDescent="0.3">
      <c r="A26" s="77" t="s">
        <v>281</v>
      </c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5.426171364154369</v>
      </c>
      <c r="M26" s="4">
        <f t="shared" si="34"/>
        <v>3.2665551612209298</v>
      </c>
      <c r="N26" s="4">
        <f t="shared" si="34"/>
        <v>36.198764337611522</v>
      </c>
      <c r="O26" s="4">
        <f t="shared" si="35"/>
        <v>0.19999317313597526</v>
      </c>
      <c r="Q26" s="45"/>
      <c r="R26" s="45"/>
      <c r="S26" s="44"/>
      <c r="T26" s="45"/>
      <c r="U26" s="45"/>
      <c r="V26" s="46"/>
      <c r="W26" s="46"/>
      <c r="X26" s="45"/>
      <c r="Y26" s="237">
        <v>0.60199999999999998</v>
      </c>
      <c r="Z26" s="236">
        <v>11.081632653061222</v>
      </c>
      <c r="AA26" s="43">
        <f t="shared" si="36"/>
        <v>9.1887276333338132E-3</v>
      </c>
      <c r="AB26" s="17">
        <v>1.574709966879094E-2</v>
      </c>
      <c r="AC26" s="43">
        <f t="shared" si="37"/>
        <v>6.8715858902585344E-2</v>
      </c>
      <c r="AE26" s="47"/>
      <c r="AF26" s="47"/>
      <c r="AG26" s="61">
        <v>9.1890412950110054E-3</v>
      </c>
      <c r="AH26" s="61">
        <v>6.1224489795918352E-2</v>
      </c>
    </row>
    <row r="27" spans="1:34" x14ac:dyDescent="0.3">
      <c r="A27" s="77"/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8.4877984030362497E-3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0.9800000000000002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0.9750000000000002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0.97969975730403447</v>
      </c>
      <c r="AG30" s="28">
        <f>SUM(AG7:AG27)</f>
        <v>0.98003345277560883</v>
      </c>
    </row>
    <row r="31" spans="1:34" s="86" customFormat="1" x14ac:dyDescent="0.3">
      <c r="A31" s="102"/>
      <c r="B31" s="80"/>
      <c r="C31" s="80"/>
      <c r="D31" s="105">
        <v>1043.33</v>
      </c>
      <c r="E31" s="106">
        <v>0.56599999999999995</v>
      </c>
      <c r="F31" s="8">
        <f>1-E31</f>
        <v>0.43400000000000005</v>
      </c>
      <c r="G31" s="234">
        <v>4.3957636566332221</v>
      </c>
      <c r="H31" s="275">
        <v>3.4219992567818658E-2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590.52477999999985</v>
      </c>
      <c r="E34" s="2">
        <f>SUM(E2:E4)</f>
        <v>386.58814874217671</v>
      </c>
      <c r="F34" s="2">
        <f>SUM(F2:F4)</f>
        <v>4431.2117969037454</v>
      </c>
      <c r="G34" s="2">
        <f>SUM(G2:G4)</f>
        <v>32.5044165732237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452.80522000000002</v>
      </c>
      <c r="E37" s="2">
        <f>D37*G31</f>
        <v>1990.4247296098106</v>
      </c>
      <c r="F37" s="2">
        <f>D37*H31</f>
        <v>15.494991263069492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443.74911560000004</v>
      </c>
      <c r="E40" s="3">
        <f>SUM(J2:J4,J7:J12,J15:J22)</f>
        <v>1980.4142336093016</v>
      </c>
      <c r="F40" s="3">
        <f>SUM(K2:K4,K7:K12,K15:K22)</f>
        <v>15.437377400043946</v>
      </c>
      <c r="G40" s="3">
        <f>SUM(L7:L12,L15:L22,L24:L27)</f>
        <v>578.71428439999977</v>
      </c>
      <c r="H40" s="3">
        <f>SUM(M7:M12,M15:M22,M24:M27)</f>
        <v>377.58696744342734</v>
      </c>
      <c r="I40" s="3">
        <f>SUM(N7:N12,N15:N22,N24:N27)</f>
        <v>4429.5519129190479</v>
      </c>
      <c r="J40" s="3">
        <f>SUM(O7:O12,O15:O22,O24:O27)</f>
        <v>32.371265272870986</v>
      </c>
    </row>
    <row r="41" spans="1:32" ht="14.4" thickTop="1" x14ac:dyDescent="0.3">
      <c r="D41" s="50">
        <f>D37-D40</f>
        <v>9.0561043999999811</v>
      </c>
      <c r="E41" s="50">
        <f>E37-E40</f>
        <v>10.010496000508965</v>
      </c>
      <c r="F41" s="50">
        <f>F37-F40</f>
        <v>5.7613863025546053E-2</v>
      </c>
      <c r="G41" s="50">
        <f>SUM(D2:D4)-G40</f>
        <v>11.810495600000081</v>
      </c>
      <c r="H41" s="50">
        <f>E34-H40</f>
        <v>9.0011812987493727</v>
      </c>
      <c r="I41" s="50">
        <f>F34-I40</f>
        <v>1.6598839846974442</v>
      </c>
      <c r="J41" s="50">
        <f>G34-J40</f>
        <v>0.13315130035271494</v>
      </c>
    </row>
    <row r="44" spans="1:32" x14ac:dyDescent="0.3">
      <c r="D44" s="117"/>
    </row>
  </sheetData>
  <sheetProtection sheet="1" selectLockedCells="1"/>
  <conditionalFormatting sqref="AA30:AB30 AD30:AF30">
    <cfRule type="cellIs" dxfId="350" priority="14" operator="greaterThan">
      <formula>1</formula>
    </cfRule>
    <cfRule type="cellIs" dxfId="349" priority="15" operator="greaterThan">
      <formula>1</formula>
    </cfRule>
  </conditionalFormatting>
  <conditionalFormatting sqref="AC30">
    <cfRule type="cellIs" dxfId="348" priority="10" operator="greaterThan">
      <formula>1</formula>
    </cfRule>
    <cfRule type="cellIs" dxfId="347" priority="11" operator="greaterThan">
      <formula>1</formula>
    </cfRule>
  </conditionalFormatting>
  <conditionalFormatting sqref="AG30">
    <cfRule type="cellIs" dxfId="346" priority="8" operator="greaterThan">
      <formula>1</formula>
    </cfRule>
    <cfRule type="cellIs" dxfId="345" priority="9" operator="greaterThan">
      <formula>1</formula>
    </cfRule>
  </conditionalFormatting>
  <conditionalFormatting sqref="W30">
    <cfRule type="cellIs" dxfId="344" priority="2" operator="greaterThan">
      <formula>1</formula>
    </cfRule>
    <cfRule type="cellIs" dxfId="343" priority="3" operator="greaterThan">
      <formula>1</formula>
    </cfRule>
  </conditionalFormatting>
  <conditionalFormatting sqref="D41:J41">
    <cfRule type="cellIs" dxfId="342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71A0FF"/>
  </sheetPr>
  <dimension ref="A1:AH58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80</v>
      </c>
      <c r="B2" s="59" t="s">
        <v>9</v>
      </c>
      <c r="C2" s="60">
        <v>6</v>
      </c>
      <c r="D2" s="4">
        <f>D$34*Q2</f>
        <v>613.66644539999993</v>
      </c>
      <c r="E2" s="4">
        <f>D2*R2</f>
        <v>400.72418884619998</v>
      </c>
      <c r="F2" s="4">
        <f>E2*S2</f>
        <v>4151.5025964466313</v>
      </c>
      <c r="G2" s="4">
        <f>E2*T2</f>
        <v>24.8448997084644</v>
      </c>
      <c r="H2" s="4">
        <f>E2*U2</f>
        <v>10.819553098847399</v>
      </c>
      <c r="I2" s="4">
        <f>D$37*W2</f>
        <v>22.631872773843334</v>
      </c>
      <c r="J2" s="4">
        <f>I2*V2</f>
        <v>91.865059811952278</v>
      </c>
      <c r="K2" s="4">
        <f>I2*X2</f>
        <v>0.86001116540604672</v>
      </c>
      <c r="L2" s="44"/>
      <c r="M2" s="44"/>
      <c r="N2" s="44"/>
      <c r="O2" s="44"/>
      <c r="Q2" s="43">
        <f>AE2</f>
        <v>0.97</v>
      </c>
      <c r="R2" s="61">
        <v>0.65300000000000002</v>
      </c>
      <c r="S2" s="236">
        <v>10.36</v>
      </c>
      <c r="T2" s="237">
        <v>6.2E-2</v>
      </c>
      <c r="U2" s="61">
        <v>2.7E-2</v>
      </c>
      <c r="V2" s="236">
        <v>4.0591011062118039</v>
      </c>
      <c r="W2" s="43">
        <f>(AF2/SUM(AF$2:AF$22))*0.98</f>
        <v>5.6426036658090185E-2</v>
      </c>
      <c r="X2" s="61">
        <v>3.7999999999999999E-2</v>
      </c>
      <c r="Y2" s="64"/>
      <c r="Z2" s="65"/>
      <c r="AA2" s="1"/>
      <c r="AB2" s="1"/>
      <c r="AC2" s="1"/>
      <c r="AE2" s="61">
        <v>0.97</v>
      </c>
      <c r="AF2" s="61">
        <v>5.6402045051427221E-2</v>
      </c>
      <c r="AG2" s="47"/>
      <c r="AH2" s="47"/>
    </row>
    <row r="3" spans="1:34" x14ac:dyDescent="0.3">
      <c r="A3" s="58" t="s">
        <v>601</v>
      </c>
      <c r="B3" s="59" t="s">
        <v>9</v>
      </c>
      <c r="C3" s="60">
        <v>6</v>
      </c>
      <c r="D3" s="4">
        <f>D$34*Q3</f>
        <v>18.979374600000014</v>
      </c>
      <c r="E3" s="4">
        <f t="shared" ref="E3:E4" si="0">D3*R3</f>
        <v>12.097806291208267</v>
      </c>
      <c r="F3" s="4">
        <f t="shared" ref="F3:F4" si="1">E3*S3</f>
        <v>123.15566804450015</v>
      </c>
      <c r="G3" s="4">
        <f t="shared" ref="G3" si="2">E3*T3</f>
        <v>0.68957495859887119</v>
      </c>
      <c r="H3" s="4">
        <f t="shared" ref="H3" si="3">E3*U3</f>
        <v>0.30204703770224323</v>
      </c>
      <c r="I3" s="4">
        <f t="shared" ref="I3:I4" si="4">D$37*W3</f>
        <v>1.2005104412077487</v>
      </c>
      <c r="J3" s="4">
        <f>I3*V3</f>
        <v>4.0517227390761521</v>
      </c>
      <c r="K3" s="4">
        <f>I3*X3</f>
        <v>0</v>
      </c>
      <c r="L3" s="44"/>
      <c r="M3" s="44"/>
      <c r="N3" s="44"/>
      <c r="O3" s="44"/>
      <c r="Q3" s="43">
        <f t="shared" ref="Q3:Q4" si="5">AE3</f>
        <v>3.0000000000000027E-2</v>
      </c>
      <c r="R3" s="61">
        <v>0.63741859498406539</v>
      </c>
      <c r="S3" s="236">
        <v>10.18</v>
      </c>
      <c r="T3" s="237">
        <v>5.7000000000000002E-2</v>
      </c>
      <c r="U3" s="61">
        <v>2.4967091589303034E-2</v>
      </c>
      <c r="V3" s="236">
        <v>3.375</v>
      </c>
      <c r="W3" s="43">
        <f t="shared" ref="W3:W4" si="6">(AF3/SUM(AF$2:AF$22))*0.98</f>
        <v>2.9931259706575701E-3</v>
      </c>
      <c r="X3" s="61">
        <v>0</v>
      </c>
      <c r="Y3" s="64"/>
      <c r="Z3" s="65"/>
      <c r="AA3" s="1"/>
      <c r="AB3" s="1"/>
      <c r="AC3" s="1"/>
      <c r="AE3" s="61">
        <f>1-AE2</f>
        <v>3.0000000000000027E-2</v>
      </c>
      <c r="AF3" s="61">
        <v>2.9918533329669973E-3</v>
      </c>
      <c r="AG3" s="47"/>
      <c r="AH3" s="47"/>
    </row>
    <row r="4" spans="1:34" x14ac:dyDescent="0.3">
      <c r="B4" s="59" t="s">
        <v>9</v>
      </c>
      <c r="C4" s="60">
        <v>6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242</v>
      </c>
      <c r="B7" s="59" t="s">
        <v>357</v>
      </c>
      <c r="C7" s="60">
        <v>6</v>
      </c>
      <c r="D7" s="44"/>
      <c r="E7" s="44"/>
      <c r="F7" s="44"/>
      <c r="G7" s="44"/>
      <c r="H7" s="44"/>
      <c r="I7" s="4">
        <f t="shared" ref="I7:I12" si="9">D$37*W7</f>
        <v>198.22233644337862</v>
      </c>
      <c r="J7" s="4">
        <f>I7*V7</f>
        <v>862.26716352869698</v>
      </c>
      <c r="K7" s="4">
        <f>I7*X7</f>
        <v>7.0963596446729547</v>
      </c>
      <c r="L7" s="7">
        <f>((D$2+D$3+D$4)*AA7)</f>
        <v>87.902294242053841</v>
      </c>
      <c r="M7" s="4">
        <f t="shared" ref="M7:N9" si="10">L7*Y7</f>
        <v>68.651691803044059</v>
      </c>
      <c r="N7" s="4">
        <f t="shared" si="10"/>
        <v>505.2764516704043</v>
      </c>
      <c r="O7" s="4">
        <f>M7*AH7</f>
        <v>3.0206744393339386</v>
      </c>
      <c r="Q7" s="45"/>
      <c r="R7" s="45"/>
      <c r="S7" s="44"/>
      <c r="T7" s="45"/>
      <c r="U7" s="45"/>
      <c r="V7" s="63">
        <v>4.3499999999999996</v>
      </c>
      <c r="W7" s="43">
        <f t="shared" ref="W7:W12" si="11">(AF7/SUM(AF$2:AF$22))*0.98</f>
        <v>0.49421013163052324</v>
      </c>
      <c r="X7" s="237">
        <v>3.5799999999999998E-2</v>
      </c>
      <c r="Y7" s="237">
        <v>0.78100000000000003</v>
      </c>
      <c r="Z7" s="63">
        <v>7.36</v>
      </c>
      <c r="AA7" s="43">
        <f>(AG7/SUM(AG$7:AG$27))*0.98</f>
        <v>0.13894392638530964</v>
      </c>
      <c r="AB7" s="17">
        <v>0.13511926653164189</v>
      </c>
      <c r="AC7" s="43">
        <f>(AH7/SUM(AH$7:AH$27))*0.98</f>
        <v>6.1690050340929919E-2</v>
      </c>
      <c r="AE7" s="47"/>
      <c r="AF7" s="61">
        <v>0.49399999999999999</v>
      </c>
      <c r="AG7" s="61">
        <v>0.13900000000000001</v>
      </c>
      <c r="AH7" s="61">
        <v>4.3999999999999997E-2</v>
      </c>
    </row>
    <row r="8" spans="1:34" x14ac:dyDescent="0.3">
      <c r="A8" s="101" t="s">
        <v>243</v>
      </c>
      <c r="B8" s="59" t="s">
        <v>357</v>
      </c>
      <c r="C8" s="60">
        <v>6</v>
      </c>
      <c r="D8" s="44"/>
      <c r="E8" s="44"/>
      <c r="F8" s="44"/>
      <c r="G8" s="44"/>
      <c r="H8" s="44"/>
      <c r="I8" s="4">
        <f t="shared" si="9"/>
        <v>124.79179480544688</v>
      </c>
      <c r="J8" s="4">
        <f>I8*V8</f>
        <v>501.66301511789641</v>
      </c>
      <c r="K8" s="4">
        <f>I8*X8</f>
        <v>4.2803585618268274</v>
      </c>
      <c r="L8" s="7">
        <f>((D$2+D$3+D$4)*AA8)</f>
        <v>32.884311515012946</v>
      </c>
      <c r="M8" s="4">
        <f t="shared" si="10"/>
        <v>24.729002259289736</v>
      </c>
      <c r="N8" s="4">
        <f t="shared" si="10"/>
        <v>166.67347522761281</v>
      </c>
      <c r="O8" s="4">
        <f t="shared" ref="O8:O12" si="12">M8*AH8</f>
        <v>0.66966113389752613</v>
      </c>
      <c r="Q8" s="45"/>
      <c r="R8" s="45"/>
      <c r="S8" s="44"/>
      <c r="T8" s="45"/>
      <c r="U8" s="45"/>
      <c r="V8" s="63">
        <v>4.0199999999999996</v>
      </c>
      <c r="W8" s="43">
        <f t="shared" si="11"/>
        <v>0.31113228934634157</v>
      </c>
      <c r="X8" s="237">
        <v>3.4299999999999997E-2</v>
      </c>
      <c r="Y8" s="237">
        <v>0.752</v>
      </c>
      <c r="Z8" s="63">
        <v>6.74</v>
      </c>
      <c r="AA8" s="43">
        <f t="shared" ref="AA8:AA12" si="13">(AG8/SUM(AG$7:AG$27))*0.98</f>
        <v>5.1979022820403599E-2</v>
      </c>
      <c r="AB8" s="17">
        <v>7.7498000103855033E-2</v>
      </c>
      <c r="AC8" s="43">
        <f t="shared" ref="AC8:AC12" si="14">(AH8/SUM(AH$7:AH$27))*0.98</f>
        <v>3.7967407871518262E-2</v>
      </c>
      <c r="AE8" s="47"/>
      <c r="AF8" s="61">
        <v>0.311</v>
      </c>
      <c r="AG8" s="61">
        <v>5.1999999999999998E-2</v>
      </c>
      <c r="AH8" s="61">
        <v>2.707999000024193E-2</v>
      </c>
    </row>
    <row r="9" spans="1:34" x14ac:dyDescent="0.3">
      <c r="A9" s="101" t="s">
        <v>306</v>
      </c>
      <c r="B9" s="59" t="s">
        <v>357</v>
      </c>
      <c r="C9" s="60">
        <v>6</v>
      </c>
      <c r="D9" s="44"/>
      <c r="E9" s="44"/>
      <c r="F9" s="44"/>
      <c r="G9" s="44"/>
      <c r="H9" s="44"/>
      <c r="I9" s="4">
        <f t="shared" si="9"/>
        <v>20.464249308931802</v>
      </c>
      <c r="J9" s="4">
        <f>I9*V9</f>
        <v>88.880115811306368</v>
      </c>
      <c r="K9" s="4">
        <f>I9*X9</f>
        <v>1.0273053153083764</v>
      </c>
      <c r="L9" s="7">
        <f>((D$2+D$3+D$4)*AA9)</f>
        <v>2.9987897781002069</v>
      </c>
      <c r="M9" s="4">
        <f t="shared" si="10"/>
        <v>2.1192447361834161</v>
      </c>
      <c r="N9" s="4">
        <f t="shared" si="10"/>
        <v>14.097584549394027</v>
      </c>
      <c r="O9" s="4">
        <f t="shared" si="12"/>
        <v>0</v>
      </c>
      <c r="Q9" s="45"/>
      <c r="R9" s="45"/>
      <c r="S9" s="44"/>
      <c r="T9" s="45"/>
      <c r="U9" s="45"/>
      <c r="V9" s="63">
        <v>4.3431896508665897</v>
      </c>
      <c r="W9" s="43">
        <f t="shared" si="11"/>
        <v>5.1021693751329325E-2</v>
      </c>
      <c r="X9" s="237">
        <v>5.0200000000000002E-2</v>
      </c>
      <c r="Y9" s="237">
        <v>0.70669999999999999</v>
      </c>
      <c r="Z9" s="63">
        <v>6.6521739130434767</v>
      </c>
      <c r="AA9" s="43">
        <f t="shared" si="13"/>
        <v>4.7400768064826656E-3</v>
      </c>
      <c r="AB9" s="17">
        <v>1.9718285357934563E-2</v>
      </c>
      <c r="AC9" s="43">
        <f t="shared" si="14"/>
        <v>0</v>
      </c>
      <c r="AE9" s="47"/>
      <c r="AF9" s="61">
        <v>5.0999999999999997E-2</v>
      </c>
      <c r="AG9" s="61">
        <v>4.7419897597679537E-3</v>
      </c>
      <c r="AH9" s="61">
        <v>0</v>
      </c>
    </row>
    <row r="10" spans="1:34" x14ac:dyDescent="0.3">
      <c r="A10" s="101" t="s">
        <v>736</v>
      </c>
      <c r="B10" s="59" t="s">
        <v>357</v>
      </c>
      <c r="C10" s="60">
        <v>6</v>
      </c>
      <c r="D10" s="44"/>
      <c r="E10" s="44"/>
      <c r="F10" s="44"/>
      <c r="G10" s="44"/>
      <c r="H10" s="44"/>
      <c r="I10" s="4">
        <f t="shared" si="9"/>
        <v>12.439053501507566</v>
      </c>
      <c r="J10" s="4">
        <f t="shared" ref="J10:J12" si="15">I10*V10</f>
        <v>52.308398780327643</v>
      </c>
      <c r="K10" s="4">
        <f t="shared" ref="K10:K12" si="16">I10*X10</f>
        <v>0.39680580669809129</v>
      </c>
      <c r="L10" s="7">
        <f t="shared" ref="L10:L12" si="17">((D$2+D$3+D$4)*AA10)</f>
        <v>6.9562966666373534</v>
      </c>
      <c r="M10" s="4">
        <f t="shared" ref="M10:N10" si="18">L10*Y10</f>
        <v>4.8812333709794311</v>
      </c>
      <c r="N10" s="4">
        <f t="shared" si="18"/>
        <v>31.927680970864817</v>
      </c>
      <c r="O10" s="4">
        <f t="shared" si="12"/>
        <v>0.12820644154842109</v>
      </c>
      <c r="Q10" s="45"/>
      <c r="R10" s="45"/>
      <c r="S10" s="44"/>
      <c r="T10" s="45"/>
      <c r="U10" s="45"/>
      <c r="V10" s="63">
        <v>4.2051751585430566</v>
      </c>
      <c r="W10" s="43">
        <f t="shared" si="11"/>
        <v>3.1013186397866842E-2</v>
      </c>
      <c r="X10" s="237">
        <v>3.1899999999999998E-2</v>
      </c>
      <c r="Y10" s="237">
        <v>0.70169999999999999</v>
      </c>
      <c r="Z10" s="63">
        <v>6.5409044281073685</v>
      </c>
      <c r="AA10" s="43">
        <f t="shared" si="13"/>
        <v>1.099556251970076E-2</v>
      </c>
      <c r="AB10" s="17">
        <v>5.7100796700318892E-3</v>
      </c>
      <c r="AC10" s="43">
        <f t="shared" si="14"/>
        <v>3.6824997216405905E-2</v>
      </c>
      <c r="AE10" s="47"/>
      <c r="AF10" s="61">
        <v>3.1E-2</v>
      </c>
      <c r="AG10" s="61">
        <v>1.0999999999999999E-2</v>
      </c>
      <c r="AH10" s="61">
        <v>2.6265173533937421E-2</v>
      </c>
    </row>
    <row r="11" spans="1:34" x14ac:dyDescent="0.3">
      <c r="A11" s="101"/>
      <c r="B11" s="59" t="s">
        <v>357</v>
      </c>
      <c r="C11" s="60">
        <v>6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6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846</v>
      </c>
      <c r="B15" s="59" t="s">
        <v>358</v>
      </c>
      <c r="C15" s="60">
        <v>6</v>
      </c>
      <c r="D15" s="44"/>
      <c r="E15" s="44"/>
      <c r="F15" s="44"/>
      <c r="G15" s="44"/>
      <c r="H15" s="44"/>
      <c r="I15" s="4">
        <f t="shared" ref="I15:I22" si="21">D$37*W15</f>
        <v>0.12505317095914051</v>
      </c>
      <c r="J15" s="4">
        <f t="shared" ref="J15:J22" si="22">I15*V15</f>
        <v>0.90038283090581173</v>
      </c>
      <c r="K15" s="4">
        <f t="shared" ref="K15:K22" si="23">I15*X15</f>
        <v>0</v>
      </c>
      <c r="L15" s="7">
        <f t="shared" ref="L15:L20" si="24">((D$2+D$3+D$4)*AA15)</f>
        <v>83.475559999648254</v>
      </c>
      <c r="M15" s="4">
        <f t="shared" ref="M15:N19" si="25">L15*Y15</f>
        <v>42.19689557982219</v>
      </c>
      <c r="N15" s="4">
        <f t="shared" si="25"/>
        <v>576.40959362037108</v>
      </c>
      <c r="O15" s="4">
        <f t="shared" ref="O15:O22" si="26">M15*AH15</f>
        <v>3.2069640640664865</v>
      </c>
      <c r="Q15" s="45"/>
      <c r="R15" s="45"/>
      <c r="S15" s="44"/>
      <c r="T15" s="45"/>
      <c r="U15" s="45"/>
      <c r="V15" s="63">
        <v>7.2</v>
      </c>
      <c r="W15" s="43">
        <f t="shared" ref="W15:W22" si="27">(AF15/SUM(AF$2:AF$22))*0.98</f>
        <v>3.1178395527683023E-4</v>
      </c>
      <c r="X15" s="237">
        <v>0</v>
      </c>
      <c r="Y15" s="237">
        <v>0.50549999999999995</v>
      </c>
      <c r="Z15" s="63">
        <v>13.66</v>
      </c>
      <c r="AA15" s="43">
        <f t="shared" ref="AA15:AA22" si="28">(AG15/SUM(AG$7:AG$27))*0.98</f>
        <v>0.13194675023640914</v>
      </c>
      <c r="AB15" s="17">
        <v>0.10385551060617884</v>
      </c>
      <c r="AC15" s="43">
        <f t="shared" ref="AC15:AC22" si="29">(AH15/SUM(AH$7:AH$27))*0.98</f>
        <v>0.10655554149796986</v>
      </c>
      <c r="AE15" s="47"/>
      <c r="AF15" s="61">
        <v>3.1165138885072893E-4</v>
      </c>
      <c r="AG15" s="61">
        <v>0.13200000000000001</v>
      </c>
      <c r="AH15" s="61">
        <v>7.5999999999999998E-2</v>
      </c>
    </row>
    <row r="16" spans="1:34" x14ac:dyDescent="0.3">
      <c r="A16" s="66" t="s">
        <v>332</v>
      </c>
      <c r="B16" s="59" t="s">
        <v>358</v>
      </c>
      <c r="C16" s="60">
        <v>6</v>
      </c>
      <c r="D16" s="44"/>
      <c r="E16" s="44"/>
      <c r="F16" s="44"/>
      <c r="G16" s="44"/>
      <c r="H16" s="44"/>
      <c r="I16" s="4">
        <f t="shared" si="21"/>
        <v>10.027513566529642</v>
      </c>
      <c r="J16" s="4">
        <f t="shared" si="22"/>
        <v>67.814583866748478</v>
      </c>
      <c r="K16" s="4">
        <f t="shared" si="23"/>
        <v>0.67528712317935868</v>
      </c>
      <c r="L16" s="7">
        <f t="shared" si="24"/>
        <v>120.78660575706679</v>
      </c>
      <c r="M16" s="4">
        <f t="shared" si="25"/>
        <v>82.69056180943538</v>
      </c>
      <c r="N16" s="4">
        <f t="shared" si="25"/>
        <v>895.53878439618518</v>
      </c>
      <c r="O16" s="4">
        <f t="shared" si="26"/>
        <v>5.355817171266442</v>
      </c>
      <c r="Q16" s="45"/>
      <c r="R16" s="45"/>
      <c r="S16" s="44"/>
      <c r="T16" s="45"/>
      <c r="U16" s="45"/>
      <c r="V16" s="63">
        <v>6.7628513705634399</v>
      </c>
      <c r="W16" s="43">
        <f t="shared" si="27"/>
        <v>2.500070823782791E-2</v>
      </c>
      <c r="X16" s="237">
        <v>6.7343426533310047E-2</v>
      </c>
      <c r="Y16" s="237">
        <v>0.68460042643923247</v>
      </c>
      <c r="Z16" s="63">
        <v>10.83</v>
      </c>
      <c r="AA16" s="43">
        <f t="shared" si="28"/>
        <v>0.19092294920571323</v>
      </c>
      <c r="AB16" s="17">
        <v>0.11731601383141904</v>
      </c>
      <c r="AC16" s="43">
        <f t="shared" si="29"/>
        <v>9.0809701659914394E-2</v>
      </c>
      <c r="AE16" s="47"/>
      <c r="AF16" s="61">
        <v>2.4990078266384549E-2</v>
      </c>
      <c r="AG16" s="61">
        <v>0.191</v>
      </c>
      <c r="AH16" s="61">
        <v>6.4769389082265469E-2</v>
      </c>
    </row>
    <row r="17" spans="1:34" x14ac:dyDescent="0.3">
      <c r="A17" s="66" t="s">
        <v>602</v>
      </c>
      <c r="B17" s="59" t="s">
        <v>358</v>
      </c>
      <c r="C17" s="60">
        <v>6</v>
      </c>
      <c r="D17" s="44"/>
      <c r="E17" s="44"/>
      <c r="F17" s="44"/>
      <c r="G17" s="44"/>
      <c r="H17" s="44"/>
      <c r="I17" s="4">
        <f t="shared" si="21"/>
        <v>0.25010634191828102</v>
      </c>
      <c r="J17" s="4">
        <f t="shared" si="22"/>
        <v>1.250531709591405</v>
      </c>
      <c r="K17" s="4">
        <f t="shared" si="23"/>
        <v>0</v>
      </c>
      <c r="L17" s="7">
        <f t="shared" si="24"/>
        <v>97.38815333292294</v>
      </c>
      <c r="M17" s="4">
        <f t="shared" si="25"/>
        <v>56.91363680776017</v>
      </c>
      <c r="N17" s="4">
        <f t="shared" si="25"/>
        <v>821.83291550405681</v>
      </c>
      <c r="O17" s="4">
        <f t="shared" si="26"/>
        <v>4.6100045814285737</v>
      </c>
      <c r="Q17" s="45"/>
      <c r="R17" s="45"/>
      <c r="S17" s="44"/>
      <c r="T17" s="45"/>
      <c r="U17" s="45"/>
      <c r="V17" s="63">
        <v>5</v>
      </c>
      <c r="W17" s="43">
        <f t="shared" si="27"/>
        <v>6.2356791055366047E-4</v>
      </c>
      <c r="X17" s="237">
        <v>0</v>
      </c>
      <c r="Y17" s="237">
        <v>0.58440000000000003</v>
      </c>
      <c r="Z17" s="63">
        <v>14.44</v>
      </c>
      <c r="AA17" s="43">
        <f t="shared" si="28"/>
        <v>0.15393787527581063</v>
      </c>
      <c r="AB17" s="17">
        <v>0.10912152969861337</v>
      </c>
      <c r="AC17" s="43">
        <f t="shared" si="29"/>
        <v>0.11356577449125735</v>
      </c>
      <c r="AE17" s="47"/>
      <c r="AF17" s="61">
        <v>6.2330277770145787E-4</v>
      </c>
      <c r="AG17" s="61">
        <v>0.154</v>
      </c>
      <c r="AH17" s="61">
        <v>8.1000000000000003E-2</v>
      </c>
    </row>
    <row r="18" spans="1:34" x14ac:dyDescent="0.3">
      <c r="A18" s="77" t="s">
        <v>79</v>
      </c>
      <c r="B18" s="59" t="s">
        <v>358</v>
      </c>
      <c r="C18" s="60">
        <v>6</v>
      </c>
      <c r="D18" s="44"/>
      <c r="E18" s="44"/>
      <c r="F18" s="44"/>
      <c r="G18" s="44"/>
      <c r="H18" s="44"/>
      <c r="I18" s="4">
        <f t="shared" si="21"/>
        <v>0.25010634191828102</v>
      </c>
      <c r="J18" s="4">
        <f t="shared" si="22"/>
        <v>1.8007656618116235</v>
      </c>
      <c r="K18" s="4">
        <f t="shared" si="23"/>
        <v>0</v>
      </c>
      <c r="L18" s="7">
        <f t="shared" si="24"/>
        <v>31.619530302897065</v>
      </c>
      <c r="M18" s="4">
        <f t="shared" si="25"/>
        <v>18.282412421135085</v>
      </c>
      <c r="N18" s="4">
        <f t="shared" si="25"/>
        <v>222.49695916521398</v>
      </c>
      <c r="O18" s="4">
        <f t="shared" si="26"/>
        <v>1.2066392197949156</v>
      </c>
      <c r="Q18" s="45"/>
      <c r="R18" s="45"/>
      <c r="S18" s="44"/>
      <c r="T18" s="45"/>
      <c r="U18" s="45"/>
      <c r="V18" s="63">
        <v>7.2</v>
      </c>
      <c r="W18" s="43">
        <f t="shared" si="27"/>
        <v>6.2356791055366047E-4</v>
      </c>
      <c r="X18" s="237">
        <v>0</v>
      </c>
      <c r="Y18" s="237">
        <v>0.57820000000000005</v>
      </c>
      <c r="Z18" s="63">
        <v>12.17</v>
      </c>
      <c r="AA18" s="43">
        <f t="shared" si="28"/>
        <v>4.9979829635003463E-2</v>
      </c>
      <c r="AB18" s="17">
        <v>9.3358826712061221E-2</v>
      </c>
      <c r="AC18" s="43">
        <f t="shared" si="29"/>
        <v>9.2535075511394879E-2</v>
      </c>
      <c r="AE18" s="47"/>
      <c r="AF18" s="61">
        <v>6.2330277770145787E-4</v>
      </c>
      <c r="AG18" s="61">
        <v>0.05</v>
      </c>
      <c r="AH18" s="61">
        <v>6.6000000000000003E-2</v>
      </c>
    </row>
    <row r="19" spans="1:34" x14ac:dyDescent="0.3">
      <c r="A19" s="77" t="s">
        <v>234</v>
      </c>
      <c r="B19" s="59" t="s">
        <v>358</v>
      </c>
      <c r="C19" s="60">
        <v>6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13.912593333274707</v>
      </c>
      <c r="M19" s="4">
        <f t="shared" si="25"/>
        <v>8.8762345466292629</v>
      </c>
      <c r="N19" s="4">
        <f t="shared" si="25"/>
        <v>106.78110159595003</v>
      </c>
      <c r="O19" s="4">
        <f t="shared" si="26"/>
        <v>0.55032654189101426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0.63800000000000001</v>
      </c>
      <c r="Z19" s="63">
        <v>12.03</v>
      </c>
      <c r="AA19" s="43">
        <f t="shared" si="28"/>
        <v>2.199112503940152E-2</v>
      </c>
      <c r="AB19" s="17">
        <v>1.6548511759957404E-2</v>
      </c>
      <c r="AC19" s="43">
        <f t="shared" si="29"/>
        <v>8.6926889116764897E-2</v>
      </c>
      <c r="AE19" s="47"/>
      <c r="AF19" s="61">
        <v>0</v>
      </c>
      <c r="AG19" s="61">
        <v>2.1999999999999999E-2</v>
      </c>
      <c r="AH19" s="61">
        <v>6.2E-2</v>
      </c>
    </row>
    <row r="20" spans="1:34" s="112" customFormat="1" x14ac:dyDescent="0.3">
      <c r="A20" s="77" t="s">
        <v>564</v>
      </c>
      <c r="B20" s="59" t="s">
        <v>358</v>
      </c>
      <c r="C20" s="60">
        <v>6</v>
      </c>
      <c r="D20" s="44"/>
      <c r="E20" s="44"/>
      <c r="F20" s="44"/>
      <c r="G20" s="44"/>
      <c r="H20" s="44"/>
      <c r="I20" s="4">
        <f t="shared" si="21"/>
        <v>2.6647997043586447</v>
      </c>
      <c r="J20" s="4">
        <f t="shared" si="22"/>
        <v>17.985313784904868</v>
      </c>
      <c r="K20" s="4">
        <f t="shared" si="23"/>
        <v>3.3347512255770803E-2</v>
      </c>
      <c r="L20" s="7">
        <f t="shared" si="24"/>
        <v>9.485859090869118</v>
      </c>
      <c r="M20" s="4">
        <f t="shared" ref="M20:N20" si="30">L20*Y20</f>
        <v>5.0995978472512373</v>
      </c>
      <c r="N20" s="4">
        <f t="shared" si="30"/>
        <v>55.457823346213388</v>
      </c>
      <c r="O20" s="4">
        <f t="shared" si="26"/>
        <v>0.32637426222407917</v>
      </c>
      <c r="P20" s="99"/>
      <c r="Q20" s="45"/>
      <c r="R20" s="45"/>
      <c r="S20" s="44"/>
      <c r="T20" s="45"/>
      <c r="U20" s="45"/>
      <c r="V20" s="63">
        <v>6.7492178701038679</v>
      </c>
      <c r="W20" s="43">
        <f t="shared" si="27"/>
        <v>6.6439082309790671E-3</v>
      </c>
      <c r="X20" s="237">
        <v>1.2514078338130398E-2</v>
      </c>
      <c r="Y20" s="237">
        <v>0.53759999999999997</v>
      </c>
      <c r="Z20" s="63">
        <v>10.874940535969129</v>
      </c>
      <c r="AA20" s="43">
        <f t="shared" si="28"/>
        <v>1.4993948890501037E-2</v>
      </c>
      <c r="AB20" s="17">
        <v>4.2483770187550354E-2</v>
      </c>
      <c r="AC20" s="43">
        <f t="shared" si="29"/>
        <v>8.9730982314079888E-2</v>
      </c>
      <c r="AE20" s="47"/>
      <c r="AF20" s="61">
        <v>6.6410833288164653E-3</v>
      </c>
      <c r="AG20" s="61">
        <v>1.4999999999999999E-2</v>
      </c>
      <c r="AH20" s="61">
        <v>6.4000000000000001E-2</v>
      </c>
    </row>
    <row r="21" spans="1:34" s="112" customFormat="1" x14ac:dyDescent="0.3">
      <c r="A21" s="77"/>
      <c r="B21" s="59" t="s">
        <v>358</v>
      </c>
      <c r="C21" s="60">
        <v>6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P21" s="99"/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s="112" customFormat="1" x14ac:dyDescent="0.3">
      <c r="A22" s="77"/>
      <c r="B22" s="59" t="s">
        <v>358</v>
      </c>
      <c r="C22" s="60">
        <v>6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P22" s="99"/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54</v>
      </c>
      <c r="B24" s="59" t="s">
        <v>10</v>
      </c>
      <c r="C24" s="60">
        <v>6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104.75772291496725</v>
      </c>
      <c r="M24" s="4">
        <f t="shared" ref="M24:N27" si="34">L24*Y24</f>
        <v>70.533374838647447</v>
      </c>
      <c r="N24" s="4">
        <f t="shared" si="34"/>
        <v>708.86041712840688</v>
      </c>
      <c r="O24" s="4">
        <f t="shared" ref="O24:O27" si="35">M24*AH24</f>
        <v>5.2610585643052064</v>
      </c>
      <c r="Q24" s="45"/>
      <c r="R24" s="45"/>
      <c r="S24" s="44"/>
      <c r="T24" s="45"/>
      <c r="U24" s="45"/>
      <c r="V24" s="46"/>
      <c r="W24" s="46"/>
      <c r="X24" s="45"/>
      <c r="Y24" s="237">
        <v>0.67330000000000001</v>
      </c>
      <c r="Z24" s="236">
        <v>10.050000000000001</v>
      </c>
      <c r="AA24" s="43">
        <f t="shared" ref="AA24:AA27" si="36">(AG24/SUM(AG$7:AG$27))*0.98</f>
        <v>0.16558668310646113</v>
      </c>
      <c r="AB24" s="17">
        <v>0.17730790229672241</v>
      </c>
      <c r="AC24" s="43">
        <f t="shared" ref="AC24:AC27" si="37">(AH24/SUM(AH$7:AH$27))*0.98</f>
        <v>0.10457814165699524</v>
      </c>
      <c r="AE24" s="47"/>
      <c r="AF24" s="47"/>
      <c r="AG24" s="61">
        <v>0.16565350894122718</v>
      </c>
      <c r="AH24" s="61">
        <v>7.4589633295449626E-2</v>
      </c>
    </row>
    <row r="25" spans="1:34" x14ac:dyDescent="0.3">
      <c r="A25" s="58" t="s">
        <v>603</v>
      </c>
      <c r="B25" s="59" t="s">
        <v>10</v>
      </c>
      <c r="C25" s="60">
        <v>6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21.501280605970003</v>
      </c>
      <c r="M25" s="4">
        <f t="shared" si="34"/>
        <v>14.018834955092442</v>
      </c>
      <c r="N25" s="4">
        <f t="shared" si="34"/>
        <v>137.15603263775628</v>
      </c>
      <c r="O25" s="4">
        <f t="shared" si="35"/>
        <v>0.98131844685647107</v>
      </c>
      <c r="Q25" s="45"/>
      <c r="R25" s="45"/>
      <c r="S25" s="44"/>
      <c r="T25" s="45"/>
      <c r="U25" s="45"/>
      <c r="V25" s="46"/>
      <c r="W25" s="46"/>
      <c r="X25" s="45"/>
      <c r="Y25" s="237">
        <v>0.65200000000000002</v>
      </c>
      <c r="Z25" s="236">
        <v>9.783696938948081</v>
      </c>
      <c r="AA25" s="43">
        <f t="shared" si="36"/>
        <v>3.3986284151802354E-2</v>
      </c>
      <c r="AB25" s="17">
        <v>4.5164638446128905E-2</v>
      </c>
      <c r="AC25" s="43">
        <f t="shared" si="37"/>
        <v>9.8143261906024876E-2</v>
      </c>
      <c r="AE25" s="47"/>
      <c r="AF25" s="47"/>
      <c r="AG25" s="61">
        <v>3.4000000000000002E-2</v>
      </c>
      <c r="AH25" s="61">
        <v>7.0000000000000007E-2</v>
      </c>
    </row>
    <row r="26" spans="1:34" x14ac:dyDescent="0.3">
      <c r="A26" s="58" t="s">
        <v>824</v>
      </c>
      <c r="B26" s="59" t="s">
        <v>10</v>
      </c>
      <c r="C26" s="60">
        <v>6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6.3239060605794117</v>
      </c>
      <c r="M26" s="4">
        <f t="shared" si="34"/>
        <v>3.8069914484688052</v>
      </c>
      <c r="N26" s="4">
        <f t="shared" si="34"/>
        <v>32.131007825076715</v>
      </c>
      <c r="O26" s="4">
        <f t="shared" si="35"/>
        <v>0.16474378027071621</v>
      </c>
      <c r="Q26" s="45"/>
      <c r="R26" s="45"/>
      <c r="S26" s="44"/>
      <c r="T26" s="45"/>
      <c r="U26" s="45"/>
      <c r="V26" s="46"/>
      <c r="W26" s="46"/>
      <c r="X26" s="45"/>
      <c r="Y26" s="237">
        <v>0.60199999999999987</v>
      </c>
      <c r="Z26" s="236">
        <v>8.44</v>
      </c>
      <c r="AA26" s="43">
        <f t="shared" si="36"/>
        <v>9.9959659270006905E-3</v>
      </c>
      <c r="AB26" s="17">
        <v>1.6379247292112945E-2</v>
      </c>
      <c r="AC26" s="43">
        <f t="shared" si="37"/>
        <v>6.0672176416744217E-2</v>
      </c>
      <c r="AE26" s="47"/>
      <c r="AF26" s="47"/>
      <c r="AG26" s="61">
        <v>0.01</v>
      </c>
      <c r="AH26" s="61">
        <v>4.3274008492185385E-2</v>
      </c>
    </row>
    <row r="27" spans="1:34" x14ac:dyDescent="0.3">
      <c r="B27" s="59" t="s">
        <v>10</v>
      </c>
      <c r="C27" s="60">
        <v>6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1.5418417505792198E-2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0.97500000000000009</v>
      </c>
      <c r="AC30" s="28">
        <f>SUM(AC7:AC27)</f>
        <v>0.97999999999999954</v>
      </c>
      <c r="AD30" s="89"/>
      <c r="AE30" s="28">
        <f>SUM(AE2:AE4,AE7:AE27)</f>
        <v>1</v>
      </c>
      <c r="AF30" s="28">
        <f>SUM(AF2:AF4,AF7:AF27)</f>
        <v>0.97958331692384892</v>
      </c>
      <c r="AG30" s="28">
        <f>SUM(AG7:AG27)</f>
        <v>0.98039549870099529</v>
      </c>
    </row>
    <row r="31" spans="1:34" s="86" customFormat="1" x14ac:dyDescent="0.3">
      <c r="A31" s="102"/>
      <c r="B31" s="80"/>
      <c r="C31" s="80"/>
      <c r="D31" s="105">
        <v>1033.7349999999999</v>
      </c>
      <c r="E31" s="106">
        <v>0.61199999999999999</v>
      </c>
      <c r="F31" s="8">
        <f>1-E31</f>
        <v>0.38800000000000001</v>
      </c>
      <c r="G31" s="234">
        <v>4.2632241813602016</v>
      </c>
      <c r="H31" s="275">
        <v>3.6299999999999999E-2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632.64581999999996</v>
      </c>
      <c r="E34" s="2">
        <f>SUM(E2:E4)</f>
        <v>412.82199513740824</v>
      </c>
      <c r="F34" s="2">
        <f>SUM(F2:F4)</f>
        <v>4274.6582644911314</v>
      </c>
      <c r="G34" s="2">
        <f>SUM(G2:G4)</f>
        <v>25.534474667063272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401.08918</v>
      </c>
      <c r="E37" s="2">
        <f>D37*G31</f>
        <v>1709.9330910579345</v>
      </c>
      <c r="F37" s="2">
        <f>D37*H31</f>
        <v>14.559537233999999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6"/>
      <c r="Q39" s="96"/>
      <c r="R39" s="96"/>
      <c r="S39" s="95"/>
      <c r="T39" s="97"/>
      <c r="U39" s="97"/>
      <c r="V39" s="95"/>
      <c r="W39" s="95"/>
      <c r="X39" s="94"/>
      <c r="Y39" s="94"/>
      <c r="Z39" s="94"/>
      <c r="AA39" s="94"/>
      <c r="AB39" s="94"/>
      <c r="AC39" s="94"/>
      <c r="AE39" s="98"/>
      <c r="AF39" s="94"/>
    </row>
    <row r="40" spans="1:32" ht="14.4" thickBot="1" x14ac:dyDescent="0.35">
      <c r="D40" s="3">
        <f>SUM(I2:I22)</f>
        <v>393.06739639999995</v>
      </c>
      <c r="E40" s="3">
        <f>SUM(J2:J4,J7:J12,J15:J22)</f>
        <v>1690.7870536432179</v>
      </c>
      <c r="F40" s="3">
        <f>SUM(K2:K4,K7:K12,K15:K22)</f>
        <v>14.369475129347427</v>
      </c>
      <c r="G40" s="3">
        <f>SUM(L7:L12,L15:L22,L24:L27)</f>
        <v>619.99290359999986</v>
      </c>
      <c r="H40" s="3">
        <f>SUM(M7:M12,M15:M22,M24:M27)</f>
        <v>402.79971242373853</v>
      </c>
      <c r="I40" s="3">
        <f>SUM(N7:N12,N15:N22,N24:N27)</f>
        <v>4274.6398276375066</v>
      </c>
      <c r="J40" s="3">
        <f>SUM(O7:O12,O15:O22,O24:O27)</f>
        <v>25.481788646883786</v>
      </c>
      <c r="P40" s="74"/>
      <c r="Q40" s="74"/>
      <c r="R40" s="74"/>
      <c r="S40" s="75"/>
      <c r="T40" s="76"/>
      <c r="U40" s="76"/>
      <c r="V40" s="75"/>
      <c r="W40" s="75"/>
      <c r="X40" s="60"/>
      <c r="Y40" s="60"/>
      <c r="Z40" s="60"/>
      <c r="AC40" s="60"/>
    </row>
    <row r="41" spans="1:32" ht="14.4" thickTop="1" x14ac:dyDescent="0.3">
      <c r="D41" s="50">
        <f>D37-D40</f>
        <v>8.0217836000000489</v>
      </c>
      <c r="E41" s="50">
        <f>E37-E40</f>
        <v>19.146037414716602</v>
      </c>
      <c r="F41" s="50">
        <f>F37-F40</f>
        <v>0.19006210465257212</v>
      </c>
      <c r="G41" s="50">
        <f>SUM(D2:D4)-G40</f>
        <v>12.652916400000095</v>
      </c>
      <c r="H41" s="50">
        <f>E34-H40</f>
        <v>10.022282713669711</v>
      </c>
      <c r="I41" s="50">
        <f>F34-I40</f>
        <v>1.8436853624734795E-2</v>
      </c>
      <c r="J41" s="50">
        <f>G34-J40</f>
        <v>5.2686020179486093E-2</v>
      </c>
      <c r="P41" s="74"/>
      <c r="Q41" s="74"/>
      <c r="R41" s="74"/>
      <c r="S41" s="75"/>
      <c r="T41" s="76"/>
      <c r="U41" s="76"/>
      <c r="V41" s="75"/>
      <c r="W41" s="75"/>
      <c r="X41" s="60"/>
      <c r="Y41" s="60"/>
      <c r="Z41" s="60"/>
      <c r="AC41" s="60"/>
    </row>
    <row r="42" spans="1:32" x14ac:dyDescent="0.3">
      <c r="N42" s="74"/>
      <c r="O42" s="74"/>
      <c r="P42" s="74"/>
      <c r="Q42" s="74"/>
      <c r="R42" s="74"/>
      <c r="T42" s="74"/>
      <c r="U42" s="74"/>
      <c r="V42" s="74"/>
      <c r="W42" s="74"/>
      <c r="X42" s="74"/>
    </row>
    <row r="43" spans="1:32" x14ac:dyDescent="0.3">
      <c r="N43" s="74"/>
      <c r="O43" s="74"/>
      <c r="P43" s="74"/>
      <c r="Q43" s="74"/>
      <c r="R43" s="74"/>
      <c r="T43" s="74"/>
      <c r="U43" s="74"/>
      <c r="V43" s="74"/>
      <c r="W43" s="74"/>
      <c r="X43" s="74"/>
    </row>
    <row r="44" spans="1:32" x14ac:dyDescent="0.3">
      <c r="N44" s="74"/>
      <c r="O44" s="74"/>
      <c r="P44" s="74"/>
      <c r="Q44" s="74"/>
      <c r="R44" s="74"/>
      <c r="T44" s="74"/>
      <c r="U44" s="74"/>
      <c r="V44" s="74"/>
      <c r="W44" s="74"/>
      <c r="X44" s="74"/>
    </row>
    <row r="45" spans="1:32" x14ac:dyDescent="0.3">
      <c r="N45" s="74"/>
      <c r="O45" s="74"/>
      <c r="P45" s="74"/>
      <c r="Q45" s="74"/>
      <c r="R45" s="74"/>
      <c r="T45" s="74"/>
      <c r="U45" s="74"/>
      <c r="V45" s="74"/>
      <c r="W45" s="74"/>
      <c r="X45" s="74"/>
    </row>
    <row r="46" spans="1:32" x14ac:dyDescent="0.3">
      <c r="N46" s="74"/>
      <c r="O46" s="74"/>
      <c r="P46" s="74"/>
      <c r="Q46" s="74"/>
      <c r="R46" s="74"/>
      <c r="T46" s="74"/>
      <c r="U46" s="74"/>
      <c r="V46" s="74"/>
      <c r="W46" s="74"/>
      <c r="X46" s="74"/>
    </row>
    <row r="47" spans="1:32" x14ac:dyDescent="0.3">
      <c r="N47" s="74"/>
      <c r="O47" s="74"/>
      <c r="P47" s="74"/>
      <c r="Q47" s="74"/>
      <c r="R47" s="74"/>
      <c r="T47" s="74"/>
      <c r="U47" s="74"/>
      <c r="V47" s="74"/>
      <c r="W47" s="74"/>
      <c r="X47" s="74"/>
    </row>
    <row r="48" spans="1:32" x14ac:dyDescent="0.3">
      <c r="N48" s="74"/>
      <c r="O48" s="74"/>
      <c r="P48" s="74"/>
      <c r="Q48" s="74"/>
      <c r="R48" s="74"/>
      <c r="T48" s="74"/>
      <c r="U48" s="74"/>
      <c r="V48" s="74"/>
      <c r="W48" s="74"/>
      <c r="X48" s="74"/>
    </row>
    <row r="49" spans="14:24" x14ac:dyDescent="0.3">
      <c r="N49" s="74"/>
      <c r="O49" s="74"/>
      <c r="P49" s="74"/>
      <c r="Q49" s="74"/>
      <c r="R49" s="74"/>
      <c r="T49" s="74"/>
      <c r="U49" s="74"/>
      <c r="V49" s="74"/>
      <c r="W49" s="74"/>
      <c r="X49" s="74"/>
    </row>
    <row r="50" spans="14:24" x14ac:dyDescent="0.3">
      <c r="N50" s="74"/>
      <c r="O50" s="74"/>
      <c r="P50" s="74"/>
      <c r="Q50" s="74"/>
      <c r="R50" s="74"/>
      <c r="T50" s="74"/>
      <c r="U50" s="74"/>
      <c r="V50" s="74"/>
      <c r="W50" s="74"/>
      <c r="X50" s="74"/>
    </row>
    <row r="51" spans="14:24" x14ac:dyDescent="0.3">
      <c r="N51" s="74"/>
      <c r="O51" s="74"/>
      <c r="P51" s="74"/>
      <c r="Q51" s="74"/>
      <c r="R51" s="74"/>
      <c r="T51" s="74"/>
      <c r="U51" s="74"/>
      <c r="V51" s="74"/>
      <c r="W51" s="74"/>
      <c r="X51" s="74"/>
    </row>
    <row r="52" spans="14:24" x14ac:dyDescent="0.3">
      <c r="N52" s="74"/>
      <c r="O52" s="74"/>
      <c r="P52" s="74"/>
      <c r="Q52" s="74"/>
      <c r="R52" s="74"/>
      <c r="T52" s="74"/>
      <c r="U52" s="74"/>
      <c r="V52" s="74"/>
      <c r="W52" s="74"/>
      <c r="X52" s="74"/>
    </row>
    <row r="53" spans="14:24" x14ac:dyDescent="0.3">
      <c r="N53" s="74"/>
      <c r="O53" s="74"/>
      <c r="P53" s="74"/>
      <c r="Q53" s="74"/>
      <c r="R53" s="74"/>
      <c r="T53" s="74"/>
      <c r="U53" s="74"/>
      <c r="V53" s="74"/>
      <c r="W53" s="74"/>
      <c r="X53" s="74"/>
    </row>
    <row r="54" spans="14:24" x14ac:dyDescent="0.3">
      <c r="N54" s="74"/>
      <c r="O54" s="74"/>
      <c r="P54" s="74"/>
      <c r="Q54" s="74"/>
      <c r="R54" s="74"/>
      <c r="T54" s="74"/>
      <c r="U54" s="74"/>
      <c r="V54" s="74"/>
      <c r="W54" s="74"/>
      <c r="X54" s="74"/>
    </row>
    <row r="55" spans="14:24" x14ac:dyDescent="0.3">
      <c r="N55" s="74"/>
      <c r="O55" s="74"/>
      <c r="P55" s="74"/>
      <c r="Q55" s="74"/>
      <c r="R55" s="74"/>
      <c r="T55" s="74"/>
      <c r="U55" s="74"/>
      <c r="V55" s="74"/>
      <c r="W55" s="74"/>
      <c r="X55" s="74"/>
    </row>
    <row r="56" spans="14:24" x14ac:dyDescent="0.3">
      <c r="N56" s="74"/>
      <c r="O56" s="74"/>
      <c r="P56" s="74"/>
      <c r="Q56" s="74"/>
      <c r="R56" s="74"/>
      <c r="T56" s="74"/>
      <c r="U56" s="74"/>
      <c r="V56" s="74"/>
      <c r="W56" s="74"/>
      <c r="X56" s="74"/>
    </row>
    <row r="57" spans="14:24" x14ac:dyDescent="0.3">
      <c r="N57" s="74"/>
      <c r="O57" s="74"/>
      <c r="P57" s="74"/>
      <c r="Q57" s="74"/>
      <c r="R57" s="74"/>
      <c r="T57" s="74"/>
      <c r="U57" s="74"/>
      <c r="V57" s="74"/>
      <c r="W57" s="74"/>
      <c r="X57" s="74"/>
    </row>
    <row r="58" spans="14:24" x14ac:dyDescent="0.3">
      <c r="N58" s="74"/>
      <c r="O58" s="74"/>
      <c r="P58" s="74"/>
      <c r="Q58" s="74"/>
      <c r="R58" s="74"/>
      <c r="T58" s="74"/>
      <c r="U58" s="74"/>
      <c r="V58" s="74"/>
      <c r="W58" s="74"/>
      <c r="X58" s="74"/>
    </row>
  </sheetData>
  <sheetProtection sheet="1" selectLockedCells="1"/>
  <conditionalFormatting sqref="AA30:AB30 AD30:AF30">
    <cfRule type="cellIs" dxfId="341" priority="14" operator="greaterThan">
      <formula>1</formula>
    </cfRule>
    <cfRule type="cellIs" dxfId="340" priority="15" operator="greaterThan">
      <formula>1</formula>
    </cfRule>
  </conditionalFormatting>
  <conditionalFormatting sqref="AC30">
    <cfRule type="cellIs" dxfId="339" priority="10" operator="greaterThan">
      <formula>1</formula>
    </cfRule>
    <cfRule type="cellIs" dxfId="338" priority="11" operator="greaterThan">
      <formula>1</formula>
    </cfRule>
  </conditionalFormatting>
  <conditionalFormatting sqref="AG30">
    <cfRule type="cellIs" dxfId="337" priority="8" operator="greaterThan">
      <formula>1</formula>
    </cfRule>
    <cfRule type="cellIs" dxfId="336" priority="9" operator="greaterThan">
      <formula>1</formula>
    </cfRule>
  </conditionalFormatting>
  <conditionalFormatting sqref="W30">
    <cfRule type="cellIs" dxfId="335" priority="2" operator="greaterThan">
      <formula>1</formula>
    </cfRule>
    <cfRule type="cellIs" dxfId="334" priority="3" operator="greaterThan">
      <formula>1</formula>
    </cfRule>
  </conditionalFormatting>
  <conditionalFormatting sqref="D41:J41">
    <cfRule type="cellIs" dxfId="333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57</v>
      </c>
      <c r="B2" s="59" t="s">
        <v>9</v>
      </c>
      <c r="C2" s="59">
        <v>14</v>
      </c>
      <c r="D2" s="4">
        <f>D$34*Q2</f>
        <v>586.58033609999995</v>
      </c>
      <c r="E2" s="4">
        <f>D2*R2</f>
        <v>398.65738050458367</v>
      </c>
      <c r="F2" s="4">
        <f>E2*S2</f>
        <v>4425.0969236008787</v>
      </c>
      <c r="G2" s="4">
        <f>E2*T2</f>
        <v>36.317687363967572</v>
      </c>
      <c r="H2" s="4">
        <f>E2*U2</f>
        <v>5.2972066548580266</v>
      </c>
      <c r="I2" s="4">
        <f>D$37*W2</f>
        <v>32.153089215713266</v>
      </c>
      <c r="J2" s="4">
        <f>I2*V2</f>
        <v>119.28796099029621</v>
      </c>
      <c r="K2" s="4">
        <f>I2*X2</f>
        <v>2.2329541101329613</v>
      </c>
      <c r="L2" s="44"/>
      <c r="M2" s="44"/>
      <c r="N2" s="44"/>
      <c r="O2" s="44"/>
      <c r="Q2" s="43">
        <f>AE2</f>
        <v>0.99</v>
      </c>
      <c r="R2" s="61">
        <v>0.67962963633445217</v>
      </c>
      <c r="S2" s="236">
        <v>11.1</v>
      </c>
      <c r="T2" s="237">
        <v>9.11E-2</v>
      </c>
      <c r="U2" s="61">
        <v>1.3287617171801288E-2</v>
      </c>
      <c r="V2" s="236">
        <v>3.71</v>
      </c>
      <c r="W2" s="43">
        <f>(AF2/SUM(AF$2:AF$22))*0.98</f>
        <v>7.1641619759015535E-2</v>
      </c>
      <c r="X2" s="61">
        <v>6.9447576099210803E-2</v>
      </c>
      <c r="Y2" s="64"/>
      <c r="Z2" s="65"/>
      <c r="AA2" s="1"/>
      <c r="AB2" s="1"/>
      <c r="AC2" s="1"/>
      <c r="AE2" s="61">
        <v>0.99</v>
      </c>
      <c r="AF2" s="61">
        <v>7.1643092079646864E-2</v>
      </c>
      <c r="AG2" s="47"/>
      <c r="AH2" s="47"/>
    </row>
    <row r="3" spans="1:34" x14ac:dyDescent="0.3">
      <c r="A3" s="58" t="s">
        <v>208</v>
      </c>
      <c r="B3" s="59" t="s">
        <v>9</v>
      </c>
      <c r="C3" s="59">
        <v>14</v>
      </c>
      <c r="D3" s="4">
        <f>D$34*Q3</f>
        <v>5.9250539000000044</v>
      </c>
      <c r="E3" s="4">
        <f t="shared" ref="E3:E4" si="0">D3*R3</f>
        <v>3.6012734522123306</v>
      </c>
      <c r="F3" s="4">
        <f t="shared" ref="F3:F4" si="1">E3*S3</f>
        <v>39.28989336363653</v>
      </c>
      <c r="G3" s="4">
        <f t="shared" ref="G3" si="2">E3*T3</f>
        <v>0.30854834661250868</v>
      </c>
      <c r="H3" s="4">
        <f t="shared" ref="H3" si="3">E3*U3</f>
        <v>0.10502073286668255</v>
      </c>
      <c r="I3" s="4">
        <f t="shared" ref="I3:I4" si="4">D$37*W3</f>
        <v>2.7249439991546445</v>
      </c>
      <c r="J3" s="4">
        <f>I3*V3</f>
        <v>11.639760789049562</v>
      </c>
      <c r="K3" s="4">
        <f>I3*X3</f>
        <v>5.9998766953863726E-2</v>
      </c>
      <c r="L3" s="44"/>
      <c r="M3" s="44"/>
      <c r="N3" s="44"/>
      <c r="O3" s="44"/>
      <c r="Q3" s="43">
        <f t="shared" ref="Q3:Q4" si="5">AE3</f>
        <v>1.0000000000000009E-2</v>
      </c>
      <c r="R3" s="61">
        <v>0.60780433612803553</v>
      </c>
      <c r="S3" s="236">
        <v>10.91</v>
      </c>
      <c r="T3" s="237">
        <v>8.5677566757104098E-2</v>
      </c>
      <c r="U3" s="61">
        <v>2.9162110086965575E-2</v>
      </c>
      <c r="V3" s="236">
        <v>4.2715596330275227</v>
      </c>
      <c r="W3" s="43">
        <f t="shared" ref="W3:W4" si="6">(AF3/SUM(AF$2:AF$22))*0.98</f>
        <v>6.0715597354373081E-3</v>
      </c>
      <c r="X3" s="61">
        <v>2.2018348623853209E-2</v>
      </c>
      <c r="Y3" s="64"/>
      <c r="Z3" s="65"/>
      <c r="AA3" s="1"/>
      <c r="AB3" s="1"/>
      <c r="AC3" s="1"/>
      <c r="AE3" s="61">
        <f>1-AE2</f>
        <v>1.0000000000000009E-2</v>
      </c>
      <c r="AF3" s="61">
        <v>6.0716845132228027E-3</v>
      </c>
      <c r="AG3" s="47"/>
      <c r="AH3" s="47"/>
    </row>
    <row r="4" spans="1:34" x14ac:dyDescent="0.3">
      <c r="B4" s="59" t="s">
        <v>9</v>
      </c>
      <c r="C4" s="59">
        <v>14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77" t="s">
        <v>58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192.53322090294935</v>
      </c>
      <c r="J7" s="4">
        <f>I7*V7</f>
        <v>893.35414498968498</v>
      </c>
      <c r="K7" s="4">
        <f>I7*X7</f>
        <v>5.9300232038108405</v>
      </c>
      <c r="L7" s="7">
        <f>((D$2+D$3+D$4)*AA7)</f>
        <v>72.285657579999977</v>
      </c>
      <c r="M7" s="4">
        <f t="shared" ref="M7:N9" si="10">L7*Y7</f>
        <v>55.804527651759983</v>
      </c>
      <c r="N7" s="4">
        <f t="shared" si="10"/>
        <v>474.89653031647742</v>
      </c>
      <c r="O7" s="4">
        <f>M7*AH7</f>
        <v>4.0179259909267184</v>
      </c>
      <c r="Q7" s="45"/>
      <c r="R7" s="45"/>
      <c r="S7" s="44"/>
      <c r="T7" s="45"/>
      <c r="U7" s="45"/>
      <c r="V7" s="63">
        <v>4.6399999999999997</v>
      </c>
      <c r="W7" s="43">
        <f t="shared" ref="W7:W12" si="11">(AF7/SUM(AF$2:AF$22))*0.98</f>
        <v>0.42899118372012562</v>
      </c>
      <c r="X7" s="237">
        <v>3.0800000000000001E-2</v>
      </c>
      <c r="Y7" s="237">
        <v>0.77200000000000002</v>
      </c>
      <c r="Z7" s="63">
        <v>8.51</v>
      </c>
      <c r="AA7" s="43">
        <f>(AG7/SUM(AG$7:AG$27))*0.98</f>
        <v>0.12199999999999997</v>
      </c>
      <c r="AB7" s="17">
        <v>0.11515131498282011</v>
      </c>
      <c r="AC7" s="43">
        <f>(AH7/SUM(AH$7:AH$27))*0.98</f>
        <v>6.522128835584759E-2</v>
      </c>
      <c r="AE7" s="47"/>
      <c r="AF7" s="61">
        <v>0.42899999999999999</v>
      </c>
      <c r="AG7" s="61">
        <v>0.122</v>
      </c>
      <c r="AH7" s="61">
        <v>7.1999999999999995E-2</v>
      </c>
    </row>
    <row r="8" spans="1:34" x14ac:dyDescent="0.3">
      <c r="A8" s="283" t="s">
        <v>842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183.10851778182595</v>
      </c>
      <c r="J8" s="4">
        <f>I8*V8</f>
        <v>807.50856341785243</v>
      </c>
      <c r="K8" s="4">
        <f>I8*X8</f>
        <v>6.2806221599166294</v>
      </c>
      <c r="L8" s="7">
        <f>((D$2+D$3+D$4)*AA8)</f>
        <v>43.252893469999982</v>
      </c>
      <c r="M8" s="4">
        <f t="shared" si="10"/>
        <v>34.693145852286989</v>
      </c>
      <c r="N8" s="4">
        <f t="shared" si="10"/>
        <v>278.23902973534166</v>
      </c>
      <c r="O8" s="4">
        <f t="shared" ref="O8:O12" si="12">M8*AH8</f>
        <v>1.9428161677280713</v>
      </c>
      <c r="Q8" s="45"/>
      <c r="R8" s="45"/>
      <c r="S8" s="44"/>
      <c r="T8" s="45"/>
      <c r="U8" s="45"/>
      <c r="V8" s="63">
        <v>4.41</v>
      </c>
      <c r="W8" s="43">
        <f t="shared" si="11"/>
        <v>0.40799161528627331</v>
      </c>
      <c r="X8" s="237">
        <v>3.4299999999999997E-2</v>
      </c>
      <c r="Y8" s="237">
        <v>0.80210000000000004</v>
      </c>
      <c r="Z8" s="63">
        <v>8.02</v>
      </c>
      <c r="AA8" s="43">
        <f t="shared" ref="AA8:AA12" si="13">(AG8/SUM(AG$7:AG$27))*0.98</f>
        <v>7.2999999999999982E-2</v>
      </c>
      <c r="AB8" s="17">
        <v>3.4989224075568495E-2</v>
      </c>
      <c r="AC8" s="43">
        <f t="shared" ref="AC8:AC12" si="14">(AH8/SUM(AH$7:AH$27))*0.98</f>
        <v>5.0727668721214793E-2</v>
      </c>
      <c r="AE8" s="47"/>
      <c r="AF8" s="61">
        <v>0.40799999999999997</v>
      </c>
      <c r="AG8" s="61">
        <v>7.2999999999999995E-2</v>
      </c>
      <c r="AH8" s="61">
        <v>5.6000000000000001E-2</v>
      </c>
    </row>
    <row r="9" spans="1:34" x14ac:dyDescent="0.3">
      <c r="A9" s="58" t="s">
        <v>307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19.29820162896695</v>
      </c>
      <c r="J9" s="4">
        <f>I9*V9</f>
        <v>73.912112238943422</v>
      </c>
      <c r="K9" s="4">
        <f>I9*X9</f>
        <v>0.35682602665469892</v>
      </c>
      <c r="L9" s="7">
        <f>((D$2+D$3+D$4)*AA9)</f>
        <v>5.9250538999999973</v>
      </c>
      <c r="M9" s="4">
        <f t="shared" si="10"/>
        <v>3.9816362207999982</v>
      </c>
      <c r="N9" s="4">
        <f t="shared" si="10"/>
        <v>31.335477057695986</v>
      </c>
      <c r="O9" s="4">
        <f t="shared" si="12"/>
        <v>2.05387198019189E-2</v>
      </c>
      <c r="Q9" s="45"/>
      <c r="R9" s="45"/>
      <c r="S9" s="44"/>
      <c r="T9" s="45"/>
      <c r="U9" s="45"/>
      <c r="V9" s="63">
        <v>3.83</v>
      </c>
      <c r="W9" s="43">
        <f t="shared" si="11"/>
        <v>4.2999116316935669E-2</v>
      </c>
      <c r="X9" s="237">
        <v>1.8490118069815199E-2</v>
      </c>
      <c r="Y9" s="237">
        <v>0.67200000000000004</v>
      </c>
      <c r="Z9" s="63">
        <v>7.87</v>
      </c>
      <c r="AA9" s="43">
        <f t="shared" si="13"/>
        <v>9.9999999999999967E-3</v>
      </c>
      <c r="AB9" s="17">
        <v>4.8163610572365808E-3</v>
      </c>
      <c r="AC9" s="43">
        <f t="shared" si="14"/>
        <v>4.672708280019343E-3</v>
      </c>
      <c r="AE9" s="47"/>
      <c r="AF9" s="61">
        <v>4.2999999999999997E-2</v>
      </c>
      <c r="AG9" s="61">
        <v>0.01</v>
      </c>
      <c r="AH9" s="61">
        <v>5.1583617043227063E-3</v>
      </c>
    </row>
    <row r="10" spans="1:34" x14ac:dyDescent="0.3">
      <c r="A10" s="101"/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7.1663052743998279E-3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1.4894940866877114E-2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70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0.87498201807717946</v>
      </c>
      <c r="J15" s="4">
        <f t="shared" ref="J15:J22" si="22">I15*V15</f>
        <v>5.4748874845400657</v>
      </c>
      <c r="K15" s="4">
        <f t="shared" ref="K15:K22" si="23">I15*X15</f>
        <v>0</v>
      </c>
      <c r="L15" s="7">
        <f t="shared" ref="L15:L20" si="24">((D$2+D$3+D$4)*AA15)</f>
        <v>61.028055169999973</v>
      </c>
      <c r="M15" s="4">
        <f t="shared" ref="M15:N19" si="25">L15*Y15</f>
        <v>39.637721832914984</v>
      </c>
      <c r="N15" s="4">
        <f t="shared" si="25"/>
        <v>514.4976293912365</v>
      </c>
      <c r="O15" s="4">
        <f t="shared" ref="O15:O22" si="26">M15*AH15</f>
        <v>3.4484817994636034</v>
      </c>
      <c r="Q15" s="45"/>
      <c r="R15" s="45"/>
      <c r="S15" s="44"/>
      <c r="T15" s="45"/>
      <c r="U15" s="45"/>
      <c r="V15" s="63">
        <v>6.2571428571428571</v>
      </c>
      <c r="W15" s="43">
        <f t="shared" ref="W15:W22" si="27">(AF15/SUM(AF$2:AF$22))*0.98</f>
        <v>1.9495834012872091E-3</v>
      </c>
      <c r="X15" s="237">
        <v>0</v>
      </c>
      <c r="Y15" s="237">
        <v>0.64949999999999997</v>
      </c>
      <c r="Z15" s="63">
        <v>12.98</v>
      </c>
      <c r="AA15" s="43">
        <f t="shared" ref="AA15:AA22" si="28">(AG15/SUM(AG$7:AG$27))*0.98</f>
        <v>0.10299999999999997</v>
      </c>
      <c r="AB15" s="17">
        <v>0.25548478660812679</v>
      </c>
      <c r="AC15" s="43">
        <f t="shared" ref="AC15:AC22" si="29">(AH15/SUM(AH$7:AH$27))*0.98</f>
        <v>7.8809056763315843E-2</v>
      </c>
      <c r="AE15" s="47"/>
      <c r="AF15" s="61">
        <v>1.9496234675486063E-3</v>
      </c>
      <c r="AG15" s="61">
        <v>0.10299999999999999</v>
      </c>
      <c r="AH15" s="61">
        <v>8.6999999999999994E-2</v>
      </c>
    </row>
    <row r="16" spans="1:34" x14ac:dyDescent="0.3">
      <c r="A16" s="77" t="s">
        <v>47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1.3333059323080829</v>
      </c>
      <c r="J16" s="4">
        <f t="shared" si="22"/>
        <v>6.466533771694202</v>
      </c>
      <c r="K16" s="4">
        <f t="shared" si="23"/>
        <v>0</v>
      </c>
      <c r="L16" s="7">
        <f t="shared" si="24"/>
        <v>58.065528219999976</v>
      </c>
      <c r="M16" s="4">
        <f t="shared" si="25"/>
        <v>38.950356329975982</v>
      </c>
      <c r="N16" s="4">
        <f t="shared" si="25"/>
        <v>462.93970934702071</v>
      </c>
      <c r="O16" s="4">
        <f t="shared" si="26"/>
        <v>4.5961420469371657</v>
      </c>
      <c r="Q16" s="45"/>
      <c r="R16" s="45"/>
      <c r="S16" s="44"/>
      <c r="T16" s="45"/>
      <c r="U16" s="45"/>
      <c r="V16" s="63">
        <v>4.8499999999999996</v>
      </c>
      <c r="W16" s="43">
        <f t="shared" si="27"/>
        <v>2.9707937543424138E-3</v>
      </c>
      <c r="X16" s="237">
        <v>0</v>
      </c>
      <c r="Y16" s="237">
        <v>0.67079999999999995</v>
      </c>
      <c r="Z16" s="63">
        <v>11.885378029025754</v>
      </c>
      <c r="AA16" s="43">
        <f t="shared" si="28"/>
        <v>9.7999999999999976E-2</v>
      </c>
      <c r="AB16" s="17">
        <v>0.10098833470408203</v>
      </c>
      <c r="AC16" s="43">
        <f t="shared" si="29"/>
        <v>0.10689044480541689</v>
      </c>
      <c r="AE16" s="47"/>
      <c r="AF16" s="61">
        <v>2.9708548076931144E-3</v>
      </c>
      <c r="AG16" s="61">
        <v>9.8000000000000004E-2</v>
      </c>
      <c r="AH16" s="61">
        <v>0.11799999999999999</v>
      </c>
    </row>
    <row r="17" spans="1:34" x14ac:dyDescent="0.3">
      <c r="A17" s="77" t="s">
        <v>207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4.4636582665051536</v>
      </c>
      <c r="J17" s="4">
        <f t="shared" si="22"/>
        <v>31.515852311690772</v>
      </c>
      <c r="K17" s="4">
        <f t="shared" si="23"/>
        <v>2.4999486230776555E-2</v>
      </c>
      <c r="L17" s="7">
        <f t="shared" si="24"/>
        <v>98.355894739999982</v>
      </c>
      <c r="M17" s="4">
        <f t="shared" si="25"/>
        <v>64.698507559972001</v>
      </c>
      <c r="N17" s="4">
        <f t="shared" si="25"/>
        <v>843.02155350643511</v>
      </c>
      <c r="O17" s="4">
        <f t="shared" si="26"/>
        <v>7.8932179223165839</v>
      </c>
      <c r="Q17" s="45"/>
      <c r="R17" s="45"/>
      <c r="S17" s="44"/>
      <c r="T17" s="45"/>
      <c r="U17" s="45"/>
      <c r="V17" s="63">
        <v>7.0605432651918232</v>
      </c>
      <c r="W17" s="43">
        <f t="shared" si="27"/>
        <v>9.9456604657094626E-3</v>
      </c>
      <c r="X17" s="237">
        <v>5.600672080649678E-3</v>
      </c>
      <c r="Y17" s="237">
        <v>0.65780000000000005</v>
      </c>
      <c r="Z17" s="63">
        <v>13.03</v>
      </c>
      <c r="AA17" s="43">
        <f t="shared" si="28"/>
        <v>0.16599999999999998</v>
      </c>
      <c r="AB17" s="17">
        <v>8.4993689866582373E-2</v>
      </c>
      <c r="AC17" s="43">
        <f t="shared" si="29"/>
        <v>0.11051384971407509</v>
      </c>
      <c r="AE17" s="47"/>
      <c r="AF17" s="61">
        <v>9.9458648608801055E-3</v>
      </c>
      <c r="AG17" s="61">
        <v>0.16600000000000001</v>
      </c>
      <c r="AH17" s="61">
        <v>0.122</v>
      </c>
    </row>
    <row r="18" spans="1:34" x14ac:dyDescent="0.3">
      <c r="A18" s="77" t="s">
        <v>670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1.7499640361543589</v>
      </c>
      <c r="J18" s="4">
        <f t="shared" si="22"/>
        <v>10.449785244464598</v>
      </c>
      <c r="K18" s="4">
        <f t="shared" si="23"/>
        <v>2.4999486230776559E-2</v>
      </c>
      <c r="L18" s="7">
        <f t="shared" si="24"/>
        <v>81.765743819999983</v>
      </c>
      <c r="M18" s="4">
        <f t="shared" si="25"/>
        <v>49.917986602109991</v>
      </c>
      <c r="N18" s="4">
        <f t="shared" si="25"/>
        <v>679.882977520738</v>
      </c>
      <c r="O18" s="4">
        <f t="shared" si="26"/>
        <v>4.492618794189899</v>
      </c>
      <c r="Q18" s="45"/>
      <c r="R18" s="45"/>
      <c r="S18" s="44"/>
      <c r="T18" s="45"/>
      <c r="U18" s="45"/>
      <c r="V18" s="63">
        <v>5.9714285714285706</v>
      </c>
      <c r="W18" s="43">
        <f t="shared" si="27"/>
        <v>3.8991668025744183E-3</v>
      </c>
      <c r="X18" s="237">
        <v>1.4285714285714287E-2</v>
      </c>
      <c r="Y18" s="237">
        <v>0.61050000000000004</v>
      </c>
      <c r="Z18" s="63">
        <v>13.62</v>
      </c>
      <c r="AA18" s="43">
        <f t="shared" si="28"/>
        <v>0.13799999999999998</v>
      </c>
      <c r="AB18" s="17">
        <v>8.6851063600337328E-2</v>
      </c>
      <c r="AC18" s="43">
        <f t="shared" si="29"/>
        <v>8.152661044480948E-2</v>
      </c>
      <c r="AE18" s="47"/>
      <c r="AF18" s="61">
        <v>3.8992469350972126E-3</v>
      </c>
      <c r="AG18" s="61">
        <v>0.13800000000000001</v>
      </c>
      <c r="AH18" s="61">
        <v>0.09</v>
      </c>
    </row>
    <row r="19" spans="1:34" x14ac:dyDescent="0.3">
      <c r="A19" s="77" t="s">
        <v>604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10.072591629999998</v>
      </c>
      <c r="M19" s="4">
        <f t="shared" si="25"/>
        <v>6.115070378572999</v>
      </c>
      <c r="N19" s="4">
        <f t="shared" si="25"/>
        <v>66.715417830231416</v>
      </c>
      <c r="O19" s="4">
        <f t="shared" si="26"/>
        <v>0.52589605255727789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0.60709999999999997</v>
      </c>
      <c r="Z19" s="63">
        <v>10.91</v>
      </c>
      <c r="AA19" s="43">
        <f t="shared" si="28"/>
        <v>1.6999999999999998E-2</v>
      </c>
      <c r="AB19" s="17">
        <v>5.2675072579768667E-2</v>
      </c>
      <c r="AC19" s="43">
        <f t="shared" si="29"/>
        <v>7.7903205536151279E-2</v>
      </c>
      <c r="AE19" s="47"/>
      <c r="AF19" s="61">
        <v>0</v>
      </c>
      <c r="AG19" s="61">
        <v>1.7000000000000001E-2</v>
      </c>
      <c r="AH19" s="61">
        <v>8.5999999999999993E-2</v>
      </c>
    </row>
    <row r="20" spans="1:34" s="112" customFormat="1" x14ac:dyDescent="0.3">
      <c r="A20" s="58" t="s">
        <v>333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1.5886340183450807</v>
      </c>
      <c r="J20" s="4">
        <f t="shared" si="22"/>
        <v>11.899755445849639</v>
      </c>
      <c r="K20" s="4">
        <f t="shared" si="23"/>
        <v>0</v>
      </c>
      <c r="L20" s="7">
        <f t="shared" si="24"/>
        <v>28.440258719999989</v>
      </c>
      <c r="M20" s="4">
        <f t="shared" ref="M20:N20" si="30">L20*Y20</f>
        <v>17.439566647103991</v>
      </c>
      <c r="N20" s="4">
        <f t="shared" si="30"/>
        <v>217.65382616895465</v>
      </c>
      <c r="O20" s="4">
        <f t="shared" si="26"/>
        <v>1.5521214315922551</v>
      </c>
      <c r="P20" s="99"/>
      <c r="Q20" s="45"/>
      <c r="R20" s="45"/>
      <c r="S20" s="44"/>
      <c r="T20" s="45"/>
      <c r="U20" s="45"/>
      <c r="V20" s="63">
        <v>7.4905581200167859</v>
      </c>
      <c r="W20" s="43">
        <f t="shared" si="27"/>
        <v>3.5397007582989859E-3</v>
      </c>
      <c r="X20" s="237">
        <v>0</v>
      </c>
      <c r="Y20" s="237">
        <v>0.61319999999999997</v>
      </c>
      <c r="Z20" s="63">
        <v>12.480460700271941</v>
      </c>
      <c r="AA20" s="43">
        <f t="shared" si="28"/>
        <v>4.7999999999999987E-2</v>
      </c>
      <c r="AB20" s="17">
        <v>2.2509684315908614E-2</v>
      </c>
      <c r="AC20" s="43">
        <f t="shared" si="29"/>
        <v>8.062075921764493E-2</v>
      </c>
      <c r="AE20" s="47"/>
      <c r="AF20" s="61">
        <v>3.539773503366346E-3</v>
      </c>
      <c r="AG20" s="61">
        <v>4.8000000000000001E-2</v>
      </c>
      <c r="AH20" s="61">
        <v>8.8999999999999996E-2</v>
      </c>
    </row>
    <row r="21" spans="1:34" s="112" customFormat="1" x14ac:dyDescent="0.3">
      <c r="A21" s="58" t="s">
        <v>644</v>
      </c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17.775161699999991</v>
      </c>
      <c r="M21" s="4">
        <f t="shared" ref="M21:N21" si="32">L21*Y21</f>
        <v>11.481073301038057</v>
      </c>
      <c r="N21" s="4">
        <f t="shared" si="32"/>
        <v>147.41698118532864</v>
      </c>
      <c r="O21" s="4">
        <f t="shared" si="26"/>
        <v>0.61505749826989586</v>
      </c>
      <c r="P21" s="99"/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0.64590542099192616</v>
      </c>
      <c r="Z21" s="63">
        <v>12.84</v>
      </c>
      <c r="AA21" s="43">
        <f t="shared" si="28"/>
        <v>2.9999999999999992E-2</v>
      </c>
      <c r="AB21" s="17">
        <v>1.8264449891116155E-3</v>
      </c>
      <c r="AC21" s="43">
        <f t="shared" si="29"/>
        <v>4.85277443123866E-2</v>
      </c>
      <c r="AE21" s="47"/>
      <c r="AF21" s="61">
        <v>0</v>
      </c>
      <c r="AG21" s="61">
        <v>0.03</v>
      </c>
      <c r="AH21" s="61">
        <v>5.3571428571428568E-2</v>
      </c>
    </row>
    <row r="22" spans="1:34" s="112" customFormat="1" x14ac:dyDescent="0.3">
      <c r="A22" s="58"/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P22" s="99"/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259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65.768098289999983</v>
      </c>
      <c r="M24" s="4">
        <f t="shared" ref="M24:N27" si="34">L24*Y24</f>
        <v>46.300741196159983</v>
      </c>
      <c r="N24" s="4">
        <f t="shared" si="34"/>
        <v>496.80695303479666</v>
      </c>
      <c r="O24" s="4">
        <f t="shared" ref="O24:O27" si="35">M24*AH24</f>
        <v>5.2413672484903833</v>
      </c>
      <c r="Q24" s="45"/>
      <c r="R24" s="45"/>
      <c r="S24" s="44"/>
      <c r="T24" s="45"/>
      <c r="U24" s="45"/>
      <c r="V24" s="46"/>
      <c r="W24" s="46"/>
      <c r="X24" s="45"/>
      <c r="Y24" s="237">
        <v>0.70399999999999996</v>
      </c>
      <c r="Z24" s="236">
        <v>10.73</v>
      </c>
      <c r="AA24" s="43">
        <f t="shared" ref="AA24:AA27" si="36">(AG24/SUM(AG$7:AG$27))*0.98</f>
        <v>0.11099999999999999</v>
      </c>
      <c r="AB24" s="17">
        <v>0.11728049214373987</v>
      </c>
      <c r="AC24" s="43">
        <f t="shared" ref="AC24:AC27" si="37">(AH24/SUM(AH$7:AH$27))*0.98</f>
        <v>0.10254477210094572</v>
      </c>
      <c r="AE24" s="47"/>
      <c r="AF24" s="47"/>
      <c r="AG24" s="61">
        <v>0.111</v>
      </c>
      <c r="AH24" s="61">
        <v>0.11320266399806757</v>
      </c>
    </row>
    <row r="25" spans="1:34" x14ac:dyDescent="0.3">
      <c r="A25" s="58" t="s">
        <v>209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17.775161699999991</v>
      </c>
      <c r="M25" s="4">
        <f t="shared" si="34"/>
        <v>10.700647343399995</v>
      </c>
      <c r="N25" s="4">
        <f t="shared" si="34"/>
        <v>107.43449932773594</v>
      </c>
      <c r="O25" s="4">
        <f t="shared" si="35"/>
        <v>0.98445955559279952</v>
      </c>
      <c r="Q25" s="45"/>
      <c r="R25" s="45"/>
      <c r="S25" s="44"/>
      <c r="T25" s="45"/>
      <c r="U25" s="45"/>
      <c r="V25" s="46"/>
      <c r="W25" s="46"/>
      <c r="X25" s="45"/>
      <c r="Y25" s="237">
        <v>0.60199999999999998</v>
      </c>
      <c r="Z25" s="236">
        <v>10.039999999999999</v>
      </c>
      <c r="AA25" s="43">
        <f t="shared" si="36"/>
        <v>2.9999999999999992E-2</v>
      </c>
      <c r="AB25" s="17">
        <v>4.611590903692217E-2</v>
      </c>
      <c r="AC25" s="43">
        <f t="shared" si="37"/>
        <v>8.3338312899138595E-2</v>
      </c>
      <c r="AE25" s="47"/>
      <c r="AF25" s="47"/>
      <c r="AG25" s="61">
        <v>0.03</v>
      </c>
      <c r="AH25" s="61">
        <v>9.1999999999999998E-2</v>
      </c>
    </row>
    <row r="26" spans="1:34" x14ac:dyDescent="0.3">
      <c r="A26" s="58" t="s">
        <v>568</v>
      </c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20.145183259999996</v>
      </c>
      <c r="M26" s="4">
        <f t="shared" si="34"/>
        <v>12.449723254679997</v>
      </c>
      <c r="N26" s="4">
        <f t="shared" si="34"/>
        <v>130.38151317585604</v>
      </c>
      <c r="O26" s="4">
        <f t="shared" si="35"/>
        <v>1.2191130013996798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10.472643488428075</v>
      </c>
      <c r="AA26" s="43">
        <f t="shared" si="36"/>
        <v>3.3999999999999996E-2</v>
      </c>
      <c r="AB26" s="17">
        <v>2.9256375898518251E-2</v>
      </c>
      <c r="AC26" s="43">
        <f t="shared" si="37"/>
        <v>8.8703578849033862E-2</v>
      </c>
      <c r="AE26" s="47"/>
      <c r="AF26" s="47"/>
      <c r="AG26" s="61">
        <v>3.4000000000000002E-2</v>
      </c>
      <c r="AH26" s="61">
        <v>9.7922899687059389E-2</v>
      </c>
    </row>
    <row r="27" spans="1:34" x14ac:dyDescent="0.3"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0.97499999999999998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0.98002014016745498</v>
      </c>
      <c r="AG30" s="28">
        <f>SUM(AG7:AG27)</f>
        <v>0.9800000000000002</v>
      </c>
    </row>
    <row r="31" spans="1:34" s="86" customFormat="1" x14ac:dyDescent="0.3">
      <c r="A31" s="102"/>
      <c r="B31" s="80"/>
      <c r="C31" s="80"/>
      <c r="D31" s="105">
        <v>1041.31</v>
      </c>
      <c r="E31" s="106">
        <v>0.56899999999999995</v>
      </c>
      <c r="F31" s="8">
        <f>1-E31</f>
        <v>0.43100000000000005</v>
      </c>
      <c r="G31" s="234">
        <v>4.43</v>
      </c>
      <c r="H31" s="275">
        <v>3.4000000000000002E-2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592.50538999999992</v>
      </c>
      <c r="E34" s="2">
        <f>SUM(E2:E4)</f>
        <v>402.25865395679602</v>
      </c>
      <c r="F34" s="2">
        <f>SUM(F2:F4)</f>
        <v>4464.3868169645148</v>
      </c>
      <c r="G34" s="2">
        <f>SUM(G2:G4)</f>
        <v>36.626235710580083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448.80461000000003</v>
      </c>
      <c r="E37" s="2">
        <f>D37*G31</f>
        <v>1988.2044223</v>
      </c>
      <c r="F37" s="2">
        <f>D37*H31</f>
        <v>15.259356740000001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439.82851780000004</v>
      </c>
      <c r="E40" s="3">
        <f>SUM(J2:J4,J7:J12,J15:J22)</f>
        <v>1971.509356684066</v>
      </c>
      <c r="F40" s="3">
        <f>SUM(K2:K4,K7:K12,K15:K22)</f>
        <v>14.910423239930546</v>
      </c>
      <c r="G40" s="3">
        <f>SUM(L7:L12,L15:L22,L24:L27)</f>
        <v>580.65528219999976</v>
      </c>
      <c r="H40" s="3">
        <f>SUM(M7:M12,M15:M22,M24:M27)</f>
        <v>392.17070417077508</v>
      </c>
      <c r="I40" s="3">
        <f>SUM(N7:N12,N15:N22,N24:N27)</f>
        <v>4451.222097597848</v>
      </c>
      <c r="J40" s="3">
        <f>SUM(O7:O12,O15:O22,O24:O27)</f>
        <v>36.549756229266251</v>
      </c>
    </row>
    <row r="41" spans="1:32" ht="14.4" thickTop="1" x14ac:dyDescent="0.3">
      <c r="D41" s="50">
        <f>D37-D40</f>
        <v>8.9760921999999823</v>
      </c>
      <c r="E41" s="50">
        <f>E37-E40</f>
        <v>16.695065615934027</v>
      </c>
      <c r="F41" s="50">
        <f>F37-F40</f>
        <v>0.34893350006945489</v>
      </c>
      <c r="G41" s="50">
        <f>SUM(D2:D4)-G40</f>
        <v>11.85010780000016</v>
      </c>
      <c r="H41" s="50">
        <f>E34-H40</f>
        <v>10.087949786020943</v>
      </c>
      <c r="I41" s="50">
        <f>F34-I40</f>
        <v>13.164719366666759</v>
      </c>
      <c r="J41" s="50">
        <f>G34-J40</f>
        <v>7.6479481313832309E-2</v>
      </c>
    </row>
  </sheetData>
  <sheetProtection sheet="1" selectLockedCells="1"/>
  <conditionalFormatting sqref="AA30:AB30 AD30:AF30">
    <cfRule type="cellIs" dxfId="332" priority="14" operator="greaterThan">
      <formula>1</formula>
    </cfRule>
    <cfRule type="cellIs" dxfId="331" priority="15" operator="greaterThan">
      <formula>1</formula>
    </cfRule>
  </conditionalFormatting>
  <conditionalFormatting sqref="AC30">
    <cfRule type="cellIs" dxfId="330" priority="10" operator="greaterThan">
      <formula>1</formula>
    </cfRule>
    <cfRule type="cellIs" dxfId="329" priority="11" operator="greaterThan">
      <formula>1</formula>
    </cfRule>
  </conditionalFormatting>
  <conditionalFormatting sqref="AG30">
    <cfRule type="cellIs" dxfId="328" priority="8" operator="greaterThan">
      <formula>1</formula>
    </cfRule>
    <cfRule type="cellIs" dxfId="327" priority="9" operator="greaterThan">
      <formula>1</formula>
    </cfRule>
  </conditionalFormatting>
  <conditionalFormatting sqref="W30">
    <cfRule type="cellIs" dxfId="326" priority="2" operator="greaterThan">
      <formula>1</formula>
    </cfRule>
    <cfRule type="cellIs" dxfId="325" priority="3" operator="greaterThan">
      <formula>1</formula>
    </cfRule>
  </conditionalFormatting>
  <conditionalFormatting sqref="D41:J41">
    <cfRule type="cellIs" dxfId="324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2CB8"/>
  </sheetPr>
  <dimension ref="A1:AH52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267</v>
      </c>
      <c r="B2" s="59" t="s">
        <v>9</v>
      </c>
      <c r="C2" s="60">
        <v>6</v>
      </c>
      <c r="D2" s="4">
        <f>D$34*Q2</f>
        <v>568.7915999999999</v>
      </c>
      <c r="E2" s="4">
        <f t="shared" ref="E2" si="0">D2*R2</f>
        <v>373.5977168634646</v>
      </c>
      <c r="F2" s="4">
        <f>E2*S2</f>
        <v>3945.1918900781861</v>
      </c>
      <c r="G2" s="4">
        <f t="shared" ref="G2" si="1">E2*T2</f>
        <v>22.154344610003449</v>
      </c>
      <c r="H2" s="4">
        <f t="shared" ref="H2" si="2">E2*U2</f>
        <v>9.3473719545889082</v>
      </c>
      <c r="I2" s="4">
        <f>D$37*W2</f>
        <v>20.987462521644744</v>
      </c>
      <c r="J2" s="4">
        <f>I2*V2</f>
        <v>77.750759540607561</v>
      </c>
      <c r="K2" s="4">
        <f>I2*X2</f>
        <v>0.45167544650204683</v>
      </c>
      <c r="L2" s="44"/>
      <c r="M2" s="44"/>
      <c r="N2" s="44"/>
      <c r="O2" s="44"/>
      <c r="Q2" s="43">
        <f>AE2</f>
        <v>0.95</v>
      </c>
      <c r="R2" s="61">
        <v>0.65682706436498828</v>
      </c>
      <c r="S2" s="236">
        <v>10.56</v>
      </c>
      <c r="T2" s="237">
        <v>5.9299999999999999E-2</v>
      </c>
      <c r="U2" s="61">
        <v>2.5019885113497651E-2</v>
      </c>
      <c r="V2" s="236">
        <v>3.7046288688030682</v>
      </c>
      <c r="W2" s="43">
        <f>(AF2/SUM(AF$2:AF$22))*0.98</f>
        <v>5.4368565837296177E-2</v>
      </c>
      <c r="X2" s="61">
        <v>2.1521203243899823E-2</v>
      </c>
      <c r="Y2" s="64"/>
      <c r="Z2" s="65"/>
      <c r="AA2" s="1"/>
      <c r="AB2" s="1"/>
      <c r="AC2" s="1"/>
      <c r="AE2" s="49">
        <v>0.95</v>
      </c>
      <c r="AF2" s="61">
        <v>5.4383558450036527E-2</v>
      </c>
      <c r="AG2" s="47"/>
      <c r="AH2" s="47"/>
    </row>
    <row r="3" spans="1:34" x14ac:dyDescent="0.3">
      <c r="A3" s="58" t="s">
        <v>605</v>
      </c>
      <c r="B3" s="59" t="s">
        <v>9</v>
      </c>
      <c r="C3" s="60">
        <v>6</v>
      </c>
      <c r="D3" s="4">
        <f>D$34*Q3</f>
        <v>29.936400000000024</v>
      </c>
      <c r="E3" s="4">
        <f>D3*R3</f>
        <v>18.974355444102056</v>
      </c>
      <c r="F3" s="4">
        <f t="shared" ref="F3:F4" si="3">E3*S3</f>
        <v>213.40380725291624</v>
      </c>
      <c r="G3" s="4">
        <f>E3*T3</f>
        <v>1.1574356820902254</v>
      </c>
      <c r="H3" s="4">
        <f>E3*U3</f>
        <v>0.51418792644611722</v>
      </c>
      <c r="I3" s="4">
        <f t="shared" ref="I3:I4" si="4">D$37*W3</f>
        <v>0.89975188546224483</v>
      </c>
      <c r="J3" s="4">
        <f>I3*V3</f>
        <v>3.572014985285112</v>
      </c>
      <c r="K3" s="4">
        <f>I3*X3</f>
        <v>0</v>
      </c>
      <c r="L3" s="44"/>
      <c r="M3" s="44"/>
      <c r="N3" s="44"/>
      <c r="O3" s="44"/>
      <c r="Q3" s="43">
        <f t="shared" ref="Q3:Q4" si="5">AE3</f>
        <v>5.0000000000000044E-2</v>
      </c>
      <c r="R3" s="61">
        <v>0.63382221790536075</v>
      </c>
      <c r="S3" s="236">
        <v>11.246959501818028</v>
      </c>
      <c r="T3" s="237">
        <v>6.0999999999999999E-2</v>
      </c>
      <c r="U3" s="61">
        <v>2.7099098462706736E-2</v>
      </c>
      <c r="V3" s="236">
        <v>3.97</v>
      </c>
      <c r="W3" s="43">
        <f t="shared" ref="W3:W4" si="6">(AF3/SUM(AF$2:AF$22))*0.98</f>
        <v>2.3308305885733063E-3</v>
      </c>
      <c r="X3" s="61">
        <v>0</v>
      </c>
      <c r="Y3" s="64"/>
      <c r="Z3" s="65"/>
      <c r="AA3" s="1"/>
      <c r="AB3" s="1"/>
      <c r="AC3" s="1"/>
      <c r="AE3" s="61">
        <f>1-AE2</f>
        <v>5.0000000000000044E-2</v>
      </c>
      <c r="AF3" s="61">
        <v>2.3314733357166174E-3</v>
      </c>
      <c r="AG3" s="47"/>
      <c r="AH3" s="47"/>
    </row>
    <row r="4" spans="1:34" x14ac:dyDescent="0.3">
      <c r="B4" s="59" t="s">
        <v>9</v>
      </c>
      <c r="C4" s="60">
        <v>6</v>
      </c>
      <c r="D4" s="4">
        <f>D$34*Q4</f>
        <v>0</v>
      </c>
      <c r="E4" s="4">
        <f t="shared" ref="E4" si="7">D4*R4</f>
        <v>0</v>
      </c>
      <c r="F4" s="4">
        <f t="shared" si="3"/>
        <v>0</v>
      </c>
      <c r="G4" s="4">
        <f t="shared" ref="G4" si="8">E4*T4</f>
        <v>0</v>
      </c>
      <c r="H4" s="4">
        <f t="shared" ref="H4" si="9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62</v>
      </c>
      <c r="B7" s="59" t="s">
        <v>357</v>
      </c>
      <c r="C7" s="60">
        <v>6</v>
      </c>
      <c r="D7" s="44"/>
      <c r="E7" s="44"/>
      <c r="F7" s="44"/>
      <c r="G7" s="44"/>
      <c r="H7" s="44"/>
      <c r="I7" s="4">
        <f t="shared" ref="I7:I12" si="10">D$37*W7</f>
        <v>136.61411544976326</v>
      </c>
      <c r="J7" s="4">
        <f>I7*V7</f>
        <v>549.18874410804824</v>
      </c>
      <c r="K7" s="4">
        <f>I7*X7</f>
        <v>4.0847620519479211</v>
      </c>
      <c r="L7" s="7">
        <f>((D$2+D$3+D$4)*AA7)</f>
        <v>23.951439105232041</v>
      </c>
      <c r="M7" s="4">
        <f t="shared" ref="M7:N9" si="11">L7*Y7</f>
        <v>17.746392550596923</v>
      </c>
      <c r="N7" s="4">
        <f t="shared" si="11"/>
        <v>121.91771682260087</v>
      </c>
      <c r="O7" s="4">
        <f>M7*AH7</f>
        <v>0.23070310315775999</v>
      </c>
      <c r="Q7" s="45"/>
      <c r="R7" s="45"/>
      <c r="S7" s="44"/>
      <c r="T7" s="45"/>
      <c r="U7" s="45"/>
      <c r="V7" s="63">
        <v>4.0199999999999996</v>
      </c>
      <c r="W7" s="43">
        <f t="shared" ref="W7:W12" si="12">(AF7/SUM(AF$2:AF$22))*0.98</f>
        <v>0.35390240828181624</v>
      </c>
      <c r="X7" s="237">
        <v>2.9899999999999999E-2</v>
      </c>
      <c r="Y7" s="237">
        <v>0.74093220338983035</v>
      </c>
      <c r="Z7" s="63">
        <v>6.87</v>
      </c>
      <c r="AA7" s="43">
        <f>(AG7/SUM(AG$7:AG$27))*0.98</f>
        <v>4.0003873386967106E-2</v>
      </c>
      <c r="AB7" s="17">
        <v>8.6548073411343282E-2</v>
      </c>
      <c r="AC7" s="43">
        <f>(AH7/SUM(AH$7:AH$27))*0.98</f>
        <v>1.7844290087455028E-2</v>
      </c>
      <c r="AE7" s="47"/>
      <c r="AF7" s="61">
        <v>0.35399999999999998</v>
      </c>
      <c r="AG7" s="61">
        <v>0.04</v>
      </c>
      <c r="AH7" s="61">
        <v>1.2999999999999999E-2</v>
      </c>
    </row>
    <row r="8" spans="1:34" x14ac:dyDescent="0.3">
      <c r="A8" s="101" t="s">
        <v>126</v>
      </c>
      <c r="B8" s="59" t="s">
        <v>357</v>
      </c>
      <c r="C8" s="60">
        <v>6</v>
      </c>
      <c r="D8" s="44"/>
      <c r="E8" s="44"/>
      <c r="F8" s="44"/>
      <c r="G8" s="44"/>
      <c r="H8" s="44"/>
      <c r="I8" s="4">
        <f t="shared" si="10"/>
        <v>72.166213528547274</v>
      </c>
      <c r="J8" s="4">
        <f>I8*V8</f>
        <v>284.74453602331931</v>
      </c>
      <c r="K8" s="4">
        <f>I8*X8</f>
        <v>2.0350872215050333</v>
      </c>
      <c r="L8" s="7">
        <f>((D$2+D$3+D$4)*AA8)</f>
        <v>49.440054905198672</v>
      </c>
      <c r="M8" s="4">
        <f t="shared" si="11"/>
        <v>35.695719641553438</v>
      </c>
      <c r="N8" s="4">
        <f t="shared" si="11"/>
        <v>267.00398291881976</v>
      </c>
      <c r="O8" s="4">
        <f t="shared" ref="O8:O12" si="13">M8*AH8</f>
        <v>1.4278287856621377</v>
      </c>
      <c r="Q8" s="45"/>
      <c r="R8" s="45"/>
      <c r="S8" s="44"/>
      <c r="T8" s="45"/>
      <c r="U8" s="45"/>
      <c r="V8" s="63">
        <v>3.9456765444771604</v>
      </c>
      <c r="W8" s="43">
        <f t="shared" si="12"/>
        <v>0.18694844731271087</v>
      </c>
      <c r="X8" s="237">
        <v>2.8199999999999999E-2</v>
      </c>
      <c r="Y8" s="237">
        <v>0.72199999999999998</v>
      </c>
      <c r="Z8" s="63">
        <v>7.48</v>
      </c>
      <c r="AA8" s="43">
        <f t="shared" ref="AA8:AA12" si="14">(AG8/SUM(AG$7:AG$27))*0.98</f>
        <v>8.2575150828420707E-2</v>
      </c>
      <c r="AB8" s="17">
        <v>4.092025767842479E-2</v>
      </c>
      <c r="AC8" s="43">
        <f t="shared" ref="AC8:AC12" si="15">(AH8/SUM(AH$7:AH$27))*0.98</f>
        <v>5.4905507961400098E-2</v>
      </c>
      <c r="AE8" s="47"/>
      <c r="AF8" s="61">
        <v>0.187</v>
      </c>
      <c r="AG8" s="61">
        <v>8.2567155464823516E-2</v>
      </c>
      <c r="AH8" s="61">
        <v>0.04</v>
      </c>
    </row>
    <row r="9" spans="1:34" x14ac:dyDescent="0.3">
      <c r="A9" s="101" t="s">
        <v>645</v>
      </c>
      <c r="B9" s="59" t="s">
        <v>357</v>
      </c>
      <c r="C9" s="60">
        <v>6</v>
      </c>
      <c r="D9" s="44"/>
      <c r="E9" s="44"/>
      <c r="F9" s="44"/>
      <c r="G9" s="44"/>
      <c r="H9" s="44"/>
      <c r="I9" s="4">
        <f t="shared" si="10"/>
        <v>125.80847919949953</v>
      </c>
      <c r="J9" s="4">
        <f>I9*V9</f>
        <v>508.26625596597813</v>
      </c>
      <c r="K9" s="4">
        <f>I9*X9</f>
        <v>3.6987692884652859</v>
      </c>
      <c r="L9" s="7">
        <f>((D$2+D$3+D$4)*AA9)</f>
        <v>31.743193110236035</v>
      </c>
      <c r="M9" s="4">
        <f t="shared" si="11"/>
        <v>22.159923110255779</v>
      </c>
      <c r="N9" s="4">
        <f t="shared" si="11"/>
        <v>155.78425946509813</v>
      </c>
      <c r="O9" s="4">
        <f t="shared" si="13"/>
        <v>0.59831792397690597</v>
      </c>
      <c r="Q9" s="45"/>
      <c r="R9" s="45"/>
      <c r="S9" s="44"/>
      <c r="T9" s="45"/>
      <c r="U9" s="45"/>
      <c r="V9" s="63">
        <v>4.04</v>
      </c>
      <c r="W9" s="43">
        <f t="shared" si="12"/>
        <v>0.32591012740076869</v>
      </c>
      <c r="X9" s="237">
        <v>2.9399999999999999E-2</v>
      </c>
      <c r="Y9" s="237">
        <v>0.69810000000000005</v>
      </c>
      <c r="Z9" s="63">
        <v>7.03</v>
      </c>
      <c r="AA9" s="43">
        <f t="shared" si="14"/>
        <v>5.3017719415554374E-2</v>
      </c>
      <c r="AB9" s="17">
        <v>6.0625889618527939E-2</v>
      </c>
      <c r="AC9" s="43">
        <f t="shared" si="15"/>
        <v>3.7061217873945063E-2</v>
      </c>
      <c r="AE9" s="47"/>
      <c r="AF9" s="61">
        <v>0.32600000000000001</v>
      </c>
      <c r="AG9" s="61">
        <v>5.3012585959065717E-2</v>
      </c>
      <c r="AH9" s="61">
        <v>2.7E-2</v>
      </c>
    </row>
    <row r="10" spans="1:34" x14ac:dyDescent="0.3">
      <c r="A10" s="101" t="s">
        <v>308</v>
      </c>
      <c r="B10" s="59" t="s">
        <v>357</v>
      </c>
      <c r="C10" s="60">
        <v>6</v>
      </c>
      <c r="D10" s="44"/>
      <c r="E10" s="44"/>
      <c r="F10" s="44"/>
      <c r="G10" s="44"/>
      <c r="H10" s="44"/>
      <c r="I10" s="4">
        <f t="shared" si="10"/>
        <v>18.523947857595022</v>
      </c>
      <c r="J10" s="4">
        <f t="shared" ref="J10:J12" si="16">I10*V10</f>
        <v>68.484134261068448</v>
      </c>
      <c r="K10" s="4">
        <f t="shared" ref="K10:K12" si="17">I10*X10</f>
        <v>0.37646883863132496</v>
      </c>
      <c r="L10" s="7">
        <f t="shared" ref="L10:L12" si="18">((D$2+D$3+D$4)*AA10)</f>
        <v>11.001065181415953</v>
      </c>
      <c r="M10" s="4">
        <f t="shared" ref="M10:N10" si="19">L10*Y10</f>
        <v>8.0098755585889556</v>
      </c>
      <c r="N10" s="4">
        <f t="shared" si="19"/>
        <v>56.950215221567476</v>
      </c>
      <c r="O10" s="4">
        <f t="shared" si="13"/>
        <v>0.25763765240963082</v>
      </c>
      <c r="Q10" s="45"/>
      <c r="R10" s="45"/>
      <c r="S10" s="44"/>
      <c r="T10" s="45"/>
      <c r="U10" s="45"/>
      <c r="V10" s="63">
        <v>3.6970593303084258</v>
      </c>
      <c r="W10" s="43">
        <f t="shared" si="12"/>
        <v>4.798676722465306E-2</v>
      </c>
      <c r="X10" s="237">
        <v>2.0323358796163347E-2</v>
      </c>
      <c r="Y10" s="237">
        <v>0.72809999999999997</v>
      </c>
      <c r="Z10" s="63">
        <v>7.11</v>
      </c>
      <c r="AA10" s="43">
        <f t="shared" si="14"/>
        <v>1.837406164638359E-2</v>
      </c>
      <c r="AB10" s="17">
        <v>2.100701999793686E-2</v>
      </c>
      <c r="AC10" s="43">
        <f t="shared" si="15"/>
        <v>4.4150892457889113E-2</v>
      </c>
      <c r="AE10" s="47"/>
      <c r="AF10" s="61">
        <v>4.8000000000000001E-2</v>
      </c>
      <c r="AG10" s="61">
        <v>1.8372282572386794E-2</v>
      </c>
      <c r="AH10" s="61">
        <v>3.2165000632671137E-2</v>
      </c>
    </row>
    <row r="11" spans="1:34" x14ac:dyDescent="0.3">
      <c r="A11" s="101"/>
      <c r="B11" s="59" t="s">
        <v>357</v>
      </c>
      <c r="C11" s="60">
        <v>6</v>
      </c>
      <c r="D11" s="44"/>
      <c r="E11" s="44"/>
      <c r="F11" s="44"/>
      <c r="G11" s="44"/>
      <c r="H11" s="44"/>
      <c r="I11" s="4">
        <f t="shared" si="10"/>
        <v>0</v>
      </c>
      <c r="J11" s="4">
        <f t="shared" si="16"/>
        <v>0</v>
      </c>
      <c r="K11" s="4">
        <f t="shared" si="17"/>
        <v>0</v>
      </c>
      <c r="L11" s="7">
        <f t="shared" si="18"/>
        <v>0</v>
      </c>
      <c r="M11" s="4">
        <f t="shared" ref="M11:N11" si="20">L11*Y11</f>
        <v>0</v>
      </c>
      <c r="N11" s="4">
        <f t="shared" si="20"/>
        <v>0</v>
      </c>
      <c r="O11" s="4">
        <f t="shared" si="13"/>
        <v>0</v>
      </c>
      <c r="Q11" s="45"/>
      <c r="R11" s="45"/>
      <c r="S11" s="44"/>
      <c r="T11" s="45"/>
      <c r="U11" s="45"/>
      <c r="V11" s="63">
        <v>0</v>
      </c>
      <c r="W11" s="43">
        <f t="shared" si="12"/>
        <v>0</v>
      </c>
      <c r="X11" s="237">
        <v>0</v>
      </c>
      <c r="Y11" s="237">
        <v>0</v>
      </c>
      <c r="Z11" s="63">
        <v>0</v>
      </c>
      <c r="AA11" s="43">
        <f t="shared" si="14"/>
        <v>0</v>
      </c>
      <c r="AB11" s="17">
        <v>1.4721221052939397E-2</v>
      </c>
      <c r="AC11" s="43">
        <f t="shared" si="15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6</v>
      </c>
      <c r="D12" s="44"/>
      <c r="E12" s="44"/>
      <c r="F12" s="44"/>
      <c r="G12" s="44"/>
      <c r="H12" s="44"/>
      <c r="I12" s="4">
        <f t="shared" si="10"/>
        <v>0</v>
      </c>
      <c r="J12" s="4">
        <f t="shared" si="16"/>
        <v>0</v>
      </c>
      <c r="K12" s="4">
        <f t="shared" si="17"/>
        <v>0</v>
      </c>
      <c r="L12" s="7">
        <f t="shared" si="18"/>
        <v>0</v>
      </c>
      <c r="M12" s="4">
        <f t="shared" ref="M12:N12" si="21">L12*Y12</f>
        <v>0</v>
      </c>
      <c r="N12" s="4">
        <f t="shared" si="21"/>
        <v>0</v>
      </c>
      <c r="O12" s="4">
        <f t="shared" si="13"/>
        <v>0</v>
      </c>
      <c r="Q12" s="45"/>
      <c r="R12" s="45"/>
      <c r="S12" s="44"/>
      <c r="T12" s="45"/>
      <c r="U12" s="45"/>
      <c r="V12" s="63">
        <v>0</v>
      </c>
      <c r="W12" s="43">
        <f t="shared" si="12"/>
        <v>0</v>
      </c>
      <c r="X12" s="237">
        <v>0</v>
      </c>
      <c r="Y12" s="237">
        <v>0</v>
      </c>
      <c r="Z12" s="63">
        <v>0</v>
      </c>
      <c r="AA12" s="43">
        <f t="shared" si="14"/>
        <v>0</v>
      </c>
      <c r="AB12" s="17">
        <v>0</v>
      </c>
      <c r="AC12" s="43">
        <f t="shared" si="15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76</v>
      </c>
      <c r="B15" s="59" t="s">
        <v>358</v>
      </c>
      <c r="C15" s="60">
        <v>6</v>
      </c>
      <c r="D15" s="44"/>
      <c r="E15" s="44"/>
      <c r="F15" s="44"/>
      <c r="G15" s="44"/>
      <c r="H15" s="44"/>
      <c r="I15" s="4">
        <f t="shared" ref="I15:I22" si="22">D$37*W15</f>
        <v>3.3015895574878487</v>
      </c>
      <c r="J15" s="4">
        <f t="shared" ref="J15:J22" si="23">I15*V15</f>
        <v>24.210573720233942</v>
      </c>
      <c r="K15" s="4">
        <f t="shared" ref="K15:K22" si="24">I15*X15</f>
        <v>0</v>
      </c>
      <c r="L15" s="7">
        <f t="shared" ref="L15:L20" si="25">((D$2+D$3+D$4)*AA15)</f>
        <v>134.1629903715409</v>
      </c>
      <c r="M15" s="4">
        <f t="shared" ref="M15:N19" si="26">L15*Y15</f>
        <v>90.648377056133569</v>
      </c>
      <c r="N15" s="4">
        <f t="shared" si="26"/>
        <v>1079.6221707385507</v>
      </c>
      <c r="O15" s="4">
        <f t="shared" ref="O15:O22" si="27">M15*AH15</f>
        <v>5.4389026233680138</v>
      </c>
      <c r="Q15" s="45"/>
      <c r="R15" s="45"/>
      <c r="S15" s="44"/>
      <c r="T15" s="45"/>
      <c r="U15" s="45"/>
      <c r="V15" s="63">
        <v>7.3330052990158965</v>
      </c>
      <c r="W15" s="43">
        <f t="shared" ref="W15:W22" si="28">(AF15/SUM(AF$2:AF$22))*0.98</f>
        <v>8.552853354181494E-3</v>
      </c>
      <c r="X15" s="237">
        <v>0</v>
      </c>
      <c r="Y15" s="237">
        <v>0.6756585911293328</v>
      </c>
      <c r="Z15" s="63">
        <v>11.91</v>
      </c>
      <c r="AA15" s="43">
        <f t="shared" ref="AA15:AA21" si="29">(AG15/SUM(AG$7:AG$27))*0.98</f>
        <v>0.22408003362385076</v>
      </c>
      <c r="AB15" s="17">
        <v>0.17942503850764749</v>
      </c>
      <c r="AC15" s="43">
        <f t="shared" ref="AC15:AC21" si="30">(AH15/SUM(AH$7:AH$27))*0.98</f>
        <v>8.235826194210015E-2</v>
      </c>
      <c r="AE15" s="47"/>
      <c r="AF15" s="61">
        <v>8.5552118791156987E-3</v>
      </c>
      <c r="AG15" s="61">
        <v>0.22405833700778988</v>
      </c>
      <c r="AH15" s="61">
        <v>0.06</v>
      </c>
    </row>
    <row r="16" spans="1:34" x14ac:dyDescent="0.3">
      <c r="A16" s="66" t="s">
        <v>334</v>
      </c>
      <c r="B16" s="59" t="s">
        <v>358</v>
      </c>
      <c r="C16" s="60">
        <v>6</v>
      </c>
      <c r="D16" s="44"/>
      <c r="E16" s="44"/>
      <c r="F16" s="44"/>
      <c r="G16" s="44"/>
      <c r="H16" s="44"/>
      <c r="I16" s="4">
        <f t="shared" si="22"/>
        <v>0</v>
      </c>
      <c r="J16" s="4">
        <f t="shared" si="23"/>
        <v>0</v>
      </c>
      <c r="K16" s="4">
        <f t="shared" si="24"/>
        <v>0</v>
      </c>
      <c r="L16" s="7">
        <f t="shared" si="25"/>
        <v>76.644605136742513</v>
      </c>
      <c r="M16" s="4">
        <f t="shared" si="26"/>
        <v>43.524997690465561</v>
      </c>
      <c r="N16" s="4">
        <f t="shared" si="26"/>
        <v>573.65946956033611</v>
      </c>
      <c r="O16" s="4">
        <f t="shared" si="27"/>
        <v>2.5244498660470027</v>
      </c>
      <c r="Q16" s="45"/>
      <c r="R16" s="45"/>
      <c r="S16" s="44"/>
      <c r="T16" s="45"/>
      <c r="U16" s="45"/>
      <c r="V16" s="63">
        <v>0</v>
      </c>
      <c r="W16" s="43">
        <f t="shared" si="28"/>
        <v>0</v>
      </c>
      <c r="X16" s="237">
        <v>0</v>
      </c>
      <c r="Y16" s="237">
        <v>0.56788077403245951</v>
      </c>
      <c r="Z16" s="63">
        <v>13.18</v>
      </c>
      <c r="AA16" s="43">
        <f t="shared" si="29"/>
        <v>0.12801239483829471</v>
      </c>
      <c r="AB16" s="17">
        <v>0.10762371294118071</v>
      </c>
      <c r="AC16" s="43">
        <f t="shared" si="30"/>
        <v>7.9612986544030151E-2</v>
      </c>
      <c r="AE16" s="47"/>
      <c r="AF16" s="61">
        <v>0</v>
      </c>
      <c r="AG16" s="61">
        <v>0.128</v>
      </c>
      <c r="AH16" s="61">
        <v>5.8000000000000003E-2</v>
      </c>
    </row>
    <row r="17" spans="1:34" x14ac:dyDescent="0.3">
      <c r="A17" s="66" t="s">
        <v>669</v>
      </c>
      <c r="B17" s="59" t="s">
        <v>358</v>
      </c>
      <c r="C17" s="60">
        <v>6</v>
      </c>
      <c r="D17" s="44"/>
      <c r="E17" s="44"/>
      <c r="F17" s="44"/>
      <c r="G17" s="44"/>
      <c r="H17" s="44"/>
      <c r="I17" s="4">
        <f t="shared" si="22"/>
        <v>0</v>
      </c>
      <c r="J17" s="4">
        <f t="shared" si="23"/>
        <v>0</v>
      </c>
      <c r="K17" s="4">
        <f t="shared" si="24"/>
        <v>0</v>
      </c>
      <c r="L17" s="7">
        <f t="shared" si="25"/>
        <v>87.9585166095939</v>
      </c>
      <c r="M17" s="4">
        <f t="shared" si="26"/>
        <v>57.648011785927842</v>
      </c>
      <c r="N17" s="4">
        <f t="shared" si="26"/>
        <v>680.82301919180782</v>
      </c>
      <c r="O17" s="4">
        <f t="shared" si="27"/>
        <v>3.6318247425134542</v>
      </c>
      <c r="Q17" s="45"/>
      <c r="R17" s="45"/>
      <c r="S17" s="44"/>
      <c r="T17" s="45"/>
      <c r="U17" s="45"/>
      <c r="V17" s="63">
        <v>0</v>
      </c>
      <c r="W17" s="43">
        <f t="shared" si="28"/>
        <v>0</v>
      </c>
      <c r="X17" s="237">
        <v>0</v>
      </c>
      <c r="Y17" s="237">
        <v>0.65539999999999998</v>
      </c>
      <c r="Z17" s="63">
        <v>11.81</v>
      </c>
      <c r="AA17" s="43">
        <f t="shared" si="29"/>
        <v>0.14690897470903969</v>
      </c>
      <c r="AB17" s="17">
        <v>6.0141004490805408E-2</v>
      </c>
      <c r="AC17" s="43">
        <f t="shared" si="30"/>
        <v>8.6476175039205155E-2</v>
      </c>
      <c r="AE17" s="47"/>
      <c r="AF17" s="61">
        <v>0</v>
      </c>
      <c r="AG17" s="61">
        <v>0.14689475020376533</v>
      </c>
      <c r="AH17" s="61">
        <v>6.3E-2</v>
      </c>
    </row>
    <row r="18" spans="1:34" x14ac:dyDescent="0.3">
      <c r="A18" s="66" t="s">
        <v>66</v>
      </c>
      <c r="B18" s="59" t="s">
        <v>358</v>
      </c>
      <c r="C18" s="60">
        <v>6</v>
      </c>
      <c r="D18" s="44"/>
      <c r="E18" s="44"/>
      <c r="F18" s="44"/>
      <c r="G18" s="44"/>
      <c r="H18" s="44"/>
      <c r="I18" s="4">
        <f t="shared" si="22"/>
        <v>0</v>
      </c>
      <c r="J18" s="4">
        <f t="shared" si="23"/>
        <v>0</v>
      </c>
      <c r="K18" s="4">
        <f t="shared" si="24"/>
        <v>0</v>
      </c>
      <c r="L18" s="7">
        <f t="shared" si="25"/>
        <v>31.136870836801645</v>
      </c>
      <c r="M18" s="4">
        <f t="shared" si="26"/>
        <v>18.93744484294276</v>
      </c>
      <c r="N18" s="4">
        <f t="shared" si="26"/>
        <v>249.18964118012795</v>
      </c>
      <c r="O18" s="4">
        <f t="shared" si="27"/>
        <v>1.2596805081103646</v>
      </c>
      <c r="Q18" s="45"/>
      <c r="R18" s="45"/>
      <c r="S18" s="44"/>
      <c r="T18" s="45"/>
      <c r="U18" s="45"/>
      <c r="V18" s="63">
        <v>0</v>
      </c>
      <c r="W18" s="43">
        <f t="shared" si="28"/>
        <v>0</v>
      </c>
      <c r="X18" s="237">
        <v>0</v>
      </c>
      <c r="Y18" s="237">
        <v>0.60819999999999996</v>
      </c>
      <c r="Z18" s="63">
        <v>13.15856723263229</v>
      </c>
      <c r="AA18" s="43">
        <f t="shared" si="29"/>
        <v>5.2005035403057225E-2</v>
      </c>
      <c r="AB18" s="17">
        <v>7.2371601418819084E-2</v>
      </c>
      <c r="AC18" s="43">
        <f t="shared" si="30"/>
        <v>9.1305081995590107E-2</v>
      </c>
      <c r="AE18" s="47"/>
      <c r="AF18" s="61">
        <v>0</v>
      </c>
      <c r="AG18" s="61">
        <v>5.1999999999999998E-2</v>
      </c>
      <c r="AH18" s="61">
        <v>6.651797634567358E-2</v>
      </c>
    </row>
    <row r="19" spans="1:34" x14ac:dyDescent="0.3">
      <c r="A19" s="58" t="s">
        <v>606</v>
      </c>
      <c r="B19" s="59" t="s">
        <v>358</v>
      </c>
      <c r="C19" s="60">
        <v>6</v>
      </c>
      <c r="D19" s="44"/>
      <c r="E19" s="44"/>
      <c r="F19" s="44"/>
      <c r="G19" s="44"/>
      <c r="H19" s="44"/>
      <c r="I19" s="4">
        <f t="shared" si="22"/>
        <v>0</v>
      </c>
      <c r="J19" s="4">
        <f t="shared" si="23"/>
        <v>0</v>
      </c>
      <c r="K19" s="4">
        <f t="shared" si="24"/>
        <v>0</v>
      </c>
      <c r="L19" s="7">
        <f t="shared" si="25"/>
        <v>8.3830036868312128</v>
      </c>
      <c r="M19" s="4">
        <f t="shared" si="26"/>
        <v>6.0173200464074448</v>
      </c>
      <c r="N19" s="4">
        <f t="shared" si="26"/>
        <v>62.46551286270585</v>
      </c>
      <c r="O19" s="4">
        <f t="shared" si="27"/>
        <v>0.39073506794853535</v>
      </c>
      <c r="Q19" s="45"/>
      <c r="R19" s="45"/>
      <c r="S19" s="44"/>
      <c r="T19" s="45"/>
      <c r="U19" s="45"/>
      <c r="V19" s="63">
        <v>0</v>
      </c>
      <c r="W19" s="43">
        <f t="shared" si="28"/>
        <v>0</v>
      </c>
      <c r="X19" s="237">
        <v>0</v>
      </c>
      <c r="Y19" s="237">
        <v>0.71779999999999999</v>
      </c>
      <c r="Z19" s="63">
        <v>10.38095238095238</v>
      </c>
      <c r="AA19" s="43">
        <f t="shared" si="29"/>
        <v>1.4001355685438486E-2</v>
      </c>
      <c r="AB19" s="17">
        <v>2.0087981085509972E-2</v>
      </c>
      <c r="AC19" s="43">
        <f t="shared" si="30"/>
        <v>8.9132318119155993E-2</v>
      </c>
      <c r="AE19" s="47"/>
      <c r="AF19" s="61">
        <v>0</v>
      </c>
      <c r="AG19" s="61">
        <v>1.4E-2</v>
      </c>
      <c r="AH19" s="61">
        <v>6.4935064935064929E-2</v>
      </c>
    </row>
    <row r="20" spans="1:34" x14ac:dyDescent="0.3">
      <c r="A20" s="58" t="s">
        <v>773</v>
      </c>
      <c r="B20" s="59" t="s">
        <v>358</v>
      </c>
      <c r="C20" s="60">
        <v>6</v>
      </c>
      <c r="D20" s="44"/>
      <c r="E20" s="44"/>
      <c r="F20" s="44"/>
      <c r="G20" s="44"/>
      <c r="H20" s="44"/>
      <c r="I20" s="4">
        <f t="shared" si="22"/>
        <v>0</v>
      </c>
      <c r="J20" s="4">
        <f t="shared" si="23"/>
        <v>0</v>
      </c>
      <c r="K20" s="4">
        <f t="shared" si="24"/>
        <v>0</v>
      </c>
      <c r="L20" s="7">
        <f t="shared" si="25"/>
        <v>11.376933574985218</v>
      </c>
      <c r="M20" s="4">
        <f t="shared" ref="M20:N20" si="31">L20*Y20</f>
        <v>7.2004612596081445</v>
      </c>
      <c r="N20" s="4">
        <f t="shared" si="31"/>
        <v>98.376253491024869</v>
      </c>
      <c r="O20" s="4">
        <f t="shared" si="27"/>
        <v>0.50645041928535772</v>
      </c>
      <c r="Q20" s="45"/>
      <c r="R20" s="45"/>
      <c r="S20" s="44"/>
      <c r="T20" s="45"/>
      <c r="U20" s="45"/>
      <c r="V20" s="63">
        <v>0</v>
      </c>
      <c r="W20" s="43">
        <f t="shared" si="28"/>
        <v>0</v>
      </c>
      <c r="X20" s="237">
        <v>0</v>
      </c>
      <c r="Y20" s="237">
        <v>0.63290000000000002</v>
      </c>
      <c r="Z20" s="63">
        <v>13.66249326871298</v>
      </c>
      <c r="AA20" s="43">
        <f t="shared" si="29"/>
        <v>1.9001839858809374E-2</v>
      </c>
      <c r="AB20" s="17">
        <v>7.7912972139078204E-2</v>
      </c>
      <c r="AC20" s="43">
        <f t="shared" si="30"/>
        <v>9.654561189056346E-2</v>
      </c>
      <c r="AE20" s="47"/>
      <c r="AF20" s="61">
        <v>0</v>
      </c>
      <c r="AG20" s="61">
        <v>1.9E-2</v>
      </c>
      <c r="AH20" s="61">
        <v>7.0335830028883342E-2</v>
      </c>
    </row>
    <row r="21" spans="1:34" x14ac:dyDescent="0.3">
      <c r="B21" s="59" t="s">
        <v>358</v>
      </c>
      <c r="C21" s="60">
        <v>6</v>
      </c>
      <c r="D21" s="44"/>
      <c r="E21" s="44"/>
      <c r="F21" s="44"/>
      <c r="G21" s="44"/>
      <c r="H21" s="44"/>
      <c r="I21" s="4">
        <f t="shared" si="22"/>
        <v>0</v>
      </c>
      <c r="J21" s="4">
        <f t="shared" si="23"/>
        <v>0</v>
      </c>
      <c r="K21" s="4">
        <f t="shared" si="24"/>
        <v>0</v>
      </c>
      <c r="L21" s="7">
        <f t="shared" ref="L21:L22" si="32">((D$2+D$3+D$4)*AA21)</f>
        <v>0</v>
      </c>
      <c r="M21" s="4">
        <f t="shared" ref="M21:N21" si="33">L21*Y21</f>
        <v>0</v>
      </c>
      <c r="N21" s="4">
        <f t="shared" si="33"/>
        <v>0</v>
      </c>
      <c r="O21" s="4">
        <f t="shared" si="27"/>
        <v>0</v>
      </c>
      <c r="Q21" s="45"/>
      <c r="R21" s="45"/>
      <c r="S21" s="44"/>
      <c r="T21" s="45"/>
      <c r="U21" s="45"/>
      <c r="V21" s="63">
        <v>0</v>
      </c>
      <c r="W21" s="43">
        <f t="shared" si="28"/>
        <v>0</v>
      </c>
      <c r="X21" s="237">
        <v>0</v>
      </c>
      <c r="Y21" s="237">
        <v>0</v>
      </c>
      <c r="Z21" s="63">
        <v>0</v>
      </c>
      <c r="AA21" s="43">
        <f t="shared" si="29"/>
        <v>0</v>
      </c>
      <c r="AB21" s="17">
        <v>2.9270861327960175E-2</v>
      </c>
      <c r="AC21" s="43">
        <f t="shared" si="30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6</v>
      </c>
      <c r="D22" s="44"/>
      <c r="E22" s="44"/>
      <c r="F22" s="44"/>
      <c r="G22" s="44"/>
      <c r="H22" s="44"/>
      <c r="I22" s="4">
        <f t="shared" si="22"/>
        <v>0</v>
      </c>
      <c r="J22" s="4">
        <f t="shared" si="23"/>
        <v>0</v>
      </c>
      <c r="K22" s="4">
        <f t="shared" si="24"/>
        <v>0</v>
      </c>
      <c r="L22" s="7">
        <f t="shared" si="32"/>
        <v>0</v>
      </c>
      <c r="M22" s="4">
        <f t="shared" ref="M22:N22" si="34">L22*Y22</f>
        <v>0</v>
      </c>
      <c r="N22" s="4">
        <f t="shared" si="34"/>
        <v>0</v>
      </c>
      <c r="O22" s="4">
        <f t="shared" si="27"/>
        <v>0</v>
      </c>
      <c r="Q22" s="45"/>
      <c r="R22" s="45"/>
      <c r="S22" s="44"/>
      <c r="T22" s="45"/>
      <c r="U22" s="45"/>
      <c r="V22" s="63">
        <v>0</v>
      </c>
      <c r="W22" s="43">
        <f t="shared" si="28"/>
        <v>0</v>
      </c>
      <c r="X22" s="237">
        <v>0</v>
      </c>
      <c r="Y22" s="237">
        <v>0</v>
      </c>
      <c r="Z22" s="63">
        <v>0</v>
      </c>
      <c r="AA22" s="43">
        <v>0</v>
      </c>
      <c r="AB22" s="17">
        <v>1.9963981202266081E-2</v>
      </c>
      <c r="AC22" s="43"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283</v>
      </c>
      <c r="B24" s="59" t="s">
        <v>10</v>
      </c>
      <c r="C24" s="60">
        <v>6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85.027608823573715</v>
      </c>
      <c r="M24" s="4">
        <f t="shared" ref="M24:N27" si="35">L24*Y24</f>
        <v>53.083122111818199</v>
      </c>
      <c r="N24" s="4">
        <f t="shared" si="35"/>
        <v>549.94114507843653</v>
      </c>
      <c r="O24" s="4">
        <f t="shared" ref="O24:O27" si="36">M24*AH24</f>
        <v>5.4144784554054555</v>
      </c>
      <c r="Q24" s="45"/>
      <c r="R24" s="45"/>
      <c r="S24" s="44"/>
      <c r="T24" s="45"/>
      <c r="U24" s="45"/>
      <c r="V24" s="46"/>
      <c r="W24" s="46"/>
      <c r="X24" s="45"/>
      <c r="Y24" s="237">
        <v>0.62430453879941428</v>
      </c>
      <c r="Z24" s="236">
        <v>10.36</v>
      </c>
      <c r="AA24" s="43">
        <f t="shared" ref="AA24:AA27" si="37">(AG24/SUM(AG$7:AG$27))*0.98</f>
        <v>0.14201375052373319</v>
      </c>
      <c r="AB24" s="17">
        <v>8.9148774761302313E-2</v>
      </c>
      <c r="AC24" s="43">
        <f t="shared" ref="AC24:AC27" si="38">(AH24/SUM(AH$7:AH$27))*0.98</f>
        <v>0.14000904530157024</v>
      </c>
      <c r="AE24" s="47"/>
      <c r="AF24" s="47"/>
      <c r="AG24" s="61">
        <v>0.14199999999999999</v>
      </c>
      <c r="AH24" s="61">
        <v>0.10199999999999999</v>
      </c>
    </row>
    <row r="25" spans="1:34" x14ac:dyDescent="0.3">
      <c r="A25" s="101" t="s">
        <v>284</v>
      </c>
      <c r="B25" s="59" t="s">
        <v>10</v>
      </c>
      <c r="C25" s="60">
        <v>6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29.939298881540047</v>
      </c>
      <c r="M25" s="4">
        <f t="shared" si="35"/>
        <v>20.179087446157993</v>
      </c>
      <c r="N25" s="4">
        <f t="shared" si="35"/>
        <v>204.81773757850362</v>
      </c>
      <c r="O25" s="4">
        <f t="shared" si="36"/>
        <v>1.3519988588925855</v>
      </c>
      <c r="Q25" s="45"/>
      <c r="R25" s="45"/>
      <c r="S25" s="44"/>
      <c r="T25" s="45"/>
      <c r="U25" s="45"/>
      <c r="V25" s="46"/>
      <c r="W25" s="46"/>
      <c r="X25" s="45"/>
      <c r="Y25" s="237">
        <v>0.67400000000000004</v>
      </c>
      <c r="Z25" s="236">
        <v>10.15</v>
      </c>
      <c r="AA25" s="43">
        <f t="shared" si="37"/>
        <v>5.000484173370888E-2</v>
      </c>
      <c r="AB25" s="17">
        <v>3.3310197927779797E-2</v>
      </c>
      <c r="AC25" s="43">
        <f t="shared" si="38"/>
        <v>9.1966725835345181E-2</v>
      </c>
      <c r="AE25" s="47"/>
      <c r="AF25" s="47"/>
      <c r="AG25" s="61">
        <v>0.05</v>
      </c>
      <c r="AH25" s="61">
        <v>6.7000000000000004E-2</v>
      </c>
    </row>
    <row r="26" spans="1:34" x14ac:dyDescent="0.3">
      <c r="A26" s="101" t="s">
        <v>801</v>
      </c>
      <c r="B26" s="59" t="s">
        <v>10</v>
      </c>
      <c r="C26" s="60">
        <v>6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5.9878597763080101</v>
      </c>
      <c r="M26" s="4">
        <f t="shared" si="35"/>
        <v>3.9446650202896953</v>
      </c>
      <c r="N26" s="4">
        <f t="shared" si="35"/>
        <v>39.486096853099852</v>
      </c>
      <c r="O26" s="4">
        <f t="shared" si="36"/>
        <v>0.19723325101448477</v>
      </c>
      <c r="Q26" s="45"/>
      <c r="R26" s="45"/>
      <c r="S26" s="44"/>
      <c r="T26" s="45"/>
      <c r="U26" s="45"/>
      <c r="V26" s="46"/>
      <c r="W26" s="46"/>
      <c r="X26" s="45"/>
      <c r="Y26" s="237">
        <v>0.65877712031558189</v>
      </c>
      <c r="Z26" s="236">
        <v>10.01</v>
      </c>
      <c r="AA26" s="43">
        <f t="shared" si="37"/>
        <v>1.0000968346741777E-2</v>
      </c>
      <c r="AB26" s="17">
        <v>4.8459962150580752E-2</v>
      </c>
      <c r="AC26" s="43">
        <f t="shared" si="38"/>
        <v>6.8631884951750127E-2</v>
      </c>
      <c r="AE26" s="47"/>
      <c r="AF26" s="47"/>
      <c r="AG26" s="61">
        <v>0.01</v>
      </c>
      <c r="AH26" s="61">
        <v>0.05</v>
      </c>
    </row>
    <row r="27" spans="1:34" x14ac:dyDescent="0.3">
      <c r="A27" s="101"/>
      <c r="B27" s="59" t="s">
        <v>10</v>
      </c>
      <c r="C27" s="60">
        <v>6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5"/>
        <v>0</v>
      </c>
      <c r="N27" s="4">
        <f t="shared" si="35"/>
        <v>0</v>
      </c>
      <c r="O27" s="4">
        <f t="shared" si="36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7"/>
        <v>0</v>
      </c>
      <c r="AB27" s="17">
        <v>1.34614502878979E-2</v>
      </c>
      <c r="AC27" s="43">
        <f t="shared" si="38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9">SUM(AB2:AB4,AB7:AB12,AB15:AB22,AB24:AB27)</f>
        <v>0.9750000000000002</v>
      </c>
      <c r="AC30" s="28">
        <f>SUM(AC7:AC27)</f>
        <v>0.97999999999999976</v>
      </c>
      <c r="AD30" s="89"/>
      <c r="AE30" s="28">
        <f>SUM(AE2:AE4,AE7:AE27)</f>
        <v>1</v>
      </c>
      <c r="AF30" s="28">
        <f>SUM(AF2:AF4,AF7:AF27)</f>
        <v>0.98027024366486892</v>
      </c>
      <c r="AG30" s="28">
        <f>SUM(AG7:AG27)</f>
        <v>0.9799051112078313</v>
      </c>
    </row>
    <row r="31" spans="1:34" s="86" customFormat="1" x14ac:dyDescent="0.3">
      <c r="A31" s="102"/>
      <c r="B31" s="80"/>
      <c r="C31" s="80"/>
      <c r="D31" s="105">
        <v>984.75</v>
      </c>
      <c r="E31" s="106">
        <v>0.60799999999999998</v>
      </c>
      <c r="F31" s="8">
        <f>1-E31</f>
        <v>0.39200000000000002</v>
      </c>
      <c r="G31" s="234">
        <v>3.98</v>
      </c>
      <c r="H31" s="275">
        <v>2.8373472949389179E-2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598.72799999999995</v>
      </c>
      <c r="E34" s="2">
        <f>SUM(E2:E4)</f>
        <v>392.57207230756666</v>
      </c>
      <c r="F34" s="2">
        <f>SUM(F2:F4)</f>
        <v>4158.5956973311022</v>
      </c>
      <c r="G34" s="2">
        <f>SUM(G2:G4)</f>
        <v>23.311780292093673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386.02199999999999</v>
      </c>
      <c r="E37" s="2">
        <f>D37*G31</f>
        <v>1536.3675599999999</v>
      </c>
      <c r="F37" s="2">
        <f>D37*H31</f>
        <v>10.952784774869109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378.30155999999994</v>
      </c>
      <c r="E40" s="3">
        <f>SUM(J2:J4,J7:J12,J15:J22)</f>
        <v>1516.2170186045407</v>
      </c>
      <c r="F40" s="3">
        <f>SUM(K2:K4,K7:K12,K15:K22)</f>
        <v>10.646762847051612</v>
      </c>
      <c r="G40" s="3">
        <f>SUM(L7:L12,L15:L22,L24:L27)</f>
        <v>586.75343999999984</v>
      </c>
      <c r="H40" s="3">
        <f>SUM(M7:M12,M15:M22,M24:M27)</f>
        <v>384.79539812074626</v>
      </c>
      <c r="I40" s="3">
        <f>SUM(N7:N12,N15:N22,N24:N27)</f>
        <v>4140.0372209626803</v>
      </c>
      <c r="J40" s="3">
        <f>SUM(O7:O12,O15:O22,O24:O27)</f>
        <v>23.23024125779169</v>
      </c>
    </row>
    <row r="41" spans="1:32" ht="14.4" thickTop="1" x14ac:dyDescent="0.3">
      <c r="D41" s="50">
        <f>D37-D40</f>
        <v>7.7204400000000533</v>
      </c>
      <c r="E41" s="50">
        <f>E37-E40</f>
        <v>20.150541395459186</v>
      </c>
      <c r="F41" s="50">
        <f>F37-F40</f>
        <v>0.30602192781749693</v>
      </c>
      <c r="G41" s="50">
        <f>SUM(D2:D4)-G40</f>
        <v>11.97456000000011</v>
      </c>
      <c r="H41" s="50">
        <f>E34-H40</f>
        <v>7.7766741868204008</v>
      </c>
      <c r="I41" s="50">
        <f>F34-I40</f>
        <v>18.558476368421907</v>
      </c>
      <c r="J41" s="50">
        <f>G34-J40</f>
        <v>8.1539034301982838E-2</v>
      </c>
    </row>
    <row r="52" spans="14:15" x14ac:dyDescent="0.3">
      <c r="N52" s="74"/>
      <c r="O52" s="74"/>
    </row>
  </sheetData>
  <sheetProtection sheet="1" selectLockedCells="1"/>
  <conditionalFormatting sqref="AA30:AB30 AD30:AF30">
    <cfRule type="cellIs" dxfId="323" priority="14" operator="greaterThan">
      <formula>1</formula>
    </cfRule>
    <cfRule type="cellIs" dxfId="322" priority="15" operator="greaterThan">
      <formula>1</formula>
    </cfRule>
  </conditionalFormatting>
  <conditionalFormatting sqref="AC30">
    <cfRule type="cellIs" dxfId="321" priority="10" operator="greaterThan">
      <formula>1</formula>
    </cfRule>
    <cfRule type="cellIs" dxfId="320" priority="11" operator="greaterThan">
      <formula>1</formula>
    </cfRule>
  </conditionalFormatting>
  <conditionalFormatting sqref="AG30">
    <cfRule type="cellIs" dxfId="319" priority="8" operator="greaterThan">
      <formula>1</formula>
    </cfRule>
    <cfRule type="cellIs" dxfId="318" priority="9" operator="greaterThan">
      <formula>1</formula>
    </cfRule>
  </conditionalFormatting>
  <conditionalFormatting sqref="W30">
    <cfRule type="cellIs" dxfId="317" priority="2" operator="greaterThan">
      <formula>1</formula>
    </cfRule>
    <cfRule type="cellIs" dxfId="316" priority="3" operator="greaterThan">
      <formula>1</formula>
    </cfRule>
  </conditionalFormatting>
  <conditionalFormatting sqref="D41:J41">
    <cfRule type="cellIs" dxfId="315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>
    <tabColor rgb="FFC8E6FA"/>
  </sheetPr>
  <dimension ref="A1:E28"/>
  <sheetViews>
    <sheetView showGridLines="0" zoomScaleNormal="100" workbookViewId="0">
      <selection activeCell="E2" sqref="E2"/>
    </sheetView>
  </sheetViews>
  <sheetFormatPr defaultColWidth="9.109375" defaultRowHeight="14.4" x14ac:dyDescent="0.3"/>
  <cols>
    <col min="1" max="1" width="20.88671875" style="153" bestFit="1" customWidth="1"/>
    <col min="2" max="2" width="6.5546875" style="162" bestFit="1" customWidth="1"/>
    <col min="3" max="3" width="5.6640625" style="153" customWidth="1"/>
    <col min="4" max="4" width="20.109375" style="153" bestFit="1" customWidth="1"/>
    <col min="5" max="5" width="6.5546875" style="162" bestFit="1" customWidth="1"/>
    <col min="6" max="16384" width="9.109375" style="153"/>
  </cols>
  <sheetData>
    <row r="1" spans="1:5" s="149" customFormat="1" x14ac:dyDescent="0.3">
      <c r="A1" s="147" t="s">
        <v>504</v>
      </c>
      <c r="B1" s="148" t="s">
        <v>505</v>
      </c>
      <c r="D1" s="150" t="s">
        <v>506</v>
      </c>
      <c r="E1" s="148" t="s">
        <v>547</v>
      </c>
    </row>
    <row r="2" spans="1:5" x14ac:dyDescent="0.3">
      <c r="A2" s="151" t="s">
        <v>362</v>
      </c>
      <c r="B2" s="152">
        <v>0</v>
      </c>
      <c r="D2" s="154" t="s">
        <v>469</v>
      </c>
      <c r="E2" s="155">
        <v>10</v>
      </c>
    </row>
    <row r="3" spans="1:5" x14ac:dyDescent="0.3">
      <c r="A3" s="151" t="s">
        <v>361</v>
      </c>
      <c r="B3" s="152">
        <v>0</v>
      </c>
      <c r="D3" s="154" t="s">
        <v>470</v>
      </c>
      <c r="E3" s="155">
        <v>1</v>
      </c>
    </row>
    <row r="4" spans="1:5" x14ac:dyDescent="0.3">
      <c r="A4" s="151" t="s">
        <v>363</v>
      </c>
      <c r="B4" s="152">
        <v>0.04</v>
      </c>
      <c r="D4" s="154" t="s">
        <v>471</v>
      </c>
      <c r="E4" s="155">
        <v>2</v>
      </c>
    </row>
    <row r="5" spans="1:5" x14ac:dyDescent="0.3">
      <c r="A5" s="151" t="s">
        <v>364</v>
      </c>
      <c r="B5" s="152">
        <v>4</v>
      </c>
      <c r="D5" s="154" t="s">
        <v>472</v>
      </c>
      <c r="E5" s="155">
        <v>2</v>
      </c>
    </row>
    <row r="6" spans="1:5" x14ac:dyDescent="0.3">
      <c r="A6" s="151" t="s">
        <v>365</v>
      </c>
      <c r="B6" s="152">
        <v>-2</v>
      </c>
      <c r="D6" s="154" t="s">
        <v>473</v>
      </c>
      <c r="E6" s="155">
        <v>1</v>
      </c>
    </row>
    <row r="7" spans="1:5" x14ac:dyDescent="0.3">
      <c r="A7" s="156" t="s">
        <v>366</v>
      </c>
      <c r="B7" s="157">
        <v>0</v>
      </c>
      <c r="D7" s="154" t="s">
        <v>474</v>
      </c>
      <c r="E7" s="155">
        <v>0</v>
      </c>
    </row>
    <row r="8" spans="1:5" x14ac:dyDescent="0.3">
      <c r="A8" s="156" t="s">
        <v>367</v>
      </c>
      <c r="B8" s="157">
        <v>0.1</v>
      </c>
      <c r="D8" s="154" t="s">
        <v>476</v>
      </c>
      <c r="E8" s="155">
        <v>0</v>
      </c>
    </row>
    <row r="9" spans="1:5" x14ac:dyDescent="0.3">
      <c r="A9" s="156" t="s">
        <v>368</v>
      </c>
      <c r="B9" s="157">
        <v>6</v>
      </c>
      <c r="D9" s="158" t="s">
        <v>475</v>
      </c>
      <c r="E9" s="159">
        <v>2</v>
      </c>
    </row>
    <row r="10" spans="1:5" x14ac:dyDescent="0.3">
      <c r="A10" s="160" t="s">
        <v>369</v>
      </c>
      <c r="B10" s="161">
        <v>0</v>
      </c>
      <c r="D10" s="158" t="s">
        <v>541</v>
      </c>
      <c r="E10" s="177">
        <v>300</v>
      </c>
    </row>
    <row r="11" spans="1:5" x14ac:dyDescent="0.3">
      <c r="A11" s="160" t="s">
        <v>370</v>
      </c>
      <c r="B11" s="161">
        <v>0</v>
      </c>
    </row>
    <row r="12" spans="1:5" x14ac:dyDescent="0.3">
      <c r="A12" s="160" t="s">
        <v>371</v>
      </c>
      <c r="B12" s="161">
        <v>0</v>
      </c>
    </row>
    <row r="13" spans="1:5" x14ac:dyDescent="0.3">
      <c r="A13" s="160" t="s">
        <v>372</v>
      </c>
      <c r="B13" s="161">
        <v>0</v>
      </c>
    </row>
    <row r="14" spans="1:5" x14ac:dyDescent="0.3">
      <c r="A14" s="160" t="s">
        <v>373</v>
      </c>
      <c r="B14" s="161">
        <v>0.1</v>
      </c>
    </row>
    <row r="15" spans="1:5" x14ac:dyDescent="0.3">
      <c r="A15" s="160" t="s">
        <v>374</v>
      </c>
      <c r="B15" s="161">
        <v>6</v>
      </c>
    </row>
    <row r="16" spans="1:5" x14ac:dyDescent="0.3">
      <c r="A16" s="163" t="s">
        <v>424</v>
      </c>
      <c r="B16" s="164">
        <v>1</v>
      </c>
    </row>
    <row r="17" spans="1:2" x14ac:dyDescent="0.3">
      <c r="A17" s="163" t="s">
        <v>425</v>
      </c>
      <c r="B17" s="164">
        <v>2</v>
      </c>
    </row>
    <row r="18" spans="1:2" x14ac:dyDescent="0.3">
      <c r="A18" s="163" t="s">
        <v>435</v>
      </c>
      <c r="B18" s="164">
        <v>1</v>
      </c>
    </row>
    <row r="19" spans="1:2" x14ac:dyDescent="0.3">
      <c r="A19" s="163" t="s">
        <v>434</v>
      </c>
      <c r="B19" s="164">
        <v>1</v>
      </c>
    </row>
    <row r="20" spans="1:2" x14ac:dyDescent="0.3">
      <c r="A20" s="163" t="s">
        <v>426</v>
      </c>
      <c r="B20" s="164">
        <v>2</v>
      </c>
    </row>
    <row r="21" spans="1:2" x14ac:dyDescent="0.3">
      <c r="A21" s="163" t="s">
        <v>427</v>
      </c>
      <c r="B21" s="164">
        <v>6</v>
      </c>
    </row>
    <row r="22" spans="1:2" x14ac:dyDescent="0.3">
      <c r="A22" s="163" t="s">
        <v>428</v>
      </c>
      <c r="B22" s="164">
        <v>7</v>
      </c>
    </row>
    <row r="23" spans="1:2" x14ac:dyDescent="0.3">
      <c r="A23" s="163" t="s">
        <v>429</v>
      </c>
      <c r="B23" s="164">
        <v>5</v>
      </c>
    </row>
    <row r="24" spans="1:2" x14ac:dyDescent="0.3">
      <c r="A24" s="163" t="s">
        <v>430</v>
      </c>
      <c r="B24" s="164">
        <v>3</v>
      </c>
    </row>
    <row r="25" spans="1:2" x14ac:dyDescent="0.3">
      <c r="A25" s="163" t="s">
        <v>431</v>
      </c>
      <c r="B25" s="164">
        <v>1</v>
      </c>
    </row>
    <row r="26" spans="1:2" x14ac:dyDescent="0.3">
      <c r="A26" s="163" t="s">
        <v>432</v>
      </c>
      <c r="B26" s="164">
        <v>0</v>
      </c>
    </row>
    <row r="27" spans="1:2" x14ac:dyDescent="0.3">
      <c r="A27" s="163" t="s">
        <v>433</v>
      </c>
      <c r="B27" s="164">
        <v>-1</v>
      </c>
    </row>
    <row r="28" spans="1:2" x14ac:dyDescent="0.3">
      <c r="A28" s="163" t="s">
        <v>436</v>
      </c>
      <c r="B28" s="164">
        <v>-3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/>
  </sheetPr>
  <dimension ref="A1:AH53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20</v>
      </c>
      <c r="B2" s="59" t="s">
        <v>9</v>
      </c>
      <c r="C2" s="59">
        <v>14</v>
      </c>
      <c r="D2" s="4">
        <f>D$34*Q2</f>
        <v>556.94066400000008</v>
      </c>
      <c r="E2" s="4">
        <f>D2*R2</f>
        <v>369.25166023200006</v>
      </c>
      <c r="F2" s="4">
        <f>E2*S2</f>
        <v>4176.2362772239212</v>
      </c>
      <c r="G2" s="4">
        <f>E2*T2</f>
        <v>25.847616216240006</v>
      </c>
      <c r="H2" s="4">
        <f>E2*U2</f>
        <v>8.2227669554099254</v>
      </c>
      <c r="I2" s="4">
        <f>D$37*W2</f>
        <v>36.297072469025615</v>
      </c>
      <c r="J2" s="4">
        <f>I2*V2</f>
        <v>109.61715885645735</v>
      </c>
      <c r="K2" s="4">
        <f>I2*X2</f>
        <v>1.9680104549167567</v>
      </c>
      <c r="L2" s="44"/>
      <c r="M2" s="44"/>
      <c r="N2" s="44"/>
      <c r="O2" s="44"/>
      <c r="Q2" s="43">
        <f>AE2</f>
        <v>0.98</v>
      </c>
      <c r="R2" s="61">
        <v>0.66300000000000003</v>
      </c>
      <c r="S2" s="236">
        <v>11.31</v>
      </c>
      <c r="T2" s="237">
        <v>7.0000000000000007E-2</v>
      </c>
      <c r="U2" s="61">
        <v>2.2268733877170863E-2</v>
      </c>
      <c r="V2" s="236">
        <v>3.02</v>
      </c>
      <c r="W2" s="43">
        <f>(AF2/SUM(AF$2:AF$22))*0.98</f>
        <v>7.4976415575996713E-2</v>
      </c>
      <c r="X2" s="61">
        <v>5.4219536757301116E-2</v>
      </c>
      <c r="Y2" s="64"/>
      <c r="Z2" s="65"/>
      <c r="AA2" s="1"/>
      <c r="AB2" s="1"/>
      <c r="AC2" s="1"/>
      <c r="AE2" s="61">
        <v>0.98</v>
      </c>
      <c r="AF2" s="61">
        <v>7.4999999999999997E-2</v>
      </c>
      <c r="AG2" s="47"/>
      <c r="AH2" s="47"/>
    </row>
    <row r="3" spans="1:34" x14ac:dyDescent="0.3">
      <c r="A3" s="58" t="s">
        <v>591</v>
      </c>
      <c r="B3" s="59" t="s">
        <v>9</v>
      </c>
      <c r="C3" s="59">
        <v>14</v>
      </c>
      <c r="D3" s="4">
        <f>D$34*Q3</f>
        <v>11.366136000000012</v>
      </c>
      <c r="E3" s="4">
        <f t="shared" ref="E3:E4" si="0">D3*R3</f>
        <v>6.4297080014047188</v>
      </c>
      <c r="F3" s="4">
        <f t="shared" ref="F3:F4" si="1">E3*S3</f>
        <v>73.877344936140219</v>
      </c>
      <c r="G3" s="4">
        <f t="shared" ref="G3" si="2">E3*T3</f>
        <v>0.44073270056188585</v>
      </c>
      <c r="H3" s="4">
        <f t="shared" ref="H3" si="3">E3*U3</f>
        <v>0.13434948629437438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2.0000000000000018E-2</v>
      </c>
      <c r="R3" s="61">
        <v>0.56568987045419061</v>
      </c>
      <c r="S3" s="236">
        <v>11.49</v>
      </c>
      <c r="T3" s="237">
        <v>6.8546301086394215E-2</v>
      </c>
      <c r="U3" s="61">
        <v>2.0895114718276882E-2</v>
      </c>
      <c r="V3" s="236">
        <v>3.48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2.0000000000000018E-2</v>
      </c>
      <c r="AF3" s="61">
        <v>0</v>
      </c>
      <c r="AG3" s="47"/>
      <c r="AH3" s="47"/>
    </row>
    <row r="4" spans="1:34" x14ac:dyDescent="0.3">
      <c r="B4" s="59" t="s">
        <v>9</v>
      </c>
      <c r="C4" s="59">
        <v>14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211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321.35008159244012</v>
      </c>
      <c r="J7" s="4">
        <f>I7*V7</f>
        <v>1654.503091332522</v>
      </c>
      <c r="K7" s="4">
        <f>I7*X7</f>
        <v>15.599822528090344</v>
      </c>
      <c r="L7" s="7">
        <f>((D$2+D$3+D$4)*AA7)</f>
        <v>51.885555123918586</v>
      </c>
      <c r="M7" s="4">
        <f t="shared" ref="M7:N9" si="10">L7*Y7</f>
        <v>41.394295877862248</v>
      </c>
      <c r="N7" s="4">
        <f t="shared" si="10"/>
        <v>343.98659874503528</v>
      </c>
      <c r="O7" s="4">
        <f>M7*AH7</f>
        <v>1.5600695532232667</v>
      </c>
      <c r="Q7" s="45"/>
      <c r="R7" s="45"/>
      <c r="S7" s="44"/>
      <c r="T7" s="45"/>
      <c r="U7" s="45"/>
      <c r="V7" s="63">
        <v>5.1486001905886702</v>
      </c>
      <c r="W7" s="43">
        <f t="shared" ref="W7:W12" si="11">(AF7/SUM(AF$2:AF$22))*0.98</f>
        <v>0.66379119923282426</v>
      </c>
      <c r="X7" s="237">
        <v>4.8544635342197266E-2</v>
      </c>
      <c r="Y7" s="237">
        <v>0.79779999999999995</v>
      </c>
      <c r="Z7" s="63">
        <v>8.31</v>
      </c>
      <c r="AA7" s="43">
        <f>(AG7/SUM(AG$7:AG$27))*0.98</f>
        <v>9.1298494270908914E-2</v>
      </c>
      <c r="AB7" s="17">
        <v>9.3727079934566485E-2</v>
      </c>
      <c r="AC7" s="43">
        <f>(AH7/SUM(AH$7:AH$27))*0.98</f>
        <v>4.5613156926619172E-2</v>
      </c>
      <c r="AE7" s="47"/>
      <c r="AF7" s="61">
        <v>0.66400000000000003</v>
      </c>
      <c r="AG7" s="61">
        <v>9.1323911661799567E-2</v>
      </c>
      <c r="AH7" s="61">
        <v>3.7688032134340396E-2</v>
      </c>
    </row>
    <row r="8" spans="1:34" x14ac:dyDescent="0.3">
      <c r="A8" s="101" t="s">
        <v>63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61.463042714216698</v>
      </c>
      <c r="J8" s="4">
        <f>I8*V8</f>
        <v>291.67374068914313</v>
      </c>
      <c r="K8" s="4">
        <f>I8*X8</f>
        <v>1.7762819344408625</v>
      </c>
      <c r="L8" s="7">
        <f>((D$2+D$3+D$4)*AA8)</f>
        <v>66.473389488393835</v>
      </c>
      <c r="M8" s="4">
        <f t="shared" si="10"/>
        <v>55.265976020650633</v>
      </c>
      <c r="N8" s="4">
        <f t="shared" si="10"/>
        <v>445.44376672644415</v>
      </c>
      <c r="O8" s="4">
        <f t="shared" ref="O8:O12" si="12">M8*AH8</f>
        <v>1.9895751367434227</v>
      </c>
      <c r="Q8" s="45"/>
      <c r="R8" s="45"/>
      <c r="S8" s="44"/>
      <c r="T8" s="45"/>
      <c r="U8" s="45"/>
      <c r="V8" s="63">
        <v>4.7455141790706952</v>
      </c>
      <c r="W8" s="43">
        <f t="shared" si="11"/>
        <v>0.12696006370868776</v>
      </c>
      <c r="X8" s="237">
        <v>2.8899999999999999E-2</v>
      </c>
      <c r="Y8" s="237">
        <v>0.83140000000000003</v>
      </c>
      <c r="Z8" s="63">
        <v>8.06</v>
      </c>
      <c r="AA8" s="43">
        <f t="shared" ref="AA8:AA12" si="13">(AG8/SUM(AG$7:AG$27))*0.98</f>
        <v>0.11696743640652167</v>
      </c>
      <c r="AB8" s="17">
        <v>0.11770674506824931</v>
      </c>
      <c r="AC8" s="43">
        <f t="shared" ref="AC8:AC12" si="14">(AH8/SUM(AH$7:AH$27))*0.98</f>
        <v>4.3570161570258094E-2</v>
      </c>
      <c r="AE8" s="47"/>
      <c r="AF8" s="61">
        <v>0.127</v>
      </c>
      <c r="AG8" s="61">
        <v>0.11700000000000001</v>
      </c>
      <c r="AH8" s="61">
        <v>3.5999999999999997E-2</v>
      </c>
    </row>
    <row r="9" spans="1:34" x14ac:dyDescent="0.3">
      <c r="A9" s="101" t="s">
        <v>732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45.492330827845429</v>
      </c>
      <c r="J9" s="4">
        <f>I9*V9</f>
        <v>173.78070376236954</v>
      </c>
      <c r="K9" s="4">
        <f>I9*X9</f>
        <v>0.74876716194887472</v>
      </c>
      <c r="L9" s="7">
        <f>((D$2+D$3+D$4)*AA9)</f>
        <v>5.8983579042604939</v>
      </c>
      <c r="M9" s="4">
        <f t="shared" si="10"/>
        <v>4.4621077545730632</v>
      </c>
      <c r="N9" s="4">
        <f t="shared" si="10"/>
        <v>34.556773313394586</v>
      </c>
      <c r="O9" s="4">
        <f t="shared" si="12"/>
        <v>9.4329307522718425E-2</v>
      </c>
      <c r="Q9" s="45"/>
      <c r="R9" s="45"/>
      <c r="S9" s="44"/>
      <c r="T9" s="45"/>
      <c r="U9" s="45"/>
      <c r="V9" s="63">
        <v>3.82</v>
      </c>
      <c r="W9" s="43">
        <f t="shared" si="11"/>
        <v>9.3970440855249207E-2</v>
      </c>
      <c r="X9" s="237">
        <v>1.6459195392348667E-2</v>
      </c>
      <c r="Y9" s="237">
        <v>0.75649999999999995</v>
      </c>
      <c r="Z9" s="63">
        <v>7.7444954748075103</v>
      </c>
      <c r="AA9" s="43">
        <f t="shared" si="13"/>
        <v>1.0378826901702554E-2</v>
      </c>
      <c r="AB9" s="17">
        <v>1.8213381069160487E-2</v>
      </c>
      <c r="AC9" s="43">
        <f t="shared" si="14"/>
        <v>2.5585461921388448E-2</v>
      </c>
      <c r="AE9" s="47"/>
      <c r="AF9" s="61">
        <v>9.4E-2</v>
      </c>
      <c r="AG9" s="61">
        <v>1.0381716354616906E-2</v>
      </c>
      <c r="AH9" s="61">
        <v>2.1140078346616239E-2</v>
      </c>
    </row>
    <row r="10" spans="1:34" x14ac:dyDescent="0.3">
      <c r="A10" s="101"/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:N10" si="18">L10*Y10</f>
        <v>0</v>
      </c>
      <c r="N10" s="4">
        <f t="shared" si="18"/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9.8319978366045672E-3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A11" s="101"/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772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5.168874089809214</v>
      </c>
      <c r="J15" s="4">
        <f t="shared" ref="J15:J22" si="22">I15*V15</f>
        <v>35.855971220908906</v>
      </c>
      <c r="K15" s="4">
        <f t="shared" ref="K15:K22" si="23">I15*X15</f>
        <v>0</v>
      </c>
      <c r="L15" s="7">
        <f t="shared" ref="L15:L20" si="24">((D$2+D$3+D$4)*AA15)</f>
        <v>127.11461144520709</v>
      </c>
      <c r="M15" s="4">
        <f t="shared" ref="M15:N19" si="25">L15*Y15</f>
        <v>84.149872776727094</v>
      </c>
      <c r="N15" s="4">
        <f t="shared" si="25"/>
        <v>1113.3028168360995</v>
      </c>
      <c r="O15" s="4">
        <f t="shared" ref="O15:O22" si="26">M15*AH15</f>
        <v>7.0685893132450763</v>
      </c>
      <c r="Q15" s="45"/>
      <c r="R15" s="45"/>
      <c r="S15" s="44"/>
      <c r="T15" s="45"/>
      <c r="U15" s="45"/>
      <c r="V15" s="63">
        <v>6.9369016536118355</v>
      </c>
      <c r="W15" s="43">
        <f t="shared" ref="W15:W22" si="27">(AF15/SUM(AF$2:AF$22))*0.98</f>
        <v>1.0676994739679096E-2</v>
      </c>
      <c r="X15" s="237">
        <v>0</v>
      </c>
      <c r="Y15" s="237">
        <v>0.66200000000000003</v>
      </c>
      <c r="Z15" s="63">
        <v>13.23</v>
      </c>
      <c r="AA15" s="43">
        <f t="shared" ref="AA15:AA22" si="28">(AG15/SUM(AG$7:AG$27))*0.98</f>
        <v>0.22367251534770843</v>
      </c>
      <c r="AB15" s="17">
        <v>0.1390248423636668</v>
      </c>
      <c r="AC15" s="43">
        <f t="shared" ref="AC15:AC22" si="29">(AH15/SUM(AH$7:AH$27))*0.98</f>
        <v>0.10166371033060224</v>
      </c>
      <c r="AE15" s="47"/>
      <c r="AF15" s="61">
        <v>1.0680353272746954E-2</v>
      </c>
      <c r="AG15" s="61">
        <v>0.22373478550670162</v>
      </c>
      <c r="AH15" s="61">
        <v>8.4000000000000005E-2</v>
      </c>
    </row>
    <row r="16" spans="1:34" x14ac:dyDescent="0.3">
      <c r="A16" s="66" t="s">
        <v>64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55.110416926275235</v>
      </c>
      <c r="M16" s="4">
        <f t="shared" si="25"/>
        <v>33.981083076741314</v>
      </c>
      <c r="N16" s="4">
        <f t="shared" si="25"/>
        <v>409.13224024396538</v>
      </c>
      <c r="O16" s="4">
        <f t="shared" si="26"/>
        <v>2.0728460676812199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0.61660000000000004</v>
      </c>
      <c r="Z16" s="63">
        <v>12.04</v>
      </c>
      <c r="AA16" s="43">
        <f t="shared" si="28"/>
        <v>9.6973002832757282E-2</v>
      </c>
      <c r="AB16" s="17">
        <v>0.15474265316641159</v>
      </c>
      <c r="AC16" s="43">
        <f t="shared" si="29"/>
        <v>7.3827218216270668E-2</v>
      </c>
      <c r="AE16" s="47"/>
      <c r="AF16" s="61">
        <v>0</v>
      </c>
      <c r="AG16" s="61">
        <v>9.7000000000000003E-2</v>
      </c>
      <c r="AH16" s="61">
        <v>6.0999999999999999E-2</v>
      </c>
    </row>
    <row r="17" spans="1:34" x14ac:dyDescent="0.3">
      <c r="A17" s="66" t="s">
        <v>667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0.58381635595176107</v>
      </c>
      <c r="J17" s="4">
        <f t="shared" si="22"/>
        <v>3.8731150143991542</v>
      </c>
      <c r="K17" s="4">
        <f t="shared" si="23"/>
        <v>0</v>
      </c>
      <c r="L17" s="7">
        <f t="shared" si="24"/>
        <v>93.176375009372563</v>
      </c>
      <c r="M17" s="4">
        <f t="shared" si="25"/>
        <v>57.815940693315682</v>
      </c>
      <c r="N17" s="4">
        <f t="shared" si="25"/>
        <v>755.65434486163599</v>
      </c>
      <c r="O17" s="4">
        <f t="shared" si="26"/>
        <v>4.2444085740126756</v>
      </c>
      <c r="Q17" s="45"/>
      <c r="R17" s="45"/>
      <c r="S17" s="44"/>
      <c r="T17" s="45"/>
      <c r="U17" s="45"/>
      <c r="V17" s="63">
        <v>6.6341324200913236</v>
      </c>
      <c r="W17" s="43">
        <f t="shared" si="27"/>
        <v>1.2059500876071155E-3</v>
      </c>
      <c r="X17" s="237">
        <v>0</v>
      </c>
      <c r="Y17" s="237">
        <v>0.62050000000000005</v>
      </c>
      <c r="Z17" s="63">
        <v>13.07</v>
      </c>
      <c r="AA17" s="43">
        <f t="shared" si="28"/>
        <v>0.16395435530486799</v>
      </c>
      <c r="AB17" s="17">
        <v>0.1161120744092163</v>
      </c>
      <c r="AC17" s="43">
        <f t="shared" si="29"/>
        <v>8.8849759504178019E-2</v>
      </c>
      <c r="AE17" s="47"/>
      <c r="AF17" s="61">
        <v>1.2063294287369152E-3</v>
      </c>
      <c r="AG17" s="61">
        <v>0.16400000000000001</v>
      </c>
      <c r="AH17" s="61">
        <v>7.3412427837628996E-2</v>
      </c>
    </row>
    <row r="18" spans="1:34" x14ac:dyDescent="0.3">
      <c r="A18" s="66" t="s">
        <v>336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4.0757179507111818</v>
      </c>
      <c r="J18" s="4">
        <f t="shared" si="22"/>
        <v>27.873232254532546</v>
      </c>
      <c r="K18" s="4">
        <f t="shared" si="23"/>
        <v>6.6645702734219311E-2</v>
      </c>
      <c r="L18" s="7">
        <f t="shared" si="24"/>
        <v>22.157796496131279</v>
      </c>
      <c r="M18" s="4">
        <f t="shared" si="25"/>
        <v>12.540800766891273</v>
      </c>
      <c r="N18" s="4">
        <f t="shared" si="25"/>
        <v>150.39371621785912</v>
      </c>
      <c r="O18" s="4">
        <f t="shared" si="26"/>
        <v>1.088106077935018</v>
      </c>
      <c r="Q18" s="45"/>
      <c r="R18" s="45"/>
      <c r="S18" s="44"/>
      <c r="T18" s="45"/>
      <c r="U18" s="45"/>
      <c r="V18" s="63">
        <v>6.8388520971302436</v>
      </c>
      <c r="W18" s="43">
        <f t="shared" si="27"/>
        <v>8.4189357999558401E-3</v>
      </c>
      <c r="X18" s="237">
        <v>1.6351892731583682E-2</v>
      </c>
      <c r="Y18" s="237">
        <v>0.56597689075630242</v>
      </c>
      <c r="Z18" s="63">
        <v>11.992353519793623</v>
      </c>
      <c r="AA18" s="43">
        <f t="shared" si="28"/>
        <v>3.8989145468840559E-2</v>
      </c>
      <c r="AB18" s="17">
        <v>6.4537463353103244E-2</v>
      </c>
      <c r="AC18" s="43">
        <f t="shared" si="29"/>
        <v>0.10501047851384256</v>
      </c>
      <c r="AE18" s="47"/>
      <c r="AF18" s="61">
        <v>8.4215840427404164E-3</v>
      </c>
      <c r="AG18" s="61">
        <v>3.9E-2</v>
      </c>
      <c r="AH18" s="61">
        <v>8.6765279040849283E-2</v>
      </c>
    </row>
    <row r="19" spans="1:34" x14ac:dyDescent="0.3">
      <c r="A19" s="66" t="s">
        <v>335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11.931121190224536</v>
      </c>
      <c r="M19" s="4">
        <f t="shared" si="25"/>
        <v>6.9606161023769948</v>
      </c>
      <c r="N19" s="4">
        <f t="shared" si="25"/>
        <v>76.962746335551572</v>
      </c>
      <c r="O19" s="4">
        <f t="shared" si="26"/>
        <v>0.29805369061785075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0.58340000000000003</v>
      </c>
      <c r="Z19" s="63">
        <v>11.056887092116661</v>
      </c>
      <c r="AA19" s="43">
        <f t="shared" si="28"/>
        <v>2.0994155252452608E-2</v>
      </c>
      <c r="AB19" s="17">
        <v>1.5108689806533021E-2</v>
      </c>
      <c r="AC19" s="43">
        <f t="shared" si="29"/>
        <v>5.1824305595579462E-2</v>
      </c>
      <c r="AE19" s="47"/>
      <c r="AF19" s="61">
        <v>0</v>
      </c>
      <c r="AG19" s="61">
        <v>2.1000000000000001E-2</v>
      </c>
      <c r="AH19" s="61">
        <v>4.2820015675920961E-2</v>
      </c>
    </row>
    <row r="20" spans="1:34" x14ac:dyDescent="0.3">
      <c r="A20" s="66" t="s">
        <v>609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9.0903780496948841</v>
      </c>
      <c r="M20" s="4">
        <f t="shared" ref="M20:N20" si="30">L20*Y20</f>
        <v>5.4569539432318388</v>
      </c>
      <c r="N20" s="4">
        <f t="shared" si="30"/>
        <v>63.267938456338094</v>
      </c>
      <c r="O20" s="4">
        <f t="shared" si="26"/>
        <v>0.16042786838841214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0.60029999999999994</v>
      </c>
      <c r="Z20" s="63">
        <v>11.594002645891518</v>
      </c>
      <c r="AA20" s="43">
        <f t="shared" si="28"/>
        <v>1.5995546859011511E-2</v>
      </c>
      <c r="AB20" s="17">
        <v>4.1433466025726281E-3</v>
      </c>
      <c r="AC20" s="43">
        <f t="shared" si="29"/>
        <v>3.5580839801278928E-2</v>
      </c>
      <c r="AE20" s="47"/>
      <c r="AF20" s="61">
        <v>0</v>
      </c>
      <c r="AG20" s="61">
        <v>1.6E-2</v>
      </c>
      <c r="AH20" s="61">
        <v>2.9398794649419375E-2</v>
      </c>
    </row>
    <row r="21" spans="1:34" x14ac:dyDescent="0.3">
      <c r="A21" s="66"/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66"/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101" t="s">
        <v>152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60.791903207334535</v>
      </c>
      <c r="M24" s="4">
        <f t="shared" ref="M24:N27" si="34">L24*Y24</f>
        <v>40.365823729670133</v>
      </c>
      <c r="N24" s="4">
        <f t="shared" si="34"/>
        <v>506.869552961073</v>
      </c>
      <c r="O24" s="4">
        <f t="shared" ref="O24:O27" si="35">M24*AH24</f>
        <v>4.9657608252160292</v>
      </c>
      <c r="Q24" s="45"/>
      <c r="R24" s="45"/>
      <c r="S24" s="44"/>
      <c r="T24" s="45"/>
      <c r="U24" s="45"/>
      <c r="V24" s="46"/>
      <c r="W24" s="46"/>
      <c r="X24" s="45"/>
      <c r="Y24" s="237">
        <v>0.66400000000000003</v>
      </c>
      <c r="Z24" s="236">
        <v>12.55689853762375</v>
      </c>
      <c r="AA24" s="43">
        <f t="shared" ref="AA24:AA27" si="36">(AG24/SUM(AG$7:AG$27))*0.98</f>
        <v>0.10697021961963947</v>
      </c>
      <c r="AB24" s="17">
        <v>8.729723877618624E-2</v>
      </c>
      <c r="AC24" s="43">
        <f t="shared" ref="AC24:AC27" si="37">(AH24/SUM(AH$7:AH$27))*0.98</f>
        <v>0.14888764077783317</v>
      </c>
      <c r="AE24" s="47"/>
      <c r="AF24" s="47"/>
      <c r="AG24" s="61">
        <v>0.107</v>
      </c>
      <c r="AH24" s="61">
        <v>0.12301893944916677</v>
      </c>
    </row>
    <row r="25" spans="1:34" x14ac:dyDescent="0.3">
      <c r="A25" s="101" t="s">
        <v>285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29.448516778737893</v>
      </c>
      <c r="M25" s="4">
        <f t="shared" si="34"/>
        <v>18.19918336926002</v>
      </c>
      <c r="N25" s="4">
        <f t="shared" si="34"/>
        <v>185.86325589332031</v>
      </c>
      <c r="O25" s="4">
        <f t="shared" si="35"/>
        <v>1.4745894760651237</v>
      </c>
      <c r="Q25" s="45"/>
      <c r="R25" s="45"/>
      <c r="S25" s="44"/>
      <c r="T25" s="45"/>
      <c r="U25" s="45"/>
      <c r="V25" s="46"/>
      <c r="W25" s="46"/>
      <c r="X25" s="45"/>
      <c r="Y25" s="237">
        <v>0.61799999999999999</v>
      </c>
      <c r="Z25" s="236">
        <v>10.212725050468983</v>
      </c>
      <c r="AA25" s="43">
        <f t="shared" si="36"/>
        <v>5.1817991230683653E-2</v>
      </c>
      <c r="AB25" s="17">
        <v>7.2579869582103482E-2</v>
      </c>
      <c r="AC25" s="43">
        <f t="shared" si="37"/>
        <v>9.8063163388480229E-2</v>
      </c>
      <c r="AE25" s="47"/>
      <c r="AF25" s="47"/>
      <c r="AG25" s="61">
        <v>5.1832417297058536E-2</v>
      </c>
      <c r="AH25" s="61">
        <v>8.1025035362621359E-2</v>
      </c>
    </row>
    <row r="26" spans="1:34" x14ac:dyDescent="0.3">
      <c r="A26" s="101" t="s">
        <v>668</v>
      </c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18.180756099389768</v>
      </c>
      <c r="M26" s="4">
        <f t="shared" si="34"/>
        <v>11.235707269422877</v>
      </c>
      <c r="N26" s="4">
        <f t="shared" si="34"/>
        <v>120.14582331268096</v>
      </c>
      <c r="O26" s="4">
        <f t="shared" si="35"/>
        <v>0.85950729297637485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10.693214092507437</v>
      </c>
      <c r="AA26" s="43">
        <f t="shared" si="36"/>
        <v>3.1991093718023021E-2</v>
      </c>
      <c r="AB26" s="17">
        <v>3.6421728617919272E-2</v>
      </c>
      <c r="AC26" s="43">
        <f t="shared" si="37"/>
        <v>9.2583974386804754E-2</v>
      </c>
      <c r="AE26" s="47"/>
      <c r="AF26" s="47"/>
      <c r="AG26" s="61">
        <v>3.2000000000000001E-2</v>
      </c>
      <c r="AH26" s="61">
        <v>7.6497836083310802E-2</v>
      </c>
    </row>
    <row r="27" spans="1:34" x14ac:dyDescent="0.3">
      <c r="A27" s="101" t="s">
        <v>800</v>
      </c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5.6814862810593025</v>
      </c>
      <c r="M27" s="4">
        <f t="shared" si="34"/>
        <v>3.4213910384539119</v>
      </c>
      <c r="N27" s="4">
        <f t="shared" si="34"/>
        <v>31.420496182257136</v>
      </c>
      <c r="O27" s="4">
        <f t="shared" si="35"/>
        <v>0.19488936294990636</v>
      </c>
      <c r="Q27" s="45"/>
      <c r="R27" s="45"/>
      <c r="S27" s="44"/>
      <c r="T27" s="45"/>
      <c r="U27" s="45"/>
      <c r="V27" s="46"/>
      <c r="W27" s="46"/>
      <c r="X27" s="45"/>
      <c r="Y27" s="237">
        <v>0.60219999999999996</v>
      </c>
      <c r="Z27" s="236">
        <v>9.1835443037974702</v>
      </c>
      <c r="AA27" s="43">
        <f t="shared" si="36"/>
        <v>9.9972167868821946E-3</v>
      </c>
      <c r="AB27" s="17">
        <v>4.5552889413706506E-2</v>
      </c>
      <c r="AC27" s="43">
        <f t="shared" si="37"/>
        <v>6.8940129066864073E-2</v>
      </c>
      <c r="AE27" s="47"/>
      <c r="AF27" s="47"/>
      <c r="AG27" s="61">
        <v>0.01</v>
      </c>
      <c r="AH27" s="61">
        <v>5.6962025316455694E-2</v>
      </c>
    </row>
    <row r="28" spans="1:34" s="73" customFormat="1" x14ac:dyDescent="0.3">
      <c r="A28" s="100"/>
      <c r="B28" s="68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2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2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0.97499999999999998</v>
      </c>
      <c r="AC30" s="28">
        <f>SUM(AC7:AC27)</f>
        <v>0.97999999999999976</v>
      </c>
      <c r="AD30" s="89"/>
      <c r="AE30" s="28">
        <f>SUM(AE2:AE4,AE7:AE27)</f>
        <v>1</v>
      </c>
      <c r="AF30" s="28">
        <f>SUM(AF2:AF4,AF7:AF27)</f>
        <v>0.98030826674422422</v>
      </c>
      <c r="AG30" s="28">
        <f>SUM(AG7:AG27)</f>
        <v>0.9802728308201768</v>
      </c>
    </row>
    <row r="31" spans="1:34" s="86" customFormat="1" x14ac:dyDescent="0.3">
      <c r="A31" s="102"/>
      <c r="B31" s="80"/>
      <c r="C31" s="82"/>
      <c r="D31" s="105">
        <v>1052.42</v>
      </c>
      <c r="E31" s="106">
        <v>0.54</v>
      </c>
      <c r="F31" s="8">
        <f>1-E31</f>
        <v>0.45999999999999996</v>
      </c>
      <c r="G31" s="234">
        <v>4.75</v>
      </c>
      <c r="H31" s="275">
        <v>4.1894224077940155E-2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2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2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2"/>
      <c r="D34" s="9">
        <f>D31*E31</f>
        <v>568.30680000000007</v>
      </c>
      <c r="E34" s="2">
        <f>SUM(E2:E4)</f>
        <v>375.68136823340478</v>
      </c>
      <c r="F34" s="2">
        <f>SUM(F2:F4)</f>
        <v>4250.1136221600618</v>
      </c>
      <c r="G34" s="2">
        <f>SUM(G2:G4)</f>
        <v>26.28834891680189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2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2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2"/>
      <c r="D37" s="9">
        <f>D31*F31</f>
        <v>484.11320000000001</v>
      </c>
      <c r="E37" s="2">
        <f>D37*G31</f>
        <v>2299.5376999999999</v>
      </c>
      <c r="F37" s="2">
        <f>D37*H31</f>
        <v>20.281546879888658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2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474.43093599999997</v>
      </c>
      <c r="E40" s="3">
        <f>SUM(J2:J4,J7:J12,J15:J22)</f>
        <v>2297.1770131303324</v>
      </c>
      <c r="F40" s="3">
        <f>SUM(K2:K4,K7:K12,K15:K22)</f>
        <v>20.159527782131057</v>
      </c>
      <c r="G40" s="3">
        <f>SUM(L7:L12,L15:L22,L24:L27)</f>
        <v>556.94066399999997</v>
      </c>
      <c r="H40" s="3">
        <f>SUM(M7:M12,M15:M22,M24:M27)</f>
        <v>375.24975241917713</v>
      </c>
      <c r="I40" s="3">
        <f>SUM(N7:N12,N15:N22,N24:N27)</f>
        <v>4237.0000700856554</v>
      </c>
      <c r="J40" s="3">
        <f>SUM(O7:O12,O15:O22,O24:O27)</f>
        <v>26.071152546577093</v>
      </c>
    </row>
    <row r="41" spans="1:32" ht="14.4" thickTop="1" x14ac:dyDescent="0.3">
      <c r="D41" s="50">
        <f>D37-D40</f>
        <v>9.682264000000032</v>
      </c>
      <c r="E41" s="50">
        <f>E37-E40</f>
        <v>2.360686869667461</v>
      </c>
      <c r="F41" s="50">
        <f>F37-F40</f>
        <v>0.122019097757601</v>
      </c>
      <c r="G41" s="50">
        <f>SUM(D2:D4)-G40</f>
        <v>11.366136000000097</v>
      </c>
      <c r="H41" s="50">
        <f>E34-H40</f>
        <v>0.43161581422765494</v>
      </c>
      <c r="I41" s="50">
        <f>F34-I40</f>
        <v>13.113552074406471</v>
      </c>
      <c r="J41" s="50">
        <f>G34-J40</f>
        <v>0.21719637022479787</v>
      </c>
    </row>
    <row r="42" spans="1:32" x14ac:dyDescent="0.3">
      <c r="N42" s="74"/>
      <c r="O42" s="74"/>
    </row>
    <row r="43" spans="1:32" x14ac:dyDescent="0.3">
      <c r="N43" s="74"/>
      <c r="O43" s="74"/>
    </row>
    <row r="44" spans="1:32" x14ac:dyDescent="0.3">
      <c r="N44" s="74"/>
      <c r="O44" s="74"/>
    </row>
    <row r="45" spans="1:32" x14ac:dyDescent="0.3">
      <c r="N45" s="74"/>
      <c r="O45" s="74"/>
    </row>
    <row r="46" spans="1:32" x14ac:dyDescent="0.3">
      <c r="N46" s="74"/>
      <c r="O46" s="74"/>
    </row>
    <row r="47" spans="1:32" x14ac:dyDescent="0.3">
      <c r="N47" s="74"/>
      <c r="O47" s="74"/>
    </row>
    <row r="48" spans="1:32" x14ac:dyDescent="0.3">
      <c r="N48" s="74"/>
      <c r="O48" s="74"/>
    </row>
    <row r="49" spans="14:15" x14ac:dyDescent="0.3">
      <c r="N49" s="74"/>
      <c r="O49" s="74"/>
    </row>
    <row r="50" spans="14:15" x14ac:dyDescent="0.3">
      <c r="N50" s="74"/>
      <c r="O50" s="74"/>
    </row>
    <row r="51" spans="14:15" x14ac:dyDescent="0.3">
      <c r="N51" s="74"/>
      <c r="O51" s="74"/>
    </row>
    <row r="52" spans="14:15" x14ac:dyDescent="0.3">
      <c r="N52" s="74"/>
      <c r="O52" s="74"/>
    </row>
    <row r="53" spans="14:15" x14ac:dyDescent="0.3">
      <c r="N53" s="74"/>
      <c r="O53" s="74"/>
    </row>
  </sheetData>
  <sheetProtection sheet="1" selectLockedCells="1"/>
  <conditionalFormatting sqref="AA30:AB30 AD30:AF30">
    <cfRule type="cellIs" dxfId="314" priority="14" operator="greaterThan">
      <formula>1</formula>
    </cfRule>
    <cfRule type="cellIs" dxfId="313" priority="15" operator="greaterThan">
      <formula>1</formula>
    </cfRule>
  </conditionalFormatting>
  <conditionalFormatting sqref="AC30">
    <cfRule type="cellIs" dxfId="312" priority="10" operator="greaterThan">
      <formula>1</formula>
    </cfRule>
    <cfRule type="cellIs" dxfId="311" priority="11" operator="greaterThan">
      <formula>1</formula>
    </cfRule>
  </conditionalFormatting>
  <conditionalFormatting sqref="AG30">
    <cfRule type="cellIs" dxfId="310" priority="8" operator="greaterThan">
      <formula>1</formula>
    </cfRule>
    <cfRule type="cellIs" dxfId="309" priority="9" operator="greaterThan">
      <formula>1</formula>
    </cfRule>
  </conditionalFormatting>
  <conditionalFormatting sqref="W30">
    <cfRule type="cellIs" dxfId="308" priority="2" operator="greaterThan">
      <formula>1</formula>
    </cfRule>
    <cfRule type="cellIs" dxfId="307" priority="3" operator="greaterThan">
      <formula>1</formula>
    </cfRule>
  </conditionalFormatting>
  <conditionalFormatting sqref="D41:J41">
    <cfRule type="cellIs" dxfId="306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36C0B3"/>
  </sheetPr>
  <dimension ref="A1:AH46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268</v>
      </c>
      <c r="B2" s="59" t="s">
        <v>9</v>
      </c>
      <c r="C2" s="60">
        <v>11</v>
      </c>
      <c r="D2" s="4">
        <f>D$34*Q2</f>
        <v>647.93520000000001</v>
      </c>
      <c r="E2" s="4">
        <f>D2*R2</f>
        <v>410.14298159999998</v>
      </c>
      <c r="F2" s="4">
        <f>E2*S2</f>
        <v>4540.2828063119996</v>
      </c>
      <c r="G2" s="4">
        <f>E2*T2</f>
        <v>27.889722748800001</v>
      </c>
      <c r="H2" s="4">
        <f>E2*U2</f>
        <v>10.529240895693187</v>
      </c>
      <c r="I2" s="4">
        <f>D$37*W2</f>
        <v>66.981975388584672</v>
      </c>
      <c r="J2" s="4">
        <f>I2*V2</f>
        <v>330.27573816963746</v>
      </c>
      <c r="K2" s="4">
        <f>I2*X2</f>
        <v>2.0787364507901929</v>
      </c>
      <c r="L2" s="44"/>
      <c r="M2" s="44"/>
      <c r="N2" s="44"/>
      <c r="O2" s="44"/>
      <c r="Q2" s="43">
        <f>AE2</f>
        <v>0.99</v>
      </c>
      <c r="R2" s="61">
        <v>0.63300000000000001</v>
      </c>
      <c r="S2" s="236">
        <v>11.07</v>
      </c>
      <c r="T2" s="237">
        <v>6.8000000000000005E-2</v>
      </c>
      <c r="U2" s="61">
        <v>2.5672122572030345E-2</v>
      </c>
      <c r="V2" s="236">
        <v>4.9308151372604092</v>
      </c>
      <c r="W2" s="43">
        <f>(AF2/SUM(AF$2:AF$22))*0.98</f>
        <v>0.18194454736200322</v>
      </c>
      <c r="X2" s="61">
        <v>3.1034266139969041E-2</v>
      </c>
      <c r="Y2" s="64"/>
      <c r="Z2" s="65"/>
      <c r="AA2" s="1"/>
      <c r="AB2" s="1"/>
      <c r="AC2" s="1"/>
      <c r="AE2" s="61">
        <v>0.99</v>
      </c>
      <c r="AF2" s="61">
        <v>0.182</v>
      </c>
      <c r="AG2" s="47"/>
      <c r="AH2" s="47"/>
    </row>
    <row r="3" spans="1:34" x14ac:dyDescent="0.3">
      <c r="A3" s="58" t="s">
        <v>569</v>
      </c>
      <c r="B3" s="59" t="s">
        <v>9</v>
      </c>
      <c r="C3" s="60">
        <v>11</v>
      </c>
      <c r="D3" s="4">
        <f>D$34*Q3</f>
        <v>6.5448000000000057</v>
      </c>
      <c r="E3" s="4">
        <f t="shared" ref="E3:E4" si="0">D3*R3</f>
        <v>3.9538060540540583</v>
      </c>
      <c r="F3" s="4">
        <f t="shared" ref="F3:F4" si="1">E3*S3</f>
        <v>43.056947928648697</v>
      </c>
      <c r="G3" s="4">
        <f t="shared" ref="G3" si="2">E3*T3</f>
        <v>0.25304358745945976</v>
      </c>
      <c r="H3" s="4">
        <f t="shared" ref="H3" si="3">E3*U3</f>
        <v>9.51050645434625E-2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0.6041141141141142</v>
      </c>
      <c r="S3" s="236">
        <v>10.89</v>
      </c>
      <c r="T3" s="237">
        <v>6.4000000000000001E-2</v>
      </c>
      <c r="U3" s="61">
        <v>2.4054054054054058E-2</v>
      </c>
      <c r="V3" s="236">
        <v>4.7960526315789469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1.0000000000000009E-2</v>
      </c>
      <c r="AF3" s="61">
        <v>0</v>
      </c>
      <c r="AG3" s="47"/>
      <c r="AH3" s="47"/>
    </row>
    <row r="4" spans="1:34" x14ac:dyDescent="0.3">
      <c r="B4" s="59" t="s">
        <v>9</v>
      </c>
      <c r="C4" s="60">
        <v>11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610</v>
      </c>
      <c r="B7" s="59" t="s">
        <v>357</v>
      </c>
      <c r="C7" s="60">
        <v>11</v>
      </c>
      <c r="D7" s="44"/>
      <c r="E7" s="44"/>
      <c r="F7" s="44"/>
      <c r="G7" s="44"/>
      <c r="H7" s="44"/>
      <c r="I7" s="4">
        <f t="shared" ref="I7:I12" si="9">D$37*W7</f>
        <v>166.71887280785086</v>
      </c>
      <c r="J7" s="4">
        <f>I7*V7</f>
        <v>718.55834180183717</v>
      </c>
      <c r="K7" s="4">
        <f>I7*X7</f>
        <v>5.5684103517822185</v>
      </c>
      <c r="L7" s="7">
        <f>((D$2+D$3+D$4)*AA7)</f>
        <v>62.857808953422207</v>
      </c>
      <c r="M7" s="4">
        <f t="shared" ref="M7:N9" si="10">L7*Y7</f>
        <v>50.789109634365147</v>
      </c>
      <c r="N7" s="4">
        <f t="shared" si="10"/>
        <v>410.88389694201402</v>
      </c>
      <c r="O7" s="4">
        <f>M7*AH7</f>
        <v>2.2347208239120664</v>
      </c>
      <c r="Q7" s="45"/>
      <c r="R7" s="45"/>
      <c r="S7" s="44"/>
      <c r="T7" s="45"/>
      <c r="U7" s="45"/>
      <c r="V7" s="63">
        <v>4.3099999999999996</v>
      </c>
      <c r="W7" s="43">
        <f t="shared" ref="W7:W12" si="11">(AF7/SUM(AF$2:AF$22))*0.98</f>
        <v>0.45286197777465637</v>
      </c>
      <c r="X7" s="237">
        <v>3.3399999999999999E-2</v>
      </c>
      <c r="Y7" s="237">
        <v>0.80800000000000005</v>
      </c>
      <c r="Z7" s="63">
        <v>8.09</v>
      </c>
      <c r="AA7" s="43">
        <f>(AG7/SUM(AG$7:AG$27))*0.98</f>
        <v>9.6042367915631047E-2</v>
      </c>
      <c r="AB7" s="17">
        <v>0.1220035318382197</v>
      </c>
      <c r="AC7" s="43">
        <f>(AH7/SUM(AH$7:AH$27))*0.98</f>
        <v>5.4937172529049935E-2</v>
      </c>
      <c r="AE7" s="47"/>
      <c r="AF7" s="61">
        <v>0.45300000000000001</v>
      </c>
      <c r="AG7" s="61">
        <v>9.6000000000000002E-2</v>
      </c>
      <c r="AH7" s="61">
        <v>4.3999999999999997E-2</v>
      </c>
    </row>
    <row r="8" spans="1:34" x14ac:dyDescent="0.3">
      <c r="A8" s="101" t="s">
        <v>260</v>
      </c>
      <c r="B8" s="59" t="s">
        <v>357</v>
      </c>
      <c r="C8" s="60">
        <v>11</v>
      </c>
      <c r="D8" s="44"/>
      <c r="E8" s="44"/>
      <c r="F8" s="44"/>
      <c r="G8" s="44"/>
      <c r="H8" s="44"/>
      <c r="I8" s="4">
        <f t="shared" si="9"/>
        <v>94.952470605795838</v>
      </c>
      <c r="J8" s="4">
        <f>I8*V8</f>
        <v>442.97458424559198</v>
      </c>
      <c r="K8" s="4">
        <f>I8*X8</f>
        <v>3.7832048989261944</v>
      </c>
      <c r="L8" s="7">
        <f>((D$2+D$3+D$4)*AA8)</f>
        <v>41.905205968948138</v>
      </c>
      <c r="M8" s="4">
        <f t="shared" si="10"/>
        <v>29.836506649891074</v>
      </c>
      <c r="N8" s="4">
        <f t="shared" si="10"/>
        <v>220.79014920919397</v>
      </c>
      <c r="O8" s="4">
        <f t="shared" ref="O8:O12" si="12">M8*AH8</f>
        <v>1.1636237593457519</v>
      </c>
      <c r="Q8" s="45"/>
      <c r="R8" s="45"/>
      <c r="S8" s="44"/>
      <c r="T8" s="45"/>
      <c r="U8" s="45"/>
      <c r="V8" s="63">
        <v>4.6652244161675673</v>
      </c>
      <c r="W8" s="43">
        <f t="shared" si="11"/>
        <v>0.25792139131536718</v>
      </c>
      <c r="X8" s="237">
        <v>3.9843143362035593E-2</v>
      </c>
      <c r="Y8" s="237">
        <v>0.71199999999999997</v>
      </c>
      <c r="Z8" s="63">
        <v>7.4</v>
      </c>
      <c r="AA8" s="43">
        <f t="shared" ref="AA8:AA12" si="13">(AG8/SUM(AG$7:AG$27))*0.98</f>
        <v>6.4028245277087364E-2</v>
      </c>
      <c r="AB8" s="17">
        <v>6.9707707494243057E-2</v>
      </c>
      <c r="AC8" s="43">
        <f t="shared" ref="AC8:AC12" si="14">(AH8/SUM(AH$7:AH$27))*0.98</f>
        <v>4.869431201438517E-2</v>
      </c>
      <c r="AE8" s="47"/>
      <c r="AF8" s="61">
        <v>0.25800000000000001</v>
      </c>
      <c r="AG8" s="61">
        <v>6.4000000000000001E-2</v>
      </c>
      <c r="AH8" s="61">
        <v>3.9E-2</v>
      </c>
    </row>
    <row r="9" spans="1:34" x14ac:dyDescent="0.3">
      <c r="A9" s="101" t="s">
        <v>646</v>
      </c>
      <c r="B9" s="59" t="s">
        <v>357</v>
      </c>
      <c r="C9" s="60">
        <v>11</v>
      </c>
      <c r="D9" s="44"/>
      <c r="E9" s="44"/>
      <c r="F9" s="44"/>
      <c r="G9" s="44"/>
      <c r="H9" s="44"/>
      <c r="I9" s="4">
        <f t="shared" si="9"/>
        <v>19.873772917492154</v>
      </c>
      <c r="J9" s="4">
        <f>I9*V9</f>
        <v>83.722126041279765</v>
      </c>
      <c r="K9" s="4">
        <f>I9*X9</f>
        <v>0.5173640363555968</v>
      </c>
      <c r="L9" s="7">
        <f>((D$2+D$3+D$4)*AA9)</f>
        <v>11.131070335501851</v>
      </c>
      <c r="M9" s="4">
        <f t="shared" si="10"/>
        <v>7.8863633327030618</v>
      </c>
      <c r="N9" s="4">
        <f t="shared" si="10"/>
        <v>50.028555242058538</v>
      </c>
      <c r="O9" s="4">
        <f t="shared" si="12"/>
        <v>0.11482208200975097</v>
      </c>
      <c r="Q9" s="45"/>
      <c r="R9" s="45"/>
      <c r="S9" s="44"/>
      <c r="T9" s="45"/>
      <c r="U9" s="45"/>
      <c r="V9" s="63">
        <v>4.2126941063913774</v>
      </c>
      <c r="W9" s="43">
        <f t="shared" si="11"/>
        <v>5.3983547019495454E-2</v>
      </c>
      <c r="X9" s="237">
        <v>2.6032502157666917E-2</v>
      </c>
      <c r="Y9" s="237">
        <v>0.70850000000000002</v>
      </c>
      <c r="Z9" s="63">
        <v>6.3436787187575829</v>
      </c>
      <c r="AA9" s="43">
        <f t="shared" si="13"/>
        <v>1.7007502651726333E-2</v>
      </c>
      <c r="AB9" s="17">
        <v>2.3044401513163112E-2</v>
      </c>
      <c r="AC9" s="43">
        <f t="shared" si="14"/>
        <v>1.8178676577524193E-2</v>
      </c>
      <c r="AE9" s="47"/>
      <c r="AF9" s="61">
        <v>5.3999999999999999E-2</v>
      </c>
      <c r="AG9" s="61">
        <v>1.7000000000000001E-2</v>
      </c>
      <c r="AH9" s="61">
        <v>1.4559572919194371E-2</v>
      </c>
    </row>
    <row r="10" spans="1:34" x14ac:dyDescent="0.3">
      <c r="A10" s="101" t="s">
        <v>611</v>
      </c>
      <c r="B10" s="59" t="s">
        <v>357</v>
      </c>
      <c r="C10" s="60">
        <v>11</v>
      </c>
      <c r="D10" s="44"/>
      <c r="E10" s="44"/>
      <c r="F10" s="44"/>
      <c r="G10" s="44"/>
      <c r="H10" s="44"/>
      <c r="I10" s="4">
        <f t="shared" si="9"/>
        <v>2.9442626544432819</v>
      </c>
      <c r="J10" s="4">
        <f t="shared" ref="J10:J12" si="15">I10*V10</f>
        <v>19.260384864483136</v>
      </c>
      <c r="K10" s="4">
        <f t="shared" ref="K10:K12" si="16">I10*X10</f>
        <v>6.8601319848528478E-2</v>
      </c>
      <c r="L10" s="7">
        <f t="shared" ref="L10:L12" si="17">((D$2+D$3+D$4)*AA10)</f>
        <v>6.0026479947269396</v>
      </c>
      <c r="M10" s="4">
        <f t="shared" ref="M10:N10" si="18">L10*Y10</f>
        <v>3.6075914448308906</v>
      </c>
      <c r="N10" s="4">
        <f t="shared" si="18"/>
        <v>24.567697739298364</v>
      </c>
      <c r="O10" s="4">
        <f t="shared" si="12"/>
        <v>7.2151828896617809E-2</v>
      </c>
      <c r="Q10" s="45"/>
      <c r="R10" s="45"/>
      <c r="S10" s="44"/>
      <c r="T10" s="45"/>
      <c r="U10" s="45"/>
      <c r="V10" s="63">
        <v>6.541666666666667</v>
      </c>
      <c r="W10" s="43">
        <f t="shared" si="11"/>
        <v>7.9975625214067335E-3</v>
      </c>
      <c r="X10" s="237">
        <v>2.3300000000000001E-2</v>
      </c>
      <c r="Y10" s="237">
        <v>0.60099999999999998</v>
      </c>
      <c r="Z10" s="63">
        <v>6.81</v>
      </c>
      <c r="AA10" s="43">
        <f t="shared" si="13"/>
        <v>9.1716293771038678E-3</v>
      </c>
      <c r="AB10" s="17">
        <v>1.8477734236269725E-2</v>
      </c>
      <c r="AC10" s="43">
        <f t="shared" si="14"/>
        <v>2.497144205865906E-2</v>
      </c>
      <c r="AE10" s="47"/>
      <c r="AF10" s="61">
        <v>8.0000000000000002E-3</v>
      </c>
      <c r="AG10" s="61">
        <v>9.1675834250091667E-3</v>
      </c>
      <c r="AH10" s="61">
        <v>0.02</v>
      </c>
    </row>
    <row r="11" spans="1:34" x14ac:dyDescent="0.3">
      <c r="A11" s="101"/>
      <c r="B11" s="59" t="s">
        <v>357</v>
      </c>
      <c r="C11" s="60">
        <v>11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6.9745705418589033E-4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11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132</v>
      </c>
      <c r="B15" s="59" t="s">
        <v>358</v>
      </c>
      <c r="C15" s="60">
        <v>11</v>
      </c>
      <c r="D15" s="44"/>
      <c r="E15" s="44"/>
      <c r="F15" s="44"/>
      <c r="G15" s="44"/>
      <c r="H15" s="44"/>
      <c r="I15" s="4">
        <f t="shared" ref="I15:I22" si="21">D$37*W15</f>
        <v>0.74977148638188129</v>
      </c>
      <c r="J15" s="4">
        <f t="shared" ref="J15:J22" si="22">I15*V15</f>
        <v>4.3736670038943073</v>
      </c>
      <c r="K15" s="4">
        <f t="shared" ref="K15:K22" si="23">I15*X15</f>
        <v>0</v>
      </c>
      <c r="L15" s="7">
        <f t="shared" ref="L15:L20" si="24">((D$2+D$3+D$4)*AA15)</f>
        <v>117.85839178766665</v>
      </c>
      <c r="M15" s="4">
        <f t="shared" ref="M15:N19" si="25">L15*Y15</f>
        <v>76.784742249664816</v>
      </c>
      <c r="N15" s="4">
        <f t="shared" si="25"/>
        <v>945.98802451587051</v>
      </c>
      <c r="O15" s="4">
        <f t="shared" ref="O15:O22" si="26">M15*AH15</f>
        <v>4.8374387617288832</v>
      </c>
      <c r="Q15" s="45"/>
      <c r="R15" s="45"/>
      <c r="S15" s="44"/>
      <c r="T15" s="45"/>
      <c r="U15" s="45"/>
      <c r="V15" s="63">
        <v>5.833333333333333</v>
      </c>
      <c r="W15" s="43">
        <f t="shared" ref="W15:W22" si="27">(AF15/SUM(AF$2:AF$22))*0.98</f>
        <v>2.0366200447700807E-3</v>
      </c>
      <c r="X15" s="237">
        <v>0</v>
      </c>
      <c r="Y15" s="237">
        <v>0.65149999999999997</v>
      </c>
      <c r="Z15" s="63">
        <v>12.32</v>
      </c>
      <c r="AA15" s="43">
        <f t="shared" ref="AA15:AA22" si="28">(AG15/SUM(AG$7:AG$27))*0.98</f>
        <v>0.18007943984180821</v>
      </c>
      <c r="AB15" s="17">
        <v>0.16950561878668605</v>
      </c>
      <c r="AC15" s="43">
        <f t="shared" ref="AC15:AC22" si="29">(AH15/SUM(AH$7:AH$27))*0.98</f>
        <v>7.8660042484776038E-2</v>
      </c>
      <c r="AE15" s="47"/>
      <c r="AF15" s="61">
        <v>2.0372407611131483E-3</v>
      </c>
      <c r="AG15" s="61">
        <v>0.18</v>
      </c>
      <c r="AH15" s="61">
        <v>6.3E-2</v>
      </c>
    </row>
    <row r="16" spans="1:34" x14ac:dyDescent="0.3">
      <c r="A16" s="66" t="s">
        <v>771</v>
      </c>
      <c r="B16" s="59" t="s">
        <v>358</v>
      </c>
      <c r="C16" s="60">
        <v>11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98.870095332987006</v>
      </c>
      <c r="M16" s="4">
        <f t="shared" si="25"/>
        <v>60.607142708309773</v>
      </c>
      <c r="N16" s="4">
        <f t="shared" si="25"/>
        <v>723.64928393721868</v>
      </c>
      <c r="O16" s="4">
        <f t="shared" si="26"/>
        <v>5.5758571291644987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0.61299771689497717</v>
      </c>
      <c r="Z16" s="63">
        <v>11.94</v>
      </c>
      <c r="AA16" s="43">
        <f t="shared" si="28"/>
        <v>0.15106664120062799</v>
      </c>
      <c r="AB16" s="17">
        <v>0.15073293874139865</v>
      </c>
      <c r="AC16" s="43">
        <f t="shared" si="29"/>
        <v>0.11486863346983169</v>
      </c>
      <c r="AE16" s="47"/>
      <c r="AF16" s="61">
        <v>0</v>
      </c>
      <c r="AG16" s="61">
        <v>0.151</v>
      </c>
      <c r="AH16" s="61">
        <v>9.1999999999999998E-2</v>
      </c>
    </row>
    <row r="17" spans="1:34" x14ac:dyDescent="0.3">
      <c r="A17" s="101" t="s">
        <v>257</v>
      </c>
      <c r="B17" s="59" t="s">
        <v>358</v>
      </c>
      <c r="C17" s="60">
        <v>11</v>
      </c>
      <c r="D17" s="44"/>
      <c r="E17" s="44"/>
      <c r="F17" s="44"/>
      <c r="G17" s="44"/>
      <c r="H17" s="44"/>
      <c r="I17" s="4">
        <f t="shared" si="21"/>
        <v>0.33323177172528057</v>
      </c>
      <c r="J17" s="4">
        <f t="shared" si="22"/>
        <v>1.8994210988340994</v>
      </c>
      <c r="K17" s="4">
        <f t="shared" si="23"/>
        <v>0</v>
      </c>
      <c r="L17" s="7">
        <f t="shared" si="24"/>
        <v>64.167346639951845</v>
      </c>
      <c r="M17" s="4">
        <f t="shared" si="25"/>
        <v>37.749650028283675</v>
      </c>
      <c r="N17" s="4">
        <f t="shared" si="25"/>
        <v>475.26809385609147</v>
      </c>
      <c r="O17" s="4">
        <f t="shared" si="26"/>
        <v>2.6424755019798574</v>
      </c>
      <c r="Q17" s="45"/>
      <c r="R17" s="45"/>
      <c r="S17" s="44"/>
      <c r="T17" s="45"/>
      <c r="U17" s="45"/>
      <c r="V17" s="63">
        <v>5.7</v>
      </c>
      <c r="W17" s="43">
        <f t="shared" si="27"/>
        <v>9.0516446434225797E-4</v>
      </c>
      <c r="X17" s="237">
        <v>0</v>
      </c>
      <c r="Y17" s="237">
        <v>0.58830000000000005</v>
      </c>
      <c r="Z17" s="63">
        <v>12.59</v>
      </c>
      <c r="AA17" s="43">
        <f t="shared" si="28"/>
        <v>9.8043250580540031E-2</v>
      </c>
      <c r="AB17" s="17">
        <v>0.14682001894922639</v>
      </c>
      <c r="AC17" s="43">
        <f t="shared" si="29"/>
        <v>8.7400047205306725E-2</v>
      </c>
      <c r="AE17" s="47"/>
      <c r="AF17" s="61">
        <v>9.0544033827251035E-4</v>
      </c>
      <c r="AG17" s="61">
        <v>9.8000000000000004E-2</v>
      </c>
      <c r="AH17" s="61">
        <v>7.0000000000000007E-2</v>
      </c>
    </row>
    <row r="18" spans="1:34" x14ac:dyDescent="0.3">
      <c r="A18" s="101" t="s">
        <v>770</v>
      </c>
      <c r="B18" s="59" t="s">
        <v>358</v>
      </c>
      <c r="C18" s="60">
        <v>11</v>
      </c>
      <c r="D18" s="44"/>
      <c r="E18" s="44"/>
      <c r="F18" s="44"/>
      <c r="G18" s="44"/>
      <c r="H18" s="44"/>
      <c r="I18" s="4">
        <f t="shared" si="21"/>
        <v>8.2277423677259716</v>
      </c>
      <c r="J18" s="4">
        <f t="shared" si="22"/>
        <v>38.519760036697939</v>
      </c>
      <c r="K18" s="4">
        <f t="shared" si="23"/>
        <v>2.4992382879396046E-2</v>
      </c>
      <c r="L18" s="7">
        <f t="shared" si="24"/>
        <v>41.905205968948138</v>
      </c>
      <c r="M18" s="4">
        <f t="shared" si="25"/>
        <v>26.421232363421797</v>
      </c>
      <c r="N18" s="4">
        <f t="shared" si="25"/>
        <v>280.10107807318406</v>
      </c>
      <c r="O18" s="4">
        <f t="shared" si="26"/>
        <v>1.4003253152613553</v>
      </c>
      <c r="Q18" s="45"/>
      <c r="R18" s="45"/>
      <c r="S18" s="44"/>
      <c r="T18" s="45"/>
      <c r="U18" s="45"/>
      <c r="V18" s="63">
        <v>4.6816925366787148</v>
      </c>
      <c r="W18" s="43">
        <f t="shared" si="27"/>
        <v>2.234918949795861E-2</v>
      </c>
      <c r="X18" s="237">
        <v>3.0375748002794572E-3</v>
      </c>
      <c r="Y18" s="237">
        <v>0.63049999999999995</v>
      </c>
      <c r="Z18" s="63">
        <v>10.601363109048723</v>
      </c>
      <c r="AA18" s="43">
        <f t="shared" si="28"/>
        <v>6.4028245277087364E-2</v>
      </c>
      <c r="AB18" s="17">
        <v>4.1138075122283672E-2</v>
      </c>
      <c r="AC18" s="43">
        <f t="shared" si="29"/>
        <v>6.6174321455446508E-2</v>
      </c>
      <c r="AE18" s="47"/>
      <c r="AF18" s="61">
        <v>2.2356001032201988E-2</v>
      </c>
      <c r="AG18" s="61">
        <v>6.4000000000000001E-2</v>
      </c>
      <c r="AH18" s="61">
        <v>5.2999999999999999E-2</v>
      </c>
    </row>
    <row r="19" spans="1:34" x14ac:dyDescent="0.3">
      <c r="A19" s="101" t="s">
        <v>337</v>
      </c>
      <c r="B19" s="59" t="s">
        <v>358</v>
      </c>
      <c r="C19" s="60">
        <v>11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11.785839178766663</v>
      </c>
      <c r="M19" s="4">
        <f t="shared" si="25"/>
        <v>7.1657902206901305</v>
      </c>
      <c r="N19" s="4">
        <f t="shared" si="25"/>
        <v>81.024708241287271</v>
      </c>
      <c r="O19" s="4">
        <f t="shared" si="26"/>
        <v>0.44427899368278811</v>
      </c>
      <c r="Q19" s="45"/>
      <c r="R19" s="45"/>
      <c r="S19" s="44"/>
      <c r="T19" s="45"/>
      <c r="U19" s="45"/>
      <c r="V19" s="63">
        <v>7.4301504451949638</v>
      </c>
      <c r="W19" s="43">
        <f t="shared" si="27"/>
        <v>0</v>
      </c>
      <c r="X19" s="237">
        <v>2.0468734008801556E-2</v>
      </c>
      <c r="Y19" s="237">
        <v>0.60799999999999998</v>
      </c>
      <c r="Z19" s="63">
        <v>11.307156049215722</v>
      </c>
      <c r="AA19" s="43">
        <f t="shared" si="28"/>
        <v>1.8007943984180819E-2</v>
      </c>
      <c r="AB19" s="17">
        <v>3.4599412088359975E-2</v>
      </c>
      <c r="AC19" s="43">
        <f t="shared" si="29"/>
        <v>7.7411470381843095E-2</v>
      </c>
      <c r="AE19" s="47"/>
      <c r="AF19" s="61">
        <v>0</v>
      </c>
      <c r="AG19" s="61">
        <v>1.7999999999999999E-2</v>
      </c>
      <c r="AH19" s="61">
        <v>6.2E-2</v>
      </c>
    </row>
    <row r="20" spans="1:34" x14ac:dyDescent="0.3">
      <c r="A20" s="101" t="s">
        <v>612</v>
      </c>
      <c r="B20" s="59" t="s">
        <v>358</v>
      </c>
      <c r="C20" s="60">
        <v>11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43.214743655477768</v>
      </c>
      <c r="M20" s="4">
        <f t="shared" ref="M20:N20" si="30">L20*Y20</f>
        <v>26.875249079341625</v>
      </c>
      <c r="N20" s="4">
        <f t="shared" si="30"/>
        <v>359.89463984509655</v>
      </c>
      <c r="O20" s="4">
        <f t="shared" si="26"/>
        <v>1.8812674355539138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0.62190000000000001</v>
      </c>
      <c r="Z20" s="63">
        <v>13.391304347826088</v>
      </c>
      <c r="AA20" s="43">
        <f t="shared" si="28"/>
        <v>6.6029127941996349E-2</v>
      </c>
      <c r="AB20" s="17">
        <v>4.1015619403726288E-3</v>
      </c>
      <c r="AC20" s="43">
        <f t="shared" si="29"/>
        <v>8.7400047205306725E-2</v>
      </c>
      <c r="AE20" s="47"/>
      <c r="AF20" s="61">
        <v>0</v>
      </c>
      <c r="AG20" s="61">
        <v>6.6000000000000003E-2</v>
      </c>
      <c r="AH20" s="61">
        <v>7.0000000000000007E-2</v>
      </c>
    </row>
    <row r="21" spans="1:34" x14ac:dyDescent="0.3">
      <c r="A21" s="101"/>
      <c r="B21" s="59" t="s">
        <v>358</v>
      </c>
      <c r="C21" s="60">
        <v>11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1.1789061749343221E-2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101"/>
      <c r="B22" s="59" t="s">
        <v>358</v>
      </c>
      <c r="C22" s="60">
        <v>11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6.9183240052310092E-3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113</v>
      </c>
      <c r="B24" s="59" t="s">
        <v>10</v>
      </c>
      <c r="C24" s="60">
        <v>11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79.227030035042574</v>
      </c>
      <c r="M24" s="4">
        <f t="shared" ref="M24:N27" si="34">L24*Y24</f>
        <v>47.789744517137677</v>
      </c>
      <c r="N24" s="4">
        <f t="shared" si="34"/>
        <v>535.24513859194201</v>
      </c>
      <c r="O24" s="4">
        <f t="shared" ref="O24:O27" si="35">M24*AH24</f>
        <v>4.2532872620252533</v>
      </c>
      <c r="Q24" s="45"/>
      <c r="R24" s="45"/>
      <c r="S24" s="44"/>
      <c r="T24" s="45"/>
      <c r="U24" s="45"/>
      <c r="V24" s="46"/>
      <c r="W24" s="46"/>
      <c r="X24" s="45"/>
      <c r="Y24" s="237">
        <v>0.60319999999999996</v>
      </c>
      <c r="Z24" s="236">
        <v>11.2</v>
      </c>
      <c r="AA24" s="43">
        <f t="shared" ref="AA24:AA27" si="36">(AG24/SUM(AG$7:AG$27))*0.98</f>
        <v>0.1210534012269933</v>
      </c>
      <c r="AB24" s="17">
        <v>6.1946892407587266E-2</v>
      </c>
      <c r="AC24" s="43">
        <f t="shared" ref="AC24:AC27" si="37">(AH24/SUM(AH$7:AH$27))*0.98</f>
        <v>0.11112291716103283</v>
      </c>
      <c r="AE24" s="47"/>
      <c r="AF24" s="47"/>
      <c r="AG24" s="61">
        <v>0.121</v>
      </c>
      <c r="AH24" s="61">
        <v>8.8999999999999996E-2</v>
      </c>
    </row>
    <row r="25" spans="1:34" x14ac:dyDescent="0.3">
      <c r="A25" s="58" t="s">
        <v>197</v>
      </c>
      <c r="B25" s="59" t="s">
        <v>10</v>
      </c>
      <c r="C25" s="60">
        <v>11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49.57186802311999</v>
      </c>
      <c r="M25" s="4">
        <f t="shared" si="34"/>
        <v>30.660200372299716</v>
      </c>
      <c r="N25" s="4">
        <f t="shared" si="34"/>
        <v>372.86242107403086</v>
      </c>
      <c r="O25" s="4">
        <f t="shared" si="35"/>
        <v>2.790078233879274</v>
      </c>
      <c r="Q25" s="45"/>
      <c r="R25" s="45"/>
      <c r="S25" s="44"/>
      <c r="T25" s="45"/>
      <c r="U25" s="45"/>
      <c r="V25" s="46"/>
      <c r="W25" s="46"/>
      <c r="X25" s="45"/>
      <c r="Y25" s="237">
        <v>0.61850000000000005</v>
      </c>
      <c r="Z25" s="236">
        <v>12.161121471694536</v>
      </c>
      <c r="AA25" s="43">
        <f t="shared" si="36"/>
        <v>7.5742372605916125E-2</v>
      </c>
      <c r="AB25" s="17">
        <v>3.9883448794435047E-2</v>
      </c>
      <c r="AC25" s="43">
        <f t="shared" si="37"/>
        <v>0.11362006136689873</v>
      </c>
      <c r="AE25" s="47"/>
      <c r="AF25" s="47"/>
      <c r="AG25" s="61">
        <v>7.5708959784867372E-2</v>
      </c>
      <c r="AH25" s="61">
        <v>9.0999999999999998E-2</v>
      </c>
    </row>
    <row r="26" spans="1:34" x14ac:dyDescent="0.3">
      <c r="A26" s="58" t="s">
        <v>252</v>
      </c>
      <c r="B26" s="59" t="s">
        <v>10</v>
      </c>
      <c r="C26" s="60">
        <v>11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12.893146125440278</v>
      </c>
      <c r="M26" s="4">
        <f t="shared" si="34"/>
        <v>7.6327425062606444</v>
      </c>
      <c r="N26" s="4">
        <f t="shared" si="34"/>
        <v>81.370746207544869</v>
      </c>
      <c r="O26" s="4">
        <f t="shared" si="35"/>
        <v>0.59029362340171898</v>
      </c>
      <c r="Q26" s="45"/>
      <c r="R26" s="45"/>
      <c r="S26" s="44"/>
      <c r="T26" s="45"/>
      <c r="U26" s="45"/>
      <c r="V26" s="46"/>
      <c r="W26" s="46"/>
      <c r="X26" s="45"/>
      <c r="Y26" s="237">
        <v>0.59199999999999997</v>
      </c>
      <c r="Z26" s="236">
        <v>10.66074823574904</v>
      </c>
      <c r="AA26" s="43">
        <f t="shared" si="36"/>
        <v>1.9699832119301243E-2</v>
      </c>
      <c r="AB26" s="17">
        <v>4.2632384400887881E-2</v>
      </c>
      <c r="AC26" s="43">
        <f t="shared" si="37"/>
        <v>9.656085608993932E-2</v>
      </c>
      <c r="AE26" s="47"/>
      <c r="AF26" s="47"/>
      <c r="AG26" s="61">
        <v>1.9691141779368045E-2</v>
      </c>
      <c r="AH26" s="61">
        <v>7.7337028324686613E-2</v>
      </c>
    </row>
    <row r="27" spans="1:34" x14ac:dyDescent="0.3">
      <c r="B27" s="59" t="s">
        <v>10</v>
      </c>
      <c r="C27" s="60">
        <v>11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3.1001430878106674E-2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0.97499999999999976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0.98029868213158777</v>
      </c>
      <c r="AG30" s="28">
        <f>SUM(AG7:AG27)</f>
        <v>0.97956768498924451</v>
      </c>
    </row>
    <row r="31" spans="1:34" s="86" customFormat="1" x14ac:dyDescent="0.3">
      <c r="A31" s="102"/>
      <c r="B31" s="80"/>
      <c r="C31" s="80"/>
      <c r="D31" s="105">
        <v>1022.625</v>
      </c>
      <c r="E31" s="106">
        <v>0.64</v>
      </c>
      <c r="F31" s="8">
        <f>1-E31</f>
        <v>0.36</v>
      </c>
      <c r="G31" s="234">
        <v>4.4910836762688611</v>
      </c>
      <c r="H31" s="275">
        <v>3.2785550983081842E-2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654.48</v>
      </c>
      <c r="E34" s="2">
        <f>SUM(E2:E4)</f>
        <v>414.09678765405403</v>
      </c>
      <c r="F34" s="2">
        <f>SUM(F2:F4)</f>
        <v>4583.3397542406483</v>
      </c>
      <c r="G34" s="2">
        <f>SUM(G2:G4)</f>
        <v>28.142766336259459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368.14499999999998</v>
      </c>
      <c r="E37" s="2">
        <f>D37*G31</f>
        <v>1653.3699999999997</v>
      </c>
      <c r="F37" s="2">
        <f>D37*H31</f>
        <v>12.069836666666664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360.78209999999984</v>
      </c>
      <c r="E40" s="3">
        <f>SUM(J2:J4,J7:J12,J15:J22)</f>
        <v>1639.5840232622561</v>
      </c>
      <c r="F40" s="3">
        <f>SUM(K2:K4,K7:K12,K15:K22)</f>
        <v>12.041309440582127</v>
      </c>
      <c r="G40" s="3">
        <f>SUM(L7:L12,L15:L22,L24:L27)</f>
        <v>641.3904</v>
      </c>
      <c r="H40" s="3">
        <f>SUM(M7:M12,M15:M22,M24:M27)</f>
        <v>413.80606510719997</v>
      </c>
      <c r="I40" s="3">
        <f>SUM(N7:N12,N15:N22,N24:N27)</f>
        <v>4561.6744334748309</v>
      </c>
      <c r="J40" s="3">
        <f>SUM(O7:O12,O15:O22,O24:O27)</f>
        <v>28.00062075084173</v>
      </c>
    </row>
    <row r="41" spans="1:32" ht="14.4" thickTop="1" x14ac:dyDescent="0.3">
      <c r="D41" s="50">
        <f>D37-D40</f>
        <v>7.3629000000001383</v>
      </c>
      <c r="E41" s="50">
        <f>E37-E40</f>
        <v>13.785976737743567</v>
      </c>
      <c r="F41" s="50">
        <f>F37-F40</f>
        <v>2.8527226084536395E-2</v>
      </c>
      <c r="G41" s="50">
        <f>SUM(D2:D4)-G40</f>
        <v>13.089600000000019</v>
      </c>
      <c r="H41" s="50">
        <f>E34-H40</f>
        <v>0.29072254685405596</v>
      </c>
      <c r="I41" s="50">
        <f>F34-I40</f>
        <v>21.665320765817341</v>
      </c>
      <c r="J41" s="50">
        <f>G34-J40</f>
        <v>0.14214558541772959</v>
      </c>
    </row>
    <row r="42" spans="1:32" x14ac:dyDescent="0.3">
      <c r="N42" s="74"/>
      <c r="O42" s="74"/>
    </row>
    <row r="43" spans="1:32" x14ac:dyDescent="0.3">
      <c r="A43" s="116"/>
      <c r="B43" s="75"/>
      <c r="C43" s="76"/>
      <c r="D43" s="75"/>
      <c r="E43" s="75"/>
      <c r="F43" s="76"/>
      <c r="G43" s="75"/>
      <c r="H43" s="60"/>
      <c r="I43" s="60"/>
      <c r="J43" s="60"/>
      <c r="K43" s="60"/>
      <c r="L43" s="60"/>
      <c r="M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C43" s="60"/>
    </row>
    <row r="44" spans="1:32" x14ac:dyDescent="0.3">
      <c r="A44" s="116"/>
      <c r="B44" s="75"/>
      <c r="C44" s="76"/>
      <c r="D44" s="75"/>
      <c r="E44" s="75"/>
      <c r="F44" s="76"/>
      <c r="G44" s="75"/>
      <c r="H44" s="60"/>
      <c r="I44" s="60"/>
      <c r="J44" s="60"/>
      <c r="K44" s="60"/>
      <c r="L44" s="60"/>
      <c r="M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C44" s="60"/>
    </row>
    <row r="45" spans="1:32" x14ac:dyDescent="0.3">
      <c r="A45" s="116"/>
      <c r="B45" s="75"/>
      <c r="C45" s="76"/>
      <c r="D45" s="75"/>
      <c r="E45" s="75"/>
      <c r="F45" s="76"/>
      <c r="G45" s="75"/>
      <c r="H45" s="60"/>
      <c r="I45" s="60"/>
      <c r="J45" s="60"/>
      <c r="K45" s="60"/>
      <c r="L45" s="60"/>
      <c r="M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C45" s="60"/>
    </row>
    <row r="46" spans="1:32" x14ac:dyDescent="0.3">
      <c r="A46" s="116"/>
      <c r="B46" s="75"/>
      <c r="C46" s="76"/>
      <c r="D46" s="75"/>
      <c r="E46" s="75"/>
      <c r="F46" s="76"/>
      <c r="G46" s="75"/>
      <c r="H46" s="60"/>
      <c r="I46" s="60"/>
      <c r="J46" s="60"/>
      <c r="K46" s="60"/>
      <c r="L46" s="60"/>
      <c r="M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C46" s="60"/>
    </row>
  </sheetData>
  <sheetProtection sheet="1" selectLockedCells="1"/>
  <conditionalFormatting sqref="AA30:AB30 AD30:AF30">
    <cfRule type="cellIs" dxfId="305" priority="14" operator="greaterThan">
      <formula>1</formula>
    </cfRule>
    <cfRule type="cellIs" dxfId="304" priority="15" operator="greaterThan">
      <formula>1</formula>
    </cfRule>
  </conditionalFormatting>
  <conditionalFormatting sqref="AC30">
    <cfRule type="cellIs" dxfId="303" priority="10" operator="greaterThan">
      <formula>1</formula>
    </cfRule>
    <cfRule type="cellIs" dxfId="302" priority="11" operator="greaterThan">
      <formula>1</formula>
    </cfRule>
  </conditionalFormatting>
  <conditionalFormatting sqref="AG30">
    <cfRule type="cellIs" dxfId="301" priority="8" operator="greaterThan">
      <formula>1</formula>
    </cfRule>
    <cfRule type="cellIs" dxfId="300" priority="9" operator="greaterThan">
      <formula>1</formula>
    </cfRule>
  </conditionalFormatting>
  <conditionalFormatting sqref="W30">
    <cfRule type="cellIs" dxfId="299" priority="2" operator="greaterThan">
      <formula>1</formula>
    </cfRule>
    <cfRule type="cellIs" dxfId="298" priority="3" operator="greaterThan">
      <formula>1</formula>
    </cfRule>
  </conditionalFormatting>
  <conditionalFormatting sqref="D41:J41">
    <cfRule type="cellIs" dxfId="297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3300"/>
  </sheetPr>
  <dimension ref="A1:AH49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68</v>
      </c>
      <c r="B2" s="59" t="s">
        <v>9</v>
      </c>
      <c r="C2" s="60">
        <v>8</v>
      </c>
      <c r="D2" s="4">
        <f>D$34*Q2</f>
        <v>678.04668854999989</v>
      </c>
      <c r="E2" s="4">
        <f>D2*R2</f>
        <v>444.79862768879997</v>
      </c>
      <c r="F2" s="4">
        <f>E2*S2</f>
        <v>4999.5365752221114</v>
      </c>
      <c r="G2" s="4">
        <f>E2*T2</f>
        <v>38.021539673322749</v>
      </c>
      <c r="H2" s="4">
        <f>E2*U2</f>
        <v>8.9219512843902216</v>
      </c>
      <c r="I2" s="4">
        <f>D$37*W2</f>
        <v>64.285773136614523</v>
      </c>
      <c r="J2" s="4">
        <f>I2*V2</f>
        <v>360.64318729640752</v>
      </c>
      <c r="K2" s="4">
        <f>I2*X2</f>
        <v>2.3429894537262701</v>
      </c>
      <c r="L2" s="44"/>
      <c r="M2" s="44"/>
      <c r="N2" s="44"/>
      <c r="O2" s="44"/>
      <c r="Q2" s="43">
        <f>AE2</f>
        <v>0.99</v>
      </c>
      <c r="R2" s="61">
        <v>0.65600000000000003</v>
      </c>
      <c r="S2" s="236">
        <v>11.24</v>
      </c>
      <c r="T2" s="237">
        <v>8.5480343927509223E-2</v>
      </c>
      <c r="U2" s="61">
        <v>2.0058405599741189E-2</v>
      </c>
      <c r="V2" s="236">
        <v>5.61</v>
      </c>
      <c r="W2" s="43">
        <f>(AF2/SUM(AF$2:AF$22))*0.98</f>
        <v>0.15249518810136364</v>
      </c>
      <c r="X2" s="61">
        <v>3.6446469248291577E-2</v>
      </c>
      <c r="Y2" s="64"/>
      <c r="Z2" s="65"/>
      <c r="AA2" s="1"/>
      <c r="AB2" s="1"/>
      <c r="AC2" s="1"/>
      <c r="AE2" s="61">
        <v>0.99</v>
      </c>
      <c r="AF2" s="61">
        <v>0.1525609602472231</v>
      </c>
      <c r="AG2" s="47"/>
      <c r="AH2" s="47"/>
    </row>
    <row r="3" spans="1:34" x14ac:dyDescent="0.3">
      <c r="A3" s="58" t="s">
        <v>269</v>
      </c>
      <c r="B3" s="59" t="s">
        <v>9</v>
      </c>
      <c r="C3" s="60">
        <v>8</v>
      </c>
      <c r="D3" s="4">
        <f>D$34*Q3</f>
        <v>6.8489564500000055</v>
      </c>
      <c r="E3" s="4">
        <f t="shared" ref="E3:E4" si="0">D3*R3</f>
        <v>4.4195626551236087</v>
      </c>
      <c r="F3" s="4">
        <f t="shared" ref="F3:F4" si="1">E3*S3</f>
        <v>44.177882517857704</v>
      </c>
      <c r="G3" s="4">
        <f t="shared" ref="G3" si="2">E3*T3</f>
        <v>0.3045337761119577</v>
      </c>
      <c r="H3" s="4">
        <f t="shared" ref="H3" si="3">E3*U3</f>
        <v>8.1639759779470564E-2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0.64528993393199408</v>
      </c>
      <c r="S3" s="236">
        <v>9.995985115550333</v>
      </c>
      <c r="T3" s="237">
        <v>6.8905862384123245E-2</v>
      </c>
      <c r="U3" s="61">
        <v>1.8472361667918751E-2</v>
      </c>
      <c r="V3" s="236">
        <v>2.40625</v>
      </c>
      <c r="W3" s="43">
        <f t="shared" ref="W3:W4" si="6">(AF3/SUM(AF$2:AF$22))*0.98</f>
        <v>0</v>
      </c>
      <c r="X3" s="61">
        <v>1.5625000000000003E-2</v>
      </c>
      <c r="Y3" s="64"/>
      <c r="Z3" s="65"/>
      <c r="AA3" s="1"/>
      <c r="AB3" s="1"/>
      <c r="AC3" s="1"/>
      <c r="AE3" s="61">
        <f>1-AE2</f>
        <v>1.0000000000000009E-2</v>
      </c>
      <c r="AF3" s="61">
        <v>0</v>
      </c>
      <c r="AG3" s="47"/>
      <c r="AH3" s="47"/>
    </row>
    <row r="4" spans="1:34" x14ac:dyDescent="0.3">
      <c r="B4" s="59" t="s">
        <v>9</v>
      </c>
      <c r="C4" s="60">
        <v>8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212</v>
      </c>
      <c r="B7" s="59" t="s">
        <v>357</v>
      </c>
      <c r="C7" s="60">
        <v>8</v>
      </c>
      <c r="D7" s="44"/>
      <c r="E7" s="44"/>
      <c r="F7" s="44"/>
      <c r="G7" s="44"/>
      <c r="H7" s="44"/>
      <c r="I7" s="4">
        <f t="shared" ref="I7:I12" si="9">D$37*W7</f>
        <v>156.33109410844907</v>
      </c>
      <c r="J7" s="4">
        <f>I7*V7</f>
        <v>699.50490949402524</v>
      </c>
      <c r="K7" s="4">
        <f>I7*X7</f>
        <v>4.6987212792087494</v>
      </c>
      <c r="L7" s="7">
        <f>((D$2+D$3+D$4)*AA7)</f>
        <v>48.181529524558577</v>
      </c>
      <c r="M7" s="4">
        <f t="shared" ref="M7:N9" si="10">L7*Y7</f>
        <v>37.499684428963938</v>
      </c>
      <c r="N7" s="4">
        <f t="shared" si="10"/>
        <v>265.12276891277503</v>
      </c>
      <c r="O7" s="4">
        <f>M7*AH7</f>
        <v>2.4374794878826562</v>
      </c>
      <c r="Q7" s="45"/>
      <c r="R7" s="45"/>
      <c r="S7" s="44"/>
      <c r="T7" s="45"/>
      <c r="U7" s="45"/>
      <c r="V7" s="63">
        <v>4.4745091402531152</v>
      </c>
      <c r="W7" s="43">
        <f t="shared" ref="W7:W12" si="11">(AF7/SUM(AF$2:AF$22))*0.98</f>
        <v>0.37084005432271588</v>
      </c>
      <c r="X7" s="237">
        <v>3.0056216941392228E-2</v>
      </c>
      <c r="Y7" s="237">
        <v>0.77829999999999999</v>
      </c>
      <c r="Z7" s="63">
        <v>7.07</v>
      </c>
      <c r="AA7" s="43">
        <f>(AG7/SUM(AG$7:AG$27))*0.98</f>
        <v>7.0348716445055776E-2</v>
      </c>
      <c r="AB7" s="17">
        <v>0.10371538121132873</v>
      </c>
      <c r="AC7" s="43">
        <f>(AH7/SUM(AH$7:AH$27))*0.98</f>
        <v>6.3957043613430839E-2</v>
      </c>
      <c r="AE7" s="47"/>
      <c r="AF7" s="61">
        <v>0.371</v>
      </c>
      <c r="AG7" s="61">
        <v>7.0375684751214918E-2</v>
      </c>
      <c r="AH7" s="61">
        <v>6.5000000000000002E-2</v>
      </c>
    </row>
    <row r="8" spans="1:34" x14ac:dyDescent="0.3">
      <c r="A8" s="101" t="s">
        <v>613</v>
      </c>
      <c r="B8" s="59" t="s">
        <v>357</v>
      </c>
      <c r="C8" s="60">
        <v>8</v>
      </c>
      <c r="D8" s="44"/>
      <c r="E8" s="44"/>
      <c r="F8" s="44"/>
      <c r="G8" s="44"/>
      <c r="H8" s="44"/>
      <c r="I8" s="4">
        <f t="shared" si="9"/>
        <v>140.7401224588194</v>
      </c>
      <c r="J8" s="4">
        <f>I8*V8</f>
        <v>603.98690427815916</v>
      </c>
      <c r="K8" s="4">
        <f>I8*X8</f>
        <v>5.7281229840739494</v>
      </c>
      <c r="L8" s="7">
        <f>((D$2+D$3+D$4)*AA8)</f>
        <v>26.016061206447002</v>
      </c>
      <c r="M8" s="4">
        <f t="shared" si="10"/>
        <v>17.486104265795024</v>
      </c>
      <c r="N8" s="4">
        <f t="shared" si="10"/>
        <v>122.05300777524927</v>
      </c>
      <c r="O8" s="4">
        <f t="shared" ref="O8:O12" si="12">M8*AH8</f>
        <v>0.4447790934447316</v>
      </c>
      <c r="Q8" s="45"/>
      <c r="R8" s="45"/>
      <c r="S8" s="44"/>
      <c r="T8" s="45"/>
      <c r="U8" s="45"/>
      <c r="V8" s="63">
        <v>4.2915047516381541</v>
      </c>
      <c r="W8" s="43">
        <f t="shared" si="11"/>
        <v>0.33385600577840197</v>
      </c>
      <c r="X8" s="237">
        <v>4.07E-2</v>
      </c>
      <c r="Y8" s="237">
        <v>0.6721272727272728</v>
      </c>
      <c r="Z8" s="63">
        <v>6.98</v>
      </c>
      <c r="AA8" s="43">
        <f t="shared" ref="AA8:AA12" si="13">(AG8/SUM(AG$7:AG$27))*0.98</f>
        <v>3.7985438214382286E-2</v>
      </c>
      <c r="AB8" s="17">
        <v>5.0130531502141203E-2</v>
      </c>
      <c r="AC8" s="43">
        <f t="shared" ref="AC8:AC12" si="14">(AH8/SUM(AH$7:AH$27))*0.98</f>
        <v>2.5028010325655065E-2</v>
      </c>
      <c r="AE8" s="47"/>
      <c r="AF8" s="61">
        <v>0.33400000000000002</v>
      </c>
      <c r="AG8" s="61">
        <v>3.7999999999999999E-2</v>
      </c>
      <c r="AH8" s="61">
        <v>2.5436145563581841E-2</v>
      </c>
    </row>
    <row r="9" spans="1:34" x14ac:dyDescent="0.3">
      <c r="A9" s="101" t="s">
        <v>614</v>
      </c>
      <c r="B9" s="59" t="s">
        <v>357</v>
      </c>
      <c r="C9" s="60">
        <v>8</v>
      </c>
      <c r="D9" s="44"/>
      <c r="E9" s="44"/>
      <c r="F9" s="44"/>
      <c r="G9" s="44"/>
      <c r="H9" s="44"/>
      <c r="I9" s="4">
        <f t="shared" si="9"/>
        <v>25.282656729129229</v>
      </c>
      <c r="J9" s="4">
        <f>I9*V9</f>
        <v>112.25499587733378</v>
      </c>
      <c r="K9" s="4">
        <f>I9*X9</f>
        <v>1.1480129724967978</v>
      </c>
      <c r="L9" s="7">
        <f>((D$2+D$3+D$4)*AA9)</f>
        <v>13.692663792866842</v>
      </c>
      <c r="M9" s="4">
        <f t="shared" si="10"/>
        <v>9.1498943685200533</v>
      </c>
      <c r="N9" s="4">
        <f t="shared" si="10"/>
        <v>64.483774444000687</v>
      </c>
      <c r="O9" s="4">
        <f t="shared" si="12"/>
        <v>0.20881312284121936</v>
      </c>
      <c r="Q9" s="45"/>
      <c r="R9" s="45"/>
      <c r="S9" s="44"/>
      <c r="T9" s="45"/>
      <c r="U9" s="45"/>
      <c r="V9" s="63">
        <v>4.4400000000000004</v>
      </c>
      <c r="W9" s="43">
        <f t="shared" si="11"/>
        <v>5.9974132774563219E-2</v>
      </c>
      <c r="X9" s="237">
        <v>4.5407133625087866E-2</v>
      </c>
      <c r="Y9" s="237">
        <v>0.66823333333333335</v>
      </c>
      <c r="Z9" s="63">
        <v>7.047488402254702</v>
      </c>
      <c r="AA9" s="43">
        <f t="shared" si="13"/>
        <v>1.9992335902306466E-2</v>
      </c>
      <c r="AB9" s="17">
        <v>3.9200736462205031E-2</v>
      </c>
      <c r="AC9" s="43">
        <f t="shared" si="14"/>
        <v>2.2455189883116681E-2</v>
      </c>
      <c r="AE9" s="47"/>
      <c r="AF9" s="61">
        <v>0.06</v>
      </c>
      <c r="AG9" s="61">
        <v>0.02</v>
      </c>
      <c r="AH9" s="61">
        <v>2.2821369781014615E-2</v>
      </c>
    </row>
    <row r="10" spans="1:34" x14ac:dyDescent="0.3">
      <c r="A10" s="101" t="s">
        <v>731</v>
      </c>
      <c r="B10" s="59" t="s">
        <v>357</v>
      </c>
      <c r="C10" s="60">
        <v>8</v>
      </c>
      <c r="D10" s="44"/>
      <c r="E10" s="44"/>
      <c r="F10" s="44"/>
      <c r="G10" s="44"/>
      <c r="H10" s="44"/>
      <c r="I10" s="4">
        <f t="shared" si="9"/>
        <v>15.590971649629694</v>
      </c>
      <c r="J10" s="4">
        <f t="shared" ref="J10:J12" si="15">I10*V10</f>
        <v>66.105719794429902</v>
      </c>
      <c r="K10" s="4">
        <f t="shared" ref="K10:K12" si="16">I10*X10</f>
        <v>0.50702346828064038</v>
      </c>
      <c r="L10" s="7">
        <f t="shared" ref="L10:L12" si="17">((D$2+D$3+D$4)*AA10)</f>
        <v>7.5309650860767627</v>
      </c>
      <c r="M10" s="4">
        <f t="shared" ref="M10:N10" si="18">L10*Y10</f>
        <v>5.1575700286465107</v>
      </c>
      <c r="N10" s="4">
        <f t="shared" si="18"/>
        <v>38.630199514562364</v>
      </c>
      <c r="O10" s="4">
        <f t="shared" si="12"/>
        <v>6.8463318964334205E-2</v>
      </c>
      <c r="Q10" s="45"/>
      <c r="R10" s="45"/>
      <c r="S10" s="44"/>
      <c r="T10" s="45"/>
      <c r="U10" s="45"/>
      <c r="V10" s="63">
        <v>4.24</v>
      </c>
      <c r="W10" s="43">
        <f t="shared" si="11"/>
        <v>3.6984048544313988E-2</v>
      </c>
      <c r="X10" s="237">
        <v>3.2520325203252029E-2</v>
      </c>
      <c r="Y10" s="237">
        <v>0.68484848484848493</v>
      </c>
      <c r="Z10" s="63">
        <v>7.49</v>
      </c>
      <c r="AA10" s="43">
        <f t="shared" si="13"/>
        <v>1.0995784746268555E-2</v>
      </c>
      <c r="AB10" s="17">
        <v>9.7662724555475783E-3</v>
      </c>
      <c r="AC10" s="43">
        <f t="shared" si="14"/>
        <v>1.3061343147739447E-2</v>
      </c>
      <c r="AE10" s="47"/>
      <c r="AF10" s="61">
        <v>3.6999999999999998E-2</v>
      </c>
      <c r="AG10" s="61">
        <v>1.0999999999999999E-2</v>
      </c>
      <c r="AH10" s="61">
        <v>1.3274336283185839E-2</v>
      </c>
    </row>
    <row r="11" spans="1:34" x14ac:dyDescent="0.3">
      <c r="A11" s="101"/>
      <c r="B11" s="59" t="s">
        <v>357</v>
      </c>
      <c r="C11" s="60">
        <v>8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3.7259624067627183E-3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8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71"/>
      <c r="C13" s="60"/>
      <c r="D13" s="12"/>
      <c r="E13" s="12"/>
      <c r="F13" s="12"/>
      <c r="G13" s="12"/>
      <c r="H13" s="12"/>
      <c r="I13" s="13"/>
      <c r="J13" s="13"/>
      <c r="K13" s="13"/>
      <c r="L13" s="13"/>
      <c r="M13" s="13"/>
      <c r="N13" s="13"/>
      <c r="O13" s="13"/>
      <c r="P13" s="71"/>
      <c r="Q13" s="12"/>
      <c r="R13" s="12"/>
      <c r="S13" s="12"/>
      <c r="T13" s="12"/>
      <c r="U13" s="12"/>
      <c r="V13" s="71"/>
      <c r="W13" s="12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A14" s="113"/>
      <c r="B14" s="75"/>
      <c r="C14" s="6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75"/>
      <c r="Q14" s="11"/>
      <c r="R14" s="11"/>
      <c r="S14" s="11"/>
      <c r="T14" s="11"/>
      <c r="U14" s="11"/>
      <c r="V14" s="75"/>
      <c r="W14" s="11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99</v>
      </c>
      <c r="B15" s="59" t="s">
        <v>358</v>
      </c>
      <c r="C15" s="60">
        <v>8</v>
      </c>
      <c r="D15" s="44"/>
      <c r="E15" s="44"/>
      <c r="F15" s="44"/>
      <c r="G15" s="44"/>
      <c r="H15" s="44"/>
      <c r="I15" s="4">
        <f t="shared" ref="I15:I22" si="21">D$37*W15</f>
        <v>0.6247305497350335</v>
      </c>
      <c r="J15" s="4">
        <f t="shared" ref="J15:J22" si="22">I15*V15</f>
        <v>3.9982755183042147</v>
      </c>
      <c r="K15" s="4">
        <f t="shared" ref="K15:K22" si="23">I15*X15</f>
        <v>0</v>
      </c>
      <c r="L15" s="7">
        <f t="shared" ref="L15:L20" si="24">((D$2+D$3+D$4)*AA15)</f>
        <v>126.65714008401829</v>
      </c>
      <c r="M15" s="4">
        <f t="shared" ref="M15:N19" si="25">L15*Y15</f>
        <v>85.013573197146499</v>
      </c>
      <c r="N15" s="4">
        <f t="shared" si="25"/>
        <v>944.50079822029761</v>
      </c>
      <c r="O15" s="4">
        <f t="shared" ref="O15:O22" si="26">M15*AH15</f>
        <v>7.8212487341374777</v>
      </c>
      <c r="Q15" s="45"/>
      <c r="R15" s="45"/>
      <c r="S15" s="44"/>
      <c r="T15" s="45"/>
      <c r="U15" s="45"/>
      <c r="V15" s="63">
        <v>6.4</v>
      </c>
      <c r="W15" s="43">
        <f t="shared" ref="W15:W22" si="27">(AF15/SUM(AF$2:AF$22))*0.98</f>
        <v>1.4819515741384354E-3</v>
      </c>
      <c r="X15" s="237">
        <v>0</v>
      </c>
      <c r="Y15" s="237">
        <v>0.67121027003098721</v>
      </c>
      <c r="Z15" s="63">
        <v>11.11</v>
      </c>
      <c r="AA15" s="43">
        <f t="shared" ref="AA15:AA22" si="28">(AG15/SUM(AG$7:AG$27))*0.98</f>
        <v>0.18492910709633481</v>
      </c>
      <c r="AB15" s="17">
        <v>0.21722484672017489</v>
      </c>
      <c r="AC15" s="43">
        <f t="shared" ref="AC15:AC22" si="29">(AH15/SUM(AH$7:AH$27))*0.98</f>
        <v>9.0523815575932892E-2</v>
      </c>
      <c r="AE15" s="47"/>
      <c r="AF15" s="61">
        <v>1.4825907492908086E-3</v>
      </c>
      <c r="AG15" s="61">
        <v>0.185</v>
      </c>
      <c r="AH15" s="61">
        <v>9.1999999999999998E-2</v>
      </c>
    </row>
    <row r="16" spans="1:34" x14ac:dyDescent="0.3">
      <c r="A16" s="66" t="s">
        <v>71</v>
      </c>
      <c r="B16" s="59" t="s">
        <v>358</v>
      </c>
      <c r="C16" s="60">
        <v>8</v>
      </c>
      <c r="D16" s="44"/>
      <c r="E16" s="44"/>
      <c r="F16" s="44"/>
      <c r="G16" s="44"/>
      <c r="H16" s="44"/>
      <c r="I16" s="4">
        <f t="shared" si="21"/>
        <v>9.1732935000893399</v>
      </c>
      <c r="J16" s="4">
        <f t="shared" si="22"/>
        <v>56.772513653281116</v>
      </c>
      <c r="K16" s="4">
        <f t="shared" si="23"/>
        <v>0.4498059958092242</v>
      </c>
      <c r="L16" s="7">
        <f t="shared" si="24"/>
        <v>82.155982757201059</v>
      </c>
      <c r="M16" s="4">
        <f t="shared" si="25"/>
        <v>57.008036435221811</v>
      </c>
      <c r="N16" s="4">
        <f t="shared" si="25"/>
        <v>680.10587467219614</v>
      </c>
      <c r="O16" s="4">
        <f t="shared" si="26"/>
        <v>5.0167072062995191</v>
      </c>
      <c r="Q16" s="45"/>
      <c r="R16" s="45"/>
      <c r="S16" s="44"/>
      <c r="T16" s="45"/>
      <c r="U16" s="45"/>
      <c r="V16" s="63">
        <v>6.1888910076547976</v>
      </c>
      <c r="W16" s="43">
        <f t="shared" si="27"/>
        <v>2.1760384134019133E-2</v>
      </c>
      <c r="X16" s="237">
        <v>4.9034296766460539E-2</v>
      </c>
      <c r="Y16" s="237">
        <v>0.69389999999999996</v>
      </c>
      <c r="Z16" s="63">
        <v>11.93</v>
      </c>
      <c r="AA16" s="43">
        <f t="shared" si="28"/>
        <v>0.11995401541383879</v>
      </c>
      <c r="AB16" s="17">
        <v>0.12440894648492244</v>
      </c>
      <c r="AC16" s="43">
        <f t="shared" si="29"/>
        <v>8.6587997507414055E-2</v>
      </c>
      <c r="AE16" s="47"/>
      <c r="AF16" s="61">
        <v>2.1769769526286519E-2</v>
      </c>
      <c r="AG16" s="61">
        <v>0.12</v>
      </c>
      <c r="AH16" s="61">
        <v>8.7999999999999995E-2</v>
      </c>
    </row>
    <row r="17" spans="1:34" x14ac:dyDescent="0.3">
      <c r="A17" s="66" t="s">
        <v>60</v>
      </c>
      <c r="B17" s="59" t="s">
        <v>358</v>
      </c>
      <c r="C17" s="60">
        <v>8</v>
      </c>
      <c r="D17" s="44"/>
      <c r="E17" s="44"/>
      <c r="F17" s="44"/>
      <c r="G17" s="44"/>
      <c r="H17" s="44"/>
      <c r="I17" s="4">
        <f t="shared" si="21"/>
        <v>0.84963354763964571</v>
      </c>
      <c r="J17" s="4">
        <f t="shared" si="22"/>
        <v>4.5980168460498465</v>
      </c>
      <c r="K17" s="4">
        <f t="shared" si="23"/>
        <v>0</v>
      </c>
      <c r="L17" s="7">
        <f t="shared" si="24"/>
        <v>66.409419395404186</v>
      </c>
      <c r="M17" s="4">
        <f t="shared" si="25"/>
        <v>36.226104294410362</v>
      </c>
      <c r="N17" s="4">
        <f t="shared" si="25"/>
        <v>596.64393772893857</v>
      </c>
      <c r="O17" s="4">
        <f t="shared" si="26"/>
        <v>4.310906411034833</v>
      </c>
      <c r="Q17" s="45"/>
      <c r="R17" s="45"/>
      <c r="S17" s="44"/>
      <c r="T17" s="45"/>
      <c r="U17" s="45"/>
      <c r="V17" s="63">
        <v>5.4117647058823524</v>
      </c>
      <c r="W17" s="43">
        <f t="shared" si="27"/>
        <v>2.0154541408282725E-3</v>
      </c>
      <c r="X17" s="237">
        <v>0</v>
      </c>
      <c r="Y17" s="237">
        <v>0.54549647661755285</v>
      </c>
      <c r="Z17" s="63">
        <v>16.47</v>
      </c>
      <c r="AA17" s="43">
        <f t="shared" si="28"/>
        <v>9.6962829126186353E-2</v>
      </c>
      <c r="AB17" s="17">
        <v>7.7981679720058858E-2</v>
      </c>
      <c r="AC17" s="43">
        <f t="shared" si="29"/>
        <v>0.11709058753843492</v>
      </c>
      <c r="AE17" s="47"/>
      <c r="AF17" s="61">
        <v>2.0163234190354999E-3</v>
      </c>
      <c r="AG17" s="61">
        <v>9.7000000000000003E-2</v>
      </c>
      <c r="AH17" s="61">
        <v>0.11899999999999999</v>
      </c>
    </row>
    <row r="18" spans="1:34" x14ac:dyDescent="0.3">
      <c r="A18" s="66" t="s">
        <v>666</v>
      </c>
      <c r="B18" s="59" t="s">
        <v>358</v>
      </c>
      <c r="C18" s="60">
        <v>8</v>
      </c>
      <c r="D18" s="44"/>
      <c r="E18" s="44"/>
      <c r="F18" s="44"/>
      <c r="G18" s="44"/>
      <c r="H18" s="44"/>
      <c r="I18" s="4">
        <f t="shared" si="21"/>
        <v>0.24989221989401345</v>
      </c>
      <c r="J18" s="4">
        <f t="shared" si="22"/>
        <v>1.3744072094170741</v>
      </c>
      <c r="K18" s="4">
        <f t="shared" si="23"/>
        <v>0</v>
      </c>
      <c r="L18" s="7">
        <f t="shared" si="24"/>
        <v>87.633048274347814</v>
      </c>
      <c r="M18" s="4">
        <f t="shared" si="25"/>
        <v>53.535029190799079</v>
      </c>
      <c r="N18" s="4">
        <f t="shared" si="25"/>
        <v>637.06684737050909</v>
      </c>
      <c r="O18" s="4">
        <f t="shared" si="26"/>
        <v>5.2485082231459765</v>
      </c>
      <c r="Q18" s="45"/>
      <c r="R18" s="45"/>
      <c r="S18" s="44"/>
      <c r="T18" s="45"/>
      <c r="U18" s="45"/>
      <c r="V18" s="63">
        <v>5.5</v>
      </c>
      <c r="W18" s="43">
        <f t="shared" si="27"/>
        <v>5.9278062965537428E-4</v>
      </c>
      <c r="X18" s="237">
        <v>0</v>
      </c>
      <c r="Y18" s="237">
        <v>0.6109</v>
      </c>
      <c r="Z18" s="63">
        <v>11.9</v>
      </c>
      <c r="AA18" s="43">
        <f t="shared" si="28"/>
        <v>0.1279509497747614</v>
      </c>
      <c r="AB18" s="17">
        <v>5.5229034872814407E-2</v>
      </c>
      <c r="AC18" s="43">
        <f t="shared" si="29"/>
        <v>9.6465687091554994E-2</v>
      </c>
      <c r="AE18" s="47"/>
      <c r="AF18" s="61">
        <v>5.930362997163235E-4</v>
      </c>
      <c r="AG18" s="61">
        <v>0.128</v>
      </c>
      <c r="AH18" s="61">
        <v>9.8038766439078051E-2</v>
      </c>
    </row>
    <row r="19" spans="1:34" x14ac:dyDescent="0.3">
      <c r="A19" s="58" t="s">
        <v>615</v>
      </c>
      <c r="B19" s="59" t="s">
        <v>358</v>
      </c>
      <c r="C19" s="60">
        <v>8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9.5848646550067897</v>
      </c>
      <c r="M19" s="4">
        <f t="shared" si="25"/>
        <v>5.9456658157671667</v>
      </c>
      <c r="N19" s="4">
        <f t="shared" si="25"/>
        <v>76.853187506508988</v>
      </c>
      <c r="O19" s="4">
        <f t="shared" si="26"/>
        <v>0.42214227291946882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0.62031818181818188</v>
      </c>
      <c r="Z19" s="63">
        <v>12.92591778412838</v>
      </c>
      <c r="AA19" s="43">
        <f t="shared" si="28"/>
        <v>1.3994635131614525E-2</v>
      </c>
      <c r="AB19" s="17">
        <v>1.9707617912673323E-2</v>
      </c>
      <c r="AC19" s="43">
        <f t="shared" si="29"/>
        <v>6.9860770716209067E-2</v>
      </c>
      <c r="AE19" s="47"/>
      <c r="AF19" s="61">
        <v>0</v>
      </c>
      <c r="AG19" s="61">
        <v>1.4E-2</v>
      </c>
      <c r="AH19" s="61">
        <v>7.0999999999999994E-2</v>
      </c>
    </row>
    <row r="20" spans="1:34" x14ac:dyDescent="0.3">
      <c r="A20" s="58" t="s">
        <v>825</v>
      </c>
      <c r="B20" s="59" t="s">
        <v>358</v>
      </c>
      <c r="C20" s="60">
        <v>8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28.069960775377027</v>
      </c>
      <c r="M20" s="4">
        <f t="shared" ref="M20:N20" si="30">L20*Y20</f>
        <v>18.117883773197896</v>
      </c>
      <c r="N20" s="4">
        <f t="shared" si="30"/>
        <v>237.34427742889244</v>
      </c>
      <c r="O20" s="4">
        <f t="shared" si="26"/>
        <v>1.4494307018558317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0.64545454545454539</v>
      </c>
      <c r="Z20" s="63">
        <v>13.1</v>
      </c>
      <c r="AA20" s="43">
        <f t="shared" si="28"/>
        <v>4.0984288599728254E-2</v>
      </c>
      <c r="AB20" s="17">
        <v>0</v>
      </c>
      <c r="AC20" s="43">
        <f t="shared" si="29"/>
        <v>7.8716361370376423E-2</v>
      </c>
      <c r="AE20" s="47"/>
      <c r="AF20" s="61">
        <v>0</v>
      </c>
      <c r="AG20" s="61">
        <v>4.1000000000000002E-2</v>
      </c>
      <c r="AH20" s="61">
        <v>0.08</v>
      </c>
    </row>
    <row r="21" spans="1:34" x14ac:dyDescent="0.3">
      <c r="B21" s="59" t="s">
        <v>358</v>
      </c>
      <c r="C21" s="60">
        <v>8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8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73</v>
      </c>
      <c r="B24" s="59" t="s">
        <v>10</v>
      </c>
      <c r="C24" s="60">
        <v>8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139.66517068724178</v>
      </c>
      <c r="M24" s="4">
        <f t="shared" ref="M24:N27" si="34">L24*Y24</f>
        <v>101.09143350305139</v>
      </c>
      <c r="N24" s="4">
        <f t="shared" si="34"/>
        <v>1146.3768559246028</v>
      </c>
      <c r="O24" s="4">
        <f t="shared" ref="O24:O27" si="35">M24*AH24</f>
        <v>8.8960461482685211</v>
      </c>
      <c r="Q24" s="45"/>
      <c r="R24" s="45"/>
      <c r="S24" s="44"/>
      <c r="T24" s="45"/>
      <c r="U24" s="45"/>
      <c r="V24" s="46"/>
      <c r="W24" s="46"/>
      <c r="X24" s="45"/>
      <c r="Y24" s="237">
        <v>0.72381276595744681</v>
      </c>
      <c r="Z24" s="236">
        <v>11.34</v>
      </c>
      <c r="AA24" s="43">
        <f t="shared" ref="AA24:AA27" si="36">(AG24/SUM(AG$7:AG$27))*0.98</f>
        <v>0.20392182620352595</v>
      </c>
      <c r="AB24" s="17">
        <v>0.22538575593678439</v>
      </c>
      <c r="AC24" s="43">
        <f t="shared" ref="AC24:AC27" si="37">(AH24/SUM(AH$7:AH$27))*0.98</f>
        <v>8.6587997507414055E-2</v>
      </c>
      <c r="AE24" s="47"/>
      <c r="AF24" s="47"/>
      <c r="AG24" s="61">
        <v>0.20399999999999999</v>
      </c>
      <c r="AH24" s="61">
        <v>8.7999999999999995E-2</v>
      </c>
    </row>
    <row r="25" spans="1:34" x14ac:dyDescent="0.3">
      <c r="A25" s="77" t="s">
        <v>287</v>
      </c>
      <c r="B25" s="59" t="s">
        <v>10</v>
      </c>
      <c r="C25" s="60">
        <v>8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15.061930172153525</v>
      </c>
      <c r="M25" s="4">
        <f t="shared" si="34"/>
        <v>9.7580482338789487</v>
      </c>
      <c r="N25" s="4">
        <f t="shared" si="34"/>
        <v>92.217272862055452</v>
      </c>
      <c r="O25" s="4">
        <f t="shared" si="35"/>
        <v>0.77489029824584055</v>
      </c>
      <c r="Q25" s="45"/>
      <c r="R25" s="45"/>
      <c r="S25" s="44"/>
      <c r="T25" s="45"/>
      <c r="U25" s="45"/>
      <c r="V25" s="46"/>
      <c r="W25" s="46"/>
      <c r="X25" s="45"/>
      <c r="Y25" s="237">
        <v>0.64786173633440514</v>
      </c>
      <c r="Z25" s="236">
        <v>9.4503809216566985</v>
      </c>
      <c r="AA25" s="43">
        <f t="shared" si="36"/>
        <v>2.1991569492537111E-2</v>
      </c>
      <c r="AB25" s="17">
        <v>2.446747763533617E-2</v>
      </c>
      <c r="AC25" s="43">
        <f t="shared" si="37"/>
        <v>7.813620008474717E-2</v>
      </c>
      <c r="AE25" s="47"/>
      <c r="AF25" s="47"/>
      <c r="AG25" s="61">
        <v>2.1999999999999999E-2</v>
      </c>
      <c r="AH25" s="61">
        <v>7.9410377943767527E-2</v>
      </c>
    </row>
    <row r="26" spans="1:34" x14ac:dyDescent="0.3">
      <c r="A26" s="58" t="s">
        <v>286</v>
      </c>
      <c r="B26" s="59" t="s">
        <v>10</v>
      </c>
      <c r="C26" s="60">
        <v>8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11.638764223936816</v>
      </c>
      <c r="M26" s="4">
        <f t="shared" si="34"/>
        <v>7.2985027767704347</v>
      </c>
      <c r="N26" s="4">
        <f t="shared" si="34"/>
        <v>70.67423426507186</v>
      </c>
      <c r="O26" s="4">
        <f t="shared" si="35"/>
        <v>0.54008920548101214</v>
      </c>
      <c r="Q26" s="45"/>
      <c r="R26" s="45"/>
      <c r="S26" s="44"/>
      <c r="T26" s="45"/>
      <c r="U26" s="45"/>
      <c r="V26" s="46"/>
      <c r="W26" s="46"/>
      <c r="X26" s="45"/>
      <c r="Y26" s="237">
        <v>0.62708571428571425</v>
      </c>
      <c r="Z26" s="236">
        <v>9.6833880080189534</v>
      </c>
      <c r="AA26" s="43">
        <f t="shared" si="36"/>
        <v>1.6993485516960494E-2</v>
      </c>
      <c r="AB26" s="17">
        <v>2.4055756679250383E-2</v>
      </c>
      <c r="AC26" s="43">
        <f t="shared" si="37"/>
        <v>7.2812634267598181E-2</v>
      </c>
      <c r="AE26" s="47"/>
      <c r="AF26" s="47"/>
      <c r="AG26" s="61">
        <v>1.7000000000000001E-2</v>
      </c>
      <c r="AH26" s="61">
        <v>7.3999999999999996E-2</v>
      </c>
    </row>
    <row r="27" spans="1:34" x14ac:dyDescent="0.3">
      <c r="A27" s="58" t="s">
        <v>797</v>
      </c>
      <c r="B27" s="59" t="s">
        <v>10</v>
      </c>
      <c r="C27" s="60">
        <v>8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8.9002314653634471</v>
      </c>
      <c r="M27" s="4">
        <f t="shared" si="34"/>
        <v>5.8029509154169681</v>
      </c>
      <c r="N27" s="4">
        <f t="shared" si="34"/>
        <v>58.551774736557206</v>
      </c>
      <c r="O27" s="4">
        <f t="shared" si="35"/>
        <v>0.46423607323335747</v>
      </c>
      <c r="Q27" s="45"/>
      <c r="R27" s="45"/>
      <c r="S27" s="44"/>
      <c r="T27" s="45"/>
      <c r="U27" s="45"/>
      <c r="V27" s="46"/>
      <c r="W27" s="46"/>
      <c r="X27" s="45"/>
      <c r="Y27" s="237">
        <v>0.65200000000000002</v>
      </c>
      <c r="Z27" s="236">
        <v>10.09</v>
      </c>
      <c r="AA27" s="43">
        <f t="shared" si="36"/>
        <v>1.2995018336499202E-2</v>
      </c>
      <c r="AB27" s="17">
        <v>0</v>
      </c>
      <c r="AC27" s="43">
        <f t="shared" si="37"/>
        <v>7.8716361370376423E-2</v>
      </c>
      <c r="AE27" s="47"/>
      <c r="AF27" s="47"/>
      <c r="AG27" s="61">
        <v>1.2999999999999999E-2</v>
      </c>
      <c r="AH27" s="61">
        <v>0.08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0.9750000000000002</v>
      </c>
      <c r="AC30" s="28">
        <f>SUM(AC7:AC27)</f>
        <v>0.98000000000000032</v>
      </c>
      <c r="AD30" s="89"/>
      <c r="AE30" s="28">
        <f>SUM(AE2:AE4,AE7:AE27)</f>
        <v>1</v>
      </c>
      <c r="AF30" s="28">
        <f>SUM(AF2:AF4,AF7:AF27)</f>
        <v>0.98042268024155232</v>
      </c>
      <c r="AG30" s="28">
        <f>SUM(AG7:AG27)</f>
        <v>0.98037568475121495</v>
      </c>
    </row>
    <row r="31" spans="1:34" s="86" customFormat="1" x14ac:dyDescent="0.3">
      <c r="A31" s="102"/>
      <c r="B31" s="80"/>
      <c r="C31" s="80"/>
      <c r="D31" s="105">
        <v>1106.4549999999999</v>
      </c>
      <c r="E31" s="106">
        <v>0.61899999999999999</v>
      </c>
      <c r="F31" s="8">
        <f>1-E31</f>
        <v>0.38100000000000001</v>
      </c>
      <c r="G31" s="234">
        <v>4.53</v>
      </c>
      <c r="H31" s="275">
        <v>3.5848121502797758E-2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684.89564499999994</v>
      </c>
      <c r="E34" s="2">
        <f>SUM(E2:E4)</f>
        <v>449.2181903439236</v>
      </c>
      <c r="F34" s="2">
        <f>SUM(F2:F4)</f>
        <v>5043.7144577399695</v>
      </c>
      <c r="G34" s="2">
        <f>SUM(G2:G4)</f>
        <v>38.326073449434709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421.55935499999998</v>
      </c>
      <c r="E37" s="2">
        <f>D37*G31</f>
        <v>1909.6638781500001</v>
      </c>
      <c r="F37" s="2">
        <f>D37*H31</f>
        <v>15.112110978681054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5" t="s">
        <v>455</v>
      </c>
      <c r="E39" s="42" t="s">
        <v>456</v>
      </c>
      <c r="F39" s="35" t="s">
        <v>457</v>
      </c>
      <c r="G39" s="35" t="s">
        <v>453</v>
      </c>
      <c r="H39" s="42" t="s">
        <v>454</v>
      </c>
      <c r="I39" s="35" t="s">
        <v>458</v>
      </c>
      <c r="J39" s="36" t="s">
        <v>459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E39" s="98"/>
      <c r="AF39" s="94"/>
    </row>
    <row r="40" spans="1:32" ht="14.4" thickBot="1" x14ac:dyDescent="0.35">
      <c r="D40" s="3">
        <f>SUM(I2:I22)</f>
        <v>413.12816789999999</v>
      </c>
      <c r="E40" s="3">
        <f>SUM(J2:J4,J7:J12,J15:J22)</f>
        <v>1909.2389299674078</v>
      </c>
      <c r="F40" s="3">
        <f>SUM(K2:K4,K7:K12,K15:K22)</f>
        <v>14.874676153595631</v>
      </c>
      <c r="G40" s="3">
        <f>SUM(L7:L12,L15:L22,L24:L27)</f>
        <v>671.19773209999994</v>
      </c>
      <c r="H40" s="3">
        <f>SUM(M7:M12,M15:M22,M24:M27)</f>
        <v>449.090481227586</v>
      </c>
      <c r="I40" s="3">
        <f>SUM(N7:N12,N15:N22,N24:N27)</f>
        <v>5030.6248113622187</v>
      </c>
      <c r="J40" s="3">
        <f>SUM(O7:O12,O15:O22,O24:O27)</f>
        <v>38.103740297754783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C40" s="60"/>
    </row>
    <row r="41" spans="1:32" ht="14.4" thickTop="1" x14ac:dyDescent="0.3">
      <c r="D41" s="50">
        <f>D37-D40</f>
        <v>8.4311870999999883</v>
      </c>
      <c r="E41" s="50">
        <f>E37-E40</f>
        <v>0.4249481825922885</v>
      </c>
      <c r="F41" s="50">
        <f>F37-F40</f>
        <v>0.23743482508542257</v>
      </c>
      <c r="G41" s="50">
        <f>SUM(D2:D4)-G40</f>
        <v>13.697912900000006</v>
      </c>
      <c r="H41" s="50">
        <f>E34-H40</f>
        <v>0.12770911633759852</v>
      </c>
      <c r="I41" s="50">
        <f>F34-I40</f>
        <v>13.089646377750796</v>
      </c>
      <c r="J41" s="50">
        <f>G34-J40</f>
        <v>0.22233315167992629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C41" s="60"/>
    </row>
    <row r="42" spans="1:32" x14ac:dyDescent="0.3">
      <c r="I42" s="75"/>
      <c r="J42" s="76"/>
      <c r="K42" s="75"/>
      <c r="L42" s="75"/>
      <c r="M42" s="76"/>
      <c r="N42" s="75"/>
      <c r="Q42" s="60"/>
      <c r="R42" s="60"/>
      <c r="S42" s="60"/>
      <c r="T42" s="60"/>
      <c r="U42" s="60"/>
      <c r="V42" s="60"/>
      <c r="W42" s="60"/>
      <c r="X42" s="60"/>
      <c r="Y42" s="60"/>
      <c r="Z42" s="60"/>
      <c r="AC42" s="60"/>
    </row>
    <row r="48" spans="1:32" x14ac:dyDescent="0.3">
      <c r="N48" s="74"/>
      <c r="O48" s="74"/>
    </row>
    <row r="49" spans="14:15" x14ac:dyDescent="0.3">
      <c r="N49" s="74"/>
      <c r="O49" s="74"/>
    </row>
  </sheetData>
  <sheetProtection sheet="1" selectLockedCells="1"/>
  <conditionalFormatting sqref="AA30:AB30 AD30:AF30">
    <cfRule type="cellIs" dxfId="296" priority="14" operator="greaterThan">
      <formula>1</formula>
    </cfRule>
    <cfRule type="cellIs" dxfId="295" priority="15" operator="greaterThan">
      <formula>1</formula>
    </cfRule>
  </conditionalFormatting>
  <conditionalFormatting sqref="AC30">
    <cfRule type="cellIs" dxfId="294" priority="10" operator="greaterThan">
      <formula>1</formula>
    </cfRule>
    <cfRule type="cellIs" dxfId="293" priority="11" operator="greaterThan">
      <formula>1</formula>
    </cfRule>
  </conditionalFormatting>
  <conditionalFormatting sqref="AG30">
    <cfRule type="cellIs" dxfId="292" priority="8" operator="greaterThan">
      <formula>1</formula>
    </cfRule>
    <cfRule type="cellIs" dxfId="291" priority="9" operator="greaterThan">
      <formula>1</formula>
    </cfRule>
  </conditionalFormatting>
  <conditionalFormatting sqref="W30">
    <cfRule type="cellIs" dxfId="290" priority="2" operator="greaterThan">
      <formula>1</formula>
    </cfRule>
    <cfRule type="cellIs" dxfId="289" priority="3" operator="greaterThan">
      <formula>1</formula>
    </cfRule>
  </conditionalFormatting>
  <conditionalFormatting sqref="D41:J41">
    <cfRule type="cellIs" dxfId="288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9">
    <tabColor rgb="FF808080"/>
  </sheetPr>
  <dimension ref="A1:AH46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107</v>
      </c>
      <c r="B2" s="59" t="s">
        <v>9</v>
      </c>
      <c r="C2" s="60">
        <v>6</v>
      </c>
      <c r="D2" s="4">
        <f>D$34*Q2</f>
        <v>617.38873979999994</v>
      </c>
      <c r="E2" s="4">
        <f>D2*R2</f>
        <v>417.97217684459997</v>
      </c>
      <c r="F2" s="4">
        <f>E2*S2</f>
        <v>4614.4128323643836</v>
      </c>
      <c r="G2" s="4">
        <f>E2*T2</f>
        <v>30.093996732811195</v>
      </c>
      <c r="H2" s="4">
        <f>E2*U2</f>
        <v>9.6929929279980254</v>
      </c>
      <c r="I2" s="4">
        <f>D$37*W2</f>
        <v>31.348661726637555</v>
      </c>
      <c r="J2" s="4">
        <f>I2*V2</f>
        <v>108.49668481845534</v>
      </c>
      <c r="K2" s="4">
        <f>I2*X2</f>
        <v>0.94045985179912661</v>
      </c>
      <c r="L2" s="44"/>
      <c r="M2" s="44"/>
      <c r="N2" s="44"/>
      <c r="O2" s="44"/>
      <c r="Q2" s="43">
        <f>AE2</f>
        <v>0.98</v>
      </c>
      <c r="R2" s="61">
        <v>0.67700000000000005</v>
      </c>
      <c r="S2" s="236">
        <v>11.04</v>
      </c>
      <c r="T2" s="237">
        <v>7.1999999999999995E-2</v>
      </c>
      <c r="U2" s="61">
        <v>2.3190521917447707E-2</v>
      </c>
      <c r="V2" s="236">
        <v>3.460967034719177</v>
      </c>
      <c r="W2" s="43">
        <f>(AF2/SUM(AF$2:AF$22))*0.98</f>
        <v>7.1311545660679071E-2</v>
      </c>
      <c r="X2" s="61">
        <v>0.03</v>
      </c>
      <c r="Y2" s="64"/>
      <c r="Z2" s="65"/>
      <c r="AA2" s="1"/>
      <c r="AB2" s="1"/>
      <c r="AC2" s="1"/>
      <c r="AE2" s="61">
        <v>0.98</v>
      </c>
      <c r="AF2" s="61">
        <v>7.1334494339407264E-2</v>
      </c>
      <c r="AG2" s="47"/>
      <c r="AH2" s="47"/>
    </row>
    <row r="3" spans="1:34" x14ac:dyDescent="0.3">
      <c r="A3" s="58" t="s">
        <v>619</v>
      </c>
      <c r="B3" s="59" t="s">
        <v>9</v>
      </c>
      <c r="C3" s="60">
        <v>6</v>
      </c>
      <c r="D3" s="4">
        <f>D$34*Q3</f>
        <v>12.599770200000009</v>
      </c>
      <c r="E3" s="4">
        <f t="shared" ref="E3:E4" si="0">D3*R3</f>
        <v>8.1268517790000061</v>
      </c>
      <c r="F3" s="4">
        <f t="shared" ref="F3:F4" si="1">E3*S3</f>
        <v>81.59678102447451</v>
      </c>
      <c r="G3" s="4">
        <f t="shared" ref="G3" si="2">E3*T3</f>
        <v>0.52824536563500046</v>
      </c>
      <c r="H3" s="4">
        <f t="shared" ref="H3" si="3">E3*U3</f>
        <v>0.17854460780618633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2.0000000000000018E-2</v>
      </c>
      <c r="R3" s="61">
        <v>0.64500000000000002</v>
      </c>
      <c r="S3" s="236">
        <v>10.040392422970317</v>
      </c>
      <c r="T3" s="237">
        <v>6.5000000000000002E-2</v>
      </c>
      <c r="U3" s="61">
        <v>2.1969713815570033E-2</v>
      </c>
      <c r="V3" s="236">
        <v>2.1477272727272725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2.0000000000000018E-2</v>
      </c>
      <c r="AF3" s="61">
        <v>0</v>
      </c>
      <c r="AG3" s="47"/>
      <c r="AH3" s="47"/>
    </row>
    <row r="4" spans="1:34" x14ac:dyDescent="0.3">
      <c r="B4" s="59" t="s">
        <v>9</v>
      </c>
      <c r="C4" s="60">
        <v>6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110</v>
      </c>
      <c r="B7" s="59" t="s">
        <v>357</v>
      </c>
      <c r="C7" s="60">
        <v>6</v>
      </c>
      <c r="D7" s="44"/>
      <c r="E7" s="44"/>
      <c r="F7" s="44"/>
      <c r="G7" s="44"/>
      <c r="H7" s="44"/>
      <c r="I7" s="4">
        <f t="shared" ref="I7:I12" si="9">D$37*W7</f>
        <v>232.0349158558592</v>
      </c>
      <c r="J7" s="4">
        <f>I7*V7</f>
        <v>969.49231727326003</v>
      </c>
      <c r="K7" s="4">
        <f>I7*X7</f>
        <v>9.0957687015496802</v>
      </c>
      <c r="L7" s="7">
        <f>((D$2+D$3+D$4)*AA7)</f>
        <v>60.478896959999986</v>
      </c>
      <c r="M7" s="4">
        <f t="shared" ref="M7:N9" si="10">L7*Y7</f>
        <v>44.222169457151985</v>
      </c>
      <c r="N7" s="4">
        <f t="shared" si="10"/>
        <v>313.53518145120756</v>
      </c>
      <c r="O7" s="4">
        <f>M7*AH7</f>
        <v>0.88444338914303966</v>
      </c>
      <c r="Q7" s="45"/>
      <c r="R7" s="45"/>
      <c r="S7" s="44"/>
      <c r="T7" s="45"/>
      <c r="U7" s="45"/>
      <c r="V7" s="63">
        <v>4.1782173760241825</v>
      </c>
      <c r="W7" s="43">
        <f t="shared" ref="W7:W12" si="11">(AF7/SUM(AF$2:AF$22))*0.98</f>
        <v>0.52783013964729553</v>
      </c>
      <c r="X7" s="237">
        <v>3.9199999999999999E-2</v>
      </c>
      <c r="Y7" s="237">
        <v>0.73119999999999996</v>
      </c>
      <c r="Z7" s="63">
        <v>7.09</v>
      </c>
      <c r="AA7" s="43">
        <f>(AG7/SUM(AG$7:AG$27))*0.98</f>
        <v>9.5999999999999988E-2</v>
      </c>
      <c r="AB7" s="17">
        <v>6.733848381973366E-2</v>
      </c>
      <c r="AC7" s="43">
        <f>(AH7/SUM(AH$7:AH$27))*0.98</f>
        <v>2.5010945590706338E-2</v>
      </c>
      <c r="AE7" s="47"/>
      <c r="AF7" s="61">
        <v>0.52800000000000002</v>
      </c>
      <c r="AG7" s="61">
        <v>9.6000000000000002E-2</v>
      </c>
      <c r="AH7" s="61">
        <v>0.02</v>
      </c>
    </row>
    <row r="8" spans="1:34" x14ac:dyDescent="0.3">
      <c r="A8" s="101" t="s">
        <v>81</v>
      </c>
      <c r="B8" s="59" t="s">
        <v>357</v>
      </c>
      <c r="C8" s="60">
        <v>6</v>
      </c>
      <c r="D8" s="44"/>
      <c r="E8" s="44"/>
      <c r="F8" s="44"/>
      <c r="G8" s="44"/>
      <c r="H8" s="44"/>
      <c r="I8" s="4">
        <f t="shared" si="9"/>
        <v>53.614128284876564</v>
      </c>
      <c r="J8" s="4">
        <f>I8*V8</f>
        <v>220.55501226205058</v>
      </c>
      <c r="K8" s="4">
        <f>I8*X8</f>
        <v>1.8228803616858034</v>
      </c>
      <c r="L8" s="7">
        <f>((D$2+D$3+D$4)*AA8)</f>
        <v>36.53933357999999</v>
      </c>
      <c r="M8" s="4">
        <f t="shared" si="10"/>
        <v>25.182908703335993</v>
      </c>
      <c r="N8" s="4">
        <f t="shared" si="10"/>
        <v>216.06935667462284</v>
      </c>
      <c r="O8" s="4">
        <f t="shared" ref="O8:O12" si="12">M8*AH8</f>
        <v>0.92573338564500551</v>
      </c>
      <c r="Q8" s="45"/>
      <c r="R8" s="45"/>
      <c r="S8" s="44"/>
      <c r="T8" s="45"/>
      <c r="U8" s="45"/>
      <c r="V8" s="63">
        <v>4.1137479861677537</v>
      </c>
      <c r="W8" s="43">
        <f t="shared" si="11"/>
        <v>0.12196075196395845</v>
      </c>
      <c r="X8" s="237">
        <v>3.4000000000000002E-2</v>
      </c>
      <c r="Y8" s="237">
        <v>0.68920000000000003</v>
      </c>
      <c r="Z8" s="63">
        <v>8.58</v>
      </c>
      <c r="AA8" s="43">
        <f t="shared" ref="AA8:AA12" si="13">(AG8/SUM(AG$7:AG$27))*0.98</f>
        <v>5.7999999999999996E-2</v>
      </c>
      <c r="AB8" s="17">
        <v>7.7565598830027963E-2</v>
      </c>
      <c r="AC8" s="43">
        <f t="shared" ref="AC8:AC12" si="14">(AH8/SUM(AH$7:AH$27))*0.98</f>
        <v>4.5970597782456407E-2</v>
      </c>
      <c r="AE8" s="47"/>
      <c r="AF8" s="61">
        <v>0.122</v>
      </c>
      <c r="AG8" s="61">
        <v>5.8000000000000003E-2</v>
      </c>
      <c r="AH8" s="61">
        <v>3.67603836614145E-2</v>
      </c>
    </row>
    <row r="9" spans="1:34" x14ac:dyDescent="0.3">
      <c r="A9" s="101" t="s">
        <v>620</v>
      </c>
      <c r="B9" s="59" t="s">
        <v>357</v>
      </c>
      <c r="C9" s="60">
        <v>6</v>
      </c>
      <c r="D9" s="44"/>
      <c r="E9" s="44"/>
      <c r="F9" s="44"/>
      <c r="G9" s="44"/>
      <c r="H9" s="44"/>
      <c r="I9" s="4">
        <f t="shared" si="9"/>
        <v>40.430326247611831</v>
      </c>
      <c r="J9" s="4">
        <f>I9*V9</f>
        <v>171.02028002739806</v>
      </c>
      <c r="K9" s="4">
        <f>I9*X9</f>
        <v>0.98649996044172872</v>
      </c>
      <c r="L9" s="7">
        <f>((D$2+D$3+D$4)*AA9)</f>
        <v>28.349482949999992</v>
      </c>
      <c r="M9" s="4">
        <f t="shared" si="10"/>
        <v>19.361029238205873</v>
      </c>
      <c r="N9" s="4">
        <f t="shared" si="10"/>
        <v>167.86012349524492</v>
      </c>
      <c r="O9" s="4">
        <f t="shared" si="12"/>
        <v>0.59304616906433805</v>
      </c>
      <c r="Q9" s="45"/>
      <c r="R9" s="45"/>
      <c r="S9" s="44"/>
      <c r="T9" s="45"/>
      <c r="U9" s="45"/>
      <c r="V9" s="63">
        <v>4.2300000000000004</v>
      </c>
      <c r="W9" s="43">
        <f t="shared" si="11"/>
        <v>9.1970403120362101E-2</v>
      </c>
      <c r="X9" s="237">
        <v>2.4400000000000002E-2</v>
      </c>
      <c r="Y9" s="237">
        <v>0.68294117647058816</v>
      </c>
      <c r="Z9" s="63">
        <v>8.67</v>
      </c>
      <c r="AA9" s="43">
        <f t="shared" si="13"/>
        <v>4.4999999999999991E-2</v>
      </c>
      <c r="AB9" s="17">
        <v>3.1936167277749304E-2</v>
      </c>
      <c r="AC9" s="43">
        <f t="shared" si="14"/>
        <v>3.8305415700667277E-2</v>
      </c>
      <c r="AE9" s="47"/>
      <c r="AF9" s="61">
        <v>9.1999999999999998E-2</v>
      </c>
      <c r="AG9" s="61">
        <v>4.4999999999999998E-2</v>
      </c>
      <c r="AH9" s="61">
        <v>3.0630921619293715E-2</v>
      </c>
    </row>
    <row r="10" spans="1:34" x14ac:dyDescent="0.3">
      <c r="A10" s="58" t="s">
        <v>648</v>
      </c>
      <c r="B10" s="59" t="s">
        <v>357</v>
      </c>
      <c r="C10" s="60">
        <v>6</v>
      </c>
      <c r="D10" s="44"/>
      <c r="E10" s="44"/>
      <c r="F10" s="44"/>
      <c r="G10" s="44"/>
      <c r="H10" s="44"/>
      <c r="I10" s="4">
        <f t="shared" si="9"/>
        <v>71.631991069138351</v>
      </c>
      <c r="J10" s="4">
        <f t="shared" ref="J10:J12" si="15">I10*V10</f>
        <v>306.58492177591216</v>
      </c>
      <c r="K10" s="4">
        <f t="shared" ref="K10:K12" si="16">I10*X10</f>
        <v>2.6288940722373777</v>
      </c>
      <c r="L10" s="7">
        <f t="shared" ref="L10:L12" si="17">((D$2+D$3+D$4)*AA10)</f>
        <v>13.859747219999996</v>
      </c>
      <c r="M10" s="4">
        <f t="shared" ref="M10:N10" si="18">L10*Y10</f>
        <v>9.3155140996679968</v>
      </c>
      <c r="N10" s="4">
        <f t="shared" si="18"/>
        <v>71.506942238747072</v>
      </c>
      <c r="O10" s="4">
        <f t="shared" si="12"/>
        <v>0.2422033665913679</v>
      </c>
      <c r="Q10" s="45"/>
      <c r="R10" s="45"/>
      <c r="S10" s="44"/>
      <c r="T10" s="45"/>
      <c r="U10" s="45"/>
      <c r="V10" s="63">
        <v>4.28</v>
      </c>
      <c r="W10" s="43">
        <f t="shared" si="11"/>
        <v>0.16294756205020677</v>
      </c>
      <c r="X10" s="237">
        <v>3.6700000000000003E-2</v>
      </c>
      <c r="Y10" s="237">
        <v>0.67212727272727268</v>
      </c>
      <c r="Z10" s="63">
        <v>7.676113360323888</v>
      </c>
      <c r="AA10" s="43">
        <f t="shared" si="13"/>
        <v>2.1999999999999995E-2</v>
      </c>
      <c r="AB10" s="17">
        <v>1.4932385521307857E-2</v>
      </c>
      <c r="AC10" s="43">
        <f t="shared" si="14"/>
        <v>3.2514229267918235E-2</v>
      </c>
      <c r="AE10" s="47"/>
      <c r="AF10" s="61">
        <v>0.16300000000000001</v>
      </c>
      <c r="AG10" s="61">
        <v>2.1999999999999999E-2</v>
      </c>
      <c r="AH10" s="61">
        <v>2.5999999999999999E-2</v>
      </c>
    </row>
    <row r="11" spans="1:34" x14ac:dyDescent="0.3">
      <c r="B11" s="59" t="s">
        <v>357</v>
      </c>
      <c r="C11" s="60">
        <v>6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7.3836965287373425E-3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6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59</v>
      </c>
      <c r="B15" s="59" t="s">
        <v>358</v>
      </c>
      <c r="C15" s="60">
        <v>6</v>
      </c>
      <c r="D15" s="44"/>
      <c r="E15" s="44"/>
      <c r="F15" s="44"/>
      <c r="G15" s="44"/>
      <c r="H15" s="44"/>
      <c r="I15" s="4">
        <f t="shared" ref="I15:I22" si="21">D$37*W15</f>
        <v>0</v>
      </c>
      <c r="J15" s="4">
        <f t="shared" ref="J15:J22" si="22">I15*V15</f>
        <v>0</v>
      </c>
      <c r="K15" s="4">
        <f t="shared" ref="K15:K22" si="23">I15*X15</f>
        <v>0</v>
      </c>
      <c r="L15" s="7">
        <f t="shared" ref="L15:L20" si="24">((D$2+D$3+D$4)*AA15)</f>
        <v>144.26736878999998</v>
      </c>
      <c r="M15" s="4">
        <f t="shared" ref="M15:N19" si="25">L15*Y15</f>
        <v>103.88693226567898</v>
      </c>
      <c r="N15" s="4">
        <f t="shared" si="25"/>
        <v>1299.625522643644</v>
      </c>
      <c r="O15" s="4">
        <f t="shared" ref="O15:O22" si="26">M15*AH15</f>
        <v>9.4537108361767874</v>
      </c>
      <c r="Q15" s="45"/>
      <c r="R15" s="45"/>
      <c r="S15" s="44"/>
      <c r="T15" s="45"/>
      <c r="U15" s="45"/>
      <c r="V15" s="63">
        <v>0</v>
      </c>
      <c r="W15" s="43">
        <f t="shared" ref="W15:W22" si="27">(AF15/SUM(AF$2:AF$22))*0.98</f>
        <v>0</v>
      </c>
      <c r="X15" s="237">
        <v>0</v>
      </c>
      <c r="Y15" s="237">
        <v>0.72009999999999996</v>
      </c>
      <c r="Z15" s="63">
        <v>12.51</v>
      </c>
      <c r="AA15" s="43">
        <f t="shared" ref="AA15:AA22" si="28">(AG15/SUM(AG$7:AG$27))*0.98</f>
        <v>0.22899999999999998</v>
      </c>
      <c r="AB15" s="17">
        <v>0.11431128412235328</v>
      </c>
      <c r="AC15" s="43">
        <f t="shared" ref="AC15:AC22" si="29">(AH15/SUM(AH$7:AH$27))*0.98</f>
        <v>0.11379980243771383</v>
      </c>
      <c r="AE15" s="47"/>
      <c r="AF15" s="61">
        <v>0</v>
      </c>
      <c r="AG15" s="61">
        <v>0.22900000000000001</v>
      </c>
      <c r="AH15" s="61">
        <v>9.0999999999999998E-2</v>
      </c>
    </row>
    <row r="16" spans="1:34" x14ac:dyDescent="0.3">
      <c r="A16" s="101" t="s">
        <v>162</v>
      </c>
      <c r="B16" s="59" t="s">
        <v>358</v>
      </c>
      <c r="C16" s="60">
        <v>6</v>
      </c>
      <c r="D16" s="44"/>
      <c r="E16" s="44"/>
      <c r="F16" s="44"/>
      <c r="G16" s="44"/>
      <c r="H16" s="44"/>
      <c r="I16" s="4">
        <f t="shared" si="21"/>
        <v>1.7494370158764532</v>
      </c>
      <c r="J16" s="4">
        <f t="shared" si="22"/>
        <v>9.7218714167991465</v>
      </c>
      <c r="K16" s="4">
        <f t="shared" si="23"/>
        <v>2.4991957369663618E-2</v>
      </c>
      <c r="L16" s="7">
        <f t="shared" si="24"/>
        <v>112.76794328999996</v>
      </c>
      <c r="M16" s="4">
        <f t="shared" si="25"/>
        <v>85.624699340096967</v>
      </c>
      <c r="N16" s="4">
        <f t="shared" si="25"/>
        <v>882.79065019639972</v>
      </c>
      <c r="O16" s="4">
        <f t="shared" si="26"/>
        <v>7.1924747445681456</v>
      </c>
      <c r="Q16" s="45"/>
      <c r="R16" s="45"/>
      <c r="S16" s="44"/>
      <c r="T16" s="45"/>
      <c r="U16" s="45"/>
      <c r="V16" s="63">
        <v>5.5571428571428569</v>
      </c>
      <c r="W16" s="43">
        <f t="shared" si="27"/>
        <v>3.9795975574979355E-3</v>
      </c>
      <c r="X16" s="237">
        <v>1.4285714285714287E-2</v>
      </c>
      <c r="Y16" s="237">
        <v>0.75929999999999997</v>
      </c>
      <c r="Z16" s="63">
        <v>10.31</v>
      </c>
      <c r="AA16" s="43">
        <f t="shared" si="28"/>
        <v>0.17899999999999996</v>
      </c>
      <c r="AB16" s="17">
        <v>0.11974476710111195</v>
      </c>
      <c r="AC16" s="43">
        <f t="shared" si="29"/>
        <v>0.10504597148096662</v>
      </c>
      <c r="AE16" s="47"/>
      <c r="AF16" s="61">
        <v>3.9808782267776203E-3</v>
      </c>
      <c r="AG16" s="61">
        <v>0.17899999999999999</v>
      </c>
      <c r="AH16" s="61">
        <v>8.4000000000000005E-2</v>
      </c>
    </row>
    <row r="17" spans="1:34" x14ac:dyDescent="0.3">
      <c r="A17" s="101" t="s">
        <v>72</v>
      </c>
      <c r="B17" s="59" t="s">
        <v>358</v>
      </c>
      <c r="C17" s="60">
        <v>6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35.279356559999989</v>
      </c>
      <c r="M17" s="4">
        <f t="shared" si="25"/>
        <v>18.878375688106662</v>
      </c>
      <c r="N17" s="4">
        <f t="shared" si="25"/>
        <v>248.8169915692458</v>
      </c>
      <c r="O17" s="4">
        <f t="shared" si="26"/>
        <v>1.7402032614283327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0.53511111111111109</v>
      </c>
      <c r="Z17" s="63">
        <v>13.18</v>
      </c>
      <c r="AA17" s="43">
        <f t="shared" si="28"/>
        <v>5.5999999999999994E-2</v>
      </c>
      <c r="AB17" s="17">
        <v>0.12636730898852205</v>
      </c>
      <c r="AC17" s="43">
        <f t="shared" si="29"/>
        <v>0.11527508988968224</v>
      </c>
      <c r="AE17" s="47"/>
      <c r="AF17" s="61">
        <v>0</v>
      </c>
      <c r="AG17" s="61">
        <v>5.6000000000000001E-2</v>
      </c>
      <c r="AH17" s="61">
        <v>9.2179713455149498E-2</v>
      </c>
    </row>
    <row r="18" spans="1:34" x14ac:dyDescent="0.3">
      <c r="A18" s="58" t="s">
        <v>578</v>
      </c>
      <c r="B18" s="59" t="s">
        <v>358</v>
      </c>
      <c r="C18" s="60">
        <v>6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16.379701259999994</v>
      </c>
      <c r="M18" s="4">
        <f t="shared" si="25"/>
        <v>9.9408406946939962</v>
      </c>
      <c r="N18" s="4">
        <f t="shared" si="25"/>
        <v>134.40016619226282</v>
      </c>
      <c r="O18" s="4">
        <f t="shared" si="26"/>
        <v>0.90461650321715359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0.6069</v>
      </c>
      <c r="Z18" s="63">
        <v>13.52</v>
      </c>
      <c r="AA18" s="43">
        <f t="shared" si="28"/>
        <v>2.5999999999999995E-2</v>
      </c>
      <c r="AB18" s="17">
        <v>7.9410025759840117E-2</v>
      </c>
      <c r="AC18" s="43">
        <f t="shared" si="29"/>
        <v>0.11379980243771383</v>
      </c>
      <c r="AE18" s="47"/>
      <c r="AF18" s="61">
        <v>0</v>
      </c>
      <c r="AG18" s="61">
        <v>2.5999999999999999E-2</v>
      </c>
      <c r="AH18" s="61">
        <v>9.0999999999999998E-2</v>
      </c>
    </row>
    <row r="19" spans="1:34" x14ac:dyDescent="0.3">
      <c r="A19" s="58" t="s">
        <v>767</v>
      </c>
      <c r="B19" s="59" t="s">
        <v>358</v>
      </c>
      <c r="C19" s="60">
        <v>6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17.639678279999995</v>
      </c>
      <c r="M19" s="4">
        <f t="shared" si="25"/>
        <v>10.035212973491996</v>
      </c>
      <c r="N19" s="4">
        <f t="shared" si="25"/>
        <v>143.2399050194409</v>
      </c>
      <c r="O19" s="4">
        <f t="shared" si="26"/>
        <v>0.85077478946913287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0.56889999999999996</v>
      </c>
      <c r="Z19" s="63">
        <v>14.273728459755556</v>
      </c>
      <c r="AA19" s="43">
        <f t="shared" si="28"/>
        <v>2.7999999999999997E-2</v>
      </c>
      <c r="AB19" s="17">
        <v>4.9865651337289124E-2</v>
      </c>
      <c r="AC19" s="43">
        <f t="shared" si="29"/>
        <v>0.10602008161443476</v>
      </c>
      <c r="AE19" s="47"/>
      <c r="AF19" s="61">
        <v>0</v>
      </c>
      <c r="AG19" s="61">
        <v>2.8000000000000001E-2</v>
      </c>
      <c r="AH19" s="61">
        <v>8.4778947065344154E-2</v>
      </c>
    </row>
    <row r="20" spans="1:34" x14ac:dyDescent="0.3">
      <c r="B20" s="59" t="s">
        <v>358</v>
      </c>
      <c r="C20" s="60">
        <v>6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0</v>
      </c>
      <c r="M20" s="4">
        <f t="shared" ref="M20:N20" si="30">L20*Y20</f>
        <v>0</v>
      </c>
      <c r="N20" s="4">
        <f t="shared" si="30"/>
        <v>0</v>
      </c>
      <c r="O20" s="4">
        <f t="shared" si="26"/>
        <v>0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</v>
      </c>
      <c r="Z20" s="63">
        <v>0</v>
      </c>
      <c r="AA20" s="43">
        <f t="shared" si="28"/>
        <v>0</v>
      </c>
      <c r="AB20" s="17">
        <v>1.5945331092137506E-2</v>
      </c>
      <c r="AC20" s="43">
        <f t="shared" si="29"/>
        <v>0</v>
      </c>
      <c r="AE20" s="47"/>
      <c r="AF20" s="61">
        <v>0</v>
      </c>
      <c r="AG20" s="61">
        <v>0</v>
      </c>
      <c r="AH20" s="61">
        <v>0</v>
      </c>
    </row>
    <row r="21" spans="1:34" x14ac:dyDescent="0.3">
      <c r="B21" s="59" t="s">
        <v>358</v>
      </c>
      <c r="C21" s="60">
        <v>6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6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108</v>
      </c>
      <c r="B24" s="59" t="s">
        <v>10</v>
      </c>
      <c r="C24" s="60">
        <v>6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114.65790881999996</v>
      </c>
      <c r="M24" s="4">
        <f t="shared" ref="M24:N27" si="34">L24*Y24</f>
        <v>75.032135531807967</v>
      </c>
      <c r="N24" s="4">
        <f t="shared" si="34"/>
        <v>958.16037074118765</v>
      </c>
      <c r="O24" s="4">
        <f t="shared" ref="O24:O27" si="35">M24*AH24</f>
        <v>6.0025708425446371</v>
      </c>
      <c r="Q24" s="45"/>
      <c r="R24" s="45"/>
      <c r="S24" s="44"/>
      <c r="T24" s="45"/>
      <c r="U24" s="45"/>
      <c r="V24" s="46"/>
      <c r="W24" s="46"/>
      <c r="X24" s="45"/>
      <c r="Y24" s="237">
        <v>0.65439999999999998</v>
      </c>
      <c r="Z24" s="236">
        <v>12.77</v>
      </c>
      <c r="AA24" s="43">
        <f t="shared" ref="AA24:AA27" si="36">(AG24/SUM(AG$7:AG$27))*0.98</f>
        <v>0.18199999999999997</v>
      </c>
      <c r="AB24" s="17">
        <v>0.23022113205181891</v>
      </c>
      <c r="AC24" s="43">
        <f t="shared" ref="AC24:AC27" si="37">(AH24/SUM(AH$7:AH$27))*0.98</f>
        <v>0.10004378236282535</v>
      </c>
      <c r="AE24" s="47"/>
      <c r="AF24" s="47"/>
      <c r="AG24" s="61">
        <v>0.182</v>
      </c>
      <c r="AH24" s="61">
        <v>0.08</v>
      </c>
    </row>
    <row r="25" spans="1:34" x14ac:dyDescent="0.3">
      <c r="A25" s="66" t="s">
        <v>109</v>
      </c>
      <c r="B25" s="59" t="s">
        <v>10</v>
      </c>
      <c r="C25" s="60">
        <v>6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28.979471459999992</v>
      </c>
      <c r="M25" s="4">
        <f t="shared" si="34"/>
        <v>18.894615391919995</v>
      </c>
      <c r="N25" s="4">
        <f t="shared" si="34"/>
        <v>207.65182315720074</v>
      </c>
      <c r="O25" s="4">
        <f t="shared" si="35"/>
        <v>1.4737800005697597</v>
      </c>
      <c r="Q25" s="45"/>
      <c r="R25" s="45"/>
      <c r="S25" s="44"/>
      <c r="T25" s="45"/>
      <c r="U25" s="45"/>
      <c r="V25" s="46"/>
      <c r="W25" s="46"/>
      <c r="X25" s="45"/>
      <c r="Y25" s="237">
        <v>0.65200000000000002</v>
      </c>
      <c r="Z25" s="236">
        <v>10.99</v>
      </c>
      <c r="AA25" s="43">
        <f t="shared" si="36"/>
        <v>4.5999999999999992E-2</v>
      </c>
      <c r="AB25" s="17">
        <v>2.6598810973024269E-2</v>
      </c>
      <c r="AC25" s="43">
        <f t="shared" si="37"/>
        <v>9.7542687803754705E-2</v>
      </c>
      <c r="AE25" s="47"/>
      <c r="AF25" s="47"/>
      <c r="AG25" s="61">
        <v>4.5999999999999999E-2</v>
      </c>
      <c r="AH25" s="61">
        <v>7.8E-2</v>
      </c>
    </row>
    <row r="26" spans="1:34" x14ac:dyDescent="0.3">
      <c r="A26" s="58" t="s">
        <v>793</v>
      </c>
      <c r="B26" s="59" t="s">
        <v>10</v>
      </c>
      <c r="C26" s="60">
        <v>6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8.1898506299999969</v>
      </c>
      <c r="M26" s="4">
        <f t="shared" si="34"/>
        <v>5.0613276893399979</v>
      </c>
      <c r="N26" s="4">
        <f t="shared" si="34"/>
        <v>45.602562480953381</v>
      </c>
      <c r="O26" s="4">
        <f t="shared" si="35"/>
        <v>0.35078508737999975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9.01</v>
      </c>
      <c r="AA26" s="43">
        <f t="shared" si="36"/>
        <v>1.2999999999999998E-2</v>
      </c>
      <c r="AB26" s="17">
        <v>1.3379356596346597E-2</v>
      </c>
      <c r="AC26" s="43">
        <f t="shared" si="37"/>
        <v>8.6671593631160546E-2</v>
      </c>
      <c r="AE26" s="47"/>
      <c r="AF26" s="47"/>
      <c r="AG26" s="61">
        <v>1.2999999999999999E-2</v>
      </c>
      <c r="AH26" s="61">
        <v>6.9306930693069285E-2</v>
      </c>
    </row>
    <row r="27" spans="1:34" x14ac:dyDescent="0.3">
      <c r="B27" s="59" t="s">
        <v>10</v>
      </c>
      <c r="C27" s="60">
        <v>6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0.97500000000000009</v>
      </c>
      <c r="AC30" s="28">
        <f>SUM(AC7:AC27)</f>
        <v>0.9800000000000002</v>
      </c>
      <c r="AD30" s="89"/>
      <c r="AE30" s="28">
        <f>SUM(AE2:AE4,AE7:AE27)</f>
        <v>1</v>
      </c>
      <c r="AF30" s="28">
        <f>SUM(AF2:AF4,AF7:AF27)</f>
        <v>0.98031537256618495</v>
      </c>
      <c r="AG30" s="28">
        <f>SUM(AG7:AG27)</f>
        <v>0.98000000000000009</v>
      </c>
    </row>
    <row r="31" spans="1:34" s="86" customFormat="1" x14ac:dyDescent="0.3">
      <c r="A31" s="102"/>
      <c r="B31" s="80"/>
      <c r="C31" s="80"/>
      <c r="D31" s="105">
        <v>1069.5899999999999</v>
      </c>
      <c r="E31" s="106">
        <v>0.58899999999999997</v>
      </c>
      <c r="F31" s="8">
        <f>1-E31</f>
        <v>0.41100000000000003</v>
      </c>
      <c r="G31" s="234">
        <v>4.07</v>
      </c>
      <c r="H31" s="275">
        <v>3.5299999999999998E-2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629.98850999999991</v>
      </c>
      <c r="E34" s="2">
        <f>SUM(E2:E4)</f>
        <v>426.09902862359996</v>
      </c>
      <c r="F34" s="2">
        <f>SUM(F2:F4)</f>
        <v>4696.0096133888583</v>
      </c>
      <c r="G34" s="2">
        <f>SUM(G2:G4)</f>
        <v>30.622242098446197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439.60149000000001</v>
      </c>
      <c r="E37" s="2">
        <f>D37*G31</f>
        <v>1789.1780643000002</v>
      </c>
      <c r="F37" s="2">
        <f>D37*H31</f>
        <v>15.517932597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430.80946019999999</v>
      </c>
      <c r="E40" s="3">
        <f>SUM(J2:J4,J7:J12,J15:J22)</f>
        <v>1785.871087573875</v>
      </c>
      <c r="F40" s="3">
        <f>SUM(K2:K4,K7:K12,K15:K22)</f>
        <v>15.499494905083379</v>
      </c>
      <c r="G40" s="3">
        <f>SUM(L7:L12,L15:L22,L24:L27)</f>
        <v>617.38873979999983</v>
      </c>
      <c r="H40" s="3">
        <f>SUM(M7:M12,M15:M22,M24:M27)</f>
        <v>425.43576107349833</v>
      </c>
      <c r="I40" s="3">
        <f>SUM(N7:N12,N15:N22,N24:N27)</f>
        <v>4689.2595958601578</v>
      </c>
      <c r="J40" s="3">
        <f>SUM(O7:O12,O15:O22,O24:O27)</f>
        <v>30.614342375797701</v>
      </c>
    </row>
    <row r="41" spans="1:32" ht="14.4" thickTop="1" x14ac:dyDescent="0.3">
      <c r="D41" s="50">
        <f>D37-D40</f>
        <v>8.792029800000023</v>
      </c>
      <c r="E41" s="50">
        <f>E37-E40</f>
        <v>3.3069767261251855</v>
      </c>
      <c r="F41" s="50">
        <f>F37-F40</f>
        <v>1.843769191662048E-2</v>
      </c>
      <c r="G41" s="50">
        <f>SUM(D2:D4)-G40</f>
        <v>12.59977020000008</v>
      </c>
      <c r="H41" s="50">
        <f>E34-H40</f>
        <v>0.66326755010163652</v>
      </c>
      <c r="I41" s="50">
        <f>F34-I40</f>
        <v>6.7500175287004822</v>
      </c>
      <c r="J41" s="50">
        <f>G34-J40</f>
        <v>7.8997226484958105E-3</v>
      </c>
    </row>
    <row r="42" spans="1:32" x14ac:dyDescent="0.3">
      <c r="A42" s="113"/>
      <c r="B42" s="74"/>
      <c r="C42" s="75"/>
      <c r="D42" s="76"/>
      <c r="E42" s="75"/>
      <c r="F42" s="75"/>
      <c r="G42" s="76"/>
      <c r="H42" s="75"/>
      <c r="I42" s="60"/>
      <c r="J42" s="60"/>
      <c r="K42" s="60"/>
      <c r="L42" s="60"/>
      <c r="M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C42" s="60"/>
    </row>
    <row r="43" spans="1:32" x14ac:dyDescent="0.3">
      <c r="A43" s="113"/>
      <c r="B43" s="74"/>
      <c r="C43" s="75"/>
      <c r="D43" s="76"/>
      <c r="E43" s="75"/>
      <c r="F43" s="75"/>
      <c r="G43" s="76"/>
      <c r="H43" s="75"/>
      <c r="I43" s="60"/>
      <c r="J43" s="60"/>
      <c r="K43" s="60"/>
      <c r="L43" s="60"/>
      <c r="M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C43" s="60"/>
    </row>
    <row r="44" spans="1:32" x14ac:dyDescent="0.3">
      <c r="A44" s="113"/>
      <c r="B44" s="74"/>
      <c r="C44" s="75"/>
      <c r="D44" s="76"/>
      <c r="E44" s="75"/>
      <c r="F44" s="75"/>
      <c r="G44" s="76"/>
      <c r="H44" s="75"/>
      <c r="I44" s="60"/>
      <c r="J44" s="60"/>
      <c r="K44" s="60"/>
      <c r="L44" s="60"/>
      <c r="M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C44" s="60"/>
    </row>
    <row r="45" spans="1:32" x14ac:dyDescent="0.3">
      <c r="A45" s="113"/>
      <c r="B45" s="74"/>
      <c r="C45" s="75"/>
      <c r="D45" s="76"/>
      <c r="E45" s="75"/>
      <c r="F45" s="75"/>
      <c r="G45" s="76"/>
      <c r="H45" s="75"/>
      <c r="I45" s="60"/>
      <c r="J45" s="60"/>
      <c r="K45" s="60"/>
      <c r="L45" s="60"/>
      <c r="M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C45" s="60"/>
    </row>
    <row r="46" spans="1:32" x14ac:dyDescent="0.3">
      <c r="N46" s="74"/>
      <c r="O46" s="74"/>
    </row>
  </sheetData>
  <sheetProtection sheet="1" selectLockedCells="1"/>
  <conditionalFormatting sqref="AA30:AB30 AD30:AF30">
    <cfRule type="cellIs" dxfId="287" priority="14" operator="greaterThan">
      <formula>1</formula>
    </cfRule>
    <cfRule type="cellIs" dxfId="286" priority="15" operator="greaterThan">
      <formula>1</formula>
    </cfRule>
  </conditionalFormatting>
  <conditionalFormatting sqref="AC30">
    <cfRule type="cellIs" dxfId="285" priority="10" operator="greaterThan">
      <formula>1</formula>
    </cfRule>
    <cfRule type="cellIs" dxfId="284" priority="11" operator="greaterThan">
      <formula>1</formula>
    </cfRule>
  </conditionalFormatting>
  <conditionalFormatting sqref="AG30">
    <cfRule type="cellIs" dxfId="283" priority="8" operator="greaterThan">
      <formula>1</formula>
    </cfRule>
    <cfRule type="cellIs" dxfId="282" priority="9" operator="greaterThan">
      <formula>1</formula>
    </cfRule>
  </conditionalFormatting>
  <conditionalFormatting sqref="W30">
    <cfRule type="cellIs" dxfId="281" priority="2" operator="greaterThan">
      <formula>1</formula>
    </cfRule>
    <cfRule type="cellIs" dxfId="280" priority="3" operator="greaterThan">
      <formula>1</formula>
    </cfRule>
  </conditionalFormatting>
  <conditionalFormatting sqref="D41:J41">
    <cfRule type="cellIs" dxfId="279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rgb="FF6AE4FC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213</v>
      </c>
      <c r="B2" s="59" t="s">
        <v>9</v>
      </c>
      <c r="C2" s="60">
        <v>8</v>
      </c>
      <c r="D2" s="4">
        <f>D$34*Q2</f>
        <v>683.19667350000009</v>
      </c>
      <c r="E2" s="4">
        <f>D2*R2</f>
        <v>453.42264227056302</v>
      </c>
      <c r="F2" s="4">
        <f>E2*S2</f>
        <v>5155.4198459273193</v>
      </c>
      <c r="G2" s="4">
        <f>E2*T2</f>
        <v>38.268871007635518</v>
      </c>
      <c r="H2" s="4">
        <f>E2*U2</f>
        <v>10.238594983099787</v>
      </c>
      <c r="I2" s="4">
        <f>D$37*W2</f>
        <v>56.347575291854504</v>
      </c>
      <c r="J2" s="4">
        <f>I2*V2</f>
        <v>272.72226441257578</v>
      </c>
      <c r="K2" s="4">
        <f>I2*X2</f>
        <v>3.1154603058103687</v>
      </c>
      <c r="L2" s="44"/>
      <c r="M2" s="44"/>
      <c r="N2" s="44"/>
      <c r="O2" s="44"/>
      <c r="Q2" s="43">
        <f>AE2</f>
        <v>0.99</v>
      </c>
      <c r="R2" s="61">
        <v>0.66367805912708822</v>
      </c>
      <c r="S2" s="236">
        <v>11.3700097112729</v>
      </c>
      <c r="T2" s="237">
        <v>8.4400000000000003E-2</v>
      </c>
      <c r="U2" s="61">
        <v>2.25806874836001E-2</v>
      </c>
      <c r="V2" s="236">
        <v>4.84</v>
      </c>
      <c r="W2" s="43">
        <f>(AF2/SUM(AF$2:AF$22))*0.98</f>
        <v>0.12558595902345973</v>
      </c>
      <c r="X2" s="61">
        <v>5.529005089702118E-2</v>
      </c>
      <c r="Y2" s="64"/>
      <c r="Z2" s="65"/>
      <c r="AA2" s="1"/>
      <c r="AB2" s="1"/>
      <c r="AC2" s="1"/>
      <c r="AE2" s="61">
        <v>0.99</v>
      </c>
      <c r="AF2" s="61">
        <v>0.12556740383707798</v>
      </c>
      <c r="AG2" s="47"/>
      <c r="AH2" s="47"/>
    </row>
    <row r="3" spans="1:34" x14ac:dyDescent="0.3">
      <c r="A3" s="58" t="s">
        <v>270</v>
      </c>
      <c r="B3" s="59" t="s">
        <v>9</v>
      </c>
      <c r="C3" s="60">
        <v>8</v>
      </c>
      <c r="D3" s="4">
        <f>D$34*Q3</f>
        <v>6.9009765000000067</v>
      </c>
      <c r="E3" s="4">
        <f t="shared" ref="E3:E4" si="0">D3*R3</f>
        <v>4.0724876447204776</v>
      </c>
      <c r="F3" s="4">
        <f t="shared" ref="F3:F4" si="1">E3*S3</f>
        <v>45.897800100391699</v>
      </c>
      <c r="G3" s="4">
        <f t="shared" ref="G3" si="2">E3*T3</f>
        <v>0.32130717646674889</v>
      </c>
      <c r="H3" s="4">
        <f t="shared" ref="H3" si="3">E3*U3</f>
        <v>9.7480755556701978E-2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0.59013208416525886</v>
      </c>
      <c r="S3" s="236">
        <v>11.270212239905266</v>
      </c>
      <c r="T3" s="237">
        <v>7.8897029161841048E-2</v>
      </c>
      <c r="U3" s="61">
        <v>2.3936415297189376E-2</v>
      </c>
      <c r="V3" s="236">
        <v>3.7905405405405403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1.0000000000000009E-2</v>
      </c>
      <c r="AF3" s="61">
        <v>0</v>
      </c>
      <c r="AG3" s="47"/>
      <c r="AH3" s="47"/>
    </row>
    <row r="4" spans="1:34" x14ac:dyDescent="0.3">
      <c r="B4" s="59" t="s">
        <v>9</v>
      </c>
      <c r="C4" s="60">
        <v>8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16</v>
      </c>
      <c r="B7" s="59" t="s">
        <v>357</v>
      </c>
      <c r="C7" s="60">
        <v>8</v>
      </c>
      <c r="D7" s="44"/>
      <c r="E7" s="44"/>
      <c r="F7" s="44"/>
      <c r="G7" s="44"/>
      <c r="H7" s="44"/>
      <c r="I7" s="4">
        <f t="shared" ref="I7:I12" si="9">D$37*W7</f>
        <v>191.61353913823001</v>
      </c>
      <c r="J7" s="4">
        <f>I7*V7</f>
        <v>845.01570759959441</v>
      </c>
      <c r="K7" s="4">
        <f>I7*X7</f>
        <v>7.6837029194430224</v>
      </c>
      <c r="L7" s="7">
        <f>((D$2+D$3+D$4)*AA7)</f>
        <v>91.788707509266928</v>
      </c>
      <c r="M7" s="4">
        <f t="shared" ref="M7:N9" si="10">L7*Y7</f>
        <v>74.193267968359308</v>
      </c>
      <c r="N7" s="4">
        <f t="shared" si="10"/>
        <v>677.3845365511205</v>
      </c>
      <c r="O7" s="4">
        <f>M7*AH7</f>
        <v>5.6665964725697329</v>
      </c>
      <c r="Q7" s="45"/>
      <c r="R7" s="45"/>
      <c r="S7" s="44"/>
      <c r="T7" s="45"/>
      <c r="U7" s="45"/>
      <c r="V7" s="63">
        <v>4.41</v>
      </c>
      <c r="W7" s="43">
        <f t="shared" ref="W7:W12" si="11">(AF7/SUM(AF$2:AF$22))*0.98</f>
        <v>0.42706309809984833</v>
      </c>
      <c r="X7" s="237">
        <v>4.0099999999999997E-2</v>
      </c>
      <c r="Y7" s="237">
        <v>0.80830496453900713</v>
      </c>
      <c r="Z7" s="63">
        <v>9.1300000000000008</v>
      </c>
      <c r="AA7" s="43">
        <f>(AG7/SUM(AG$7:AG$27))*0.98</f>
        <v>0.1330082887679257</v>
      </c>
      <c r="AB7" s="17">
        <v>0.17226888316103126</v>
      </c>
      <c r="AC7" s="43">
        <f>(AH7/SUM(AH$7:AH$27))*0.98</f>
        <v>7.8862440170356707E-2</v>
      </c>
      <c r="AE7" s="47"/>
      <c r="AF7" s="61">
        <v>0.42699999999999999</v>
      </c>
      <c r="AG7" s="61">
        <v>0.13300000000000001</v>
      </c>
      <c r="AH7" s="61">
        <v>7.637615416787312E-2</v>
      </c>
    </row>
    <row r="8" spans="1:34" x14ac:dyDescent="0.3">
      <c r="A8" s="101" t="s">
        <v>647</v>
      </c>
      <c r="B8" s="59" t="s">
        <v>357</v>
      </c>
      <c r="C8" s="60">
        <v>8</v>
      </c>
      <c r="D8" s="44"/>
      <c r="E8" s="44"/>
      <c r="F8" s="44"/>
      <c r="G8" s="44"/>
      <c r="H8" s="44"/>
      <c r="I8" s="4">
        <f t="shared" si="9"/>
        <v>135.07183906465394</v>
      </c>
      <c r="J8" s="4">
        <f>I8*V8</f>
        <v>571.79329848445252</v>
      </c>
      <c r="K8" s="4">
        <f>I8*X8</f>
        <v>4.0386479880331532</v>
      </c>
      <c r="L8" s="7">
        <f>((D$2+D$3+D$4)*AA8)</f>
        <v>35.70639180615148</v>
      </c>
      <c r="M8" s="4">
        <f t="shared" si="10"/>
        <v>23.994695293733798</v>
      </c>
      <c r="N8" s="4">
        <f t="shared" si="10"/>
        <v>186.4387824323116</v>
      </c>
      <c r="O8" s="4">
        <f t="shared" ref="O8:O12" si="12">M8*AH8</f>
        <v>0.7738482244257211</v>
      </c>
      <c r="Q8" s="45"/>
      <c r="R8" s="45"/>
      <c r="S8" s="44"/>
      <c r="T8" s="45"/>
      <c r="U8" s="45"/>
      <c r="V8" s="63">
        <v>4.2332532261647522</v>
      </c>
      <c r="W8" s="43">
        <f t="shared" si="11"/>
        <v>0.30104447898841769</v>
      </c>
      <c r="X8" s="237">
        <v>2.9899999999999999E-2</v>
      </c>
      <c r="Y8" s="237">
        <v>0.67200000000000015</v>
      </c>
      <c r="Z8" s="63">
        <v>7.77</v>
      </c>
      <c r="AA8" s="43">
        <f t="shared" ref="AA8:AA12" si="13">(AG8/SUM(AG$7:AG$27))*0.98</f>
        <v>5.1741071435544635E-2</v>
      </c>
      <c r="AB8" s="17">
        <v>3.8812397966613718E-2</v>
      </c>
      <c r="AC8" s="43">
        <f t="shared" ref="AC8:AC12" si="14">(AH8/SUM(AH$7:AH$27))*0.98</f>
        <v>3.3300670343037089E-2</v>
      </c>
      <c r="AE8" s="47"/>
      <c r="AF8" s="61">
        <v>0.30099999999999999</v>
      </c>
      <c r="AG8" s="61">
        <v>5.1737847052031924E-2</v>
      </c>
      <c r="AH8" s="61">
        <v>3.2250804394578461E-2</v>
      </c>
    </row>
    <row r="9" spans="1:34" x14ac:dyDescent="0.3">
      <c r="A9" s="101" t="s">
        <v>237</v>
      </c>
      <c r="B9" s="59" t="s">
        <v>357</v>
      </c>
      <c r="C9" s="60">
        <v>8</v>
      </c>
      <c r="D9" s="44"/>
      <c r="E9" s="44"/>
      <c r="F9" s="44"/>
      <c r="G9" s="44"/>
      <c r="H9" s="44"/>
      <c r="I9" s="4">
        <f t="shared" si="9"/>
        <v>37.245723064339792</v>
      </c>
      <c r="J9" s="4">
        <f>I9*V9</f>
        <v>148.61043502671578</v>
      </c>
      <c r="K9" s="4">
        <f>I9*X9</f>
        <v>0.52080968304487962</v>
      </c>
      <c r="L9" s="7">
        <f>((D$2+D$3+D$4)*AA9)</f>
        <v>9.5116046458928611</v>
      </c>
      <c r="M9" s="4">
        <f t="shared" si="10"/>
        <v>6.3917983220400032</v>
      </c>
      <c r="N9" s="4">
        <f t="shared" si="10"/>
        <v>46.217280153657335</v>
      </c>
      <c r="O9" s="4">
        <f t="shared" si="12"/>
        <v>5.2403265649919609E-2</v>
      </c>
      <c r="Q9" s="45"/>
      <c r="R9" s="45"/>
      <c r="S9" s="44"/>
      <c r="T9" s="45"/>
      <c r="U9" s="45"/>
      <c r="V9" s="63">
        <v>3.99</v>
      </c>
      <c r="W9" s="43">
        <f t="shared" si="11"/>
        <v>8.3012264970228136E-2</v>
      </c>
      <c r="X9" s="237">
        <v>1.3983073496659242E-2</v>
      </c>
      <c r="Y9" s="237">
        <v>0.67200000000000004</v>
      </c>
      <c r="Z9" s="63">
        <v>7.2307162749945233</v>
      </c>
      <c r="AA9" s="43">
        <f t="shared" si="13"/>
        <v>1.3782983677589483E-2</v>
      </c>
      <c r="AB9" s="17">
        <v>3.1632841041911976E-2</v>
      </c>
      <c r="AC9" s="43">
        <f t="shared" si="14"/>
        <v>8.4654044743461988E-3</v>
      </c>
      <c r="AE9" s="47"/>
      <c r="AF9" s="61">
        <v>8.3000000000000004E-2</v>
      </c>
      <c r="AG9" s="61">
        <v>1.3782124754028511E-2</v>
      </c>
      <c r="AH9" s="61">
        <v>8.1985167568920745E-3</v>
      </c>
    </row>
    <row r="10" spans="1:34" x14ac:dyDescent="0.3">
      <c r="A10" s="58" t="s">
        <v>729</v>
      </c>
      <c r="B10" s="59" t="s">
        <v>357</v>
      </c>
      <c r="C10" s="60">
        <v>8</v>
      </c>
      <c r="D10" s="44"/>
      <c r="E10" s="44"/>
      <c r="F10" s="44"/>
      <c r="G10" s="44"/>
      <c r="H10" s="44"/>
      <c r="I10" s="4">
        <f t="shared" si="9"/>
        <v>10.769847633062108</v>
      </c>
      <c r="J10" s="4">
        <f t="shared" ref="J10:J12" si="15">I10*V10</f>
        <v>41.356214910958492</v>
      </c>
      <c r="K10" s="4">
        <f t="shared" ref="K10:K12" si="16">I10*X10</f>
        <v>0.28711983620664849</v>
      </c>
      <c r="L10" s="7">
        <f t="shared" ref="L10:L12" si="17">((D$2+D$3+D$4)*AA10)</f>
        <v>6.5004050901617836</v>
      </c>
      <c r="M10" s="4">
        <f t="shared" ref="M10:N10" si="18">L10*Y10</f>
        <v>3.6347265077220001</v>
      </c>
      <c r="N10" s="4">
        <f t="shared" si="18"/>
        <v>21.285326452154369</v>
      </c>
      <c r="O10" s="4">
        <f t="shared" si="12"/>
        <v>2.5001558039083781E-2</v>
      </c>
      <c r="Q10" s="45"/>
      <c r="R10" s="45"/>
      <c r="S10" s="44"/>
      <c r="T10" s="45"/>
      <c r="U10" s="45"/>
      <c r="V10" s="63">
        <v>3.84</v>
      </c>
      <c r="W10" s="43">
        <f t="shared" si="11"/>
        <v>2.4003546497415363E-2</v>
      </c>
      <c r="X10" s="237">
        <v>2.6659600580162889E-2</v>
      </c>
      <c r="Y10" s="237">
        <v>0.55915384615384611</v>
      </c>
      <c r="Z10" s="63">
        <v>5.8561012518915945</v>
      </c>
      <c r="AA10" s="43">
        <f t="shared" si="13"/>
        <v>9.4195438720328685E-3</v>
      </c>
      <c r="AB10" s="17">
        <v>5.8004810822843405E-3</v>
      </c>
      <c r="AC10" s="43">
        <f t="shared" si="14"/>
        <v>7.1024430522873315E-3</v>
      </c>
      <c r="AE10" s="47"/>
      <c r="AF10" s="61">
        <v>2.4E-2</v>
      </c>
      <c r="AG10" s="61">
        <v>9.4189568679157228E-3</v>
      </c>
      <c r="AH10" s="61">
        <v>6.8785252441876466E-3</v>
      </c>
    </row>
    <row r="11" spans="1:34" x14ac:dyDescent="0.3">
      <c r="B11" s="59" t="s">
        <v>357</v>
      </c>
      <c r="C11" s="60">
        <v>8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4.7695903319167005E-3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8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17</v>
      </c>
      <c r="B15" s="59" t="s">
        <v>358</v>
      </c>
      <c r="C15" s="60">
        <v>8</v>
      </c>
      <c r="D15" s="44"/>
      <c r="E15" s="44"/>
      <c r="F15" s="44"/>
      <c r="G15" s="44"/>
      <c r="H15" s="44"/>
      <c r="I15" s="4">
        <f t="shared" ref="I15:I22" si="21">D$37*W15</f>
        <v>0.12501847134070501</v>
      </c>
      <c r="J15" s="4">
        <f t="shared" ref="J15:J22" si="22">I15*V15</f>
        <v>0.80011821658051208</v>
      </c>
      <c r="K15" s="4">
        <f t="shared" ref="K15:K22" si="23">I15*X15</f>
        <v>0</v>
      </c>
      <c r="L15" s="7">
        <f t="shared" ref="L15:L20" si="24">((D$2+D$3+D$4)*AA15)</f>
        <v>144.23939751456231</v>
      </c>
      <c r="M15" s="4">
        <f t="shared" ref="M15:N19" si="25">L15*Y15</f>
        <v>100.71892109018958</v>
      </c>
      <c r="N15" s="4">
        <f t="shared" si="25"/>
        <v>1098.8434290939683</v>
      </c>
      <c r="O15" s="4">
        <f t="shared" ref="O15:O22" si="26">M15*AH15</f>
        <v>6.8488866341328922</v>
      </c>
      <c r="Q15" s="45"/>
      <c r="R15" s="45"/>
      <c r="S15" s="44"/>
      <c r="T15" s="45"/>
      <c r="U15" s="45"/>
      <c r="V15" s="63">
        <v>6.4</v>
      </c>
      <c r="W15" s="43">
        <f t="shared" ref="W15:W22" si="27">(AF15/SUM(AF$2:AF$22))*0.98</f>
        <v>2.786378036259352E-4</v>
      </c>
      <c r="X15" s="237">
        <v>0</v>
      </c>
      <c r="Y15" s="237">
        <v>0.6982760800842992</v>
      </c>
      <c r="Z15" s="63">
        <v>10.91</v>
      </c>
      <c r="AA15" s="43">
        <f t="shared" ref="AA15:AA22" si="28">(AG15/SUM(AG$7:AG$27))*0.98</f>
        <v>0.20901302520674039</v>
      </c>
      <c r="AB15" s="17">
        <v>0.21754526431185253</v>
      </c>
      <c r="AC15" s="43">
        <f t="shared" ref="AC15:AC22" si="29">(AH15/SUM(AH$7:AH$27))*0.98</f>
        <v>7.0213615624024187E-2</v>
      </c>
      <c r="AE15" s="47"/>
      <c r="AF15" s="61">
        <v>2.7859663519899094E-4</v>
      </c>
      <c r="AG15" s="61">
        <v>0.20899999999999999</v>
      </c>
      <c r="AH15" s="61">
        <v>6.8000000000000005E-2</v>
      </c>
    </row>
    <row r="16" spans="1:34" x14ac:dyDescent="0.3">
      <c r="A16" s="66" t="s">
        <v>18</v>
      </c>
      <c r="B16" s="59" t="s">
        <v>358</v>
      </c>
      <c r="C16" s="60">
        <v>8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115.94363053802141</v>
      </c>
      <c r="M16" s="4">
        <f t="shared" si="25"/>
        <v>72.668063202681012</v>
      </c>
      <c r="N16" s="4">
        <f t="shared" si="25"/>
        <v>1093.2870602124804</v>
      </c>
      <c r="O16" s="4">
        <f t="shared" si="26"/>
        <v>8.6474995211190393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0.62675338753387544</v>
      </c>
      <c r="Z16" s="63">
        <v>15.044945634000944</v>
      </c>
      <c r="AA16" s="43">
        <f t="shared" si="28"/>
        <v>0.16801047002264302</v>
      </c>
      <c r="AB16" s="17">
        <v>0.11259283959625212</v>
      </c>
      <c r="AC16" s="43">
        <f t="shared" si="29"/>
        <v>0.12287382734204234</v>
      </c>
      <c r="AE16" s="47"/>
      <c r="AF16" s="61">
        <v>0</v>
      </c>
      <c r="AG16" s="61">
        <v>0.16800000000000001</v>
      </c>
      <c r="AH16" s="61">
        <v>0.11899999999999999</v>
      </c>
    </row>
    <row r="17" spans="1:34" x14ac:dyDescent="0.3">
      <c r="A17" s="66" t="s">
        <v>338</v>
      </c>
      <c r="B17" s="59" t="s">
        <v>358</v>
      </c>
      <c r="C17" s="60">
        <v>8</v>
      </c>
      <c r="D17" s="44"/>
      <c r="E17" s="44"/>
      <c r="F17" s="44"/>
      <c r="G17" s="44"/>
      <c r="H17" s="44"/>
      <c r="I17" s="4">
        <f t="shared" si="21"/>
        <v>0.60308910574756092</v>
      </c>
      <c r="J17" s="4">
        <f t="shared" si="22"/>
        <v>4.1093571529689745</v>
      </c>
      <c r="K17" s="4">
        <f t="shared" si="23"/>
        <v>0</v>
      </c>
      <c r="L17" s="7">
        <f t="shared" si="24"/>
        <v>84.197160271658376</v>
      </c>
      <c r="M17" s="4">
        <f t="shared" si="25"/>
        <v>45.008773833291244</v>
      </c>
      <c r="N17" s="4">
        <f t="shared" si="25"/>
        <v>582.41353340278863</v>
      </c>
      <c r="O17" s="4">
        <f t="shared" si="26"/>
        <v>4.5880372379855032</v>
      </c>
      <c r="Q17" s="45"/>
      <c r="R17" s="45"/>
      <c r="S17" s="44"/>
      <c r="T17" s="45"/>
      <c r="U17" s="45"/>
      <c r="V17" s="63">
        <v>6.8138474295190727</v>
      </c>
      <c r="W17" s="43">
        <f t="shared" si="27"/>
        <v>1.3441487646915114E-3</v>
      </c>
      <c r="X17" s="237">
        <v>0</v>
      </c>
      <c r="Y17" s="237">
        <v>0.5345640362225097</v>
      </c>
      <c r="Z17" s="63">
        <v>12.94</v>
      </c>
      <c r="AA17" s="43">
        <f t="shared" si="28"/>
        <v>0.12200760323072883</v>
      </c>
      <c r="AB17" s="17">
        <v>6.732665020365261E-2</v>
      </c>
      <c r="AC17" s="43">
        <f t="shared" si="29"/>
        <v>0.10525486466320252</v>
      </c>
      <c r="AE17" s="47"/>
      <c r="AF17" s="61">
        <v>1.3439501681999323E-3</v>
      </c>
      <c r="AG17" s="61">
        <v>0.122</v>
      </c>
      <c r="AH17" s="61">
        <v>0.10193650809016064</v>
      </c>
    </row>
    <row r="18" spans="1:34" x14ac:dyDescent="0.3">
      <c r="A18" s="58" t="s">
        <v>258</v>
      </c>
      <c r="B18" s="59" t="s">
        <v>358</v>
      </c>
      <c r="C18" s="60">
        <v>8</v>
      </c>
      <c r="D18" s="44"/>
      <c r="E18" s="44"/>
      <c r="F18" s="44"/>
      <c r="G18" s="44"/>
      <c r="H18" s="44"/>
      <c r="I18" s="4">
        <f t="shared" si="21"/>
        <v>7.9271712307714228</v>
      </c>
      <c r="J18" s="4">
        <f t="shared" si="22"/>
        <v>42.385595758172137</v>
      </c>
      <c r="K18" s="4">
        <f t="shared" si="23"/>
        <v>6.6676518048376002E-2</v>
      </c>
      <c r="L18" s="7">
        <f t="shared" si="24"/>
        <v>48.309846057508921</v>
      </c>
      <c r="M18" s="4">
        <f t="shared" si="25"/>
        <v>32.814128914521049</v>
      </c>
      <c r="N18" s="4">
        <f t="shared" si="25"/>
        <v>472.40138083379622</v>
      </c>
      <c r="O18" s="4">
        <f t="shared" si="26"/>
        <v>2.8694079597913409</v>
      </c>
      <c r="Q18" s="45"/>
      <c r="R18" s="45"/>
      <c r="S18" s="44"/>
      <c r="T18" s="45"/>
      <c r="U18" s="45"/>
      <c r="V18" s="63">
        <v>5.3468752628480107</v>
      </c>
      <c r="W18" s="43">
        <f t="shared" si="27"/>
        <v>1.7667865852313298E-2</v>
      </c>
      <c r="X18" s="237">
        <v>8.4111363445201447E-3</v>
      </c>
      <c r="Y18" s="237">
        <v>0.67924308588064042</v>
      </c>
      <c r="Z18" s="63">
        <v>14.396279787416423</v>
      </c>
      <c r="AA18" s="43">
        <f t="shared" si="28"/>
        <v>7.0004362509434592E-2</v>
      </c>
      <c r="AB18" s="17">
        <v>5.820001817091993E-2</v>
      </c>
      <c r="AC18" s="43">
        <f t="shared" si="29"/>
        <v>9.0290871207503051E-2</v>
      </c>
      <c r="AE18" s="47"/>
      <c r="AF18" s="61">
        <v>1.7665255444697617E-2</v>
      </c>
      <c r="AG18" s="61">
        <v>7.0000000000000007E-2</v>
      </c>
      <c r="AH18" s="61">
        <v>8.7444282530430309E-2</v>
      </c>
    </row>
    <row r="19" spans="1:34" x14ac:dyDescent="0.3">
      <c r="A19" s="77" t="s">
        <v>571</v>
      </c>
      <c r="B19" s="59" t="s">
        <v>358</v>
      </c>
      <c r="C19" s="60">
        <v>8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11.732391185395022</v>
      </c>
      <c r="M19" s="4">
        <f t="shared" si="25"/>
        <v>7.4787589663233121</v>
      </c>
      <c r="N19" s="4">
        <f t="shared" si="25"/>
        <v>97.822167279508918</v>
      </c>
      <c r="O19" s="4">
        <f t="shared" si="26"/>
        <v>0.59082195833954165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0.63744541484716166</v>
      </c>
      <c r="Z19" s="63">
        <v>13.08</v>
      </c>
      <c r="AA19" s="43">
        <f t="shared" si="28"/>
        <v>1.700105946657697E-2</v>
      </c>
      <c r="AB19" s="17">
        <v>4.1588881440112538E-2</v>
      </c>
      <c r="AC19" s="43">
        <f t="shared" si="29"/>
        <v>8.1571700504381048E-2</v>
      </c>
      <c r="AE19" s="47"/>
      <c r="AF19" s="61">
        <v>0</v>
      </c>
      <c r="AG19" s="61">
        <v>1.7000000000000001E-2</v>
      </c>
      <c r="AH19" s="61">
        <v>7.9000000000000001E-2</v>
      </c>
    </row>
    <row r="20" spans="1:34" s="112" customFormat="1" x14ac:dyDescent="0.3">
      <c r="A20" s="77" t="s">
        <v>769</v>
      </c>
      <c r="B20" s="59" t="s">
        <v>358</v>
      </c>
      <c r="C20" s="60">
        <v>8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8.9718285535373692</v>
      </c>
      <c r="M20" s="4">
        <f t="shared" ref="M20:N20" si="30">L20*Y20</f>
        <v>5.6023893261906146</v>
      </c>
      <c r="N20" s="4">
        <f t="shared" si="30"/>
        <v>68.610333511532119</v>
      </c>
      <c r="O20" s="4">
        <f t="shared" si="26"/>
        <v>0.34507032898220652</v>
      </c>
      <c r="P20" s="99"/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0.6244423076923078</v>
      </c>
      <c r="Z20" s="63">
        <v>12.246620060977486</v>
      </c>
      <c r="AA20" s="43">
        <f t="shared" si="28"/>
        <v>1.3000810180323565E-2</v>
      </c>
      <c r="AB20" s="17">
        <v>1.1847873943922642E-2</v>
      </c>
      <c r="AC20" s="43">
        <f t="shared" si="29"/>
        <v>6.3598483012012694E-2</v>
      </c>
      <c r="AE20" s="47"/>
      <c r="AF20" s="61">
        <v>0</v>
      </c>
      <c r="AG20" s="61">
        <v>1.2999999999999999E-2</v>
      </c>
      <c r="AH20" s="61">
        <v>6.1593421822549344E-2</v>
      </c>
    </row>
    <row r="21" spans="1:34" s="112" customFormat="1" x14ac:dyDescent="0.3">
      <c r="A21" s="77"/>
      <c r="B21" s="59" t="s">
        <v>358</v>
      </c>
      <c r="C21" s="60">
        <v>8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P21" s="99"/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1.0656048748898988E-2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s="112" customFormat="1" x14ac:dyDescent="0.3">
      <c r="A22" s="77"/>
      <c r="B22" s="59" t="s">
        <v>358</v>
      </c>
      <c r="C22" s="60">
        <v>8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P22" s="99"/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74</v>
      </c>
      <c r="B24" s="59" t="s">
        <v>10</v>
      </c>
      <c r="C24" s="60">
        <v>8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77.985894349978679</v>
      </c>
      <c r="M24" s="4">
        <f t="shared" ref="M24:N27" si="34">L24*Y24</f>
        <v>54.192408952280417</v>
      </c>
      <c r="N24" s="4">
        <f t="shared" si="34"/>
        <v>569.12460424581741</v>
      </c>
      <c r="O24" s="4">
        <f t="shared" ref="O24:O27" si="35">M24*AH24</f>
        <v>4.9315092146575177</v>
      </c>
      <c r="Q24" s="45"/>
      <c r="R24" s="45"/>
      <c r="S24" s="44"/>
      <c r="T24" s="45"/>
      <c r="U24" s="45"/>
      <c r="V24" s="46"/>
      <c r="W24" s="46"/>
      <c r="X24" s="45"/>
      <c r="Y24" s="237">
        <v>0.69490014064697625</v>
      </c>
      <c r="Z24" s="236">
        <v>10.501924812882278</v>
      </c>
      <c r="AA24" s="43">
        <f t="shared" ref="AA24:AA27" si="36">(AG24/SUM(AG$7:AG$27))*0.98</f>
        <v>0.11300704233665869</v>
      </c>
      <c r="AB24" s="17">
        <v>9.6811652968729178E-2</v>
      </c>
      <c r="AC24" s="43">
        <f t="shared" ref="AC24:AC27" si="37">(AH24/SUM(AH$7:AH$27))*0.98</f>
        <v>9.3962338555679426E-2</v>
      </c>
      <c r="AE24" s="47"/>
      <c r="AF24" s="47"/>
      <c r="AG24" s="61">
        <v>0.113</v>
      </c>
      <c r="AH24" s="61">
        <v>9.0999999999999998E-2</v>
      </c>
    </row>
    <row r="25" spans="1:34" x14ac:dyDescent="0.3">
      <c r="A25" s="77" t="s">
        <v>616</v>
      </c>
      <c r="B25" s="59" t="s">
        <v>10</v>
      </c>
      <c r="C25" s="60">
        <v>8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28.295766976540936</v>
      </c>
      <c r="M25" s="4">
        <f t="shared" si="34"/>
        <v>18.369941502547089</v>
      </c>
      <c r="N25" s="4">
        <f t="shared" si="34"/>
        <v>183.88311444049637</v>
      </c>
      <c r="O25" s="4">
        <f t="shared" si="35"/>
        <v>2.4053411572600738</v>
      </c>
      <c r="Q25" s="45"/>
      <c r="R25" s="45"/>
      <c r="S25" s="44"/>
      <c r="T25" s="45"/>
      <c r="U25" s="45"/>
      <c r="V25" s="46"/>
      <c r="W25" s="46"/>
      <c r="X25" s="45"/>
      <c r="Y25" s="237">
        <v>0.64921164772727269</v>
      </c>
      <c r="Z25" s="236">
        <v>10.01</v>
      </c>
      <c r="AA25" s="43">
        <f t="shared" si="36"/>
        <v>4.10025551840974E-2</v>
      </c>
      <c r="AB25" s="17">
        <v>5.2694290929165631E-2</v>
      </c>
      <c r="AC25" s="43">
        <f t="shared" si="37"/>
        <v>0.13520144518591384</v>
      </c>
      <c r="AE25" s="47"/>
      <c r="AF25" s="47"/>
      <c r="AG25" s="61">
        <v>4.1000000000000002E-2</v>
      </c>
      <c r="AH25" s="61">
        <v>0.13093896662254262</v>
      </c>
    </row>
    <row r="26" spans="1:34" x14ac:dyDescent="0.3">
      <c r="A26" s="58" t="s">
        <v>288</v>
      </c>
      <c r="B26" s="59" t="s">
        <v>10</v>
      </c>
      <c r="C26" s="60">
        <v>8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13.112672501323846</v>
      </c>
      <c r="M26" s="4">
        <f t="shared" si="34"/>
        <v>8.5494624708631477</v>
      </c>
      <c r="N26" s="4">
        <f t="shared" si="34"/>
        <v>93.189140932408307</v>
      </c>
      <c r="O26" s="4">
        <f t="shared" si="35"/>
        <v>0.73941297045302901</v>
      </c>
      <c r="Q26" s="45"/>
      <c r="R26" s="45"/>
      <c r="S26" s="44"/>
      <c r="T26" s="45"/>
      <c r="U26" s="45"/>
      <c r="V26" s="46"/>
      <c r="W26" s="46"/>
      <c r="X26" s="45"/>
      <c r="Y26" s="237">
        <v>0.65200000000000002</v>
      </c>
      <c r="Z26" s="236">
        <v>10.9</v>
      </c>
      <c r="AA26" s="43">
        <f t="shared" si="36"/>
        <v>1.9001184109703671E-2</v>
      </c>
      <c r="AB26" s="17">
        <v>2.4998304401732552E-2</v>
      </c>
      <c r="AC26" s="43">
        <f t="shared" si="37"/>
        <v>8.9301895865213601E-2</v>
      </c>
      <c r="AE26" s="47"/>
      <c r="AF26" s="47"/>
      <c r="AG26" s="61">
        <v>1.9E-2</v>
      </c>
      <c r="AH26" s="61">
        <v>8.6486486486486491E-2</v>
      </c>
    </row>
    <row r="27" spans="1:34" x14ac:dyDescent="0.3">
      <c r="B27" s="59" t="s">
        <v>10</v>
      </c>
      <c r="C27" s="60">
        <v>8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2.7453981701003237E-2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0.97499999999999987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0.97985520608517451</v>
      </c>
      <c r="AG30" s="28">
        <f>SUM(AG7:AG27)</f>
        <v>0.97993892867397636</v>
      </c>
    </row>
    <row r="31" spans="1:34" s="86" customFormat="1" x14ac:dyDescent="0.3">
      <c r="A31" s="102"/>
      <c r="B31" s="80"/>
      <c r="C31" s="80"/>
      <c r="D31" s="105">
        <v>1138.7750000000001</v>
      </c>
      <c r="E31" s="106">
        <v>0.60599999999999998</v>
      </c>
      <c r="F31" s="8">
        <f>1-E31</f>
        <v>0.39400000000000002</v>
      </c>
      <c r="G31" s="234">
        <v>4.3099999999999996</v>
      </c>
      <c r="H31" s="275">
        <v>3.5163854518185232E-2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690.09765000000004</v>
      </c>
      <c r="E34" s="2">
        <f>SUM(E2:E4)</f>
        <v>457.49512991528348</v>
      </c>
      <c r="F34" s="2">
        <f>SUM(F2:F4)</f>
        <v>5201.3176460277109</v>
      </c>
      <c r="G34" s="2">
        <f>SUM(G2:G4)</f>
        <v>38.590178184102264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448.67735000000005</v>
      </c>
      <c r="E37" s="2">
        <f>D37*G31</f>
        <v>1933.7993785000001</v>
      </c>
      <c r="F37" s="2">
        <f>D37*H31</f>
        <v>15.777225061004879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439.70380300000005</v>
      </c>
      <c r="E40" s="3">
        <f>SUM(J2:J4,J7:J12,J15:J22)</f>
        <v>1926.7929915620184</v>
      </c>
      <c r="F40" s="3">
        <f>SUM(K2:K4,K7:K12,K15:K22)</f>
        <v>15.71241725058645</v>
      </c>
      <c r="G40" s="3">
        <f>SUM(L7:L12,L15:L22,L24:L27)</f>
        <v>676.2956969999999</v>
      </c>
      <c r="H40" s="3">
        <f>SUM(M7:M12,M15:M22,M24:M27)</f>
        <v>453.61733635074256</v>
      </c>
      <c r="I40" s="3">
        <f>SUM(N7:N12,N15:N22,N24:N27)</f>
        <v>5190.9006895420407</v>
      </c>
      <c r="J40" s="3">
        <f>SUM(O7:O12,O15:O22,O24:O27)</f>
        <v>38.483836503405612</v>
      </c>
    </row>
    <row r="41" spans="1:32" ht="14.4" thickTop="1" x14ac:dyDescent="0.3">
      <c r="D41" s="50">
        <f>D37-D40</f>
        <v>8.9735469999999964</v>
      </c>
      <c r="E41" s="50">
        <f>E37-E40</f>
        <v>7.0063869379816879</v>
      </c>
      <c r="F41" s="50">
        <f>F37-F40</f>
        <v>6.4807810418429312E-2</v>
      </c>
      <c r="G41" s="50">
        <f>SUM(D2:D4)-G40</f>
        <v>13.80195300000014</v>
      </c>
      <c r="H41" s="50">
        <f>E34-H40</f>
        <v>3.8777935645409229</v>
      </c>
      <c r="I41" s="50">
        <f>F34-I40</f>
        <v>10.416956485670198</v>
      </c>
      <c r="J41" s="50">
        <f>G34-J40</f>
        <v>0.10634168069665151</v>
      </c>
    </row>
  </sheetData>
  <sheetProtection sheet="1" selectLockedCells="1"/>
  <conditionalFormatting sqref="AA30:AB30 AD30:AF30">
    <cfRule type="cellIs" dxfId="278" priority="14" operator="greaterThan">
      <formula>1</formula>
    </cfRule>
    <cfRule type="cellIs" dxfId="277" priority="15" operator="greaterThan">
      <formula>1</formula>
    </cfRule>
  </conditionalFormatting>
  <conditionalFormatting sqref="AC30">
    <cfRule type="cellIs" dxfId="276" priority="10" operator="greaterThan">
      <formula>1</formula>
    </cfRule>
    <cfRule type="cellIs" dxfId="275" priority="11" operator="greaterThan">
      <formula>1</formula>
    </cfRule>
  </conditionalFormatting>
  <conditionalFormatting sqref="AG30">
    <cfRule type="cellIs" dxfId="274" priority="8" operator="greaterThan">
      <formula>1</formula>
    </cfRule>
    <cfRule type="cellIs" dxfId="273" priority="9" operator="greaterThan">
      <formula>1</formula>
    </cfRule>
  </conditionalFormatting>
  <conditionalFormatting sqref="W30">
    <cfRule type="cellIs" dxfId="272" priority="2" operator="greaterThan">
      <formula>1</formula>
    </cfRule>
    <cfRule type="cellIs" dxfId="271" priority="3" operator="greaterThan">
      <formula>1</formula>
    </cfRule>
  </conditionalFormatting>
  <conditionalFormatting sqref="D41:J41">
    <cfRule type="cellIs" dxfId="270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rgb="FF057AFB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56</v>
      </c>
      <c r="B2" s="59" t="s">
        <v>9</v>
      </c>
      <c r="C2" s="60">
        <v>7</v>
      </c>
      <c r="D2" s="4">
        <f>D$34*Q2</f>
        <v>601.25340399999993</v>
      </c>
      <c r="E2" s="4">
        <f>D2*R2</f>
        <v>401.63727387199998</v>
      </c>
      <c r="F2" s="4">
        <f>E2*S2</f>
        <v>4800.0594957390258</v>
      </c>
      <c r="G2" s="4">
        <f>E2*T2</f>
        <v>37.753903743967996</v>
      </c>
      <c r="H2" s="4">
        <f>E2*U2</f>
        <v>10.532452986454619</v>
      </c>
      <c r="I2" s="4">
        <f>D$37*W2</f>
        <v>26.400119748850717</v>
      </c>
      <c r="J2" s="4">
        <f>I2*V2</f>
        <v>69.595709957570037</v>
      </c>
      <c r="K2" s="4">
        <f>I2*X2</f>
        <v>0.98545643210168243</v>
      </c>
      <c r="L2" s="44"/>
      <c r="M2" s="44"/>
      <c r="N2" s="44"/>
      <c r="O2" s="44"/>
      <c r="Q2" s="43">
        <f>AE2</f>
        <v>0.95</v>
      </c>
      <c r="R2" s="61">
        <v>0.66800000000000004</v>
      </c>
      <c r="S2" s="236">
        <v>11.951230147201885</v>
      </c>
      <c r="T2" s="237">
        <v>9.4E-2</v>
      </c>
      <c r="U2" s="61">
        <v>2.6223793635775112E-2</v>
      </c>
      <c r="V2" s="236">
        <v>2.6361891771570378</v>
      </c>
      <c r="W2" s="43">
        <f>(AF2/SUM(AF$2:AF$22))*0.98</f>
        <v>5.8558705876327756E-2</v>
      </c>
      <c r="X2" s="61">
        <v>3.732772583899293E-2</v>
      </c>
      <c r="Y2" s="64"/>
      <c r="Z2" s="65"/>
      <c r="AA2" s="1"/>
      <c r="AB2" s="1"/>
      <c r="AC2" s="1"/>
      <c r="AE2" s="61">
        <v>0.95</v>
      </c>
      <c r="AF2" s="61">
        <v>5.8543467930204006E-2</v>
      </c>
      <c r="AG2" s="47"/>
      <c r="AH2" s="47"/>
    </row>
    <row r="3" spans="1:34" x14ac:dyDescent="0.3">
      <c r="A3" s="58" t="s">
        <v>271</v>
      </c>
      <c r="B3" s="59" t="s">
        <v>9</v>
      </c>
      <c r="C3" s="60">
        <v>7</v>
      </c>
      <c r="D3" s="4">
        <f>D$34*Q3</f>
        <v>31.64491600000003</v>
      </c>
      <c r="E3" s="4">
        <f t="shared" ref="E3:E4" si="0">D3*R3</f>
        <v>19.418155963271403</v>
      </c>
      <c r="F3" s="4">
        <f t="shared" ref="F3:F4" si="1">E3*S3</f>
        <v>192.55396018820144</v>
      </c>
      <c r="G3" s="4">
        <f t="shared" ref="G3" si="2">E3*T3</f>
        <v>1.3613028161816281</v>
      </c>
      <c r="H3" s="4">
        <f t="shared" ref="H3" si="3">E3*U3</f>
        <v>0.4442618080657289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5.0000000000000044E-2</v>
      </c>
      <c r="R3" s="61">
        <v>0.61362640252454403</v>
      </c>
      <c r="S3" s="236">
        <v>9.916181564944111</v>
      </c>
      <c r="T3" s="237">
        <v>7.0104639120031439E-2</v>
      </c>
      <c r="U3" s="61">
        <v>2.2878681626928469E-2</v>
      </c>
      <c r="V3" s="236">
        <v>4.3175675675675667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5.0000000000000044E-2</v>
      </c>
      <c r="AF3" s="61">
        <v>0</v>
      </c>
      <c r="AG3" s="47"/>
      <c r="AH3" s="47"/>
    </row>
    <row r="4" spans="1:34" x14ac:dyDescent="0.3">
      <c r="B4" s="59" t="s">
        <v>9</v>
      </c>
      <c r="C4" s="60">
        <v>7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77" t="s">
        <v>617</v>
      </c>
      <c r="B7" s="59" t="s">
        <v>357</v>
      </c>
      <c r="C7" s="60">
        <v>7</v>
      </c>
      <c r="D7" s="44"/>
      <c r="E7" s="44"/>
      <c r="F7" s="44"/>
      <c r="G7" s="44"/>
      <c r="H7" s="44"/>
      <c r="I7" s="4">
        <f t="shared" ref="I7:I12" si="9">D$37*W7</f>
        <v>271.02036367192011</v>
      </c>
      <c r="J7" s="4">
        <f>I7*V7</f>
        <v>1140.9957310587836</v>
      </c>
      <c r="K7" s="4">
        <f>I7*X7</f>
        <v>9.3231005103140525</v>
      </c>
      <c r="L7" s="7">
        <f>((D$2+D$3+D$4)*AA7)</f>
        <v>49.38389247562403</v>
      </c>
      <c r="M7" s="4">
        <f t="shared" ref="M7:M11" si="10">L7*Y7</f>
        <v>34.97014815766606</v>
      </c>
      <c r="N7" s="4">
        <f t="shared" ref="N7:N11" si="11">M7*Z7</f>
        <v>280.09888092439837</v>
      </c>
      <c r="O7" s="4">
        <f>M7*AH7</f>
        <v>2.0632387413022975</v>
      </c>
      <c r="Q7" s="45"/>
      <c r="R7" s="45"/>
      <c r="S7" s="44"/>
      <c r="T7" s="45"/>
      <c r="U7" s="45"/>
      <c r="V7" s="63">
        <v>4.21</v>
      </c>
      <c r="W7" s="43">
        <f t="shared" ref="W7:W12" si="12">(AF7/SUM(AF$2:AF$22))*0.98</f>
        <v>0.60115643086998694</v>
      </c>
      <c r="X7" s="237">
        <v>3.44E-2</v>
      </c>
      <c r="Y7" s="237">
        <v>0.70812863070539411</v>
      </c>
      <c r="Z7" s="63">
        <v>8.0096566837963437</v>
      </c>
      <c r="AA7" s="43">
        <f t="shared" ref="AA7:AA11" si="13">(AG7/SUM(AG$7:AG$27))*0.98</f>
        <v>7.802816173634973E-2</v>
      </c>
      <c r="AB7" s="17">
        <v>3.4404333853593171E-2</v>
      </c>
      <c r="AC7" s="43">
        <f t="shared" ref="AC7:AC11" si="14">(AH7/SUM(AH$7:AH$27))*0.98</f>
        <v>5.5553820014243499E-2</v>
      </c>
      <c r="AE7" s="47"/>
      <c r="AF7" s="61">
        <v>0.60099999999999998</v>
      </c>
      <c r="AG7" s="61">
        <v>7.8E-2</v>
      </c>
      <c r="AH7" s="61">
        <v>5.8999999999999997E-2</v>
      </c>
    </row>
    <row r="8" spans="1:34" x14ac:dyDescent="0.3">
      <c r="A8" s="77" t="s">
        <v>727</v>
      </c>
      <c r="B8" s="59" t="s">
        <v>357</v>
      </c>
      <c r="C8" s="60">
        <v>7</v>
      </c>
      <c r="D8" s="44"/>
      <c r="E8" s="44"/>
      <c r="F8" s="44"/>
      <c r="G8" s="44"/>
      <c r="H8" s="44"/>
      <c r="I8" s="4">
        <f t="shared" si="9"/>
        <v>96.503091224277711</v>
      </c>
      <c r="J8" s="4">
        <f>I8*V8</f>
        <v>437.15900324597806</v>
      </c>
      <c r="K8" s="4">
        <f>I8*X8</f>
        <v>3.5090672805230461</v>
      </c>
      <c r="L8" s="7">
        <f>((D$2+D$3+D$4)*AA8)</f>
        <v>32.289468157138785</v>
      </c>
      <c r="M8" s="4">
        <f t="shared" si="10"/>
        <v>23.669096894871732</v>
      </c>
      <c r="N8" s="4">
        <f t="shared" si="11"/>
        <v>157.72580132642193</v>
      </c>
      <c r="O8" s="4">
        <f t="shared" ref="O8:O12" si="15">M8*AH8</f>
        <v>1.3728076199025605</v>
      </c>
      <c r="Q8" s="45"/>
      <c r="R8" s="45"/>
      <c r="S8" s="44"/>
      <c r="T8" s="45"/>
      <c r="U8" s="45"/>
      <c r="V8" s="63">
        <v>4.53</v>
      </c>
      <c r="W8" s="43">
        <f t="shared" si="12"/>
        <v>0.21405570084222497</v>
      </c>
      <c r="X8" s="237">
        <v>3.6362226701814236E-2</v>
      </c>
      <c r="Y8" s="237">
        <v>0.73302839116719243</v>
      </c>
      <c r="Z8" s="63">
        <v>6.6637862030382582</v>
      </c>
      <c r="AA8" s="43">
        <f t="shared" si="13"/>
        <v>5.1018413442997894E-2</v>
      </c>
      <c r="AB8" s="17">
        <v>8.7665651879794172E-3</v>
      </c>
      <c r="AC8" s="43">
        <f t="shared" si="14"/>
        <v>5.4612229844510571E-2</v>
      </c>
      <c r="AE8" s="47"/>
      <c r="AF8" s="61">
        <v>0.214</v>
      </c>
      <c r="AG8" s="61">
        <v>5.0999999999999997E-2</v>
      </c>
      <c r="AH8" s="61">
        <v>5.8000000000000003E-2</v>
      </c>
    </row>
    <row r="9" spans="1:34" x14ac:dyDescent="0.3">
      <c r="A9" s="58" t="s">
        <v>665</v>
      </c>
      <c r="B9" s="59" t="s">
        <v>357</v>
      </c>
      <c r="C9" s="60">
        <v>7</v>
      </c>
      <c r="D9" s="44"/>
      <c r="E9" s="44"/>
      <c r="F9" s="44"/>
      <c r="G9" s="44"/>
      <c r="H9" s="44"/>
      <c r="I9" s="4">
        <f t="shared" si="9"/>
        <v>34.723074879763473</v>
      </c>
      <c r="J9" s="4">
        <f t="shared" ref="J9:J11" si="16">I9*V9</f>
        <v>148.61476048538768</v>
      </c>
      <c r="K9" s="4">
        <f t="shared" ref="K9:K11" si="17">I9*X9</f>
        <v>1.2916983855272011</v>
      </c>
      <c r="L9" s="7">
        <f t="shared" ref="L9:L11" si="18">((D$2+D$3+D$4)*AA9)</f>
        <v>7.1025634401036282</v>
      </c>
      <c r="M9" s="4">
        <f t="shared" si="10"/>
        <v>4.8017330299292134</v>
      </c>
      <c r="N9" s="4">
        <f t="shared" si="11"/>
        <v>39.814369706496393</v>
      </c>
      <c r="O9" s="4">
        <f t="shared" si="15"/>
        <v>0.30010831437057583</v>
      </c>
      <c r="Q9" s="45"/>
      <c r="R9" s="45"/>
      <c r="S9" s="44"/>
      <c r="T9" s="45"/>
      <c r="U9" s="45"/>
      <c r="V9" s="63">
        <v>4.28</v>
      </c>
      <c r="W9" s="43">
        <f t="shared" si="12"/>
        <v>7.7020041891828608E-2</v>
      </c>
      <c r="X9" s="237">
        <v>3.7199999999999997E-2</v>
      </c>
      <c r="Y9" s="237">
        <v>0.676056338028169</v>
      </c>
      <c r="Z9" s="63">
        <v>8.2916666666666661</v>
      </c>
      <c r="AA9" s="43">
        <f t="shared" si="13"/>
        <v>1.1222282024865587E-2</v>
      </c>
      <c r="AB9" s="17">
        <v>3.893395254108944E-3</v>
      </c>
      <c r="AC9" s="43">
        <f t="shared" si="14"/>
        <v>5.8849385608308796E-2</v>
      </c>
      <c r="AE9" s="47"/>
      <c r="AF9" s="61">
        <v>7.6999999999999999E-2</v>
      </c>
      <c r="AG9" s="61">
        <v>1.1218231705844944E-2</v>
      </c>
      <c r="AH9" s="61">
        <v>6.25E-2</v>
      </c>
    </row>
    <row r="10" spans="1:34" x14ac:dyDescent="0.3">
      <c r="A10" s="58" t="s">
        <v>309</v>
      </c>
      <c r="B10" s="59" t="s">
        <v>357</v>
      </c>
      <c r="C10" s="60">
        <v>7</v>
      </c>
      <c r="D10" s="44"/>
      <c r="E10" s="44"/>
      <c r="F10" s="44"/>
      <c r="G10" s="44"/>
      <c r="H10" s="44"/>
      <c r="I10" s="4">
        <f t="shared" si="9"/>
        <v>8.1170824394252286</v>
      </c>
      <c r="J10" s="4">
        <f t="shared" si="16"/>
        <v>31.457597190577371</v>
      </c>
      <c r="K10" s="4">
        <f t="shared" si="17"/>
        <v>0.1760058225608834</v>
      </c>
      <c r="L10" s="7">
        <f t="shared" si="18"/>
        <v>3.1627450827369503</v>
      </c>
      <c r="M10" s="4">
        <f t="shared" si="10"/>
        <v>2.0307986176253956</v>
      </c>
      <c r="N10" s="4">
        <f t="shared" si="11"/>
        <v>13.427162624770263</v>
      </c>
      <c r="O10" s="4">
        <f t="shared" si="15"/>
        <v>2.3891748442651711E-2</v>
      </c>
      <c r="Q10" s="45"/>
      <c r="R10" s="45"/>
      <c r="S10" s="44"/>
      <c r="T10" s="45"/>
      <c r="U10" s="45"/>
      <c r="V10" s="63">
        <v>3.8754808054906102</v>
      </c>
      <c r="W10" s="43">
        <f t="shared" si="12"/>
        <v>1.8004685117570324E-2</v>
      </c>
      <c r="X10" s="237">
        <v>2.1683384870653893E-2</v>
      </c>
      <c r="Y10" s="237">
        <v>0.6421</v>
      </c>
      <c r="Z10" s="63">
        <v>6.6117647058823534</v>
      </c>
      <c r="AA10" s="43">
        <f t="shared" si="13"/>
        <v>4.9972404457274437E-3</v>
      </c>
      <c r="AB10" s="17">
        <v>0</v>
      </c>
      <c r="AC10" s="43">
        <f t="shared" si="14"/>
        <v>1.1077531408622832E-2</v>
      </c>
      <c r="AE10" s="47"/>
      <c r="AF10" s="61">
        <v>1.7999999999999999E-2</v>
      </c>
      <c r="AG10" s="61">
        <v>4.9954368537322323E-3</v>
      </c>
      <c r="AH10" s="61">
        <v>1.1764705882352941E-2</v>
      </c>
    </row>
    <row r="11" spans="1:34" x14ac:dyDescent="0.3">
      <c r="B11" s="59" t="s">
        <v>357</v>
      </c>
      <c r="C11" s="60">
        <v>7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6"/>
        <v>0</v>
      </c>
      <c r="K11" s="4">
        <f t="shared" si="17"/>
        <v>0</v>
      </c>
      <c r="L11" s="7">
        <f t="shared" si="18"/>
        <v>0</v>
      </c>
      <c r="M11" s="4">
        <f t="shared" si="10"/>
        <v>0</v>
      </c>
      <c r="N11" s="4">
        <f t="shared" si="11"/>
        <v>0</v>
      </c>
      <c r="O11" s="4">
        <f t="shared" si="15"/>
        <v>0</v>
      </c>
      <c r="Q11" s="45"/>
      <c r="R11" s="45"/>
      <c r="S11" s="44"/>
      <c r="T11" s="45"/>
      <c r="U11" s="45"/>
      <c r="V11" s="63">
        <v>0</v>
      </c>
      <c r="W11" s="43">
        <f t="shared" si="12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7</v>
      </c>
      <c r="D12" s="44"/>
      <c r="E12" s="44"/>
      <c r="F12" s="44"/>
      <c r="G12" s="44"/>
      <c r="H12" s="44"/>
      <c r="I12" s="4">
        <f t="shared" si="9"/>
        <v>0</v>
      </c>
      <c r="J12" s="4">
        <f t="shared" ref="J12" si="19">I12*V12</f>
        <v>0</v>
      </c>
      <c r="K12" s="4">
        <f t="shared" ref="K12" si="20">I12*X12</f>
        <v>0</v>
      </c>
      <c r="L12" s="7">
        <f t="shared" ref="L12" si="21">((D$2+D$3+D$4)*AA12)</f>
        <v>0</v>
      </c>
      <c r="M12" s="4">
        <f t="shared" ref="M12:N12" si="22">L12*Y12</f>
        <v>0</v>
      </c>
      <c r="N12" s="4">
        <f t="shared" si="22"/>
        <v>0</v>
      </c>
      <c r="O12" s="4">
        <f t="shared" si="15"/>
        <v>0</v>
      </c>
      <c r="Q12" s="45"/>
      <c r="R12" s="45"/>
      <c r="S12" s="44"/>
      <c r="T12" s="45"/>
      <c r="U12" s="45"/>
      <c r="V12" s="63">
        <v>0</v>
      </c>
      <c r="W12" s="43">
        <f t="shared" si="12"/>
        <v>0</v>
      </c>
      <c r="X12" s="237">
        <v>0</v>
      </c>
      <c r="Y12" s="237">
        <v>0</v>
      </c>
      <c r="Z12" s="63">
        <v>0</v>
      </c>
      <c r="AA12" s="43">
        <f t="shared" ref="AA12" si="23">(AG12/SUM(AG$7:AG$27))*0.98</f>
        <v>0</v>
      </c>
      <c r="AB12" s="17">
        <v>0</v>
      </c>
      <c r="AC12" s="43">
        <f t="shared" ref="AC12" si="24">(AH12/SUM(AH$7:AH$27))*0.98</f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78</v>
      </c>
      <c r="B15" s="59" t="s">
        <v>358</v>
      </c>
      <c r="C15" s="60">
        <v>7</v>
      </c>
      <c r="D15" s="44"/>
      <c r="E15" s="44"/>
      <c r="F15" s="44"/>
      <c r="G15" s="44"/>
      <c r="H15" s="44"/>
      <c r="I15" s="4">
        <f t="shared" ref="I15:I22" si="25">D$37*W15</f>
        <v>2.7757222889587583</v>
      </c>
      <c r="J15" s="4">
        <f t="shared" ref="J15:J22" si="26">I15*V15</f>
        <v>15.529040913904405</v>
      </c>
      <c r="K15" s="4">
        <f t="shared" ref="K15:K22" si="27">I15*X15</f>
        <v>0</v>
      </c>
      <c r="L15" s="7">
        <f t="shared" ref="L15:L20" si="28">((D$2+D$3+D$4)*AA15)</f>
        <v>157.64857982603056</v>
      </c>
      <c r="M15" s="4">
        <f t="shared" ref="M15:N19" si="29">L15*Y15</f>
        <v>121.21599302823491</v>
      </c>
      <c r="N15" s="4">
        <f t="shared" si="29"/>
        <v>1602.4754278332655</v>
      </c>
      <c r="O15" s="4">
        <f t="shared" ref="O15:O22" si="30">M15*AH15</f>
        <v>12.848895260992899</v>
      </c>
      <c r="Q15" s="45"/>
      <c r="R15" s="45"/>
      <c r="S15" s="44"/>
      <c r="T15" s="45"/>
      <c r="U15" s="45"/>
      <c r="V15" s="63">
        <v>5.5945945945945947</v>
      </c>
      <c r="W15" s="43">
        <f t="shared" ref="W15:W22" si="31">(AF15/SUM(AF$2:AF$22))*0.98</f>
        <v>6.156892720934691E-3</v>
      </c>
      <c r="X15" s="237">
        <v>0</v>
      </c>
      <c r="Y15" s="237">
        <v>0.76890000000000003</v>
      </c>
      <c r="Z15" s="63">
        <v>13.22</v>
      </c>
      <c r="AA15" s="43">
        <f t="shared" ref="AA15:AA22" si="32">(AG15/SUM(AG$7:AG$27))*0.98</f>
        <v>0.24908990092757799</v>
      </c>
      <c r="AB15" s="17">
        <v>0.19862765039737781</v>
      </c>
      <c r="AC15" s="43">
        <f t="shared" ref="AC15:AC22" si="33">(AH15/SUM(AH$7:AH$27))*0.98</f>
        <v>9.9808557991691721E-2</v>
      </c>
      <c r="AE15" s="47"/>
      <c r="AF15" s="61">
        <v>6.1552905953725333E-3</v>
      </c>
      <c r="AG15" s="61">
        <v>0.249</v>
      </c>
      <c r="AH15" s="61">
        <v>0.106</v>
      </c>
    </row>
    <row r="16" spans="1:34" x14ac:dyDescent="0.3">
      <c r="A16" s="58" t="s">
        <v>618</v>
      </c>
      <c r="B16" s="59" t="s">
        <v>358</v>
      </c>
      <c r="C16" s="60">
        <v>7</v>
      </c>
      <c r="D16" s="44"/>
      <c r="E16" s="44"/>
      <c r="F16" s="44"/>
      <c r="G16" s="44"/>
      <c r="H16" s="44"/>
      <c r="I16" s="4">
        <f t="shared" si="25"/>
        <v>0</v>
      </c>
      <c r="J16" s="4">
        <f t="shared" si="26"/>
        <v>0</v>
      </c>
      <c r="K16" s="4">
        <f t="shared" si="27"/>
        <v>0</v>
      </c>
      <c r="L16" s="7">
        <f t="shared" si="28"/>
        <v>117.76158974956499</v>
      </c>
      <c r="M16" s="4">
        <f t="shared" si="29"/>
        <v>80.056757874592165</v>
      </c>
      <c r="N16" s="4">
        <f t="shared" si="29"/>
        <v>1047.1423929996656</v>
      </c>
      <c r="O16" s="4">
        <f t="shared" si="30"/>
        <v>7.6053919980862554</v>
      </c>
      <c r="Q16" s="45"/>
      <c r="R16" s="45"/>
      <c r="S16" s="44"/>
      <c r="T16" s="45"/>
      <c r="U16" s="45"/>
      <c r="V16" s="63">
        <v>0</v>
      </c>
      <c r="W16" s="43">
        <f t="shared" si="31"/>
        <v>0</v>
      </c>
      <c r="X16" s="237">
        <v>0</v>
      </c>
      <c r="Y16" s="237">
        <v>0.67982062780269059</v>
      </c>
      <c r="Z16" s="63">
        <v>13.08</v>
      </c>
      <c r="AA16" s="43">
        <f t="shared" si="32"/>
        <v>0.18606715490975706</v>
      </c>
      <c r="AB16" s="17">
        <v>0.20131317857431055</v>
      </c>
      <c r="AC16" s="43">
        <f t="shared" si="33"/>
        <v>8.9451066124629372E-2</v>
      </c>
      <c r="AE16" s="47"/>
      <c r="AF16" s="61">
        <v>0</v>
      </c>
      <c r="AG16" s="61">
        <v>0.186</v>
      </c>
      <c r="AH16" s="61">
        <v>9.5000000000000001E-2</v>
      </c>
    </row>
    <row r="17" spans="1:34" x14ac:dyDescent="0.3">
      <c r="A17" s="77" t="s">
        <v>214</v>
      </c>
      <c r="B17" s="59" t="s">
        <v>358</v>
      </c>
      <c r="C17" s="60">
        <v>7</v>
      </c>
      <c r="D17" s="44"/>
      <c r="E17" s="44"/>
      <c r="F17" s="44"/>
      <c r="G17" s="44"/>
      <c r="H17" s="44"/>
      <c r="I17" s="4">
        <f t="shared" si="25"/>
        <v>2.2755921468040268</v>
      </c>
      <c r="J17" s="4">
        <f t="shared" si="26"/>
        <v>16.029171056059134</v>
      </c>
      <c r="K17" s="4">
        <f t="shared" si="27"/>
        <v>2.500650710773656E-2</v>
      </c>
      <c r="L17" s="7">
        <f t="shared" si="28"/>
        <v>84.205867939205092</v>
      </c>
      <c r="M17" s="4">
        <f t="shared" si="29"/>
        <v>45.597477489079559</v>
      </c>
      <c r="N17" s="4">
        <f t="shared" si="29"/>
        <v>702.65712810671596</v>
      </c>
      <c r="O17" s="4">
        <f t="shared" si="30"/>
        <v>5.7908796411131043</v>
      </c>
      <c r="Q17" s="45"/>
      <c r="R17" s="45"/>
      <c r="S17" s="44"/>
      <c r="T17" s="45"/>
      <c r="U17" s="45"/>
      <c r="V17" s="63">
        <v>7.0439560439560438</v>
      </c>
      <c r="W17" s="43">
        <f t="shared" si="31"/>
        <v>5.0475426811266381E-3</v>
      </c>
      <c r="X17" s="237">
        <v>1.098901098901099E-2</v>
      </c>
      <c r="Y17" s="237">
        <v>0.54149999999999998</v>
      </c>
      <c r="Z17" s="63">
        <v>15.41</v>
      </c>
      <c r="AA17" s="43">
        <f t="shared" si="32"/>
        <v>0.13304801937095534</v>
      </c>
      <c r="AB17" s="17">
        <v>9.2163853721224362E-2</v>
      </c>
      <c r="AC17" s="43">
        <f t="shared" si="33"/>
        <v>0.11958195155608348</v>
      </c>
      <c r="AE17" s="47"/>
      <c r="AF17" s="61">
        <v>5.0462292268369418E-3</v>
      </c>
      <c r="AG17" s="61">
        <v>0.13300000000000001</v>
      </c>
      <c r="AH17" s="61">
        <v>0.127</v>
      </c>
    </row>
    <row r="18" spans="1:34" x14ac:dyDescent="0.3">
      <c r="A18" s="77" t="s">
        <v>340</v>
      </c>
      <c r="B18" s="59" t="s">
        <v>358</v>
      </c>
      <c r="C18" s="60">
        <v>7</v>
      </c>
      <c r="D18" s="44"/>
      <c r="E18" s="44"/>
      <c r="F18" s="44"/>
      <c r="G18" s="44"/>
      <c r="H18" s="44"/>
      <c r="I18" s="4">
        <f t="shared" si="25"/>
        <v>0</v>
      </c>
      <c r="J18" s="4">
        <f t="shared" si="26"/>
        <v>0</v>
      </c>
      <c r="K18" s="4">
        <f t="shared" si="27"/>
        <v>0</v>
      </c>
      <c r="L18" s="7">
        <f t="shared" si="28"/>
        <v>20.007220958038392</v>
      </c>
      <c r="M18" s="4">
        <f t="shared" si="29"/>
        <v>12.644563645480265</v>
      </c>
      <c r="N18" s="4">
        <f t="shared" si="29"/>
        <v>152.39715350301844</v>
      </c>
      <c r="O18" s="4">
        <f t="shared" si="30"/>
        <v>1.1380107280932237</v>
      </c>
      <c r="Q18" s="45"/>
      <c r="R18" s="45"/>
      <c r="S18" s="44"/>
      <c r="T18" s="45"/>
      <c r="U18" s="45"/>
      <c r="V18" s="63">
        <v>0</v>
      </c>
      <c r="W18" s="43">
        <f t="shared" si="31"/>
        <v>0</v>
      </c>
      <c r="X18" s="237">
        <v>0</v>
      </c>
      <c r="Y18" s="237">
        <v>0.63200000000000001</v>
      </c>
      <c r="Z18" s="63">
        <v>12.052385339330554</v>
      </c>
      <c r="AA18" s="43">
        <f t="shared" si="32"/>
        <v>3.1612062041874896E-2</v>
      </c>
      <c r="AB18" s="17">
        <v>6.0549602613651103E-2</v>
      </c>
      <c r="AC18" s="43">
        <f t="shared" si="33"/>
        <v>8.4743115275964676E-2</v>
      </c>
      <c r="AE18" s="47"/>
      <c r="AF18" s="61">
        <v>0</v>
      </c>
      <c r="AG18" s="61">
        <v>3.1600652692520971E-2</v>
      </c>
      <c r="AH18" s="61">
        <v>0.09</v>
      </c>
    </row>
    <row r="19" spans="1:34" x14ac:dyDescent="0.3">
      <c r="A19" s="58" t="s">
        <v>339</v>
      </c>
      <c r="B19" s="59" t="s">
        <v>358</v>
      </c>
      <c r="C19" s="60">
        <v>7</v>
      </c>
      <c r="D19" s="44"/>
      <c r="E19" s="44"/>
      <c r="F19" s="44"/>
      <c r="G19" s="44"/>
      <c r="H19" s="44"/>
      <c r="I19" s="4">
        <f t="shared" si="25"/>
        <v>0</v>
      </c>
      <c r="J19" s="4">
        <f t="shared" si="26"/>
        <v>0</v>
      </c>
      <c r="K19" s="4">
        <f t="shared" si="27"/>
        <v>0</v>
      </c>
      <c r="L19" s="7">
        <f t="shared" si="28"/>
        <v>17.727551145095806</v>
      </c>
      <c r="M19" s="4">
        <f t="shared" si="29"/>
        <v>9.7324255786575975</v>
      </c>
      <c r="N19" s="4">
        <f t="shared" si="29"/>
        <v>120.13106978258229</v>
      </c>
      <c r="O19" s="4">
        <f t="shared" si="30"/>
        <v>0.89968890158927806</v>
      </c>
      <c r="Q19" s="45"/>
      <c r="R19" s="45"/>
      <c r="S19" s="44"/>
      <c r="T19" s="45"/>
      <c r="U19" s="45"/>
      <c r="V19" s="63">
        <v>0</v>
      </c>
      <c r="W19" s="43">
        <f t="shared" si="31"/>
        <v>0</v>
      </c>
      <c r="X19" s="237">
        <v>0</v>
      </c>
      <c r="Y19" s="237">
        <v>0.54900000000000004</v>
      </c>
      <c r="Z19" s="63">
        <v>12.343384371314357</v>
      </c>
      <c r="AA19" s="43">
        <f t="shared" si="32"/>
        <v>2.8010109341253753E-2</v>
      </c>
      <c r="AB19" s="17">
        <v>7.1590670014879301E-2</v>
      </c>
      <c r="AC19" s="43">
        <f t="shared" si="33"/>
        <v>8.704286703327023E-2</v>
      </c>
      <c r="AE19" s="47"/>
      <c r="AF19" s="61">
        <v>0</v>
      </c>
      <c r="AG19" s="61">
        <v>2.8000000000000001E-2</v>
      </c>
      <c r="AH19" s="61">
        <v>9.2442412666604024E-2</v>
      </c>
    </row>
    <row r="20" spans="1:34" x14ac:dyDescent="0.3">
      <c r="B20" s="59" t="s">
        <v>358</v>
      </c>
      <c r="C20" s="60">
        <v>7</v>
      </c>
      <c r="D20" s="44"/>
      <c r="E20" s="44"/>
      <c r="F20" s="44"/>
      <c r="G20" s="44"/>
      <c r="H20" s="44"/>
      <c r="I20" s="4">
        <f t="shared" si="25"/>
        <v>0</v>
      </c>
      <c r="J20" s="4">
        <f t="shared" si="26"/>
        <v>0</v>
      </c>
      <c r="K20" s="4">
        <f t="shared" si="27"/>
        <v>0</v>
      </c>
      <c r="L20" s="7">
        <f t="shared" si="28"/>
        <v>0</v>
      </c>
      <c r="M20" s="4">
        <f t="shared" ref="M20:N20" si="34">L20*Y20</f>
        <v>0</v>
      </c>
      <c r="N20" s="4">
        <f t="shared" si="34"/>
        <v>0</v>
      </c>
      <c r="O20" s="4">
        <f t="shared" si="30"/>
        <v>0</v>
      </c>
      <c r="Q20" s="45"/>
      <c r="R20" s="45"/>
      <c r="S20" s="44"/>
      <c r="T20" s="45"/>
      <c r="U20" s="45"/>
      <c r="V20" s="63">
        <v>0</v>
      </c>
      <c r="W20" s="43">
        <f t="shared" si="31"/>
        <v>0</v>
      </c>
      <c r="X20" s="237">
        <v>0</v>
      </c>
      <c r="Y20" s="237">
        <v>0</v>
      </c>
      <c r="Z20" s="63">
        <v>0</v>
      </c>
      <c r="AA20" s="43">
        <f t="shared" si="32"/>
        <v>0</v>
      </c>
      <c r="AB20" s="17">
        <v>2.491288177342357E-2</v>
      </c>
      <c r="AC20" s="43">
        <f t="shared" si="33"/>
        <v>0</v>
      </c>
      <c r="AE20" s="47"/>
      <c r="AF20" s="61">
        <v>0</v>
      </c>
      <c r="AG20" s="61">
        <v>0</v>
      </c>
      <c r="AH20" s="61">
        <v>0</v>
      </c>
    </row>
    <row r="21" spans="1:34" x14ac:dyDescent="0.3">
      <c r="B21" s="59" t="s">
        <v>358</v>
      </c>
      <c r="C21" s="60">
        <v>7</v>
      </c>
      <c r="D21" s="44"/>
      <c r="E21" s="44"/>
      <c r="F21" s="44"/>
      <c r="G21" s="44"/>
      <c r="H21" s="44"/>
      <c r="I21" s="4">
        <f t="shared" si="25"/>
        <v>0</v>
      </c>
      <c r="J21" s="4">
        <f t="shared" si="26"/>
        <v>0</v>
      </c>
      <c r="K21" s="4">
        <f t="shared" si="27"/>
        <v>0</v>
      </c>
      <c r="L21" s="7">
        <f t="shared" ref="L21:L22" si="35">((D$2+D$3+D$4)*AA21)</f>
        <v>0</v>
      </c>
      <c r="M21" s="4">
        <f t="shared" ref="M21:N21" si="36">L21*Y21</f>
        <v>0</v>
      </c>
      <c r="N21" s="4">
        <f t="shared" si="36"/>
        <v>0</v>
      </c>
      <c r="O21" s="4">
        <f t="shared" si="30"/>
        <v>0</v>
      </c>
      <c r="Q21" s="45"/>
      <c r="R21" s="45"/>
      <c r="S21" s="44"/>
      <c r="T21" s="45"/>
      <c r="U21" s="45"/>
      <c r="V21" s="63">
        <v>0</v>
      </c>
      <c r="W21" s="43">
        <f t="shared" si="31"/>
        <v>0</v>
      </c>
      <c r="X21" s="237">
        <v>0</v>
      </c>
      <c r="Y21" s="237">
        <v>0</v>
      </c>
      <c r="Z21" s="63">
        <v>0</v>
      </c>
      <c r="AA21" s="43">
        <f t="shared" si="32"/>
        <v>0</v>
      </c>
      <c r="AB21" s="17">
        <v>0</v>
      </c>
      <c r="AC21" s="43">
        <f t="shared" si="33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7</v>
      </c>
      <c r="D22" s="44"/>
      <c r="E22" s="44"/>
      <c r="F22" s="44"/>
      <c r="G22" s="44"/>
      <c r="H22" s="44"/>
      <c r="I22" s="4">
        <f t="shared" si="25"/>
        <v>0</v>
      </c>
      <c r="J22" s="4">
        <f t="shared" si="26"/>
        <v>0</v>
      </c>
      <c r="K22" s="4">
        <f t="shared" si="27"/>
        <v>0</v>
      </c>
      <c r="L22" s="7">
        <f t="shared" si="35"/>
        <v>0</v>
      </c>
      <c r="M22" s="4">
        <f t="shared" ref="M22:N22" si="37">L22*Y22</f>
        <v>0</v>
      </c>
      <c r="N22" s="4">
        <f t="shared" si="37"/>
        <v>0</v>
      </c>
      <c r="O22" s="4">
        <f t="shared" si="30"/>
        <v>0</v>
      </c>
      <c r="Q22" s="45"/>
      <c r="R22" s="45"/>
      <c r="S22" s="44"/>
      <c r="T22" s="45"/>
      <c r="U22" s="45"/>
      <c r="V22" s="63">
        <v>0</v>
      </c>
      <c r="W22" s="43">
        <f t="shared" si="31"/>
        <v>0</v>
      </c>
      <c r="X22" s="237">
        <v>0</v>
      </c>
      <c r="Y22" s="237">
        <v>0</v>
      </c>
      <c r="Z22" s="63">
        <v>0</v>
      </c>
      <c r="AA22" s="43">
        <f t="shared" si="32"/>
        <v>0</v>
      </c>
      <c r="AB22" s="17">
        <v>0</v>
      </c>
      <c r="AC22" s="43">
        <f t="shared" si="33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75</v>
      </c>
      <c r="B24" s="59" t="s">
        <v>10</v>
      </c>
      <c r="C24" s="60">
        <v>7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82.390270222675767</v>
      </c>
      <c r="M24" s="4">
        <f t="shared" ref="M24:N27" si="38">L24*Y24</f>
        <v>54.70713942785671</v>
      </c>
      <c r="N24" s="4">
        <f t="shared" si="38"/>
        <v>523.54732432458877</v>
      </c>
      <c r="O24" s="4">
        <f t="shared" ref="O24:O27" si="39">M24*AH24</f>
        <v>4.2671568753728231</v>
      </c>
      <c r="Q24" s="45"/>
      <c r="R24" s="45"/>
      <c r="S24" s="44"/>
      <c r="T24" s="45"/>
      <c r="U24" s="45"/>
      <c r="V24" s="46"/>
      <c r="W24" s="46"/>
      <c r="X24" s="45"/>
      <c r="Y24" s="237">
        <v>0.66400000000000003</v>
      </c>
      <c r="Z24" s="236">
        <v>9.57</v>
      </c>
      <c r="AA24" s="43">
        <f t="shared" ref="AA24:AA27" si="40">(AG24/SUM(AG$7:AG$27))*0.98</f>
        <v>0.13017931572748648</v>
      </c>
      <c r="AB24" s="17">
        <v>0.12938839482584544</v>
      </c>
      <c r="AC24" s="43">
        <f t="shared" ref="AC24:AC27" si="41">(AH24/SUM(AH$7:AH$27))*0.98</f>
        <v>7.3444033239169385E-2</v>
      </c>
      <c r="AE24" s="47"/>
      <c r="AF24" s="47"/>
      <c r="AG24" s="61">
        <v>0.13013233172214628</v>
      </c>
      <c r="AH24" s="61">
        <v>7.8E-2</v>
      </c>
    </row>
    <row r="25" spans="1:34" x14ac:dyDescent="0.3">
      <c r="A25" s="58" t="s">
        <v>289</v>
      </c>
      <c r="B25" s="59" t="s">
        <v>10</v>
      </c>
      <c r="C25" s="60">
        <v>7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13.295663358821855</v>
      </c>
      <c r="M25" s="4">
        <f t="shared" si="38"/>
        <v>8.5358158763636318</v>
      </c>
      <c r="N25" s="4">
        <f t="shared" si="38"/>
        <v>90.700302033197232</v>
      </c>
      <c r="O25" s="4">
        <f t="shared" si="39"/>
        <v>0.76822342887272688</v>
      </c>
      <c r="Q25" s="45"/>
      <c r="R25" s="45"/>
      <c r="S25" s="44"/>
      <c r="T25" s="45"/>
      <c r="U25" s="45"/>
      <c r="V25" s="46"/>
      <c r="W25" s="46"/>
      <c r="X25" s="45"/>
      <c r="Y25" s="237">
        <v>0.64200000000000002</v>
      </c>
      <c r="Z25" s="236">
        <v>10.625850340136054</v>
      </c>
      <c r="AA25" s="43">
        <f t="shared" si="40"/>
        <v>2.1007582005940315E-2</v>
      </c>
      <c r="AB25" s="17">
        <v>4.9605136578939911E-2</v>
      </c>
      <c r="AC25" s="43">
        <f t="shared" si="41"/>
        <v>8.4743115275964676E-2</v>
      </c>
      <c r="AE25" s="47"/>
      <c r="AF25" s="47"/>
      <c r="AG25" s="61">
        <v>2.1000000000000001E-2</v>
      </c>
      <c r="AH25" s="61">
        <v>0.09</v>
      </c>
    </row>
    <row r="26" spans="1:34" x14ac:dyDescent="0.3">
      <c r="A26" s="58" t="s">
        <v>232</v>
      </c>
      <c r="B26" s="59" t="s">
        <v>10</v>
      </c>
      <c r="C26" s="60">
        <v>7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14.561917012042981</v>
      </c>
      <c r="M26" s="4">
        <f t="shared" si="38"/>
        <v>9.0496713492534795</v>
      </c>
      <c r="N26" s="4">
        <f t="shared" si="38"/>
        <v>105.19827555489842</v>
      </c>
      <c r="O26" s="4">
        <f t="shared" si="39"/>
        <v>0.7538592422388406</v>
      </c>
      <c r="Q26" s="45"/>
      <c r="R26" s="45"/>
      <c r="S26" s="44"/>
      <c r="T26" s="45"/>
      <c r="U26" s="45"/>
      <c r="V26" s="46"/>
      <c r="W26" s="46"/>
      <c r="X26" s="45"/>
      <c r="Y26" s="237">
        <v>0.6214615384615384</v>
      </c>
      <c r="Z26" s="236">
        <v>11.62454099104675</v>
      </c>
      <c r="AA26" s="43">
        <f t="shared" si="40"/>
        <v>2.3008304101744148E-2</v>
      </c>
      <c r="AB26" s="17">
        <v>2.0947920738417902E-2</v>
      </c>
      <c r="AC26" s="43">
        <f t="shared" si="41"/>
        <v>7.8436710512472987E-2</v>
      </c>
      <c r="AE26" s="47"/>
      <c r="AF26" s="47"/>
      <c r="AG26" s="61">
        <v>2.3E-2</v>
      </c>
      <c r="AH26" s="61">
        <v>8.3302388909518521E-2</v>
      </c>
    </row>
    <row r="27" spans="1:34" x14ac:dyDescent="0.3">
      <c r="A27" s="58" t="s">
        <v>795</v>
      </c>
      <c r="B27" s="59" t="s">
        <v>10</v>
      </c>
      <c r="C27" s="60">
        <v>7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20.703024232921095</v>
      </c>
      <c r="M27" s="4">
        <f t="shared" si="38"/>
        <v>13.187826436370738</v>
      </c>
      <c r="N27" s="4">
        <f t="shared" si="38"/>
        <v>134.1691648096149</v>
      </c>
      <c r="O27" s="4">
        <f t="shared" si="39"/>
        <v>1.1576670555364537</v>
      </c>
      <c r="Q27" s="45"/>
      <c r="R27" s="45"/>
      <c r="S27" s="44"/>
      <c r="T27" s="45"/>
      <c r="U27" s="45"/>
      <c r="V27" s="46"/>
      <c r="W27" s="46"/>
      <c r="X27" s="45"/>
      <c r="Y27" s="237">
        <v>0.63700000000000001</v>
      </c>
      <c r="Z27" s="236">
        <v>10.173713269351911</v>
      </c>
      <c r="AA27" s="43">
        <f t="shared" si="40"/>
        <v>3.2711453923469247E-2</v>
      </c>
      <c r="AB27" s="17">
        <v>0</v>
      </c>
      <c r="AC27" s="43">
        <f t="shared" si="41"/>
        <v>8.2655616115067859E-2</v>
      </c>
      <c r="AE27" s="47"/>
      <c r="AF27" s="47"/>
      <c r="AG27" s="61">
        <v>3.2699647784243231E-2</v>
      </c>
      <c r="AH27" s="61">
        <v>8.7783006632823207E-2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0.97999999999999976</v>
      </c>
      <c r="AB30" s="28">
        <f t="shared" ref="AB30" si="42">SUM(AB2:AB4,AB7:AB12,AB15:AB22,AB24:AB27)</f>
        <v>0.89616358353375136</v>
      </c>
      <c r="AC30" s="28">
        <f>SUM(AC7:AC27)</f>
        <v>0.9800000000000002</v>
      </c>
      <c r="AD30" s="89"/>
      <c r="AE30" s="28">
        <f>SUM(AE2:AE4,AE7:AE27)</f>
        <v>1</v>
      </c>
      <c r="AF30" s="28">
        <f>SUM(AF2:AF4,AF7:AF27)</f>
        <v>0.97974498775241348</v>
      </c>
      <c r="AG30" s="28">
        <f>SUM(AG7:AG27)</f>
        <v>0.9796463007584878</v>
      </c>
    </row>
    <row r="31" spans="1:34" s="86" customFormat="1" x14ac:dyDescent="0.3">
      <c r="A31" s="102"/>
      <c r="B31" s="80"/>
      <c r="C31" s="80"/>
      <c r="D31" s="105">
        <v>1083.73</v>
      </c>
      <c r="E31" s="106">
        <v>0.58399999999999996</v>
      </c>
      <c r="F31" s="8">
        <f>1-E31</f>
        <v>0.41600000000000004</v>
      </c>
      <c r="G31" s="234">
        <v>4.1444568868980962</v>
      </c>
      <c r="H31" s="275">
        <v>3.4316536020903322E-2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632.89832000000001</v>
      </c>
      <c r="E34" s="2">
        <f>SUM(E2:E4)</f>
        <v>421.05542983527141</v>
      </c>
      <c r="F34" s="2">
        <f>SUM(F2:F4)</f>
        <v>4992.6134559272268</v>
      </c>
      <c r="G34" s="2">
        <f>SUM(G2:G4)</f>
        <v>39.115206560149623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450.83168000000006</v>
      </c>
      <c r="E37" s="2">
        <f>D37*G31</f>
        <v>1868.452461007839</v>
      </c>
      <c r="F37" s="2">
        <f>D37*H31</f>
        <v>15.470981586084362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441.81504640000009</v>
      </c>
      <c r="E40" s="3">
        <f>SUM(J2:J4,J7:J12,J15:J22)</f>
        <v>1859.3810139082605</v>
      </c>
      <c r="F40" s="3">
        <f>SUM(K2:K4,K7:K12,K15:K22)</f>
        <v>15.310334938134602</v>
      </c>
      <c r="G40" s="3">
        <f>SUM(L7:L12,L15:L22,L24:L27)</f>
        <v>620.24035359999982</v>
      </c>
      <c r="H40" s="3">
        <f>SUM(M7:M12,M15:M22,M24:M27)</f>
        <v>420.19944740598146</v>
      </c>
      <c r="I40" s="3">
        <f>SUM(N7:N12,N15:N22,N24:N27)</f>
        <v>4969.4844535296343</v>
      </c>
      <c r="J40" s="3">
        <f>SUM(O7:O12,O15:O22,O24:O27)</f>
        <v>38.989819555913698</v>
      </c>
    </row>
    <row r="41" spans="1:32" ht="14.4" thickTop="1" x14ac:dyDescent="0.3">
      <c r="D41" s="50">
        <f>D37-D40</f>
        <v>9.0166335999999774</v>
      </c>
      <c r="E41" s="50">
        <f>E37-E40</f>
        <v>9.0714470995785632</v>
      </c>
      <c r="F41" s="50">
        <f>F37-F40</f>
        <v>0.16064664794975947</v>
      </c>
      <c r="G41" s="50">
        <f>SUM(D2:D4)-G40</f>
        <v>12.657966400000191</v>
      </c>
      <c r="H41" s="50">
        <f>E34-H40</f>
        <v>0.85598242928995205</v>
      </c>
      <c r="I41" s="50">
        <f>F34-I40</f>
        <v>23.129002397592558</v>
      </c>
      <c r="J41" s="50">
        <f>G34-J40</f>
        <v>0.1253870042359253</v>
      </c>
    </row>
  </sheetData>
  <sheetProtection sheet="1" selectLockedCells="1"/>
  <conditionalFormatting sqref="AA30:AB30 AD30:AF30">
    <cfRule type="cellIs" dxfId="269" priority="14" operator="greaterThan">
      <formula>1</formula>
    </cfRule>
    <cfRule type="cellIs" dxfId="268" priority="15" operator="greaterThan">
      <formula>1</formula>
    </cfRule>
  </conditionalFormatting>
  <conditionalFormatting sqref="AC30">
    <cfRule type="cellIs" dxfId="267" priority="10" operator="greaterThan">
      <formula>1</formula>
    </cfRule>
    <cfRule type="cellIs" dxfId="266" priority="11" operator="greaterThan">
      <formula>1</formula>
    </cfRule>
  </conditionalFormatting>
  <conditionalFormatting sqref="AG30">
    <cfRule type="cellIs" dxfId="265" priority="8" operator="greaterThan">
      <formula>1</formula>
    </cfRule>
    <cfRule type="cellIs" dxfId="264" priority="9" operator="greaterThan">
      <formula>1</formula>
    </cfRule>
  </conditionalFormatting>
  <conditionalFormatting sqref="W30">
    <cfRule type="cellIs" dxfId="263" priority="2" operator="greaterThan">
      <formula>1</formula>
    </cfRule>
    <cfRule type="cellIs" dxfId="262" priority="3" operator="greaterThan">
      <formula>1</formula>
    </cfRule>
  </conditionalFormatting>
  <conditionalFormatting sqref="D41:J41">
    <cfRule type="cellIs" dxfId="261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FACA"/>
  </sheetPr>
  <dimension ref="A1:AH47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66" t="s">
        <v>216</v>
      </c>
      <c r="B2" s="59" t="s">
        <v>9</v>
      </c>
      <c r="C2" s="60">
        <v>11</v>
      </c>
      <c r="D2" s="4">
        <f>D$34*Q2</f>
        <v>611.08885469999984</v>
      </c>
      <c r="E2" s="4">
        <f>D2*R2</f>
        <v>405.93703942062996</v>
      </c>
      <c r="F2" s="4">
        <f>E2*S2</f>
        <v>4290.7545066760586</v>
      </c>
      <c r="G2" s="4">
        <f>E2*T2</f>
        <v>26.971654891819306</v>
      </c>
      <c r="H2" s="4">
        <f>E2*U2</f>
        <v>9.6335162674567894</v>
      </c>
      <c r="I2" s="4">
        <f>D$37*W2</f>
        <v>53.23026696557271</v>
      </c>
      <c r="J2" s="4">
        <f>I2*V2</f>
        <v>172.24639029749829</v>
      </c>
      <c r="K2" s="4">
        <f>I2*X2</f>
        <v>3.5113534088989367</v>
      </c>
      <c r="L2" s="44"/>
      <c r="M2" s="44"/>
      <c r="N2" s="44"/>
      <c r="O2" s="44"/>
      <c r="Q2" s="43">
        <f>AE2</f>
        <v>0.97</v>
      </c>
      <c r="R2" s="61">
        <v>0.66428480293576209</v>
      </c>
      <c r="S2" s="236">
        <v>10.57</v>
      </c>
      <c r="T2" s="237">
        <v>6.6442951178622089E-2</v>
      </c>
      <c r="U2" s="61">
        <v>2.3731552758048738E-2</v>
      </c>
      <c r="V2" s="236">
        <v>3.2358731247562713</v>
      </c>
      <c r="W2" s="43">
        <f>(AF2/SUM(AF$2:AF$22))*0.98</f>
        <v>0.12108754901074768</v>
      </c>
      <c r="X2" s="61">
        <v>6.5965354093939541E-2</v>
      </c>
      <c r="Y2" s="64"/>
      <c r="Z2" s="65"/>
      <c r="AA2" s="1"/>
      <c r="AB2" s="1"/>
      <c r="AC2" s="1"/>
      <c r="AE2" s="61">
        <v>0.97</v>
      </c>
      <c r="AF2" s="61">
        <v>0.12104087727273172</v>
      </c>
      <c r="AG2" s="47"/>
      <c r="AH2" s="47"/>
    </row>
    <row r="3" spans="1:34" x14ac:dyDescent="0.3">
      <c r="A3" s="66" t="s">
        <v>199</v>
      </c>
      <c r="B3" s="59" t="s">
        <v>9</v>
      </c>
      <c r="C3" s="60">
        <v>11</v>
      </c>
      <c r="D3" s="4">
        <f>D$34*Q3</f>
        <v>18.899655300000013</v>
      </c>
      <c r="E3" s="4">
        <f t="shared" ref="E3:E4" si="0">D3*R3</f>
        <v>12.487063830355419</v>
      </c>
      <c r="F3" s="4">
        <f t="shared" ref="F3:F4" si="1">E3*S3</f>
        <v>135.85925447426698</v>
      </c>
      <c r="G3" s="4">
        <f t="shared" ref="G3" si="2">E3*T3</f>
        <v>1.0450131417500794</v>
      </c>
      <c r="H3" s="4">
        <f t="shared" ref="H3" si="3">E3*U3</f>
        <v>0.3352126278739308</v>
      </c>
      <c r="I3" s="4">
        <f t="shared" ref="I3:I4" si="4">D$37*W3</f>
        <v>2.1988549721774246</v>
      </c>
      <c r="J3" s="4">
        <f>I3*V3</f>
        <v>8.3114391117648285</v>
      </c>
      <c r="K3" s="4">
        <f>I3*X3</f>
        <v>8.3765903701997144E-2</v>
      </c>
      <c r="L3" s="44"/>
      <c r="M3" s="44"/>
      <c r="N3" s="44"/>
      <c r="O3" s="44"/>
      <c r="Q3" s="43">
        <f t="shared" ref="Q3:Q4" si="5">AE3</f>
        <v>3.0000000000000027E-2</v>
      </c>
      <c r="R3" s="61">
        <v>0.66070325792425488</v>
      </c>
      <c r="S3" s="236">
        <v>10.88</v>
      </c>
      <c r="T3" s="237">
        <v>8.3687659160490993E-2</v>
      </c>
      <c r="U3" s="61">
        <v>2.6844791732308273E-2</v>
      </c>
      <c r="V3" s="236">
        <v>3.779894179894181</v>
      </c>
      <c r="W3" s="43">
        <f t="shared" ref="W3:W4" si="6">(AF3/SUM(AF$2:AF$22))*0.98</f>
        <v>5.0019279329044687E-3</v>
      </c>
      <c r="X3" s="61">
        <v>3.8095238095238099E-2</v>
      </c>
      <c r="Y3" s="64"/>
      <c r="Z3" s="65"/>
      <c r="AA3" s="1"/>
      <c r="AB3" s="1"/>
      <c r="AC3" s="1"/>
      <c r="AE3" s="61">
        <f>1-AE2</f>
        <v>3.0000000000000027E-2</v>
      </c>
      <c r="AF3" s="61">
        <v>5.0000000000000001E-3</v>
      </c>
      <c r="AG3" s="47"/>
      <c r="AH3" s="47"/>
    </row>
    <row r="4" spans="1:34" x14ac:dyDescent="0.3">
      <c r="B4" s="59" t="s">
        <v>9</v>
      </c>
      <c r="C4" s="60">
        <v>11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134</v>
      </c>
      <c r="B7" s="59" t="s">
        <v>357</v>
      </c>
      <c r="C7" s="60">
        <v>11</v>
      </c>
      <c r="D7" s="44"/>
      <c r="E7" s="44"/>
      <c r="F7" s="44"/>
      <c r="G7" s="44"/>
      <c r="H7" s="44"/>
      <c r="I7" s="4">
        <f t="shared" ref="I7:I12" si="9">D$37*W7</f>
        <v>133.25061131395191</v>
      </c>
      <c r="J7" s="4">
        <f>I7*V7</f>
        <v>562.31757974487698</v>
      </c>
      <c r="K7" s="4">
        <f>I7*X7</f>
        <v>3.4778409552941452</v>
      </c>
      <c r="L7" s="7">
        <f>((D$2+D$3+D$4)*AA7)</f>
        <v>64.888816529999971</v>
      </c>
      <c r="M7" s="4">
        <f t="shared" ref="M7:N9" si="10">L7*Y7</f>
        <v>46.337103884072974</v>
      </c>
      <c r="N7" s="4">
        <f t="shared" si="10"/>
        <v>325.28646926619228</v>
      </c>
      <c r="O7" s="4">
        <f>M7*AH7</f>
        <v>1.2641449059534762</v>
      </c>
      <c r="Q7" s="45"/>
      <c r="R7" s="45"/>
      <c r="S7" s="44"/>
      <c r="T7" s="45"/>
      <c r="U7" s="45"/>
      <c r="V7" s="63">
        <v>4.22</v>
      </c>
      <c r="W7" s="43">
        <f t="shared" ref="W7:W12" si="11">(AF7/SUM(AF$2:AF$22))*0.98</f>
        <v>0.30311683273401074</v>
      </c>
      <c r="X7" s="237">
        <v>2.6100000000000002E-2</v>
      </c>
      <c r="Y7" s="237">
        <v>0.71409999999999996</v>
      </c>
      <c r="Z7" s="63">
        <v>7.02</v>
      </c>
      <c r="AA7" s="43">
        <f>(AG7/SUM(AG$7:AG$27))*0.98</f>
        <v>0.10299999999999998</v>
      </c>
      <c r="AB7" s="17">
        <v>0.10097043870963301</v>
      </c>
      <c r="AC7" s="43">
        <f>(AH7/SUM(AH$7:AH$27))*0.98</f>
        <v>3.117894685989988E-2</v>
      </c>
      <c r="AE7" s="47"/>
      <c r="AF7" s="61">
        <v>0.30299999999999999</v>
      </c>
      <c r="AG7" s="61">
        <v>0.10299999999999999</v>
      </c>
      <c r="AH7" s="61">
        <v>2.7281482872044342E-2</v>
      </c>
    </row>
    <row r="8" spans="1:34" x14ac:dyDescent="0.3">
      <c r="A8" s="66" t="s">
        <v>184</v>
      </c>
      <c r="B8" s="59" t="s">
        <v>357</v>
      </c>
      <c r="C8" s="60">
        <v>11</v>
      </c>
      <c r="D8" s="44"/>
      <c r="E8" s="44"/>
      <c r="F8" s="44"/>
      <c r="G8" s="44"/>
      <c r="H8" s="44"/>
      <c r="I8" s="4">
        <f t="shared" si="9"/>
        <v>114.34045855322607</v>
      </c>
      <c r="J8" s="4">
        <f>I8*V8</f>
        <v>485.94694885121078</v>
      </c>
      <c r="K8" s="4">
        <f>I8*X8</f>
        <v>3.7503670405458154</v>
      </c>
      <c r="L8" s="7">
        <f>((D$2+D$3+D$4)*AA8)</f>
        <v>27.719494439999991</v>
      </c>
      <c r="M8" s="4">
        <f t="shared" si="10"/>
        <v>19.461857046323992</v>
      </c>
      <c r="N8" s="4">
        <f t="shared" si="10"/>
        <v>154.13790780688601</v>
      </c>
      <c r="O8" s="4">
        <f t="shared" ref="O8:O12" si="12">M8*AH8</f>
        <v>1.0493952054211653</v>
      </c>
      <c r="Q8" s="45"/>
      <c r="R8" s="45"/>
      <c r="S8" s="44"/>
      <c r="T8" s="45"/>
      <c r="U8" s="45"/>
      <c r="V8" s="63">
        <v>4.25</v>
      </c>
      <c r="W8" s="43">
        <f t="shared" si="11"/>
        <v>0.26010025251103236</v>
      </c>
      <c r="X8" s="237">
        <v>3.2800000000000003E-2</v>
      </c>
      <c r="Y8" s="237">
        <v>0.70209999999999995</v>
      </c>
      <c r="Z8" s="63">
        <v>7.92</v>
      </c>
      <c r="AA8" s="43">
        <f t="shared" ref="AA8:AA12" si="13">(AG8/SUM(AG$7:AG$27))*0.98</f>
        <v>4.3999999999999991E-2</v>
      </c>
      <c r="AB8" s="17">
        <v>3.6580013622682005E-2</v>
      </c>
      <c r="AC8" s="43">
        <f t="shared" ref="AC8:AC12" si="14">(AH8/SUM(AH$7:AH$27))*0.98</f>
        <v>6.1623770398882491E-2</v>
      </c>
      <c r="AE8" s="47"/>
      <c r="AF8" s="61">
        <v>0.26</v>
      </c>
      <c r="AG8" s="61">
        <v>4.3999999999999997E-2</v>
      </c>
      <c r="AH8" s="61">
        <v>5.3920610089949146E-2</v>
      </c>
    </row>
    <row r="9" spans="1:34" x14ac:dyDescent="0.3">
      <c r="A9" s="66" t="s">
        <v>724</v>
      </c>
      <c r="B9" s="59" t="s">
        <v>357</v>
      </c>
      <c r="C9" s="60">
        <v>11</v>
      </c>
      <c r="D9" s="44"/>
      <c r="E9" s="44"/>
      <c r="F9" s="44"/>
      <c r="G9" s="44"/>
      <c r="H9" s="44"/>
      <c r="I9" s="4">
        <f t="shared" si="9"/>
        <v>78.719008003951799</v>
      </c>
      <c r="J9" s="4">
        <f>I9*V9</f>
        <v>291.35665647320633</v>
      </c>
      <c r="K9" s="4">
        <f>I9*X9</f>
        <v>2.4166735457213204</v>
      </c>
      <c r="L9" s="7">
        <f>((D$2+D$3+D$4)*AA9)</f>
        <v>7.5598621199999982</v>
      </c>
      <c r="M9" s="4">
        <f t="shared" si="10"/>
        <v>5.0053847096519988</v>
      </c>
      <c r="N9" s="4">
        <f t="shared" si="10"/>
        <v>35.788500674011793</v>
      </c>
      <c r="O9" s="4">
        <f t="shared" si="12"/>
        <v>0.14673179803487968</v>
      </c>
      <c r="Q9" s="45"/>
      <c r="R9" s="45"/>
      <c r="S9" s="44"/>
      <c r="T9" s="45"/>
      <c r="U9" s="45"/>
      <c r="V9" s="63">
        <v>3.7012236797823959</v>
      </c>
      <c r="W9" s="43">
        <f t="shared" si="11"/>
        <v>0.17906901999797997</v>
      </c>
      <c r="X9" s="237">
        <v>3.0700000000000002E-2</v>
      </c>
      <c r="Y9" s="237">
        <v>0.66210000000000002</v>
      </c>
      <c r="Z9" s="63">
        <v>7.15</v>
      </c>
      <c r="AA9" s="43">
        <f t="shared" si="13"/>
        <v>1.1999999999999999E-2</v>
      </c>
      <c r="AB9" s="17">
        <v>2.3793858390666955E-2</v>
      </c>
      <c r="AC9" s="43">
        <f t="shared" si="14"/>
        <v>3.3502733758832975E-2</v>
      </c>
      <c r="AE9" s="47"/>
      <c r="AF9" s="61">
        <v>0.17899999999999999</v>
      </c>
      <c r="AG9" s="61">
        <v>1.2E-2</v>
      </c>
      <c r="AH9" s="61">
        <v>2.9314789281218161E-2</v>
      </c>
    </row>
    <row r="10" spans="1:34" x14ac:dyDescent="0.3">
      <c r="A10" s="66" t="s">
        <v>826</v>
      </c>
      <c r="B10" s="59" t="s">
        <v>357</v>
      </c>
      <c r="C10" s="60">
        <v>11</v>
      </c>
      <c r="D10" s="44"/>
      <c r="E10" s="44"/>
      <c r="F10" s="44"/>
      <c r="G10" s="44"/>
      <c r="H10" s="44"/>
      <c r="I10" s="4">
        <f t="shared" si="9"/>
        <v>28.585114638306518</v>
      </c>
      <c r="J10" s="4">
        <f t="shared" ref="J10:J12" si="15">I10*V10</f>
        <v>116.62726772429059</v>
      </c>
      <c r="K10" s="4">
        <f t="shared" ref="K10:K12" si="16">I10*X10</f>
        <v>0.69933002173226955</v>
      </c>
      <c r="L10" s="7">
        <f t="shared" ref="L10:L12" si="17">((D$2+D$3+D$4)*AA10)</f>
        <v>10.709804669999999</v>
      </c>
      <c r="M10" s="4">
        <f t="shared" ref="M10:N10" si="18">L10*Y10</f>
        <v>7.2291181522499981</v>
      </c>
      <c r="N10" s="4">
        <f t="shared" si="18"/>
        <v>49.158003435299989</v>
      </c>
      <c r="O10" s="4">
        <f t="shared" si="12"/>
        <v>0.24579001717649995</v>
      </c>
      <c r="Q10" s="45"/>
      <c r="R10" s="45"/>
      <c r="S10" s="44"/>
      <c r="T10" s="45"/>
      <c r="U10" s="45"/>
      <c r="V10" s="63">
        <v>4.08</v>
      </c>
      <c r="W10" s="43">
        <f t="shared" si="11"/>
        <v>6.502506312775809E-2</v>
      </c>
      <c r="X10" s="237">
        <v>2.4464831804281346E-2</v>
      </c>
      <c r="Y10" s="237">
        <v>0.67499999999999993</v>
      </c>
      <c r="Z10" s="63">
        <v>6.8</v>
      </c>
      <c r="AA10" s="43">
        <f t="shared" si="13"/>
        <v>1.7000000000000001E-2</v>
      </c>
      <c r="AB10" s="17">
        <v>1.1901303670887882E-2</v>
      </c>
      <c r="AC10" s="43">
        <f t="shared" si="14"/>
        <v>3.8857279063920565E-2</v>
      </c>
      <c r="AE10" s="47"/>
      <c r="AF10" s="61">
        <v>6.5000000000000002E-2</v>
      </c>
      <c r="AG10" s="61">
        <v>1.7000000000000001E-2</v>
      </c>
      <c r="AH10" s="61">
        <v>3.4000000000000002E-2</v>
      </c>
    </row>
    <row r="11" spans="1:34" x14ac:dyDescent="0.3">
      <c r="A11" s="66"/>
      <c r="B11" s="59" t="s">
        <v>357</v>
      </c>
      <c r="C11" s="60">
        <v>11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4.0581098624604978E-3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66"/>
      <c r="B12" s="59" t="s">
        <v>357</v>
      </c>
      <c r="C12" s="60">
        <v>11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69</v>
      </c>
      <c r="B15" s="59" t="s">
        <v>358</v>
      </c>
      <c r="C15" s="60">
        <v>11</v>
      </c>
      <c r="D15" s="44"/>
      <c r="E15" s="44"/>
      <c r="F15" s="44"/>
      <c r="G15" s="44"/>
      <c r="H15" s="44"/>
      <c r="I15" s="4">
        <f t="shared" ref="I15:I22" si="21">D$37*W15</f>
        <v>13.317383024961503</v>
      </c>
      <c r="J15" s="4">
        <f t="shared" ref="J15:J22" si="22">I15*V15</f>
        <v>94.819767137725904</v>
      </c>
      <c r="K15" s="4">
        <f t="shared" ref="K15:K22" si="23">I15*X15</f>
        <v>0</v>
      </c>
      <c r="L15" s="7">
        <f t="shared" ref="L15:L20" si="24">((D$2+D$3+D$4)*AA15)</f>
        <v>136.70750666999999</v>
      </c>
      <c r="M15" s="4">
        <f t="shared" ref="M15:N19" si="25">L15*Y15</f>
        <v>94.123118342294987</v>
      </c>
      <c r="N15" s="4">
        <f t="shared" si="25"/>
        <v>1146.4195814091529</v>
      </c>
      <c r="O15" s="4">
        <f t="shared" ref="O15:O22" si="26">M15*AH15</f>
        <v>7.7180957040681895</v>
      </c>
      <c r="Q15" s="45"/>
      <c r="R15" s="45"/>
      <c r="S15" s="44"/>
      <c r="T15" s="45"/>
      <c r="U15" s="45"/>
      <c r="V15" s="63">
        <v>7.12</v>
      </c>
      <c r="W15" s="43">
        <f t="shared" ref="W15:W22" si="27">(AF15/SUM(AF$2:AF$22))*0.98</f>
        <v>3.0294217212415504E-2</v>
      </c>
      <c r="X15" s="237">
        <v>0</v>
      </c>
      <c r="Y15" s="237">
        <v>0.6885</v>
      </c>
      <c r="Z15" s="63">
        <v>12.18</v>
      </c>
      <c r="AA15" s="43">
        <f t="shared" ref="AA15:AA22" si="28">(AG15/SUM(AG$7:AG$27))*0.98</f>
        <v>0.217</v>
      </c>
      <c r="AB15" s="17">
        <v>0.13977929597046804</v>
      </c>
      <c r="AC15" s="43">
        <f t="shared" ref="AC15:AC22" si="29">(AH15/SUM(AH$7:AH$27))*0.98</f>
        <v>9.3714614212984881E-2</v>
      </c>
      <c r="AE15" s="47"/>
      <c r="AF15" s="61">
        <v>3.0282540671097362E-2</v>
      </c>
      <c r="AG15" s="61">
        <v>0.217</v>
      </c>
      <c r="AH15" s="61">
        <v>8.2000000000000003E-2</v>
      </c>
    </row>
    <row r="16" spans="1:34" x14ac:dyDescent="0.3">
      <c r="A16" s="77" t="s">
        <v>341</v>
      </c>
      <c r="B16" s="59" t="s">
        <v>358</v>
      </c>
      <c r="C16" s="60">
        <v>11</v>
      </c>
      <c r="D16" s="44"/>
      <c r="E16" s="44"/>
      <c r="F16" s="44"/>
      <c r="G16" s="44"/>
      <c r="H16" s="44"/>
      <c r="I16" s="4">
        <f t="shared" si="21"/>
        <v>6.6675699345616559</v>
      </c>
      <c r="J16" s="4">
        <f t="shared" si="22"/>
        <v>38.114690848732053</v>
      </c>
      <c r="K16" s="4">
        <f t="shared" si="23"/>
        <v>0.59522942401563184</v>
      </c>
      <c r="L16" s="7">
        <f t="shared" si="24"/>
        <v>131.03761007999995</v>
      </c>
      <c r="M16" s="4">
        <f t="shared" si="25"/>
        <v>92.512552716479959</v>
      </c>
      <c r="N16" s="4">
        <f t="shared" si="25"/>
        <v>1006.5365735553021</v>
      </c>
      <c r="O16" s="4">
        <f t="shared" si="26"/>
        <v>6.6193696454552056</v>
      </c>
      <c r="Q16" s="45"/>
      <c r="R16" s="45"/>
      <c r="S16" s="44"/>
      <c r="T16" s="45"/>
      <c r="U16" s="45"/>
      <c r="V16" s="63">
        <v>5.7164291072768201</v>
      </c>
      <c r="W16" s="43">
        <f t="shared" si="27"/>
        <v>1.5167305130293475E-2</v>
      </c>
      <c r="X16" s="237">
        <v>8.9272318079519894E-2</v>
      </c>
      <c r="Y16" s="237">
        <v>0.70599999999999996</v>
      </c>
      <c r="Z16" s="63">
        <v>10.88</v>
      </c>
      <c r="AA16" s="43">
        <f t="shared" si="28"/>
        <v>0.20799999999999996</v>
      </c>
      <c r="AB16" s="17">
        <v>0.13397476484210691</v>
      </c>
      <c r="AC16" s="43">
        <f t="shared" si="29"/>
        <v>8.177290730956345E-2</v>
      </c>
      <c r="AE16" s="47"/>
      <c r="AF16" s="61">
        <v>1.5161459075127337E-2</v>
      </c>
      <c r="AG16" s="61">
        <v>0.20799999999999999</v>
      </c>
      <c r="AH16" s="61">
        <v>7.1551043086459418E-2</v>
      </c>
    </row>
    <row r="17" spans="1:34" x14ac:dyDescent="0.3">
      <c r="A17" s="77" t="s">
        <v>330</v>
      </c>
      <c r="B17" s="59" t="s">
        <v>358</v>
      </c>
      <c r="C17" s="60">
        <v>11</v>
      </c>
      <c r="D17" s="44"/>
      <c r="E17" s="44"/>
      <c r="F17" s="44"/>
      <c r="G17" s="44"/>
      <c r="H17" s="44"/>
      <c r="I17" s="4">
        <f t="shared" si="21"/>
        <v>0.50019279329044686</v>
      </c>
      <c r="J17" s="4">
        <f t="shared" si="22"/>
        <v>3.1011953184007708</v>
      </c>
      <c r="K17" s="4">
        <f t="shared" si="23"/>
        <v>0</v>
      </c>
      <c r="L17" s="7">
        <f t="shared" si="24"/>
        <v>73.708655669999999</v>
      </c>
      <c r="M17" s="4">
        <f t="shared" si="25"/>
        <v>46.547016055604999</v>
      </c>
      <c r="N17" s="4">
        <f t="shared" si="25"/>
        <v>573.45923780505359</v>
      </c>
      <c r="O17" s="4">
        <f t="shared" si="26"/>
        <v>4.35820464227311</v>
      </c>
      <c r="Q17" s="45"/>
      <c r="R17" s="45"/>
      <c r="S17" s="44"/>
      <c r="T17" s="45"/>
      <c r="U17" s="45"/>
      <c r="V17" s="63">
        <v>6.2</v>
      </c>
      <c r="W17" s="43">
        <f t="shared" si="27"/>
        <v>1.1378323428577251E-3</v>
      </c>
      <c r="X17" s="237">
        <v>0</v>
      </c>
      <c r="Y17" s="237">
        <v>0.63149999999999995</v>
      </c>
      <c r="Z17" s="63">
        <v>12.32</v>
      </c>
      <c r="AA17" s="43">
        <f t="shared" si="28"/>
        <v>0.11700000000000001</v>
      </c>
      <c r="AB17" s="17">
        <v>0.13483737034533969</v>
      </c>
      <c r="AC17" s="43">
        <f t="shared" si="29"/>
        <v>0.10700627423310548</v>
      </c>
      <c r="AE17" s="47"/>
      <c r="AF17" s="61">
        <v>1.1373937790793202E-3</v>
      </c>
      <c r="AG17" s="61">
        <v>0.11700000000000001</v>
      </c>
      <c r="AH17" s="61">
        <v>9.3630161750149668E-2</v>
      </c>
    </row>
    <row r="18" spans="1:34" x14ac:dyDescent="0.3">
      <c r="A18" s="77" t="s">
        <v>83</v>
      </c>
      <c r="B18" s="59" t="s">
        <v>358</v>
      </c>
      <c r="C18" s="60">
        <v>11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15.119724239999996</v>
      </c>
      <c r="M18" s="4">
        <f t="shared" si="25"/>
        <v>8.9372689982639972</v>
      </c>
      <c r="N18" s="4">
        <f t="shared" si="25"/>
        <v>107.78346411906381</v>
      </c>
      <c r="O18" s="4">
        <f t="shared" si="26"/>
        <v>0.37778087601312527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0.59109999999999996</v>
      </c>
      <c r="Z18" s="63">
        <v>12.06</v>
      </c>
      <c r="AA18" s="43">
        <f t="shared" si="28"/>
        <v>2.3999999999999997E-2</v>
      </c>
      <c r="AB18" s="17">
        <v>6.3379106516108133E-2</v>
      </c>
      <c r="AC18" s="43">
        <f t="shared" si="29"/>
        <v>4.8309062431862178E-2</v>
      </c>
      <c r="AE18" s="47"/>
      <c r="AF18" s="61">
        <v>0</v>
      </c>
      <c r="AG18" s="61">
        <v>2.4E-2</v>
      </c>
      <c r="AH18" s="61">
        <v>4.2270281456953641E-2</v>
      </c>
    </row>
    <row r="19" spans="1:34" x14ac:dyDescent="0.3">
      <c r="A19" s="77" t="s">
        <v>356</v>
      </c>
      <c r="B19" s="59" t="s">
        <v>358</v>
      </c>
      <c r="C19" s="60">
        <v>11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11.969781689999996</v>
      </c>
      <c r="M19" s="4">
        <f t="shared" si="25"/>
        <v>6.7263909839938938</v>
      </c>
      <c r="N19" s="4">
        <f t="shared" si="25"/>
        <v>74.662939922332214</v>
      </c>
      <c r="O19" s="4">
        <f t="shared" si="26"/>
        <v>0.60127275466046504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0.56194767441860471</v>
      </c>
      <c r="Z19" s="63">
        <v>11.1</v>
      </c>
      <c r="AA19" s="43">
        <f t="shared" si="28"/>
        <v>1.8999999999999996E-2</v>
      </c>
      <c r="AB19" s="17">
        <v>2.1686028625809362E-2</v>
      </c>
      <c r="AC19" s="43">
        <f t="shared" si="29"/>
        <v>0.10216047102407096</v>
      </c>
      <c r="AE19" s="47"/>
      <c r="AF19" s="61">
        <v>0</v>
      </c>
      <c r="AG19" s="61">
        <v>1.9E-2</v>
      </c>
      <c r="AH19" s="61">
        <v>8.9390098805028198E-2</v>
      </c>
    </row>
    <row r="20" spans="1:34" x14ac:dyDescent="0.3">
      <c r="A20" s="77" t="s">
        <v>649</v>
      </c>
      <c r="B20" s="59" t="s">
        <v>358</v>
      </c>
      <c r="C20" s="60">
        <v>11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9.4498276499999978</v>
      </c>
      <c r="M20" s="4">
        <f t="shared" ref="M20:N20" si="30">L20*Y20</f>
        <v>5.8796827638299982</v>
      </c>
      <c r="N20" s="4">
        <f t="shared" si="30"/>
        <v>64.850080373017946</v>
      </c>
      <c r="O20" s="4">
        <f t="shared" si="26"/>
        <v>0.47731741994191873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0.62219999999999998</v>
      </c>
      <c r="Z20" s="63">
        <v>11.029520295202952</v>
      </c>
      <c r="AA20" s="43">
        <f t="shared" si="28"/>
        <v>1.4999999999999998E-2</v>
      </c>
      <c r="AB20" s="17">
        <v>5.4155903923578511E-2</v>
      </c>
      <c r="AC20" s="43">
        <f t="shared" si="29"/>
        <v>9.2778395854813595E-2</v>
      </c>
      <c r="AE20" s="47"/>
      <c r="AF20" s="61">
        <v>0</v>
      </c>
      <c r="AG20" s="61">
        <v>1.4999999999999999E-2</v>
      </c>
      <c r="AH20" s="61">
        <v>8.1180811808118092E-2</v>
      </c>
    </row>
    <row r="21" spans="1:34" x14ac:dyDescent="0.3">
      <c r="A21" s="77"/>
      <c r="B21" s="59" t="s">
        <v>358</v>
      </c>
      <c r="C21" s="60">
        <v>11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1.4127569434105905E-2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11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1.5301244433247011E-2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84</v>
      </c>
      <c r="B24" s="59" t="s">
        <v>10</v>
      </c>
      <c r="C24" s="60">
        <v>11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93.238299479999966</v>
      </c>
      <c r="M24" s="4">
        <f t="shared" ref="M24:N27" si="34">L24*Y24</f>
        <v>61.341477227891978</v>
      </c>
      <c r="N24" s="4">
        <f t="shared" si="34"/>
        <v>645.92575520970252</v>
      </c>
      <c r="O24" s="4">
        <f t="shared" ref="O24:O27" si="35">M24*AH24</f>
        <v>3.5069706518021251</v>
      </c>
      <c r="Q24" s="45"/>
      <c r="R24" s="45"/>
      <c r="S24" s="44"/>
      <c r="T24" s="45"/>
      <c r="U24" s="45"/>
      <c r="V24" s="46"/>
      <c r="W24" s="46"/>
      <c r="X24" s="45"/>
      <c r="Y24" s="237">
        <v>0.65790000000000004</v>
      </c>
      <c r="Z24" s="236">
        <v>10.53</v>
      </c>
      <c r="AA24" s="43">
        <f t="shared" ref="AA24:AA27" si="36">(AG24/SUM(AG$7:AG$27))*0.98</f>
        <v>0.14799999999999996</v>
      </c>
      <c r="AB24" s="17">
        <v>0.12428203305448807</v>
      </c>
      <c r="AC24" s="43">
        <f t="shared" ref="AC24:AC27" si="37">(AH24/SUM(AH$7:AH$27))*0.98</f>
        <v>6.5338832541041905E-2</v>
      </c>
      <c r="AE24" s="47"/>
      <c r="AF24" s="47"/>
      <c r="AG24" s="61">
        <v>0.14799999999999999</v>
      </c>
      <c r="AH24" s="61">
        <v>5.7171278069702319E-2</v>
      </c>
    </row>
    <row r="25" spans="1:34" x14ac:dyDescent="0.3">
      <c r="A25" s="66" t="s">
        <v>291</v>
      </c>
      <c r="B25" s="59" t="s">
        <v>10</v>
      </c>
      <c r="C25" s="60">
        <v>11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19.529643809999996</v>
      </c>
      <c r="M25" s="4">
        <f t="shared" si="34"/>
        <v>13.328981900324997</v>
      </c>
      <c r="N25" s="4">
        <f t="shared" si="34"/>
        <v>133.6896884602597</v>
      </c>
      <c r="O25" s="4">
        <f t="shared" si="35"/>
        <v>0.95968669682339969</v>
      </c>
      <c r="Q25" s="45"/>
      <c r="R25" s="45"/>
      <c r="S25" s="44"/>
      <c r="T25" s="45"/>
      <c r="U25" s="45"/>
      <c r="V25" s="46"/>
      <c r="W25" s="46"/>
      <c r="X25" s="45"/>
      <c r="Y25" s="237">
        <v>0.6825</v>
      </c>
      <c r="Z25" s="236">
        <v>10.029999999999999</v>
      </c>
      <c r="AA25" s="43">
        <f t="shared" si="36"/>
        <v>3.0999999999999996E-2</v>
      </c>
      <c r="AB25" s="17">
        <v>4.0438583704690979E-2</v>
      </c>
      <c r="AC25" s="43">
        <f t="shared" si="37"/>
        <v>8.2286002723596471E-2</v>
      </c>
      <c r="AE25" s="47"/>
      <c r="AF25" s="47"/>
      <c r="AG25" s="61">
        <v>3.1E-2</v>
      </c>
      <c r="AH25" s="61">
        <v>7.1999999999999995E-2</v>
      </c>
    </row>
    <row r="26" spans="1:34" x14ac:dyDescent="0.3">
      <c r="A26" s="77" t="s">
        <v>290</v>
      </c>
      <c r="B26" s="59" t="s">
        <v>10</v>
      </c>
      <c r="C26" s="60">
        <v>11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6.9298736099999978</v>
      </c>
      <c r="M26" s="4">
        <f t="shared" si="34"/>
        <v>4.7580512206259984</v>
      </c>
      <c r="N26" s="4">
        <f t="shared" si="34"/>
        <v>47.055371714976914</v>
      </c>
      <c r="O26" s="4">
        <f t="shared" si="35"/>
        <v>0.32294635513360637</v>
      </c>
      <c r="Q26" s="45"/>
      <c r="R26" s="45"/>
      <c r="S26" s="44"/>
      <c r="T26" s="45"/>
      <c r="U26" s="45"/>
      <c r="V26" s="46"/>
      <c r="W26" s="46"/>
      <c r="X26" s="45"/>
      <c r="Y26" s="237">
        <v>0.68659999999999999</v>
      </c>
      <c r="Z26" s="236">
        <v>9.8896311815630309</v>
      </c>
      <c r="AA26" s="43">
        <f t="shared" si="36"/>
        <v>1.0999999999999998E-2</v>
      </c>
      <c r="AB26" s="17">
        <v>2.8782823517315929E-2</v>
      </c>
      <c r="AC26" s="43">
        <f t="shared" si="37"/>
        <v>7.7570170088468532E-2</v>
      </c>
      <c r="AE26" s="47"/>
      <c r="AF26" s="47"/>
      <c r="AG26" s="61">
        <v>1.0999999999999999E-2</v>
      </c>
      <c r="AH26" s="61">
        <v>6.7873660908408115E-2</v>
      </c>
    </row>
    <row r="27" spans="1:34" x14ac:dyDescent="0.3">
      <c r="A27" s="77" t="s">
        <v>217</v>
      </c>
      <c r="B27" s="59" t="s">
        <v>10</v>
      </c>
      <c r="C27" s="60">
        <v>11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8.8198391399999974</v>
      </c>
      <c r="M27" s="4">
        <f t="shared" si="34"/>
        <v>5.7505351192799985</v>
      </c>
      <c r="N27" s="4">
        <f t="shared" si="34"/>
        <v>55.550169252244785</v>
      </c>
      <c r="O27" s="4">
        <f t="shared" si="35"/>
        <v>0.32152838240313109</v>
      </c>
      <c r="Q27" s="45"/>
      <c r="R27" s="45"/>
      <c r="S27" s="44"/>
      <c r="T27" s="45"/>
      <c r="U27" s="45"/>
      <c r="V27" s="46"/>
      <c r="W27" s="46"/>
      <c r="X27" s="45"/>
      <c r="Y27" s="237">
        <v>0.65200000000000002</v>
      </c>
      <c r="Z27" s="236">
        <v>9.66</v>
      </c>
      <c r="AA27" s="43">
        <f t="shared" si="36"/>
        <v>1.3999999999999999E-2</v>
      </c>
      <c r="AB27" s="17">
        <v>2.6951551376411035E-2</v>
      </c>
      <c r="AC27" s="43">
        <f t="shared" si="37"/>
        <v>6.3900539498956674E-2</v>
      </c>
      <c r="AE27" s="47"/>
      <c r="AF27" s="47"/>
      <c r="AG27" s="61">
        <v>1.4E-2</v>
      </c>
      <c r="AH27" s="61">
        <v>5.591277606933185E-2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0.9800000000000002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0.97499999999999987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0.97962227079803565</v>
      </c>
      <c r="AG30" s="28">
        <f>SUM(AG7:AG27)</f>
        <v>0.98000000000000009</v>
      </c>
    </row>
    <row r="31" spans="1:34" s="86" customFormat="1" x14ac:dyDescent="0.3">
      <c r="A31" s="102"/>
      <c r="B31" s="80"/>
      <c r="C31" s="80"/>
      <c r="D31" s="105">
        <v>1069.5899999999999</v>
      </c>
      <c r="E31" s="106">
        <v>0.58899999999999997</v>
      </c>
      <c r="F31" s="8">
        <f>1-E31</f>
        <v>0.41100000000000003</v>
      </c>
      <c r="G31" s="234">
        <v>4.04</v>
      </c>
      <c r="H31" s="275">
        <v>3.3356321839080459E-2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629.98850999999991</v>
      </c>
      <c r="E34" s="2">
        <f>SUM(E2:E4)</f>
        <v>418.42410325098535</v>
      </c>
      <c r="F34" s="2">
        <f>SUM(F2:F4)</f>
        <v>4426.6137611503254</v>
      </c>
      <c r="G34" s="2">
        <f>SUM(G2:G4)</f>
        <v>28.016668033569385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439.60149000000001</v>
      </c>
      <c r="E37" s="2">
        <f>D37*G31</f>
        <v>1775.9900196000001</v>
      </c>
      <c r="F37" s="2">
        <f>D37*H31</f>
        <v>14.663488781379311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430.80946019999999</v>
      </c>
      <c r="E40" s="3">
        <f>SUM(J2:J4,J7:J12,J15:J22)</f>
        <v>1772.8419355077067</v>
      </c>
      <c r="F40" s="3">
        <f>SUM(K2:K4,K7:K12,K15:K22)</f>
        <v>14.534560299910115</v>
      </c>
      <c r="G40" s="3">
        <f>SUM(L7:L12,L15:L22,L24:L27)</f>
        <v>617.38873979999971</v>
      </c>
      <c r="H40" s="3">
        <f>SUM(M7:M12,M15:M22,M24:M27)</f>
        <v>417.93853912088974</v>
      </c>
      <c r="I40" s="3">
        <f>SUM(N7:N12,N15:N22,N24:N27)</f>
        <v>4420.3037430034965</v>
      </c>
      <c r="J40" s="3">
        <f>SUM(O7:O12,O15:O22,O24:O27)</f>
        <v>27.969235055160294</v>
      </c>
    </row>
    <row r="41" spans="1:32" ht="14.4" thickTop="1" x14ac:dyDescent="0.3">
      <c r="D41" s="50">
        <f>D37-D40</f>
        <v>8.792029800000023</v>
      </c>
      <c r="E41" s="50">
        <f>E37-E40</f>
        <v>3.1480840922934021</v>
      </c>
      <c r="F41" s="50">
        <f>F37-F40</f>
        <v>0.12892848146919533</v>
      </c>
      <c r="G41" s="50">
        <f>SUM(D2:D4)-G40</f>
        <v>12.599770200000194</v>
      </c>
      <c r="H41" s="50">
        <f>E34-H40</f>
        <v>0.48556413009561084</v>
      </c>
      <c r="I41" s="50">
        <f>F34-I40</f>
        <v>6.310018146828952</v>
      </c>
      <c r="J41" s="50">
        <f>G34-J40</f>
        <v>4.743297840909122E-2</v>
      </c>
    </row>
    <row r="42" spans="1:32" x14ac:dyDescent="0.3">
      <c r="N42" s="74"/>
      <c r="O42" s="74"/>
    </row>
    <row r="43" spans="1:32" x14ac:dyDescent="0.3">
      <c r="N43" s="74"/>
      <c r="O43" s="74"/>
    </row>
    <row r="44" spans="1:32" x14ac:dyDescent="0.3">
      <c r="N44" s="74"/>
      <c r="O44" s="74"/>
    </row>
    <row r="45" spans="1:32" x14ac:dyDescent="0.3">
      <c r="N45" s="74"/>
      <c r="O45" s="74"/>
    </row>
    <row r="46" spans="1:32" x14ac:dyDescent="0.3">
      <c r="N46" s="74"/>
      <c r="O46" s="74"/>
    </row>
    <row r="47" spans="1:32" x14ac:dyDescent="0.3">
      <c r="N47" s="74"/>
    </row>
  </sheetData>
  <sheetProtection sheet="1" selectLockedCells="1"/>
  <conditionalFormatting sqref="AA30:AB30 AD30:AF30">
    <cfRule type="cellIs" dxfId="260" priority="14" operator="greaterThan">
      <formula>1</formula>
    </cfRule>
    <cfRule type="cellIs" dxfId="259" priority="15" operator="greaterThan">
      <formula>1</formula>
    </cfRule>
  </conditionalFormatting>
  <conditionalFormatting sqref="AC30">
    <cfRule type="cellIs" dxfId="258" priority="10" operator="greaterThan">
      <formula>1</formula>
    </cfRule>
    <cfRule type="cellIs" dxfId="257" priority="11" operator="greaterThan">
      <formula>1</formula>
    </cfRule>
  </conditionalFormatting>
  <conditionalFormatting sqref="AG30">
    <cfRule type="cellIs" dxfId="256" priority="8" operator="greaterThan">
      <formula>1</formula>
    </cfRule>
    <cfRule type="cellIs" dxfId="255" priority="9" operator="greaterThan">
      <formula>1</formula>
    </cfRule>
  </conditionalFormatting>
  <conditionalFormatting sqref="W30">
    <cfRule type="cellIs" dxfId="254" priority="2" operator="greaterThan">
      <formula>1</formula>
    </cfRule>
    <cfRule type="cellIs" dxfId="253" priority="3" operator="greaterThan">
      <formula>1</formula>
    </cfRule>
  </conditionalFormatting>
  <conditionalFormatting sqref="D41:J41">
    <cfRule type="cellIs" dxfId="252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7030A0"/>
  </sheetPr>
  <dimension ref="A1:AH47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127</v>
      </c>
      <c r="B2" s="59" t="s">
        <v>9</v>
      </c>
      <c r="C2" s="60">
        <v>7</v>
      </c>
      <c r="D2" s="4">
        <f>D$34*Q2</f>
        <v>594.88550549999991</v>
      </c>
      <c r="E2" s="4">
        <f>D2*R2</f>
        <v>394.15474834428454</v>
      </c>
      <c r="F2" s="4">
        <f>E2*S2</f>
        <v>4403.6670414729006</v>
      </c>
      <c r="G2" s="4">
        <f>E2*T2</f>
        <v>31.048460602424925</v>
      </c>
      <c r="H2" s="4">
        <f>E2*U2</f>
        <v>7.3485228624001389</v>
      </c>
      <c r="I2" s="4">
        <f>D$37*W2</f>
        <v>26.52114475271901</v>
      </c>
      <c r="J2" s="4">
        <f>I2*V2</f>
        <v>105.61340308826387</v>
      </c>
      <c r="K2" s="4">
        <f>I2*X2</f>
        <v>0.95476121109788425</v>
      </c>
      <c r="L2" s="44"/>
      <c r="M2" s="44"/>
      <c r="N2" s="44"/>
      <c r="O2" s="44"/>
      <c r="Q2" s="43">
        <f>AE2</f>
        <v>0.99</v>
      </c>
      <c r="R2" s="61">
        <v>0.66257245251419994</v>
      </c>
      <c r="S2" s="236">
        <v>11.172431792262477</v>
      </c>
      <c r="T2" s="237">
        <v>7.8772260724624968E-2</v>
      </c>
      <c r="U2" s="61">
        <v>1.8643750692510709E-2</v>
      </c>
      <c r="V2" s="236">
        <v>3.9822339523046466</v>
      </c>
      <c r="W2" s="43">
        <f>(AF2/SUM(AF$2:AF$22))*0.98</f>
        <v>5.7326214452648544E-2</v>
      </c>
      <c r="X2" s="61">
        <v>3.5999999999999997E-2</v>
      </c>
      <c r="Y2" s="64"/>
      <c r="Z2" s="65"/>
      <c r="AA2" s="1"/>
      <c r="AB2" s="1"/>
      <c r="AC2" s="1"/>
      <c r="AE2" s="61">
        <v>0.99</v>
      </c>
      <c r="AF2" s="61">
        <v>5.7329143858486448E-2</v>
      </c>
      <c r="AG2" s="47"/>
      <c r="AH2" s="47"/>
    </row>
    <row r="3" spans="1:34" x14ac:dyDescent="0.3">
      <c r="A3" s="58" t="s">
        <v>273</v>
      </c>
      <c r="B3" s="59" t="s">
        <v>9</v>
      </c>
      <c r="C3" s="60">
        <v>7</v>
      </c>
      <c r="D3" s="4">
        <f>D$34*Q3</f>
        <v>6.0089445000000046</v>
      </c>
      <c r="E3" s="4">
        <f t="shared" ref="E3:E4" si="0">D3*R3</f>
        <v>3.663484297927464</v>
      </c>
      <c r="F3" s="4">
        <f t="shared" ref="F3:F4" si="1">E3*S3</f>
        <v>36.468792699481888</v>
      </c>
      <c r="G3" s="4">
        <f t="shared" ref="G3" si="2">E3*T3</f>
        <v>0.22831913471502613</v>
      </c>
      <c r="H3" s="4">
        <f t="shared" ref="H3" si="3">E3*U3</f>
        <v>9.2799832532417054E-2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0.60967184801381691</v>
      </c>
      <c r="S3" s="236">
        <v>9.954674220963172</v>
      </c>
      <c r="T3" s="237">
        <v>6.2322946175637405E-2</v>
      </c>
      <c r="U3" s="61">
        <v>2.5331030512377666E-2</v>
      </c>
      <c r="V3" s="236">
        <v>5.9999999999999991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1.0000000000000009E-2</v>
      </c>
      <c r="AF3" s="61">
        <v>0</v>
      </c>
      <c r="AG3" s="47"/>
      <c r="AH3" s="47"/>
    </row>
    <row r="4" spans="1:34" x14ac:dyDescent="0.3">
      <c r="B4" s="59" t="s">
        <v>9</v>
      </c>
      <c r="C4" s="60">
        <v>7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128</v>
      </c>
      <c r="B7" s="59" t="s">
        <v>357</v>
      </c>
      <c r="C7" s="60">
        <v>7</v>
      </c>
      <c r="D7" s="44"/>
      <c r="E7" s="44"/>
      <c r="F7" s="44"/>
      <c r="G7" s="44"/>
      <c r="H7" s="44"/>
      <c r="I7" s="4">
        <f t="shared" ref="I7:I12" si="9">D$37*W7</f>
        <v>268.77751984863761</v>
      </c>
      <c r="J7" s="4">
        <f>I7*V7</f>
        <v>1239.0643665022194</v>
      </c>
      <c r="K7" s="4">
        <f>I7*X7</f>
        <v>9.4878464506569067</v>
      </c>
      <c r="L7" s="7">
        <f>((D$2+D$3+D$4)*AA7)</f>
        <v>60.679089794621468</v>
      </c>
      <c r="M7" s="4">
        <f t="shared" ref="M7:N9" si="10">L7*Y7</f>
        <v>43.252055205606183</v>
      </c>
      <c r="N7" s="4">
        <f t="shared" si="10"/>
        <v>306.45791580986298</v>
      </c>
      <c r="O7" s="4">
        <f>M7*AH7</f>
        <v>0.86504110411212365</v>
      </c>
      <c r="Q7" s="45"/>
      <c r="R7" s="45"/>
      <c r="S7" s="44"/>
      <c r="T7" s="45"/>
      <c r="U7" s="45"/>
      <c r="V7" s="63">
        <v>4.6100000000000003</v>
      </c>
      <c r="W7" s="43">
        <f t="shared" ref="W7:W12" si="11">(AF7/SUM(AF$2:AF$22))*0.98</f>
        <v>0.58097031204938232</v>
      </c>
      <c r="X7" s="237">
        <v>3.5299999999999998E-2</v>
      </c>
      <c r="Y7" s="237">
        <v>0.71279999999999999</v>
      </c>
      <c r="Z7" s="63">
        <v>7.0853954650955169</v>
      </c>
      <c r="AA7" s="43">
        <f>(AG7/SUM(AG$7:AG$27))*0.98</f>
        <v>0.1009812784834699</v>
      </c>
      <c r="AB7" s="17">
        <v>0.1353773558933076</v>
      </c>
      <c r="AC7" s="43">
        <f>(AH7/SUM(AH$7:AH$27))*0.98</f>
        <v>2.4511285352243388E-2</v>
      </c>
      <c r="AE7" s="47"/>
      <c r="AF7" s="61">
        <v>0.58099999999999996</v>
      </c>
      <c r="AG7" s="61">
        <v>0.10100000000000001</v>
      </c>
      <c r="AH7" s="61">
        <v>0.02</v>
      </c>
    </row>
    <row r="8" spans="1:34" x14ac:dyDescent="0.3">
      <c r="A8" s="101" t="s">
        <v>129</v>
      </c>
      <c r="B8" s="59" t="s">
        <v>357</v>
      </c>
      <c r="C8" s="60">
        <v>7</v>
      </c>
      <c r="D8" s="44"/>
      <c r="E8" s="44"/>
      <c r="F8" s="44"/>
      <c r="G8" s="44"/>
      <c r="H8" s="44"/>
      <c r="I8" s="4">
        <f t="shared" si="9"/>
        <v>124.4426038541885</v>
      </c>
      <c r="J8" s="4">
        <f>I8*V8</f>
        <v>501.50369353237971</v>
      </c>
      <c r="K8" s="4">
        <f>I8*X8</f>
        <v>3.6710568136985606</v>
      </c>
      <c r="L8" s="7">
        <f>((D$2+D$3+D$4)*AA8)</f>
        <v>39.866009605204383</v>
      </c>
      <c r="M8" s="4">
        <f t="shared" si="10"/>
        <v>30.768586213296743</v>
      </c>
      <c r="N8" s="4">
        <f t="shared" si="10"/>
        <v>210.84012971241074</v>
      </c>
      <c r="O8" s="4">
        <f t="shared" ref="O8:O12" si="12">M8*AH8</f>
        <v>1.1076691036786828</v>
      </c>
      <c r="Q8" s="45"/>
      <c r="R8" s="45"/>
      <c r="S8" s="44"/>
      <c r="T8" s="45"/>
      <c r="U8" s="45"/>
      <c r="V8" s="63">
        <v>4.03</v>
      </c>
      <c r="W8" s="43">
        <f t="shared" si="11"/>
        <v>0.26898625463215808</v>
      </c>
      <c r="X8" s="237">
        <v>2.9499999999999998E-2</v>
      </c>
      <c r="Y8" s="237">
        <v>0.77180000000000004</v>
      </c>
      <c r="Z8" s="63">
        <v>6.8524477611940293</v>
      </c>
      <c r="AA8" s="43">
        <f t="shared" ref="AA8:AA12" si="13">(AG8/SUM(AG$7:AG$27))*0.98</f>
        <v>6.6344446358598236E-2</v>
      </c>
      <c r="AB8" s="17">
        <v>3.5287060352063145E-2</v>
      </c>
      <c r="AC8" s="43">
        <f t="shared" ref="AC8:AC12" si="14">(AH8/SUM(AH$7:AH$27))*0.98</f>
        <v>4.4120313634038094E-2</v>
      </c>
      <c r="AE8" s="47"/>
      <c r="AF8" s="61">
        <v>0.26900000000000002</v>
      </c>
      <c r="AG8" s="61">
        <v>6.6356746347941184E-2</v>
      </c>
      <c r="AH8" s="61">
        <v>3.5999999999999997E-2</v>
      </c>
    </row>
    <row r="9" spans="1:34" x14ac:dyDescent="0.3">
      <c r="A9" s="101" t="s">
        <v>310</v>
      </c>
      <c r="B9" s="59" t="s">
        <v>357</v>
      </c>
      <c r="C9" s="60">
        <v>7</v>
      </c>
      <c r="D9" s="44"/>
      <c r="E9" s="44"/>
      <c r="F9" s="44"/>
      <c r="G9" s="44"/>
      <c r="H9" s="44"/>
      <c r="I9" s="4">
        <f t="shared" si="9"/>
        <v>11.565297755965476</v>
      </c>
      <c r="J9" s="4">
        <f>I9*V9</f>
        <v>50.193392260890164</v>
      </c>
      <c r="K9" s="4">
        <f>I9*X9</f>
        <v>0.39322012370282622</v>
      </c>
      <c r="L9" s="7">
        <f>((D$2+D$3+D$4)*AA9)</f>
        <v>4.8990917284059661</v>
      </c>
      <c r="M9" s="4">
        <f t="shared" si="10"/>
        <v>3.4612083061188152</v>
      </c>
      <c r="N9" s="4">
        <f t="shared" si="10"/>
        <v>22.220102705947951</v>
      </c>
      <c r="O9" s="4">
        <f t="shared" si="12"/>
        <v>6.4096450113311401E-2</v>
      </c>
      <c r="Q9" s="45"/>
      <c r="R9" s="45"/>
      <c r="S9" s="44"/>
      <c r="T9" s="45"/>
      <c r="U9" s="45"/>
      <c r="V9" s="63">
        <v>4.34</v>
      </c>
      <c r="W9" s="43">
        <f t="shared" si="11"/>
        <v>2.4998722549457075E-2</v>
      </c>
      <c r="X9" s="237">
        <v>3.4000000000000002E-2</v>
      </c>
      <c r="Y9" s="237">
        <v>0.70650000000000002</v>
      </c>
      <c r="Z9" s="63">
        <v>6.4197530864197532</v>
      </c>
      <c r="AA9" s="43">
        <f t="shared" si="13"/>
        <v>8.1529987977189116E-3</v>
      </c>
      <c r="AB9" s="17">
        <v>1.4026782329730186E-2</v>
      </c>
      <c r="AC9" s="43">
        <f t="shared" si="14"/>
        <v>2.2695634585410546E-2</v>
      </c>
      <c r="AE9" s="47"/>
      <c r="AF9" s="61">
        <v>2.5000000000000001E-2</v>
      </c>
      <c r="AG9" s="61">
        <v>8.1545103303916379E-3</v>
      </c>
      <c r="AH9" s="61">
        <v>1.8518518518518521E-2</v>
      </c>
    </row>
    <row r="10" spans="1:34" x14ac:dyDescent="0.3">
      <c r="A10" s="58" t="s">
        <v>722</v>
      </c>
      <c r="B10" s="59" t="s">
        <v>357</v>
      </c>
      <c r="C10" s="60">
        <v>7</v>
      </c>
      <c r="D10" s="44"/>
      <c r="E10" s="44"/>
      <c r="F10" s="44"/>
      <c r="G10" s="44"/>
      <c r="H10" s="44"/>
      <c r="I10" s="4">
        <f t="shared" si="9"/>
        <v>17.579252589067522</v>
      </c>
      <c r="J10" s="4">
        <f t="shared" ref="J10:J12" si="15">I10*V10</f>
        <v>78.520661564501594</v>
      </c>
      <c r="K10" s="4">
        <f t="shared" ref="K10:K12" si="16">I10*X10</f>
        <v>0.61878969113517679</v>
      </c>
      <c r="L10" s="7">
        <f t="shared" ref="L10:L12" si="17">((D$2+D$3+D$4)*AA10)</f>
        <v>2.578398631182373</v>
      </c>
      <c r="M10" s="4">
        <f t="shared" ref="M10:N10" si="18">L10*Y10</f>
        <v>1.8102936789531439</v>
      </c>
      <c r="N10" s="4">
        <f t="shared" si="18"/>
        <v>15.561562971001065</v>
      </c>
      <c r="O10" s="4">
        <f t="shared" si="12"/>
        <v>0</v>
      </c>
      <c r="Q10" s="45"/>
      <c r="R10" s="45"/>
      <c r="S10" s="44"/>
      <c r="T10" s="45"/>
      <c r="U10" s="45"/>
      <c r="V10" s="63">
        <v>4.4666666666666668</v>
      </c>
      <c r="W10" s="43">
        <f t="shared" si="11"/>
        <v>3.7998058275174745E-2</v>
      </c>
      <c r="X10" s="237">
        <v>3.5200000000000002E-2</v>
      </c>
      <c r="Y10" s="237">
        <v>0.70209999999999995</v>
      </c>
      <c r="Z10" s="63">
        <v>8.5961538461538467</v>
      </c>
      <c r="AA10" s="43">
        <f t="shared" si="13"/>
        <v>4.290934341600881E-3</v>
      </c>
      <c r="AB10" s="17">
        <v>1.8202568396799731E-2</v>
      </c>
      <c r="AC10" s="43">
        <f t="shared" si="14"/>
        <v>0</v>
      </c>
      <c r="AE10" s="47"/>
      <c r="AF10" s="61">
        <v>3.7999999999999999E-2</v>
      </c>
      <c r="AG10" s="61">
        <v>4.2917298632996785E-3</v>
      </c>
      <c r="AH10" s="61">
        <v>0</v>
      </c>
    </row>
    <row r="11" spans="1:34" x14ac:dyDescent="0.3">
      <c r="B11" s="59" t="s">
        <v>357</v>
      </c>
      <c r="C11" s="60">
        <v>7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1.6938860595027125E-2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7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218</v>
      </c>
      <c r="B15" s="59" t="s">
        <v>358</v>
      </c>
      <c r="C15" s="60">
        <v>7</v>
      </c>
      <c r="D15" s="44"/>
      <c r="E15" s="44"/>
      <c r="F15" s="44"/>
      <c r="G15" s="44"/>
      <c r="H15" s="44"/>
      <c r="I15" s="4">
        <f t="shared" ref="I15:I22" si="21">D$37*W15</f>
        <v>3.8720521356854061</v>
      </c>
      <c r="J15" s="4">
        <f t="shared" ref="J15:J22" si="22">I15*V15</f>
        <v>18.39880980917491</v>
      </c>
      <c r="K15" s="4">
        <f t="shared" ref="K15:K22" si="23">I15*X15</f>
        <v>0</v>
      </c>
      <c r="L15" s="7">
        <f t="shared" ref="L15:L20" si="24">((D$2+D$3+D$4)*AA15)</f>
        <v>153.07162114672514</v>
      </c>
      <c r="M15" s="4">
        <f t="shared" ref="M15:N19" si="25">L15*Y15</f>
        <v>99.809495727206254</v>
      </c>
      <c r="N15" s="4">
        <f t="shared" si="25"/>
        <v>1469.1957771044761</v>
      </c>
      <c r="O15" s="4">
        <f t="shared" ref="O15:O22" si="26">M15*AH15</f>
        <v>8.9828546154485629</v>
      </c>
      <c r="Q15" s="45"/>
      <c r="R15" s="45"/>
      <c r="S15" s="44"/>
      <c r="T15" s="45"/>
      <c r="U15" s="45"/>
      <c r="V15" s="63">
        <v>4.7516947511136935</v>
      </c>
      <c r="W15" s="43">
        <f t="shared" ref="W15:W22" si="27">(AF15/SUM(AF$2:AF$22))*0.98</f>
        <v>8.3695516604493665E-3</v>
      </c>
      <c r="X15" s="237">
        <v>0</v>
      </c>
      <c r="Y15" s="237">
        <v>0.65204441541476166</v>
      </c>
      <c r="Z15" s="63">
        <v>14.72</v>
      </c>
      <c r="AA15" s="43">
        <f t="shared" ref="AA15:AA22" si="28">(AG15/SUM(AG$7:AG$27))*0.98</f>
        <v>0.25473961549607449</v>
      </c>
      <c r="AB15" s="17">
        <v>0.2255326591937164</v>
      </c>
      <c r="AC15" s="43">
        <f t="shared" ref="AC15:AC22" si="29">(AH15/SUM(AH$7:AH$27))*0.98</f>
        <v>0.11030078408509525</v>
      </c>
      <c r="AE15" s="47"/>
      <c r="AF15" s="61">
        <v>8.3699793498359567E-3</v>
      </c>
      <c r="AG15" s="61">
        <v>0.25478684318019584</v>
      </c>
      <c r="AH15" s="61">
        <v>0.09</v>
      </c>
    </row>
    <row r="16" spans="1:34" x14ac:dyDescent="0.3">
      <c r="A16" s="66" t="s">
        <v>130</v>
      </c>
      <c r="B16" s="59" t="s">
        <v>358</v>
      </c>
      <c r="C16" s="60">
        <v>7</v>
      </c>
      <c r="D16" s="44"/>
      <c r="E16" s="44"/>
      <c r="F16" s="44"/>
      <c r="G16" s="44"/>
      <c r="H16" s="44"/>
      <c r="I16" s="4">
        <f t="shared" si="21"/>
        <v>0.24998722549457067</v>
      </c>
      <c r="J16" s="4">
        <f t="shared" si="22"/>
        <v>1.2499361274728533</v>
      </c>
      <c r="K16" s="4">
        <f t="shared" si="23"/>
        <v>0</v>
      </c>
      <c r="L16" s="7">
        <f t="shared" si="24"/>
        <v>105.13703677285898</v>
      </c>
      <c r="M16" s="4">
        <f t="shared" si="25"/>
        <v>70.327027341628721</v>
      </c>
      <c r="N16" s="4">
        <f t="shared" si="25"/>
        <v>793.99213868698826</v>
      </c>
      <c r="O16" s="4">
        <f t="shared" si="26"/>
        <v>7.3140108435293865</v>
      </c>
      <c r="Q16" s="45"/>
      <c r="R16" s="45"/>
      <c r="S16" s="44"/>
      <c r="T16" s="45"/>
      <c r="U16" s="45"/>
      <c r="V16" s="63">
        <v>5</v>
      </c>
      <c r="W16" s="43">
        <f t="shared" si="27"/>
        <v>5.4035455229190811E-4</v>
      </c>
      <c r="X16" s="237">
        <v>0</v>
      </c>
      <c r="Y16" s="237">
        <v>0.66890821256038646</v>
      </c>
      <c r="Z16" s="63">
        <v>11.29</v>
      </c>
      <c r="AA16" s="43">
        <f t="shared" si="28"/>
        <v>0.17496756172878447</v>
      </c>
      <c r="AB16" s="17">
        <v>0.2006370053786376</v>
      </c>
      <c r="AC16" s="43">
        <f t="shared" si="29"/>
        <v>0.12745868383166561</v>
      </c>
      <c r="AE16" s="47"/>
      <c r="AF16" s="61">
        <v>5.403821647514982E-4</v>
      </c>
      <c r="AG16" s="61">
        <v>0.17499999999999999</v>
      </c>
      <c r="AH16" s="61">
        <v>0.104</v>
      </c>
    </row>
    <row r="17" spans="1:34" x14ac:dyDescent="0.3">
      <c r="A17" s="66" t="s">
        <v>576</v>
      </c>
      <c r="B17" s="59" t="s">
        <v>358</v>
      </c>
      <c r="C17" s="60">
        <v>7</v>
      </c>
      <c r="D17" s="44"/>
      <c r="E17" s="44"/>
      <c r="F17" s="44"/>
      <c r="G17" s="44"/>
      <c r="H17" s="44"/>
      <c r="I17" s="4">
        <f t="shared" si="21"/>
        <v>0.37498083824185607</v>
      </c>
      <c r="J17" s="4">
        <f t="shared" si="22"/>
        <v>2.6248658676929923</v>
      </c>
      <c r="K17" s="4">
        <f t="shared" si="23"/>
        <v>0</v>
      </c>
      <c r="L17" s="7">
        <f t="shared" si="24"/>
        <v>74.736144224152241</v>
      </c>
      <c r="M17" s="4">
        <f t="shared" si="25"/>
        <v>43.49993528969118</v>
      </c>
      <c r="N17" s="4">
        <f t="shared" si="25"/>
        <v>560.27916653122247</v>
      </c>
      <c r="O17" s="4">
        <f t="shared" si="26"/>
        <v>4.0019940466515882</v>
      </c>
      <c r="Q17" s="45"/>
      <c r="R17" s="45"/>
      <c r="S17" s="44"/>
      <c r="T17" s="45"/>
      <c r="U17" s="45"/>
      <c r="V17" s="63">
        <v>7</v>
      </c>
      <c r="W17" s="43">
        <f t="shared" si="27"/>
        <v>8.1053182843786233E-4</v>
      </c>
      <c r="X17" s="237">
        <v>0</v>
      </c>
      <c r="Y17" s="237">
        <v>0.58204682274247488</v>
      </c>
      <c r="Z17" s="63">
        <v>12.88</v>
      </c>
      <c r="AA17" s="43">
        <f t="shared" si="28"/>
        <v>0.12437482859785483</v>
      </c>
      <c r="AB17" s="17">
        <v>3.8901744233504301E-2</v>
      </c>
      <c r="AC17" s="43">
        <f t="shared" si="29"/>
        <v>0.11275191262031958</v>
      </c>
      <c r="AE17" s="47"/>
      <c r="AF17" s="61">
        <v>8.1057324712724736E-4</v>
      </c>
      <c r="AG17" s="61">
        <v>0.12439788718301528</v>
      </c>
      <c r="AH17" s="61">
        <v>9.1999999999999998E-2</v>
      </c>
    </row>
    <row r="18" spans="1:34" x14ac:dyDescent="0.3">
      <c r="A18" s="66" t="s">
        <v>764</v>
      </c>
      <c r="B18" s="59" t="s">
        <v>358</v>
      </c>
      <c r="C18" s="60">
        <v>7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8.4484336949041623</v>
      </c>
      <c r="M18" s="4">
        <f t="shared" si="25"/>
        <v>5.3301168181150365</v>
      </c>
      <c r="N18" s="4">
        <f t="shared" si="25"/>
        <v>67.934761627248008</v>
      </c>
      <c r="O18" s="4">
        <f t="shared" si="26"/>
        <v>0.30914677545067215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0.63090000000000002</v>
      </c>
      <c r="Z18" s="63">
        <v>12.745454545454544</v>
      </c>
      <c r="AA18" s="43">
        <f t="shared" si="28"/>
        <v>1.4059763232800976E-2</v>
      </c>
      <c r="AB18" s="17">
        <v>3.0106379309806204E-2</v>
      </c>
      <c r="AC18" s="43">
        <f t="shared" si="29"/>
        <v>7.1082727521505837E-2</v>
      </c>
      <c r="AE18" s="47"/>
      <c r="AF18" s="61">
        <v>0</v>
      </c>
      <c r="AG18" s="61">
        <v>1.4062369855471291E-2</v>
      </c>
      <c r="AH18" s="61">
        <v>5.8000000000000003E-2</v>
      </c>
    </row>
    <row r="19" spans="1:34" x14ac:dyDescent="0.3">
      <c r="A19" s="58" t="s">
        <v>342</v>
      </c>
      <c r="B19" s="59" t="s">
        <v>358</v>
      </c>
      <c r="C19" s="60">
        <v>7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13.497497619077659</v>
      </c>
      <c r="M19" s="4">
        <f t="shared" si="25"/>
        <v>8.0735032054853413</v>
      </c>
      <c r="N19" s="4">
        <f t="shared" si="25"/>
        <v>97.9315938825372</v>
      </c>
      <c r="O19" s="4">
        <f t="shared" si="26"/>
        <v>0.57321872758945913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0.59814814814814821</v>
      </c>
      <c r="Z19" s="63">
        <v>12.13</v>
      </c>
      <c r="AA19" s="43">
        <f t="shared" si="28"/>
        <v>2.2462343626368429E-2</v>
      </c>
      <c r="AB19" s="17">
        <v>2.7550988610572424E-2</v>
      </c>
      <c r="AC19" s="43">
        <f t="shared" si="29"/>
        <v>8.7015063000464021E-2</v>
      </c>
      <c r="AE19" s="47"/>
      <c r="AF19" s="61">
        <v>0</v>
      </c>
      <c r="AG19" s="61">
        <v>2.2466508053119817E-2</v>
      </c>
      <c r="AH19" s="61">
        <v>7.0999999999999994E-2</v>
      </c>
    </row>
    <row r="20" spans="1:34" x14ac:dyDescent="0.3">
      <c r="A20" s="227" t="s">
        <v>765</v>
      </c>
      <c r="B20" s="59" t="s">
        <v>358</v>
      </c>
      <c r="C20" s="60">
        <v>7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18.624275085477876</v>
      </c>
      <c r="M20" s="4">
        <f t="shared" ref="M20:N20" si="30">L20*Y20</f>
        <v>11.900911779620364</v>
      </c>
      <c r="N20" s="4">
        <f t="shared" si="30"/>
        <v>125.16503563250099</v>
      </c>
      <c r="O20" s="4">
        <f t="shared" si="26"/>
        <v>0.82250949914195792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0.63900000000000001</v>
      </c>
      <c r="Z20" s="63">
        <v>10.517264386989156</v>
      </c>
      <c r="AA20" s="43">
        <f t="shared" si="28"/>
        <v>3.0994253791956108E-2</v>
      </c>
      <c r="AB20" s="17">
        <v>1.2115021358685868E-2</v>
      </c>
      <c r="AC20" s="43">
        <f t="shared" si="29"/>
        <v>8.4702606874724862E-2</v>
      </c>
      <c r="AE20" s="47"/>
      <c r="AF20" s="61">
        <v>0</v>
      </c>
      <c r="AG20" s="61">
        <v>3.1E-2</v>
      </c>
      <c r="AH20" s="61">
        <v>6.911314984709481E-2</v>
      </c>
    </row>
    <row r="21" spans="1:34" x14ac:dyDescent="0.3">
      <c r="B21" s="59" t="s">
        <v>358</v>
      </c>
      <c r="C21" s="60">
        <v>7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7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621</v>
      </c>
      <c r="B24" s="59" t="s">
        <v>10</v>
      </c>
      <c r="C24" s="60">
        <v>7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90.117460091021982</v>
      </c>
      <c r="M24" s="4">
        <f t="shared" ref="M24:N27" si="34">L24*Y24</f>
        <v>59.423453184019891</v>
      </c>
      <c r="N24" s="4">
        <f t="shared" si="34"/>
        <v>656.03492315157951</v>
      </c>
      <c r="O24" s="4">
        <f t="shared" ref="O24:O27" si="35">M24*AH24</f>
        <v>6.5365798502421883</v>
      </c>
      <c r="Q24" s="45"/>
      <c r="R24" s="45"/>
      <c r="S24" s="44"/>
      <c r="T24" s="45"/>
      <c r="U24" s="45"/>
      <c r="V24" s="46"/>
      <c r="W24" s="46"/>
      <c r="X24" s="45"/>
      <c r="Y24" s="237">
        <v>0.65939999999999999</v>
      </c>
      <c r="Z24" s="236">
        <v>11.04</v>
      </c>
      <c r="AA24" s="43">
        <f t="shared" ref="AA24:AA27" si="36">(AG24/SUM(AG$7:AG$27))*0.98</f>
        <v>0.14997219576752954</v>
      </c>
      <c r="AB24" s="17">
        <v>0.13351592076527255</v>
      </c>
      <c r="AC24" s="43">
        <f t="shared" ref="AC24:AC27" si="37">(AH24/SUM(AH$7:AH$27))*0.98</f>
        <v>0.13481206943733864</v>
      </c>
      <c r="AE24" s="47"/>
      <c r="AF24" s="47"/>
      <c r="AG24" s="61">
        <v>0.15</v>
      </c>
      <c r="AH24" s="61">
        <v>0.11</v>
      </c>
    </row>
    <row r="25" spans="1:34" x14ac:dyDescent="0.3">
      <c r="A25" s="58" t="s">
        <v>622</v>
      </c>
      <c r="B25" s="59" t="s">
        <v>10</v>
      </c>
      <c r="C25" s="60">
        <v>7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9.4113227318124846</v>
      </c>
      <c r="M25" s="4">
        <f t="shared" si="34"/>
        <v>6.0298344742722589</v>
      </c>
      <c r="N25" s="4">
        <f t="shared" si="34"/>
        <v>60.120996669949875</v>
      </c>
      <c r="O25" s="4">
        <f t="shared" si="35"/>
        <v>0.36781990293060779</v>
      </c>
      <c r="Q25" s="45"/>
      <c r="R25" s="45"/>
      <c r="S25" s="44"/>
      <c r="T25" s="45"/>
      <c r="U25" s="45"/>
      <c r="V25" s="46"/>
      <c r="W25" s="46"/>
      <c r="X25" s="45"/>
      <c r="Y25" s="237">
        <v>0.64070000000000005</v>
      </c>
      <c r="Z25" s="236">
        <v>9.9705882352941178</v>
      </c>
      <c r="AA25" s="43">
        <f t="shared" si="36"/>
        <v>1.5662189477390724E-2</v>
      </c>
      <c r="AB25" s="17">
        <v>6.5170854129195169E-2</v>
      </c>
      <c r="AC25" s="43">
        <f t="shared" si="37"/>
        <v>7.4759420324342338E-2</v>
      </c>
      <c r="AE25" s="47"/>
      <c r="AF25" s="47"/>
      <c r="AG25" s="61">
        <v>1.5665093183340997E-2</v>
      </c>
      <c r="AH25" s="61">
        <v>6.0999999999999999E-2</v>
      </c>
    </row>
    <row r="26" spans="1:34" x14ac:dyDescent="0.3">
      <c r="A26" s="58" t="s">
        <v>791</v>
      </c>
      <c r="B26" s="59" t="s">
        <v>10</v>
      </c>
      <c r="C26" s="60">
        <v>7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7.8101798745552369</v>
      </c>
      <c r="M26" s="4">
        <f t="shared" si="34"/>
        <v>4.7017282844822521</v>
      </c>
      <c r="N26" s="4">
        <f t="shared" si="34"/>
        <v>51.757216522966374</v>
      </c>
      <c r="O26" s="4">
        <f t="shared" si="35"/>
        <v>0.32912097991375766</v>
      </c>
      <c r="Q26" s="45"/>
      <c r="R26" s="45"/>
      <c r="S26" s="44"/>
      <c r="T26" s="45"/>
      <c r="U26" s="45"/>
      <c r="V26" s="46"/>
      <c r="W26" s="46"/>
      <c r="X26" s="45"/>
      <c r="Y26" s="237">
        <v>0.60199999999999998</v>
      </c>
      <c r="Z26" s="236">
        <v>11.008125819134996</v>
      </c>
      <c r="AA26" s="43">
        <f t="shared" si="36"/>
        <v>1.2997590299852559E-2</v>
      </c>
      <c r="AB26" s="17">
        <v>2.1636799453681792E-2</v>
      </c>
      <c r="AC26" s="43">
        <f t="shared" si="37"/>
        <v>8.5789498732851868E-2</v>
      </c>
      <c r="AE26" s="47"/>
      <c r="AF26" s="47"/>
      <c r="AG26" s="61">
        <v>1.2999999999999999E-2</v>
      </c>
      <c r="AH26" s="61">
        <v>7.0000000000000007E-2</v>
      </c>
    </row>
    <row r="27" spans="1:34" x14ac:dyDescent="0.3">
      <c r="B27" s="59" t="s">
        <v>10</v>
      </c>
      <c r="C27" s="60">
        <v>7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0.9800000000000002</v>
      </c>
      <c r="AB30" s="28">
        <f t="shared" ref="AB30" si="38">SUM(AB2:AB4,AB7:AB12,AB15:AB22,AB24:AB27)</f>
        <v>0.9750000000000002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0.98005007862020121</v>
      </c>
      <c r="AG30" s="28">
        <f>SUM(AG7:AG27)</f>
        <v>0.98018168799677563</v>
      </c>
    </row>
    <row r="31" spans="1:34" s="86" customFormat="1" x14ac:dyDescent="0.3">
      <c r="A31" s="102"/>
      <c r="B31" s="80"/>
      <c r="C31" s="80"/>
      <c r="D31" s="105">
        <v>1063.53</v>
      </c>
      <c r="E31" s="106">
        <v>0.56499999999999995</v>
      </c>
      <c r="F31" s="8">
        <f>1-E31</f>
        <v>0.43500000000000005</v>
      </c>
      <c r="G31" s="234">
        <v>4.3899999999999997</v>
      </c>
      <c r="H31" s="275">
        <v>3.3000000000000002E-2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600.89444999999989</v>
      </c>
      <c r="E34" s="2">
        <f>SUM(E2:E4)</f>
        <v>397.81823264221202</v>
      </c>
      <c r="F34" s="2">
        <f>SUM(F2:F4)</f>
        <v>4440.1358341723826</v>
      </c>
      <c r="G34" s="2">
        <f>SUM(G2:G4)</f>
        <v>31.27677973713995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462.63555000000002</v>
      </c>
      <c r="E37" s="2">
        <f>D37*G31</f>
        <v>2030.9700645</v>
      </c>
      <c r="F37" s="2">
        <f>D37*H31</f>
        <v>15.266973150000002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453.38283899999999</v>
      </c>
      <c r="E40" s="3">
        <f>SUM(J2:J4,J7:J12,J15:J22)</f>
        <v>1997.1691287525955</v>
      </c>
      <c r="F40" s="3">
        <f>SUM(K2:K4,K7:K12,K15:K22)</f>
        <v>15.125674290291355</v>
      </c>
      <c r="G40" s="3">
        <f>SUM(L7:L12,L15:L22,L24:L27)</f>
        <v>588.87656099999992</v>
      </c>
      <c r="H40" s="3">
        <f>SUM(M7:M12,M15:M22,M24:M27)</f>
        <v>388.38814950849616</v>
      </c>
      <c r="I40" s="3">
        <f>SUM(N7:N12,N15:N22,N24:N27)</f>
        <v>4437.4913210086916</v>
      </c>
      <c r="J40" s="3">
        <f>SUM(O7:O12,O15:O22,O24:O27)</f>
        <v>31.274061898802298</v>
      </c>
    </row>
    <row r="41" spans="1:32" ht="14.4" thickTop="1" x14ac:dyDescent="0.3">
      <c r="D41" s="50">
        <f>D37-D40</f>
        <v>9.2527110000000334</v>
      </c>
      <c r="E41" s="50">
        <f>E37-E40</f>
        <v>33.800935747404537</v>
      </c>
      <c r="F41" s="50">
        <f>F37-F40</f>
        <v>0.14129885970864642</v>
      </c>
      <c r="G41" s="50">
        <f>SUM(D2:D4)-G40</f>
        <v>12.017888999999968</v>
      </c>
      <c r="H41" s="50">
        <f>E34-H40</f>
        <v>9.4300831337158684</v>
      </c>
      <c r="I41" s="50">
        <f>F34-I40</f>
        <v>2.6445131636910446</v>
      </c>
      <c r="J41" s="50">
        <f>G34-J40</f>
        <v>2.7178383376522675E-3</v>
      </c>
    </row>
    <row r="47" spans="1:32" x14ac:dyDescent="0.3">
      <c r="A47" s="66"/>
    </row>
  </sheetData>
  <sheetProtection sheet="1" selectLockedCells="1"/>
  <conditionalFormatting sqref="AA30:AB30 AD30:AF30">
    <cfRule type="cellIs" dxfId="251" priority="14" operator="greaterThan">
      <formula>1</formula>
    </cfRule>
    <cfRule type="cellIs" dxfId="250" priority="15" operator="greaterThan">
      <formula>1</formula>
    </cfRule>
  </conditionalFormatting>
  <conditionalFormatting sqref="AC30">
    <cfRule type="cellIs" dxfId="249" priority="10" operator="greaterThan">
      <formula>1</formula>
    </cfRule>
    <cfRule type="cellIs" dxfId="248" priority="11" operator="greaterThan">
      <formula>1</formula>
    </cfRule>
  </conditionalFormatting>
  <conditionalFormatting sqref="AG30">
    <cfRule type="cellIs" dxfId="247" priority="8" operator="greaterThan">
      <formula>1</formula>
    </cfRule>
    <cfRule type="cellIs" dxfId="246" priority="9" operator="greaterThan">
      <formula>1</formula>
    </cfRule>
  </conditionalFormatting>
  <conditionalFormatting sqref="W30">
    <cfRule type="cellIs" dxfId="245" priority="2" operator="greaterThan">
      <formula>1</formula>
    </cfRule>
    <cfRule type="cellIs" dxfId="244" priority="3" operator="greaterThan">
      <formula>1</formula>
    </cfRule>
  </conditionalFormatting>
  <conditionalFormatting sqref="D41:J41">
    <cfRule type="cellIs" dxfId="243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2CB8"/>
  </sheetPr>
  <dimension ref="A1:AH45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274</v>
      </c>
      <c r="B2" s="59" t="s">
        <v>9</v>
      </c>
      <c r="C2" s="60">
        <v>10</v>
      </c>
      <c r="D2" s="4">
        <f>D$34*Q2</f>
        <v>514.63265279999996</v>
      </c>
      <c r="E2" s="4">
        <f>D2*R2</f>
        <v>346.34777533440001</v>
      </c>
      <c r="F2" s="4">
        <f>E2*S2</f>
        <v>3785.5811844049922</v>
      </c>
      <c r="G2" s="4">
        <f>E2*T2</f>
        <v>23.689073921544175</v>
      </c>
      <c r="H2" s="4">
        <f>E2*U2</f>
        <v>9.128797571894447</v>
      </c>
      <c r="I2" s="4">
        <f>D$37*W2</f>
        <v>36.020719118291382</v>
      </c>
      <c r="J2" s="4">
        <f>I2*V2</f>
        <v>127.43824394751014</v>
      </c>
      <c r="K2" s="4">
        <f>I2*X2</f>
        <v>0.43198251698430029</v>
      </c>
      <c r="L2" s="44"/>
      <c r="M2" s="44"/>
      <c r="N2" s="44"/>
      <c r="O2" s="44"/>
      <c r="Q2" s="43">
        <f>AE2</f>
        <v>0.98</v>
      </c>
      <c r="R2" s="61">
        <v>0.67300000000000004</v>
      </c>
      <c r="S2" s="236">
        <v>10.93</v>
      </c>
      <c r="T2" s="237">
        <v>6.8396783835762448E-2</v>
      </c>
      <c r="U2" s="61">
        <v>2.6357315455774358E-2</v>
      </c>
      <c r="V2" s="236">
        <v>3.5379150407576621</v>
      </c>
      <c r="W2" s="43">
        <f>(AF2/SUM(AF$2:AF$22))*0.98</f>
        <v>7.1966644742035263E-2</v>
      </c>
      <c r="X2" s="61">
        <v>1.1992612239796701E-2</v>
      </c>
      <c r="Y2" s="64"/>
      <c r="Z2" s="65"/>
      <c r="AA2" s="1"/>
      <c r="AB2" s="1"/>
      <c r="AC2" s="1"/>
      <c r="AE2" s="61">
        <v>0.98</v>
      </c>
      <c r="AF2" s="61">
        <v>7.1936238106460715E-2</v>
      </c>
      <c r="AG2" s="47"/>
      <c r="AH2" s="47"/>
    </row>
    <row r="3" spans="1:34" x14ac:dyDescent="0.3">
      <c r="A3" s="58" t="s">
        <v>637</v>
      </c>
      <c r="B3" s="59" t="s">
        <v>9</v>
      </c>
      <c r="C3" s="60">
        <v>10</v>
      </c>
      <c r="D3" s="4">
        <f>D$34*Q3</f>
        <v>10.502707200000009</v>
      </c>
      <c r="E3" s="4">
        <f t="shared" ref="E3:E4" si="0">D3*R3</f>
        <v>6.6945545498947432</v>
      </c>
      <c r="F3" s="4">
        <f t="shared" ref="F3:F4" si="1">E3*S3</f>
        <v>73.640100048842172</v>
      </c>
      <c r="G3" s="4">
        <f t="shared" ref="G3" si="2">E3*T3</f>
        <v>0.5379182602105268</v>
      </c>
      <c r="H3" s="4">
        <f t="shared" ref="H3" si="3">E3*U3</f>
        <v>0.22417949117739641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2.0000000000000018E-2</v>
      </c>
      <c r="R3" s="61">
        <v>0.63741228070175449</v>
      </c>
      <c r="S3" s="236">
        <v>11</v>
      </c>
      <c r="T3" s="237">
        <v>8.0351613569118546E-2</v>
      </c>
      <c r="U3" s="61">
        <v>3.3486842105263169E-2</v>
      </c>
      <c r="V3" s="236">
        <v>1.6280487804878052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2.0000000000000018E-2</v>
      </c>
      <c r="AF3" s="61">
        <v>0</v>
      </c>
      <c r="AG3" s="47"/>
      <c r="AH3" s="47"/>
    </row>
    <row r="4" spans="1:34" x14ac:dyDescent="0.3">
      <c r="B4" s="59" t="s">
        <v>9</v>
      </c>
      <c r="C4" s="60">
        <v>10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125</v>
      </c>
      <c r="B7" s="59" t="s">
        <v>357</v>
      </c>
      <c r="C7" s="60">
        <v>10</v>
      </c>
      <c r="D7" s="44"/>
      <c r="E7" s="44"/>
      <c r="F7" s="44"/>
      <c r="G7" s="44"/>
      <c r="H7" s="44"/>
      <c r="I7" s="4">
        <f t="shared" ref="I7:I12" si="9">D$37*W7</f>
        <v>203.79760002807143</v>
      </c>
      <c r="J7" s="4">
        <f>I7*V7</f>
        <v>933.3930081285672</v>
      </c>
      <c r="K7" s="4">
        <f>I7*X7</f>
        <v>10.760513281482172</v>
      </c>
      <c r="L7" s="7">
        <f>((D$2+D$3+D$4)*AA7)</f>
        <v>23.097701657041245</v>
      </c>
      <c r="M7" s="4">
        <f t="shared" ref="M7:N9" si="10">L7*Y7</f>
        <v>17.833735449401544</v>
      </c>
      <c r="N7" s="4">
        <f t="shared" si="10"/>
        <v>128.93790729917316</v>
      </c>
      <c r="O7" s="4">
        <f>M7*AH7</f>
        <v>0.31514254234365502</v>
      </c>
      <c r="Q7" s="45"/>
      <c r="R7" s="45"/>
      <c r="S7" s="44"/>
      <c r="T7" s="45"/>
      <c r="U7" s="45"/>
      <c r="V7" s="63">
        <v>4.58</v>
      </c>
      <c r="W7" s="43">
        <f t="shared" ref="W7:W12" si="11">(AF7/SUM(AF$2:AF$22))*0.98</f>
        <v>0.40717203430433108</v>
      </c>
      <c r="X7" s="237">
        <v>5.28E-2</v>
      </c>
      <c r="Y7" s="237">
        <v>0.77210000000000001</v>
      </c>
      <c r="Z7" s="63">
        <v>7.23</v>
      </c>
      <c r="AA7" s="43">
        <f>(AG7/SUM(AG$7:AG$27))*0.98</f>
        <v>4.398428179934645E-2</v>
      </c>
      <c r="AB7" s="17">
        <v>3.2545431170514526E-2</v>
      </c>
      <c r="AC7" s="43">
        <f>(AH7/SUM(AH$7:AH$27))*0.98</f>
        <v>2.1513455831736132E-2</v>
      </c>
      <c r="AE7" s="47"/>
      <c r="AF7" s="61">
        <v>0.40699999999999997</v>
      </c>
      <c r="AG7" s="61">
        <v>4.3999999999999997E-2</v>
      </c>
      <c r="AH7" s="61">
        <v>1.7671145971509317E-2</v>
      </c>
    </row>
    <row r="8" spans="1:34" x14ac:dyDescent="0.3">
      <c r="A8" s="101" t="s">
        <v>311</v>
      </c>
      <c r="B8" s="59" t="s">
        <v>357</v>
      </c>
      <c r="C8" s="60">
        <v>10</v>
      </c>
      <c r="D8" s="44"/>
      <c r="E8" s="44"/>
      <c r="F8" s="44"/>
      <c r="G8" s="44"/>
      <c r="H8" s="44"/>
      <c r="I8" s="4">
        <f t="shared" si="9"/>
        <v>154.69260919259062</v>
      </c>
      <c r="J8" s="4">
        <f>I8*V8</f>
        <v>696.11674136665783</v>
      </c>
      <c r="K8" s="4">
        <f>I8*X8</f>
        <v>5.5689339309332624</v>
      </c>
      <c r="L8" s="7">
        <f>((D$2+D$3+D$4)*AA8)</f>
        <v>16.273380712915422</v>
      </c>
      <c r="M8" s="4">
        <f t="shared" si="10"/>
        <v>11.925133386424422</v>
      </c>
      <c r="N8" s="4">
        <f t="shared" si="10"/>
        <v>92.062029743196533</v>
      </c>
      <c r="O8" s="4">
        <f t="shared" ref="O8:O12" si="12">M8*AH8</f>
        <v>0.38160426836558153</v>
      </c>
      <c r="Q8" s="45"/>
      <c r="R8" s="45"/>
      <c r="S8" s="44"/>
      <c r="T8" s="45"/>
      <c r="U8" s="45"/>
      <c r="V8" s="63">
        <v>4.5</v>
      </c>
      <c r="W8" s="43">
        <f t="shared" si="11"/>
        <v>0.30906401433636177</v>
      </c>
      <c r="X8" s="237">
        <v>3.5999999999999997E-2</v>
      </c>
      <c r="Y8" s="237">
        <v>0.73280000000000001</v>
      </c>
      <c r="Z8" s="63">
        <v>7.72</v>
      </c>
      <c r="AA8" s="43">
        <f t="shared" ref="AA8:AA12" si="13">(AG8/SUM(AG$7:AG$27))*0.98</f>
        <v>3.0988925813175909E-2</v>
      </c>
      <c r="AB8" s="17">
        <v>2.0531462947374266E-2</v>
      </c>
      <c r="AC8" s="43">
        <f t="shared" ref="AC8:AC12" si="14">(AH8/SUM(AH$7:AH$27))*0.98</f>
        <v>3.895789145341752E-2</v>
      </c>
      <c r="AE8" s="47"/>
      <c r="AF8" s="61">
        <v>0.30893343166314113</v>
      </c>
      <c r="AG8" s="61">
        <v>3.1E-2</v>
      </c>
      <c r="AH8" s="61">
        <v>3.2000000000000001E-2</v>
      </c>
    </row>
    <row r="9" spans="1:34" x14ac:dyDescent="0.3">
      <c r="A9" s="58" t="s">
        <v>124</v>
      </c>
      <c r="B9" s="59" t="s">
        <v>357</v>
      </c>
      <c r="C9" s="60">
        <v>10</v>
      </c>
      <c r="D9" s="44"/>
      <c r="E9" s="44"/>
      <c r="F9" s="44"/>
      <c r="G9" s="44"/>
      <c r="H9" s="44"/>
      <c r="I9" s="4">
        <f t="shared" si="9"/>
        <v>38.039071892760639</v>
      </c>
      <c r="J9" s="4">
        <f>I9*V9</f>
        <v>151.39550613318735</v>
      </c>
      <c r="K9" s="4">
        <f>I9*X9</f>
        <v>1.3865858465498844</v>
      </c>
      <c r="L9" s="7">
        <f>((D$2+D$3+D$4)*AA9)</f>
        <v>61.943836262065162</v>
      </c>
      <c r="M9" s="4">
        <f t="shared" si="10"/>
        <v>48.749799138245287</v>
      </c>
      <c r="N9" s="4">
        <f t="shared" si="10"/>
        <v>392.92338105425705</v>
      </c>
      <c r="O9" s="4">
        <f t="shared" si="12"/>
        <v>2.3881553119191361</v>
      </c>
      <c r="Q9" s="45"/>
      <c r="R9" s="45"/>
      <c r="S9" s="44"/>
      <c r="T9" s="45"/>
      <c r="U9" s="45"/>
      <c r="V9" s="63">
        <v>3.98</v>
      </c>
      <c r="W9" s="43">
        <f t="shared" si="11"/>
        <v>7.5999159379161699E-2</v>
      </c>
      <c r="X9" s="237">
        <v>3.6451621387055211E-2</v>
      </c>
      <c r="Y9" s="237">
        <v>0.78700000000000003</v>
      </c>
      <c r="Z9" s="63">
        <v>8.06</v>
      </c>
      <c r="AA9" s="43">
        <f t="shared" si="13"/>
        <v>0.11795784664370185</v>
      </c>
      <c r="AB9" s="17">
        <v>2.1669757785520542E-2</v>
      </c>
      <c r="AC9" s="43">
        <f t="shared" si="14"/>
        <v>5.9639665868039836E-2</v>
      </c>
      <c r="AE9" s="47"/>
      <c r="AF9" s="61">
        <v>7.596704896535128E-2</v>
      </c>
      <c r="AG9" s="61">
        <v>0.11799999999999999</v>
      </c>
      <c r="AH9" s="61">
        <v>4.898800311252105E-2</v>
      </c>
    </row>
    <row r="10" spans="1:34" x14ac:dyDescent="0.3">
      <c r="A10" s="58" t="s">
        <v>650</v>
      </c>
      <c r="B10" s="59" t="s">
        <v>357</v>
      </c>
      <c r="C10" s="60">
        <v>10</v>
      </c>
      <c r="D10" s="44"/>
      <c r="E10" s="44"/>
      <c r="F10" s="44"/>
      <c r="G10" s="44"/>
      <c r="H10" s="44"/>
      <c r="I10" s="4">
        <f t="shared" si="9"/>
        <v>26.038022608009125</v>
      </c>
      <c r="J10" s="4">
        <f t="shared" ref="J10:J12" si="15">I10*V10</f>
        <v>106.34747756778995</v>
      </c>
      <c r="K10" s="4">
        <f t="shared" ref="K10:K12" si="16">I10*X10</f>
        <v>0.55460988155059432</v>
      </c>
      <c r="L10" s="7">
        <f t="shared" ref="L10:L12" si="17">((D$2+D$3+D$4)*AA10)</f>
        <v>5.8978923321850925</v>
      </c>
      <c r="M10" s="4">
        <f t="shared" ref="M10:N10" si="18">L10*Y10</f>
        <v>4.3234549723221223</v>
      </c>
      <c r="N10" s="4">
        <f t="shared" si="18"/>
        <v>30.714024051929989</v>
      </c>
      <c r="O10" s="4">
        <f t="shared" si="12"/>
        <v>0.14994641522504468</v>
      </c>
      <c r="Q10" s="45"/>
      <c r="R10" s="45"/>
      <c r="S10" s="44"/>
      <c r="T10" s="45"/>
      <c r="U10" s="45"/>
      <c r="V10" s="63">
        <v>4.0843146643200994</v>
      </c>
      <c r="W10" s="43">
        <f t="shared" si="11"/>
        <v>5.2021979812838369E-2</v>
      </c>
      <c r="X10" s="237">
        <v>2.1299999999999999E-2</v>
      </c>
      <c r="Y10" s="237">
        <v>0.73305084745762705</v>
      </c>
      <c r="Z10" s="63">
        <v>7.1040462427745661</v>
      </c>
      <c r="AA10" s="43">
        <f t="shared" si="13"/>
        <v>1.1231184912372103E-2</v>
      </c>
      <c r="AB10" s="17">
        <v>0.12975520463349305</v>
      </c>
      <c r="AC10" s="43">
        <f t="shared" si="14"/>
        <v>4.2223148251536322E-2</v>
      </c>
      <c r="AE10" s="47"/>
      <c r="AF10" s="61">
        <v>5.1999999999999998E-2</v>
      </c>
      <c r="AG10" s="61">
        <v>1.1235198482920671E-2</v>
      </c>
      <c r="AH10" s="61">
        <v>3.4682080924855488E-2</v>
      </c>
    </row>
    <row r="11" spans="1:34" x14ac:dyDescent="0.3">
      <c r="A11" s="58" t="s">
        <v>720</v>
      </c>
      <c r="B11" s="59" t="s">
        <v>357</v>
      </c>
      <c r="C11" s="60">
        <v>10</v>
      </c>
      <c r="D11" s="44"/>
      <c r="E11" s="44"/>
      <c r="F11" s="44"/>
      <c r="G11" s="44"/>
      <c r="H11" s="44"/>
      <c r="I11" s="4">
        <f t="shared" si="9"/>
        <v>19.027785752006672</v>
      </c>
      <c r="J11" s="4">
        <f t="shared" si="15"/>
        <v>83.722257308829356</v>
      </c>
      <c r="K11" s="4">
        <f t="shared" si="16"/>
        <v>0.76879942432350179</v>
      </c>
      <c r="L11" s="7">
        <f t="shared" si="17"/>
        <v>0.47245298843948003</v>
      </c>
      <c r="M11" s="4">
        <f t="shared" ref="M11:N11" si="19">L11*Y11</f>
        <v>0.30940946212901549</v>
      </c>
      <c r="N11" s="4">
        <f t="shared" si="19"/>
        <v>2.1528840197088837</v>
      </c>
      <c r="O11" s="4">
        <f t="shared" si="12"/>
        <v>0</v>
      </c>
      <c r="Q11" s="45"/>
      <c r="R11" s="45"/>
      <c r="S11" s="44"/>
      <c r="T11" s="45"/>
      <c r="U11" s="45"/>
      <c r="V11" s="63">
        <v>4.4000000000000004</v>
      </c>
      <c r="W11" s="43">
        <f t="shared" si="11"/>
        <v>3.8016062170920351E-2</v>
      </c>
      <c r="X11" s="237">
        <v>4.0404040404040401E-2</v>
      </c>
      <c r="Y11" s="237">
        <v>0.65490000000000004</v>
      </c>
      <c r="Z11" s="63">
        <v>6.9580419580419575</v>
      </c>
      <c r="AA11" s="43">
        <f t="shared" si="13"/>
        <v>8.9967849135026831E-4</v>
      </c>
      <c r="AB11" s="17">
        <v>1.0882830690328098E-2</v>
      </c>
      <c r="AC11" s="43">
        <f t="shared" si="14"/>
        <v>0</v>
      </c>
      <c r="AE11" s="47"/>
      <c r="AF11" s="61">
        <v>3.7999999999999999E-2</v>
      </c>
      <c r="AG11" s="61">
        <v>8.9999999999999998E-4</v>
      </c>
      <c r="AH11" s="61">
        <v>0</v>
      </c>
    </row>
    <row r="12" spans="1:34" x14ac:dyDescent="0.3">
      <c r="B12" s="59" t="s">
        <v>357</v>
      </c>
      <c r="C12" s="60">
        <v>10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108"/>
      <c r="C13" s="6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A14" s="77"/>
      <c r="B14" s="110"/>
      <c r="C14" s="6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58" t="s">
        <v>82</v>
      </c>
      <c r="B15" s="59" t="s">
        <v>358</v>
      </c>
      <c r="C15" s="60">
        <v>10</v>
      </c>
      <c r="D15" s="44"/>
      <c r="E15" s="44"/>
      <c r="F15" s="44"/>
      <c r="G15" s="44"/>
      <c r="H15" s="44"/>
      <c r="I15" s="4">
        <f t="shared" ref="I15:I22" si="21">D$37*W15</f>
        <v>0</v>
      </c>
      <c r="J15" s="4">
        <f t="shared" ref="J15:J22" si="22">I15*V15</f>
        <v>0</v>
      </c>
      <c r="K15" s="4">
        <f t="shared" ref="K15:K22" si="23">I15*X15</f>
        <v>0</v>
      </c>
      <c r="L15" s="7">
        <f t="shared" ref="L15:L20" si="24">((D$2+D$3+D$4)*AA15)</f>
        <v>80.317008034711606</v>
      </c>
      <c r="M15" s="4">
        <f t="shared" ref="M15:N19" si="25">L15*Y15</f>
        <v>48.792582381087307</v>
      </c>
      <c r="N15" s="4">
        <f t="shared" si="25"/>
        <v>655.77230720181342</v>
      </c>
      <c r="O15" s="4">
        <f t="shared" ref="O15:O22" si="26">M15*AH15</f>
        <v>3.6381348321608065</v>
      </c>
      <c r="Q15" s="45"/>
      <c r="R15" s="45"/>
      <c r="S15" s="44"/>
      <c r="T15" s="45"/>
      <c r="U15" s="45"/>
      <c r="V15" s="63">
        <v>0</v>
      </c>
      <c r="W15" s="43">
        <f t="shared" ref="W15:W22" si="27">(AF15/SUM(AF$2:AF$22))*0.98</f>
        <v>0</v>
      </c>
      <c r="X15" s="237">
        <v>0</v>
      </c>
      <c r="Y15" s="237">
        <v>0.60750000000000004</v>
      </c>
      <c r="Z15" s="63">
        <v>13.44</v>
      </c>
      <c r="AA15" s="43">
        <f t="shared" ref="AA15:AA22" si="28">(AG15/SUM(AG$7:AG$27))*0.98</f>
        <v>0.15294534352954561</v>
      </c>
      <c r="AB15" s="17">
        <v>0.14864583888878849</v>
      </c>
      <c r="AC15" s="43">
        <f t="shared" ref="AC15:AC22" si="29">(AH15/SUM(AH$7:AH$27))*0.98</f>
        <v>9.0775876531565394E-2</v>
      </c>
      <c r="AE15" s="47"/>
      <c r="AF15" s="61">
        <v>0</v>
      </c>
      <c r="AG15" s="61">
        <v>0.153</v>
      </c>
      <c r="AH15" s="61">
        <v>7.4563276928974326E-2</v>
      </c>
    </row>
    <row r="16" spans="1:34" x14ac:dyDescent="0.3">
      <c r="A16" s="58" t="s">
        <v>185</v>
      </c>
      <c r="B16" s="59" t="s">
        <v>358</v>
      </c>
      <c r="C16" s="60">
        <v>10</v>
      </c>
      <c r="D16" s="44"/>
      <c r="E16" s="44"/>
      <c r="F16" s="44"/>
      <c r="G16" s="44"/>
      <c r="H16" s="44"/>
      <c r="I16" s="4">
        <f t="shared" si="21"/>
        <v>0.37515850826566127</v>
      </c>
      <c r="J16" s="4">
        <f t="shared" si="22"/>
        <v>2.5010567217710751</v>
      </c>
      <c r="K16" s="4">
        <f t="shared" si="23"/>
        <v>0</v>
      </c>
      <c r="L16" s="7">
        <f t="shared" si="24"/>
        <v>102.0635266298471</v>
      </c>
      <c r="M16" s="4">
        <f t="shared" si="25"/>
        <v>69.11510106251032</v>
      </c>
      <c r="N16" s="4">
        <f t="shared" si="25"/>
        <v>732.17435054513896</v>
      </c>
      <c r="O16" s="4">
        <f t="shared" si="26"/>
        <v>2.9047619557395667</v>
      </c>
      <c r="Q16" s="45"/>
      <c r="R16" s="45"/>
      <c r="S16" s="44"/>
      <c r="T16" s="45"/>
      <c r="U16" s="45"/>
      <c r="V16" s="63">
        <v>6.666666666666667</v>
      </c>
      <c r="W16" s="43">
        <f t="shared" si="27"/>
        <v>7.4953803664060278E-4</v>
      </c>
      <c r="X16" s="237">
        <v>0</v>
      </c>
      <c r="Y16" s="237">
        <v>0.67717727717923615</v>
      </c>
      <c r="Z16" s="63">
        <v>10.593551037173956</v>
      </c>
      <c r="AA16" s="43">
        <f t="shared" si="28"/>
        <v>0.19435660670393079</v>
      </c>
      <c r="AB16" s="17">
        <v>0.13710286467344765</v>
      </c>
      <c r="AC16" s="43">
        <f t="shared" si="29"/>
        <v>5.1166188371847977E-2</v>
      </c>
      <c r="AE16" s="47"/>
      <c r="AF16" s="61">
        <v>7.4922134923616581E-4</v>
      </c>
      <c r="AG16" s="61">
        <v>0.19442606188240685</v>
      </c>
      <c r="AH16" s="61">
        <v>4.20278913158557E-2</v>
      </c>
    </row>
    <row r="17" spans="1:34" x14ac:dyDescent="0.3">
      <c r="A17" s="77" t="s">
        <v>187</v>
      </c>
      <c r="B17" s="59" t="s">
        <v>358</v>
      </c>
      <c r="C17" s="60">
        <v>10</v>
      </c>
      <c r="D17" s="44"/>
      <c r="E17" s="44"/>
      <c r="F17" s="44"/>
      <c r="G17" s="44"/>
      <c r="H17" s="44"/>
      <c r="I17" s="4">
        <f t="shared" si="21"/>
        <v>4.5065808360015795</v>
      </c>
      <c r="J17" s="4">
        <f t="shared" si="22"/>
        <v>34.637356838689826</v>
      </c>
      <c r="K17" s="4">
        <f t="shared" si="23"/>
        <v>0.24208905317363857</v>
      </c>
      <c r="L17" s="7">
        <f t="shared" si="24"/>
        <v>51.444880963410057</v>
      </c>
      <c r="M17" s="4">
        <f t="shared" si="25"/>
        <v>37.333550115146679</v>
      </c>
      <c r="N17" s="4">
        <f t="shared" si="25"/>
        <v>483.096138489998</v>
      </c>
      <c r="O17" s="4">
        <f t="shared" si="26"/>
        <v>3.2390655140519056</v>
      </c>
      <c r="Q17" s="45"/>
      <c r="R17" s="45"/>
      <c r="S17" s="44"/>
      <c r="T17" s="45"/>
      <c r="U17" s="45"/>
      <c r="V17" s="63">
        <v>7.6859504132231411</v>
      </c>
      <c r="W17" s="43">
        <f t="shared" si="27"/>
        <v>9.003804198375872E-3</v>
      </c>
      <c r="X17" s="237">
        <v>5.3719008264462811E-2</v>
      </c>
      <c r="Y17" s="237">
        <v>0.72570000000000001</v>
      </c>
      <c r="Z17" s="63">
        <v>12.94</v>
      </c>
      <c r="AA17" s="43">
        <f t="shared" si="28"/>
        <v>9.7964991280362568E-2</v>
      </c>
      <c r="AB17" s="17">
        <v>6.5358983780264848E-2</v>
      </c>
      <c r="AC17" s="43">
        <f t="shared" si="29"/>
        <v>0.1056248018854247</v>
      </c>
      <c r="AE17" s="47"/>
      <c r="AF17" s="61">
        <v>8.9999999999999993E-3</v>
      </c>
      <c r="AG17" s="61">
        <v>9.8000000000000004E-2</v>
      </c>
      <c r="AH17" s="61">
        <v>8.6760179625611791E-2</v>
      </c>
    </row>
    <row r="18" spans="1:34" x14ac:dyDescent="0.3">
      <c r="A18" s="77" t="s">
        <v>763</v>
      </c>
      <c r="B18" s="59" t="s">
        <v>358</v>
      </c>
      <c r="C18" s="60">
        <v>10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25.722440481705029</v>
      </c>
      <c r="M18" s="4">
        <f t="shared" si="25"/>
        <v>16.081669789161982</v>
      </c>
      <c r="N18" s="4">
        <f t="shared" si="25"/>
        <v>234.63156222387332</v>
      </c>
      <c r="O18" s="4">
        <f t="shared" si="26"/>
        <v>0.78699671530711446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0.62519999999999998</v>
      </c>
      <c r="Z18" s="63">
        <v>14.59</v>
      </c>
      <c r="AA18" s="43">
        <f t="shared" si="28"/>
        <v>4.8982495640181284E-2</v>
      </c>
      <c r="AB18" s="17">
        <v>4.2240104227868225E-2</v>
      </c>
      <c r="AC18" s="43">
        <f t="shared" si="29"/>
        <v>5.9578181656300626E-2</v>
      </c>
      <c r="AE18" s="47"/>
      <c r="AF18" s="61">
        <v>0</v>
      </c>
      <c r="AG18" s="61">
        <v>4.9000000000000002E-2</v>
      </c>
      <c r="AH18" s="61">
        <v>4.8937500000000002E-2</v>
      </c>
    </row>
    <row r="19" spans="1:34" x14ac:dyDescent="0.3">
      <c r="A19" s="77" t="s">
        <v>104</v>
      </c>
      <c r="B19" s="59" t="s">
        <v>358</v>
      </c>
      <c r="C19" s="60">
        <v>10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18.898119537579198</v>
      </c>
      <c r="M19" s="4">
        <f t="shared" si="25"/>
        <v>12.385827544929406</v>
      </c>
      <c r="N19" s="4">
        <f t="shared" si="25"/>
        <v>128.44103164091791</v>
      </c>
      <c r="O19" s="4">
        <f t="shared" si="26"/>
        <v>1.0759207619565749</v>
      </c>
      <c r="Q19" s="45"/>
      <c r="R19" s="45"/>
      <c r="S19" s="44"/>
      <c r="T19" s="45"/>
      <c r="U19" s="45"/>
      <c r="V19" s="63">
        <v>5.9220779220779223</v>
      </c>
      <c r="W19" s="43">
        <f t="shared" si="27"/>
        <v>0</v>
      </c>
      <c r="X19" s="237">
        <v>1.2987012987012986E-2</v>
      </c>
      <c r="Y19" s="237">
        <v>0.65539999999999998</v>
      </c>
      <c r="Z19" s="63">
        <v>10.37</v>
      </c>
      <c r="AA19" s="43">
        <f t="shared" si="28"/>
        <v>3.5987139654010729E-2</v>
      </c>
      <c r="AB19" s="17">
        <v>1.4501762014885261E-2</v>
      </c>
      <c r="AC19" s="43">
        <f t="shared" si="29"/>
        <v>0.10575495486861465</v>
      </c>
      <c r="AE19" s="47"/>
      <c r="AF19" s="61">
        <v>0</v>
      </c>
      <c r="AG19" s="61">
        <v>3.5999999999999997E-2</v>
      </c>
      <c r="AH19" s="61">
        <v>8.6867087245780572E-2</v>
      </c>
    </row>
    <row r="20" spans="1:34" x14ac:dyDescent="0.3">
      <c r="A20" s="77" t="s">
        <v>838</v>
      </c>
      <c r="B20" s="59" t="s">
        <v>358</v>
      </c>
      <c r="C20" s="60">
        <v>10</v>
      </c>
      <c r="D20" s="44"/>
      <c r="E20" s="44"/>
      <c r="F20" s="44"/>
      <c r="G20" s="44"/>
      <c r="H20" s="44"/>
      <c r="I20" s="4">
        <f t="shared" si="21"/>
        <v>8.0116992640028091</v>
      </c>
      <c r="J20" s="4">
        <f t="shared" si="22"/>
        <v>46.307621745936238</v>
      </c>
      <c r="K20" s="4">
        <f t="shared" si="23"/>
        <v>0.19949131167366993</v>
      </c>
      <c r="L20" s="7">
        <f t="shared" si="24"/>
        <v>8.9241120038568447</v>
      </c>
      <c r="M20" s="4">
        <f t="shared" ref="M20:N20" si="30">L20*Y20</f>
        <v>5.5391040023939029</v>
      </c>
      <c r="N20" s="4">
        <f t="shared" si="30"/>
        <v>69.546528030056791</v>
      </c>
      <c r="O20" s="4">
        <f t="shared" si="26"/>
        <v>0.30772800013299467</v>
      </c>
      <c r="Q20" s="45"/>
      <c r="R20" s="45"/>
      <c r="S20" s="44"/>
      <c r="T20" s="45"/>
      <c r="U20" s="45"/>
      <c r="V20" s="63">
        <v>5.78</v>
      </c>
      <c r="W20" s="43">
        <f t="shared" si="27"/>
        <v>1.6006763019334885E-2</v>
      </c>
      <c r="X20" s="237">
        <v>2.4899999999999999E-2</v>
      </c>
      <c r="Y20" s="237">
        <v>0.6206896551724137</v>
      </c>
      <c r="Z20" s="63">
        <v>12.555555555555557</v>
      </c>
      <c r="AA20" s="43">
        <f t="shared" si="28"/>
        <v>1.6993927058838402E-2</v>
      </c>
      <c r="AB20" s="17">
        <v>1.7121948793519734E-2</v>
      </c>
      <c r="AC20" s="43">
        <f t="shared" si="29"/>
        <v>6.7635228217738763E-2</v>
      </c>
      <c r="AE20" s="47"/>
      <c r="AF20" s="61">
        <v>1.6E-2</v>
      </c>
      <c r="AG20" s="61">
        <v>1.7000000000000001E-2</v>
      </c>
      <c r="AH20" s="61">
        <v>5.5555555555555566E-2</v>
      </c>
    </row>
    <row r="21" spans="1:34" x14ac:dyDescent="0.3">
      <c r="A21" s="77"/>
      <c r="B21" s="59" t="s">
        <v>358</v>
      </c>
      <c r="C21" s="60">
        <v>10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10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A23" s="77"/>
      <c r="B23" s="110"/>
      <c r="C23" s="6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101" t="s">
        <v>19</v>
      </c>
      <c r="B24" s="59" t="s">
        <v>10</v>
      </c>
      <c r="C24" s="60">
        <v>10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72.442791560720281</v>
      </c>
      <c r="M24" s="4">
        <f t="shared" ref="M24:N27" si="34">L24*Y24</f>
        <v>47.01537172290746</v>
      </c>
      <c r="N24" s="4">
        <f t="shared" si="34"/>
        <v>542.32098588777001</v>
      </c>
      <c r="O24" s="4">
        <f t="shared" ref="O24:O27" si="35">M24*AH24</f>
        <v>6.9074502910789626</v>
      </c>
      <c r="Q24" s="45"/>
      <c r="R24" s="45"/>
      <c r="S24" s="44"/>
      <c r="T24" s="45"/>
      <c r="U24" s="45"/>
      <c r="V24" s="46"/>
      <c r="W24" s="46"/>
      <c r="X24" s="45"/>
      <c r="Y24" s="237">
        <v>0.64900000000000002</v>
      </c>
      <c r="Z24" s="236">
        <v>11.534971776550544</v>
      </c>
      <c r="AA24" s="43">
        <f t="shared" ref="AA24:AA27" si="36">(AG24/SUM(AG$7:AG$27))*0.98</f>
        <v>0.13795070200704115</v>
      </c>
      <c r="AB24" s="17">
        <v>0.13882178462333361</v>
      </c>
      <c r="AC24" s="43">
        <f t="shared" ref="AC24:AC27" si="37">(AH24/SUM(AH$7:AH$27))*0.98</f>
        <v>0.17886417303426924</v>
      </c>
      <c r="AE24" s="47"/>
      <c r="AF24" s="47"/>
      <c r="AG24" s="61">
        <v>0.13800000000000001</v>
      </c>
      <c r="AH24" s="61">
        <v>0.14691897645283153</v>
      </c>
    </row>
    <row r="25" spans="1:34" x14ac:dyDescent="0.3">
      <c r="A25" s="101" t="s">
        <v>89</v>
      </c>
      <c r="B25" s="59" t="s">
        <v>10</v>
      </c>
      <c r="C25" s="60">
        <v>10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41.885031986195834</v>
      </c>
      <c r="M25" s="4">
        <f t="shared" si="34"/>
        <v>27.275532829410729</v>
      </c>
      <c r="N25" s="4">
        <f t="shared" si="34"/>
        <v>303.57668039134143</v>
      </c>
      <c r="O25" s="4">
        <f t="shared" si="35"/>
        <v>1.8547362323999297</v>
      </c>
      <c r="Q25" s="45"/>
      <c r="R25" s="45"/>
      <c r="S25" s="44"/>
      <c r="T25" s="45"/>
      <c r="U25" s="45"/>
      <c r="V25" s="46"/>
      <c r="W25" s="46"/>
      <c r="X25" s="45"/>
      <c r="Y25" s="237">
        <v>0.6512</v>
      </c>
      <c r="Z25" s="236">
        <v>11.13</v>
      </c>
      <c r="AA25" s="43">
        <f t="shared" si="36"/>
        <v>7.9760448784473081E-2</v>
      </c>
      <c r="AB25" s="17">
        <v>0.12910308972453613</v>
      </c>
      <c r="AC25" s="43">
        <f t="shared" si="37"/>
        <v>8.2785519338512234E-2</v>
      </c>
      <c r="AE25" s="47"/>
      <c r="AF25" s="47"/>
      <c r="AG25" s="61">
        <v>7.9788951938029859E-2</v>
      </c>
      <c r="AH25" s="61">
        <v>6.8000000000000005E-2</v>
      </c>
    </row>
    <row r="26" spans="1:34" x14ac:dyDescent="0.3">
      <c r="A26" s="101" t="s">
        <v>219</v>
      </c>
      <c r="B26" s="59" t="s">
        <v>10</v>
      </c>
      <c r="C26" s="60">
        <v>10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5.2494776493275568</v>
      </c>
      <c r="M26" s="4">
        <f t="shared" si="34"/>
        <v>3.1601855448951892</v>
      </c>
      <c r="N26" s="4">
        <f t="shared" si="34"/>
        <v>39.897342504301754</v>
      </c>
      <c r="O26" s="4">
        <f t="shared" si="35"/>
        <v>0.19593150378350174</v>
      </c>
      <c r="Q26" s="45"/>
      <c r="R26" s="45"/>
      <c r="S26" s="44"/>
      <c r="T26" s="45"/>
      <c r="U26" s="45"/>
      <c r="V26" s="46"/>
      <c r="W26" s="46"/>
      <c r="X26" s="45"/>
      <c r="Y26" s="237">
        <v>0.60199999999999998</v>
      </c>
      <c r="Z26" s="236">
        <v>12.624999999999996</v>
      </c>
      <c r="AA26" s="43">
        <f t="shared" si="36"/>
        <v>9.99642768166965E-3</v>
      </c>
      <c r="AB26" s="17">
        <v>3.7823124214133433E-2</v>
      </c>
      <c r="AC26" s="43">
        <f t="shared" si="37"/>
        <v>7.5480914690996437E-2</v>
      </c>
      <c r="AE26" s="47"/>
      <c r="AF26" s="47"/>
      <c r="AG26" s="61">
        <v>0.01</v>
      </c>
      <c r="AH26" s="61">
        <v>6.2E-2</v>
      </c>
    </row>
    <row r="27" spans="1:34" x14ac:dyDescent="0.3">
      <c r="A27" s="101"/>
      <c r="B27" s="59" t="s">
        <v>10</v>
      </c>
      <c r="C27" s="60">
        <v>10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2.8895811831991899E-2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0.97499999999999964</v>
      </c>
      <c r="AC30" s="28">
        <f>SUM(AC7:AC27)</f>
        <v>0.97999999999999976</v>
      </c>
      <c r="AD30" s="89"/>
      <c r="AE30" s="28">
        <f>SUM(AE2:AE4,AE7:AE27)</f>
        <v>1</v>
      </c>
      <c r="AF30" s="28">
        <f>SUM(AF2:AF4,AF7:AF27)</f>
        <v>0.97958594008418942</v>
      </c>
      <c r="AG30" s="28">
        <f>SUM(AG7:AG27)</f>
        <v>0.9803502123033575</v>
      </c>
    </row>
    <row r="31" spans="1:34" s="86" customFormat="1" x14ac:dyDescent="0.3">
      <c r="A31" s="102"/>
      <c r="B31" s="80"/>
      <c r="C31" s="80"/>
      <c r="D31" s="105">
        <v>1025.655</v>
      </c>
      <c r="E31" s="106">
        <v>0.51200000000000001</v>
      </c>
      <c r="F31" s="8">
        <f>1-E31</f>
        <v>0.48799999999999999</v>
      </c>
      <c r="G31" s="234">
        <v>4.42</v>
      </c>
      <c r="H31" s="275">
        <v>0.04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14">
        <f>D31*E31</f>
        <v>525.13535999999999</v>
      </c>
      <c r="E34" s="2">
        <f>SUM(E2:E4)</f>
        <v>353.04232988429476</v>
      </c>
      <c r="F34" s="2">
        <f>SUM(F2:F4)</f>
        <v>3859.2212844538344</v>
      </c>
      <c r="G34" s="2">
        <f>SUM(G2:G4)</f>
        <v>24.226992181754703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9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41" t="s">
        <v>445</v>
      </c>
      <c r="F36" s="41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500.51963999999998</v>
      </c>
      <c r="E37" s="2">
        <f>D37*G31</f>
        <v>2212.2968087999998</v>
      </c>
      <c r="F37" s="2">
        <f>D37*H31</f>
        <v>20.0207856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490.50924719999989</v>
      </c>
      <c r="E40" s="3">
        <f>SUM(J2:J4,J7:J12,J15:J22)</f>
        <v>2181.8592697589388</v>
      </c>
      <c r="F40" s="3">
        <f>SUM(K2:K4,K7:K12,K15:K22)</f>
        <v>19.913005246671023</v>
      </c>
      <c r="G40" s="3">
        <f>SUM(L7:L12,L15:L22,L24:L27)</f>
        <v>514.63265279999996</v>
      </c>
      <c r="H40" s="3">
        <f>SUM(M7:M12,M15:M22,M24:M27)</f>
        <v>349.84045740096531</v>
      </c>
      <c r="I40" s="3">
        <f>SUM(N7:N12,N15:N22,N24:N27)</f>
        <v>3836.2471530834778</v>
      </c>
      <c r="J40" s="3">
        <f>SUM(O7:O12,O15:O22,O24:O27)</f>
        <v>24.145574344464773</v>
      </c>
    </row>
    <row r="41" spans="1:32" ht="14.4" thickTop="1" x14ac:dyDescent="0.3">
      <c r="D41" s="50">
        <f>D37-D40</f>
        <v>10.010392800000091</v>
      </c>
      <c r="E41" s="50">
        <f>E37-E40</f>
        <v>30.437539041060973</v>
      </c>
      <c r="F41" s="50">
        <f>F37-F40</f>
        <v>0.10778035332897673</v>
      </c>
      <c r="G41" s="50">
        <f>SUM(D2:D4)-G40</f>
        <v>10.502707200000032</v>
      </c>
      <c r="H41" s="50">
        <f>E34-H40</f>
        <v>3.2018724833294527</v>
      </c>
      <c r="I41" s="50">
        <f>F34-I40</f>
        <v>22.974131370356645</v>
      </c>
      <c r="J41" s="50">
        <f>G34-J40</f>
        <v>8.1417837289929906E-2</v>
      </c>
    </row>
    <row r="42" spans="1:32" x14ac:dyDescent="0.3">
      <c r="N42" s="74"/>
      <c r="O42" s="74"/>
    </row>
    <row r="43" spans="1:32" x14ac:dyDescent="0.3">
      <c r="N43" s="74"/>
      <c r="O43" s="74"/>
    </row>
    <row r="44" spans="1:32" x14ac:dyDescent="0.3">
      <c r="N44" s="74"/>
      <c r="O44" s="74"/>
    </row>
    <row r="45" spans="1:32" x14ac:dyDescent="0.3">
      <c r="A45" s="77"/>
      <c r="N45" s="74"/>
      <c r="O45" s="74"/>
    </row>
  </sheetData>
  <sheetProtection sheet="1" selectLockedCells="1"/>
  <conditionalFormatting sqref="AA30:AB30 AD30:AF30">
    <cfRule type="cellIs" dxfId="242" priority="14" operator="greaterThan">
      <formula>1</formula>
    </cfRule>
    <cfRule type="cellIs" dxfId="241" priority="15" operator="greaterThan">
      <formula>1</formula>
    </cfRule>
  </conditionalFormatting>
  <conditionalFormatting sqref="AC30">
    <cfRule type="cellIs" dxfId="240" priority="10" operator="greaterThan">
      <formula>1</formula>
    </cfRule>
    <cfRule type="cellIs" dxfId="239" priority="11" operator="greaterThan">
      <formula>1</formula>
    </cfRule>
  </conditionalFormatting>
  <conditionalFormatting sqref="AG30">
    <cfRule type="cellIs" dxfId="238" priority="8" operator="greaterThan">
      <formula>1</formula>
    </cfRule>
    <cfRule type="cellIs" dxfId="237" priority="9" operator="greaterThan">
      <formula>1</formula>
    </cfRule>
  </conditionalFormatting>
  <conditionalFormatting sqref="W30">
    <cfRule type="cellIs" dxfId="236" priority="2" operator="greaterThan">
      <formula>1</formula>
    </cfRule>
    <cfRule type="cellIs" dxfId="235" priority="3" operator="greaterThan">
      <formula>1</formula>
    </cfRule>
  </conditionalFormatting>
  <conditionalFormatting sqref="D41:J41">
    <cfRule type="cellIs" dxfId="234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theme="7" tint="-0.249977111117893"/>
  </sheetPr>
  <dimension ref="A1:AH46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275</v>
      </c>
      <c r="B2" s="59" t="s">
        <v>9</v>
      </c>
      <c r="C2" s="59">
        <v>14</v>
      </c>
      <c r="D2" s="4">
        <f>D$34*Q2</f>
        <v>523.894676</v>
      </c>
      <c r="E2" s="4">
        <f>D2*R2</f>
        <v>326.91027782399999</v>
      </c>
      <c r="F2" s="4">
        <f>E2*S2</f>
        <v>3837.9266616537598</v>
      </c>
      <c r="G2" s="4">
        <f>E2*T2</f>
        <v>23.210629725503996</v>
      </c>
      <c r="H2" s="4">
        <f>E2*U2</f>
        <v>7.2692267559589059</v>
      </c>
      <c r="I2" s="4">
        <f>D$37*W2</f>
        <v>25.851913197467784</v>
      </c>
      <c r="J2" s="4">
        <f>I2*V2</f>
        <v>148.37858851567731</v>
      </c>
      <c r="K2" s="4">
        <f>I2*X2</f>
        <v>1.9130415766126159</v>
      </c>
      <c r="L2" s="44"/>
      <c r="M2" s="44"/>
      <c r="N2" s="44"/>
      <c r="O2" s="44"/>
      <c r="Q2" s="43">
        <f>AE2</f>
        <v>0.95</v>
      </c>
      <c r="R2" s="61">
        <v>0.624</v>
      </c>
      <c r="S2" s="236">
        <v>11.74</v>
      </c>
      <c r="T2" s="237">
        <v>7.0999999999999994E-2</v>
      </c>
      <c r="U2" s="61">
        <v>2.2236152391245614E-2</v>
      </c>
      <c r="V2" s="236">
        <v>5.7395592884093043</v>
      </c>
      <c r="W2" s="43">
        <f>(AF2/SUM(AF$2:AF$22))*0.98</f>
        <v>5.0988768069728588E-2</v>
      </c>
      <c r="X2" s="61">
        <v>7.3999999999999996E-2</v>
      </c>
      <c r="Y2" s="64"/>
      <c r="Z2" s="65"/>
      <c r="AA2" s="1"/>
      <c r="AB2" s="1"/>
      <c r="AC2" s="1"/>
      <c r="AE2" s="61">
        <v>0.95</v>
      </c>
      <c r="AF2" s="61">
        <v>5.0999999999999997E-2</v>
      </c>
      <c r="AG2" s="47"/>
      <c r="AH2" s="47"/>
    </row>
    <row r="3" spans="1:34" x14ac:dyDescent="0.3">
      <c r="A3" s="58" t="s">
        <v>118</v>
      </c>
      <c r="B3" s="59" t="s">
        <v>9</v>
      </c>
      <c r="C3" s="59">
        <v>14</v>
      </c>
      <c r="D3" s="4">
        <f>D$34*Q3</f>
        <v>5.5146807999999998</v>
      </c>
      <c r="E3" s="4">
        <f t="shared" ref="E3:E4" si="0">D3*R3</f>
        <v>3.3143231607999999</v>
      </c>
      <c r="F3" s="4">
        <f t="shared" ref="F3:F4" si="1">E3*S3</f>
        <v>36.457554768800001</v>
      </c>
      <c r="G3" s="4">
        <f t="shared" ref="G3" si="2">E3*T3</f>
        <v>0.22095487738666666</v>
      </c>
      <c r="H3" s="4">
        <f t="shared" ref="H3" si="3">E3*U3</f>
        <v>0.16571615804000001</v>
      </c>
      <c r="I3" s="4">
        <f t="shared" ref="I3:I4" si="4">D$37*W3</f>
        <v>40.045120443136376</v>
      </c>
      <c r="J3" s="4">
        <f>I3*V3</f>
        <v>209.83643112203461</v>
      </c>
      <c r="K3" s="4">
        <f>I3*X3</f>
        <v>3.4438803581097281</v>
      </c>
      <c r="L3" s="44">
        <v>32.190800000000003</v>
      </c>
      <c r="M3" s="44">
        <v>23.66</v>
      </c>
      <c r="N3" s="44">
        <v>258.72550000000001</v>
      </c>
      <c r="O3" s="44">
        <v>2.3847999999999998</v>
      </c>
      <c r="Q3" s="43">
        <f t="shared" ref="Q3:Q4" si="5">AE3</f>
        <v>0.01</v>
      </c>
      <c r="R3" s="61">
        <v>0.60099999999999998</v>
      </c>
      <c r="S3" s="236">
        <v>11</v>
      </c>
      <c r="T3" s="237">
        <v>6.6666666666666666E-2</v>
      </c>
      <c r="U3" s="61">
        <v>0.05</v>
      </c>
      <c r="V3" s="236">
        <v>5.24</v>
      </c>
      <c r="W3" s="43">
        <f t="shared" ref="W3:W4" si="6">(AF3/SUM(AF$2:AF$22))*0.98</f>
        <v>7.8982601519775666E-2</v>
      </c>
      <c r="X3" s="61">
        <v>8.5999999999999993E-2</v>
      </c>
      <c r="Y3" s="64"/>
      <c r="Z3" s="65"/>
      <c r="AA3" s="1"/>
      <c r="AB3" s="1"/>
      <c r="AC3" s="1"/>
      <c r="AE3" s="61">
        <v>0.01</v>
      </c>
      <c r="AF3" s="61">
        <v>7.9000000000000001E-2</v>
      </c>
      <c r="AG3" s="47"/>
      <c r="AH3" s="47"/>
    </row>
    <row r="4" spans="1:34" x14ac:dyDescent="0.3">
      <c r="A4" s="58" t="s">
        <v>41</v>
      </c>
      <c r="B4" s="59" t="s">
        <v>9</v>
      </c>
      <c r="C4" s="59">
        <v>14</v>
      </c>
      <c r="D4" s="4">
        <f>D$34*Q4</f>
        <v>22.058723200000021</v>
      </c>
      <c r="E4" s="4">
        <f t="shared" si="0"/>
        <v>15.485223686400014</v>
      </c>
      <c r="F4" s="4">
        <f t="shared" si="1"/>
        <v>167.85982476057615</v>
      </c>
      <c r="G4" s="4">
        <f t="shared" ref="G4" si="7">E4*T4</f>
        <v>1.068480434361601</v>
      </c>
      <c r="H4" s="4">
        <f t="shared" ref="H4" si="8">E4*U4</f>
        <v>0.97556909224320087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4.0000000000000036E-2</v>
      </c>
      <c r="R4" s="61">
        <v>0.70199999999999996</v>
      </c>
      <c r="S4" s="63">
        <v>10.84</v>
      </c>
      <c r="T4" s="61">
        <v>6.9000000000000006E-2</v>
      </c>
      <c r="U4" s="61">
        <v>6.3E-2</v>
      </c>
      <c r="V4" s="63">
        <v>4.8099999999999996</v>
      </c>
      <c r="W4" s="43">
        <f t="shared" si="6"/>
        <v>0</v>
      </c>
      <c r="X4" s="61">
        <v>2.8000000000000001E-2</v>
      </c>
      <c r="Y4" s="64"/>
      <c r="Z4" s="65"/>
      <c r="AA4" s="1"/>
      <c r="AB4" s="1"/>
      <c r="AC4" s="1"/>
      <c r="AE4" s="61">
        <f>1-AE3-AE2</f>
        <v>4.0000000000000036E-2</v>
      </c>
      <c r="AF4" s="61">
        <v>0</v>
      </c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119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203.26700376832514</v>
      </c>
      <c r="J7" s="4">
        <f>I7*V7</f>
        <v>835.42738548781642</v>
      </c>
      <c r="K7" s="4">
        <f>I7*X7</f>
        <v>7.0533650307608831</v>
      </c>
      <c r="L7" s="7">
        <f>((D$2+D$3+D$4)*AA7)</f>
        <v>74.422920901695932</v>
      </c>
      <c r="M7" s="4">
        <f t="shared" ref="M7:N9" si="10">L7*Y7</f>
        <v>52.282101933441396</v>
      </c>
      <c r="N7" s="4">
        <f t="shared" si="10"/>
        <v>430.80451993155714</v>
      </c>
      <c r="O7" s="4">
        <f>M7*AH7</f>
        <v>3.5428003283845166</v>
      </c>
      <c r="Q7" s="45"/>
      <c r="R7" s="45"/>
      <c r="S7" s="44"/>
      <c r="T7" s="45"/>
      <c r="U7" s="45"/>
      <c r="V7" s="63">
        <v>4.1100000000000003</v>
      </c>
      <c r="W7" s="43">
        <f t="shared" ref="W7:W12" si="11">(AF7/SUM(AF$2:AF$22))*0.98</f>
        <v>0.40091168619531697</v>
      </c>
      <c r="X7" s="237">
        <v>3.4700000000000002E-2</v>
      </c>
      <c r="Y7" s="237">
        <v>0.70250000000000001</v>
      </c>
      <c r="Z7" s="63">
        <v>8.24</v>
      </c>
      <c r="AA7" s="43">
        <f>(AG7/SUM(AG$7:AG$27))*0.98</f>
        <v>0.13495417704266027</v>
      </c>
      <c r="AB7" s="17">
        <v>0.19720064693653186</v>
      </c>
      <c r="AC7" s="43">
        <f>(AH7/SUM(AH$7:AH$27))*0.98</f>
        <v>7.5846525329745715E-2</v>
      </c>
      <c r="AE7" s="47"/>
      <c r="AF7" s="61">
        <v>0.40100000000000002</v>
      </c>
      <c r="AG7" s="61">
        <v>0.13500000000000001</v>
      </c>
      <c r="AH7" s="61">
        <v>6.7763157894736858E-2</v>
      </c>
    </row>
    <row r="8" spans="1:34" x14ac:dyDescent="0.3">
      <c r="A8" s="66" t="s">
        <v>634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147.50797530319852</v>
      </c>
      <c r="J8" s="4">
        <f>I8*V8</f>
        <v>573.80602392944229</v>
      </c>
      <c r="K8" s="4">
        <f>I8*X8</f>
        <v>4.2187280936714782</v>
      </c>
      <c r="L8" s="7">
        <f>((D$2+D$3+D$4)*AA8)</f>
        <v>26.491005123188867</v>
      </c>
      <c r="M8" s="4">
        <f t="shared" si="10"/>
        <v>19.627185695770631</v>
      </c>
      <c r="N8" s="4">
        <f t="shared" si="10"/>
        <v>137.97911544126754</v>
      </c>
      <c r="O8" s="4">
        <f t="shared" ref="O8:O12" si="12">M8*AH8</f>
        <v>0.8047146135265959</v>
      </c>
      <c r="Q8" s="45"/>
      <c r="R8" s="45"/>
      <c r="S8" s="44"/>
      <c r="T8" s="45"/>
      <c r="U8" s="45"/>
      <c r="V8" s="63">
        <v>3.89</v>
      </c>
      <c r="W8" s="43">
        <f t="shared" si="11"/>
        <v>0.29093591192727486</v>
      </c>
      <c r="X8" s="237">
        <v>2.86E-2</v>
      </c>
      <c r="Y8" s="237">
        <v>0.7409</v>
      </c>
      <c r="Z8" s="63">
        <v>7.03</v>
      </c>
      <c r="AA8" s="43">
        <f t="shared" ref="AA8:AA12" si="13">(AG8/SUM(AG$7:AG$27))*0.98</f>
        <v>4.8037241109564977E-2</v>
      </c>
      <c r="AB8" s="17">
        <v>6.3834614997554232E-2</v>
      </c>
      <c r="AC8" s="43">
        <f t="shared" ref="AC8:AC12" si="14">(AH8/SUM(AH$7:AH$27))*0.98</f>
        <v>4.5890829694657791E-2</v>
      </c>
      <c r="AE8" s="47"/>
      <c r="AF8" s="61">
        <v>0.29099999999999998</v>
      </c>
      <c r="AG8" s="61">
        <v>4.8053551893701626E-2</v>
      </c>
      <c r="AH8" s="61">
        <v>4.1000000000000002E-2</v>
      </c>
    </row>
    <row r="9" spans="1:34" x14ac:dyDescent="0.3">
      <c r="A9" s="77" t="s">
        <v>565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47.648624324744546</v>
      </c>
      <c r="J9" s="4">
        <f>I9*V9</f>
        <v>180.21373655147852</v>
      </c>
      <c r="K9" s="4">
        <f>I9*X9</f>
        <v>1.8415998981854456</v>
      </c>
      <c r="L9" s="7">
        <f>((D$2+D$3+D$4)*AA9)</f>
        <v>11.562294323898557</v>
      </c>
      <c r="M9" s="4">
        <f t="shared" si="10"/>
        <v>7.422992955942874</v>
      </c>
      <c r="N9" s="4">
        <f t="shared" si="10"/>
        <v>50.327892241292687</v>
      </c>
      <c r="O9" s="4">
        <f t="shared" si="12"/>
        <v>0.21535991142684049</v>
      </c>
      <c r="Q9" s="45"/>
      <c r="R9" s="45"/>
      <c r="S9" s="44"/>
      <c r="T9" s="45"/>
      <c r="U9" s="45"/>
      <c r="V9" s="63">
        <v>3.7821393399156586</v>
      </c>
      <c r="W9" s="43">
        <f t="shared" si="11"/>
        <v>9.3979298010872306E-2</v>
      </c>
      <c r="X9" s="237">
        <v>3.8649592182015607E-2</v>
      </c>
      <c r="Y9" s="237">
        <v>0.64200000000000002</v>
      </c>
      <c r="Z9" s="63">
        <v>6.78</v>
      </c>
      <c r="AA9" s="43">
        <f t="shared" si="13"/>
        <v>2.096638906806457E-2</v>
      </c>
      <c r="AB9" s="17">
        <v>1.6265863442866128E-2</v>
      </c>
      <c r="AC9" s="43">
        <f t="shared" si="14"/>
        <v>3.2473407953762343E-2</v>
      </c>
      <c r="AE9" s="47"/>
      <c r="AF9" s="61">
        <v>9.4E-2</v>
      </c>
      <c r="AG9" s="61">
        <v>2.0973508091520435E-2</v>
      </c>
      <c r="AH9" s="61">
        <v>2.9012544226439365E-2</v>
      </c>
    </row>
    <row r="10" spans="1:34" x14ac:dyDescent="0.3">
      <c r="A10" s="77" t="s">
        <v>827</v>
      </c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23.317411903598394</v>
      </c>
      <c r="J10" s="4">
        <f t="shared" ref="J10:J12" si="15">I10*V10</f>
        <v>103.76009877756668</v>
      </c>
      <c r="K10" s="4">
        <f t="shared" ref="K10:K12" si="16">I10*X10</f>
        <v>0.84875379329098155</v>
      </c>
      <c r="L10" s="7">
        <f t="shared" ref="L10:L12" si="17">((D$2+D$3+D$4)*AA10)</f>
        <v>4.8983367963632247</v>
      </c>
      <c r="M10" s="4">
        <f t="shared" ref="M10:N10" si="18">L10*Y10</f>
        <v>3.4616546139898907</v>
      </c>
      <c r="N10" s="4">
        <f t="shared" si="18"/>
        <v>26.585507435442359</v>
      </c>
      <c r="O10" s="4">
        <f t="shared" si="12"/>
        <v>0.16886120068243368</v>
      </c>
      <c r="Q10" s="45"/>
      <c r="R10" s="45"/>
      <c r="S10" s="44"/>
      <c r="T10" s="45"/>
      <c r="U10" s="45"/>
      <c r="V10" s="63">
        <v>4.4498977505112478</v>
      </c>
      <c r="W10" s="43">
        <f t="shared" si="11"/>
        <v>4.5989869239363039E-2</v>
      </c>
      <c r="X10" s="237">
        <v>3.6400000000000002E-2</v>
      </c>
      <c r="Y10" s="237">
        <v>0.70669999999999999</v>
      </c>
      <c r="Z10" s="63">
        <v>7.68</v>
      </c>
      <c r="AA10" s="43">
        <f t="shared" si="13"/>
        <v>8.882357790070506E-3</v>
      </c>
      <c r="AB10" s="17">
        <v>3.0139782715548381E-3</v>
      </c>
      <c r="AC10" s="43">
        <f t="shared" si="14"/>
        <v>5.4599440445755834E-2</v>
      </c>
      <c r="AE10" s="47"/>
      <c r="AF10" s="61">
        <v>4.5999999999999999E-2</v>
      </c>
      <c r="AG10" s="61">
        <v>8.8853737463825654E-3</v>
      </c>
      <c r="AH10" s="61">
        <v>4.8780487804878044E-2</v>
      </c>
    </row>
    <row r="11" spans="1:34" x14ac:dyDescent="0.3">
      <c r="A11" s="77"/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7.876825306294152E-3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77"/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120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0.12497247075913868</v>
      </c>
      <c r="J15" s="4">
        <f t="shared" ref="J15:J22" si="22">I15*V15</f>
        <v>0.29993392982193284</v>
      </c>
      <c r="K15" s="4">
        <f t="shared" ref="K15:K22" si="23">I15*X15</f>
        <v>0</v>
      </c>
      <c r="L15" s="7">
        <f t="shared" ref="L15:L20" si="24">((D$2+D$3+D$4)*AA15)</f>
        <v>103.08952747123809</v>
      </c>
      <c r="M15" s="4">
        <f t="shared" ref="M15:N19" si="25">L15*Y15</f>
        <v>66.265948258511841</v>
      </c>
      <c r="N15" s="4">
        <f t="shared" si="25"/>
        <v>805.13127134091894</v>
      </c>
      <c r="O15" s="4">
        <f t="shared" ref="O15:O22" si="26">M15*AH15</f>
        <v>4.9036801711298761</v>
      </c>
      <c r="Q15" s="45"/>
      <c r="R15" s="45"/>
      <c r="S15" s="44"/>
      <c r="T15" s="45"/>
      <c r="U15" s="45"/>
      <c r="V15" s="63">
        <v>2.4</v>
      </c>
      <c r="W15" s="43">
        <f t="shared" ref="W15:W22" si="27">(AF15/SUM(AF$2:AF$22))*0.98</f>
        <v>2.4648823001861315E-4</v>
      </c>
      <c r="X15" s="237">
        <v>0</v>
      </c>
      <c r="Y15" s="237">
        <v>0.64280000000000004</v>
      </c>
      <c r="Z15" s="63">
        <v>12.15</v>
      </c>
      <c r="AA15" s="43">
        <f t="shared" ref="AA15:AA22" si="28">(AG15/SUM(AG$7:AG$27))*0.98</f>
        <v>0.18693652671835165</v>
      </c>
      <c r="AB15" s="17">
        <v>0.26142915529951832</v>
      </c>
      <c r="AC15" s="43">
        <f t="shared" ref="AC15:AC22" si="29">(AH15/SUM(AH$7:AH$27))*0.98</f>
        <v>8.2827351156211607E-2</v>
      </c>
      <c r="AE15" s="47"/>
      <c r="AF15" s="61">
        <v>2.4654252704749033E-4</v>
      </c>
      <c r="AG15" s="61">
        <v>0.187</v>
      </c>
      <c r="AH15" s="61">
        <v>7.3999999999999996E-2</v>
      </c>
    </row>
    <row r="16" spans="1:34" x14ac:dyDescent="0.3">
      <c r="A16" s="66" t="s">
        <v>635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0.37491741227741615</v>
      </c>
      <c r="J16" s="4">
        <f t="shared" si="22"/>
        <v>2.2994934619681522</v>
      </c>
      <c r="K16" s="4">
        <f t="shared" si="23"/>
        <v>0</v>
      </c>
      <c r="L16" s="7">
        <f t="shared" si="24"/>
        <v>93.717752246580076</v>
      </c>
      <c r="M16" s="4">
        <f t="shared" si="25"/>
        <v>56.614894132159023</v>
      </c>
      <c r="N16" s="4">
        <f t="shared" si="25"/>
        <v>822.46772930428835</v>
      </c>
      <c r="O16" s="4">
        <f t="shared" si="26"/>
        <v>4.4159617423084034</v>
      </c>
      <c r="Q16" s="45"/>
      <c r="R16" s="45"/>
      <c r="S16" s="44"/>
      <c r="T16" s="45"/>
      <c r="U16" s="45"/>
      <c r="V16" s="63">
        <v>6.1333333333333329</v>
      </c>
      <c r="W16" s="43">
        <f t="shared" si="27"/>
        <v>7.3946469005583962E-4</v>
      </c>
      <c r="X16" s="237">
        <v>0</v>
      </c>
      <c r="Y16" s="237">
        <v>0.60409999999999997</v>
      </c>
      <c r="Z16" s="63">
        <v>14.527409119309844</v>
      </c>
      <c r="AA16" s="43">
        <f t="shared" si="28"/>
        <v>0.16994229701668331</v>
      </c>
      <c r="AB16" s="17">
        <v>0.12797470258530405</v>
      </c>
      <c r="AC16" s="43">
        <f t="shared" si="29"/>
        <v>8.7304505272763594E-2</v>
      </c>
      <c r="AE16" s="47"/>
      <c r="AF16" s="61">
        <v>7.3962758114247103E-4</v>
      </c>
      <c r="AG16" s="61">
        <v>0.17</v>
      </c>
      <c r="AH16" s="61">
        <v>7.8E-2</v>
      </c>
    </row>
    <row r="17" spans="1:34" x14ac:dyDescent="0.3">
      <c r="A17" s="66" t="s">
        <v>762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3.5325551734583205</v>
      </c>
      <c r="J17" s="4">
        <f t="shared" si="22"/>
        <v>18.629229641162276</v>
      </c>
      <c r="K17" s="4">
        <f t="shared" si="23"/>
        <v>0.29993392982193284</v>
      </c>
      <c r="L17" s="7">
        <f t="shared" si="24"/>
        <v>96.474156724420652</v>
      </c>
      <c r="M17" s="4">
        <f t="shared" si="25"/>
        <v>61.145320531937813</v>
      </c>
      <c r="N17" s="4">
        <f t="shared" si="25"/>
        <v>739.53742062999549</v>
      </c>
      <c r="O17" s="4">
        <f t="shared" si="26"/>
        <v>3.7910098729801445</v>
      </c>
      <c r="Q17" s="45"/>
      <c r="R17" s="45"/>
      <c r="S17" s="44"/>
      <c r="T17" s="45"/>
      <c r="U17" s="45"/>
      <c r="V17" s="63">
        <v>5.2735849056603774</v>
      </c>
      <c r="W17" s="43">
        <f t="shared" si="27"/>
        <v>6.9674006351927989E-3</v>
      </c>
      <c r="X17" s="237">
        <v>8.4905660377358486E-2</v>
      </c>
      <c r="Y17" s="237">
        <v>0.63380000000000003</v>
      </c>
      <c r="Z17" s="63">
        <v>12.094750901562707</v>
      </c>
      <c r="AA17" s="43">
        <f t="shared" si="28"/>
        <v>0.17494059987011515</v>
      </c>
      <c r="AB17" s="17">
        <v>6.275169059917024E-2</v>
      </c>
      <c r="AC17" s="43">
        <f t="shared" si="29"/>
        <v>6.9395888806555672E-2</v>
      </c>
      <c r="AE17" s="47"/>
      <c r="AF17" s="61">
        <v>6.9689354312090597E-3</v>
      </c>
      <c r="AG17" s="61">
        <v>0.17499999999999999</v>
      </c>
      <c r="AH17" s="61">
        <v>6.2E-2</v>
      </c>
    </row>
    <row r="18" spans="1:34" x14ac:dyDescent="0.3">
      <c r="A18" s="66" t="s">
        <v>343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1.0997577426804206</v>
      </c>
      <c r="J18" s="4">
        <f t="shared" si="22"/>
        <v>6.7235189268416606</v>
      </c>
      <c r="K18" s="4">
        <f t="shared" si="23"/>
        <v>4.9988988303655481E-2</v>
      </c>
      <c r="L18" s="7">
        <f t="shared" si="24"/>
        <v>30.320449256246494</v>
      </c>
      <c r="M18" s="4">
        <f t="shared" si="25"/>
        <v>17.622245107730464</v>
      </c>
      <c r="N18" s="4">
        <f t="shared" si="25"/>
        <v>262.74767455626125</v>
      </c>
      <c r="O18" s="4">
        <f t="shared" si="26"/>
        <v>1.3040461379720543</v>
      </c>
      <c r="Q18" s="45"/>
      <c r="R18" s="45"/>
      <c r="S18" s="44"/>
      <c r="T18" s="45"/>
      <c r="U18" s="45"/>
      <c r="V18" s="63">
        <v>6.1136363636363624</v>
      </c>
      <c r="W18" s="43">
        <f t="shared" si="27"/>
        <v>2.1690964241637962E-3</v>
      </c>
      <c r="X18" s="237">
        <v>4.5454545454545456E-2</v>
      </c>
      <c r="Y18" s="237">
        <v>0.58120000000000005</v>
      </c>
      <c r="Z18" s="63">
        <v>14.91</v>
      </c>
      <c r="AA18" s="43">
        <f t="shared" si="28"/>
        <v>5.4981331387750486E-2</v>
      </c>
      <c r="AB18" s="17">
        <v>3.8004297463698711E-2</v>
      </c>
      <c r="AC18" s="43">
        <f t="shared" si="29"/>
        <v>8.2827351156211607E-2</v>
      </c>
      <c r="AE18" s="47"/>
      <c r="AF18" s="61">
        <v>2.1695742380179153E-3</v>
      </c>
      <c r="AG18" s="61">
        <v>5.5E-2</v>
      </c>
      <c r="AH18" s="61">
        <v>7.3999999999999996E-2</v>
      </c>
    </row>
    <row r="19" spans="1:34" x14ac:dyDescent="0.3">
      <c r="A19" s="66" t="s">
        <v>121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2.2495044736644969</v>
      </c>
      <c r="J19" s="4">
        <f t="shared" si="22"/>
        <v>13.172098418013222</v>
      </c>
      <c r="K19" s="4">
        <f t="shared" si="23"/>
        <v>0</v>
      </c>
      <c r="L19" s="7">
        <f t="shared" si="24"/>
        <v>17.640988658179783</v>
      </c>
      <c r="M19" s="4">
        <f t="shared" si="25"/>
        <v>10.967402648790371</v>
      </c>
      <c r="N19" s="4">
        <f t="shared" si="25"/>
        <v>133.45987020722123</v>
      </c>
      <c r="O19" s="4">
        <f t="shared" si="26"/>
        <v>1.009001043688714</v>
      </c>
      <c r="Q19" s="45"/>
      <c r="R19" s="45"/>
      <c r="S19" s="44"/>
      <c r="T19" s="45"/>
      <c r="U19" s="45"/>
      <c r="V19" s="63">
        <v>5.8555555555555561</v>
      </c>
      <c r="W19" s="43">
        <f t="shared" si="27"/>
        <v>4.4367881403350375E-3</v>
      </c>
      <c r="X19" s="237">
        <v>0</v>
      </c>
      <c r="Y19" s="237">
        <v>0.62170000000000003</v>
      </c>
      <c r="Z19" s="63">
        <v>12.168776371308017</v>
      </c>
      <c r="AA19" s="43">
        <f t="shared" si="28"/>
        <v>3.1989138261963923E-2</v>
      </c>
      <c r="AB19" s="17">
        <v>2.8164098786400027E-2</v>
      </c>
      <c r="AC19" s="43">
        <f t="shared" si="29"/>
        <v>0.10297454468069552</v>
      </c>
      <c r="AE19" s="47"/>
      <c r="AF19" s="61">
        <v>4.4377654868548262E-3</v>
      </c>
      <c r="AG19" s="61">
        <v>3.2000000000000001E-2</v>
      </c>
      <c r="AH19" s="61">
        <v>9.1999999999999998E-2</v>
      </c>
    </row>
    <row r="20" spans="1:34" x14ac:dyDescent="0.3">
      <c r="A20" s="77" t="s">
        <v>636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1.8519253866894234</v>
      </c>
      <c r="J20" s="4">
        <f t="shared" si="22"/>
        <v>13.996916725023535</v>
      </c>
      <c r="K20" s="4">
        <f t="shared" si="23"/>
        <v>0</v>
      </c>
      <c r="L20" s="7">
        <f t="shared" si="24"/>
        <v>13.230741493634834</v>
      </c>
      <c r="M20" s="4">
        <f t="shared" ref="M20:N20" si="30">L20*Y20</f>
        <v>8.1091214614487903</v>
      </c>
      <c r="N20" s="4">
        <f t="shared" si="30"/>
        <v>122.44773406787674</v>
      </c>
      <c r="O20" s="4">
        <f t="shared" si="26"/>
        <v>0.40545607307243953</v>
      </c>
      <c r="Q20" s="45"/>
      <c r="R20" s="45"/>
      <c r="S20" s="44"/>
      <c r="T20" s="45"/>
      <c r="U20" s="45"/>
      <c r="V20" s="63">
        <v>7.5580349109231602</v>
      </c>
      <c r="W20" s="43">
        <f t="shared" si="27"/>
        <v>3.6526269179024892E-3</v>
      </c>
      <c r="X20" s="237">
        <v>0</v>
      </c>
      <c r="Y20" s="237">
        <v>0.6129</v>
      </c>
      <c r="Z20" s="63">
        <v>15.1</v>
      </c>
      <c r="AA20" s="43">
        <f t="shared" si="28"/>
        <v>2.3991853696472939E-2</v>
      </c>
      <c r="AB20" s="17">
        <v>1.497626220331523E-2</v>
      </c>
      <c r="AC20" s="43">
        <f t="shared" si="29"/>
        <v>5.5964426456899745E-2</v>
      </c>
      <c r="AE20" s="47"/>
      <c r="AF20" s="61">
        <v>3.65343152747441E-3</v>
      </c>
      <c r="AG20" s="61">
        <v>2.4E-2</v>
      </c>
      <c r="AH20" s="61">
        <v>0.05</v>
      </c>
    </row>
    <row r="21" spans="1:34" x14ac:dyDescent="0.3">
      <c r="A21" s="77"/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101" t="s">
        <v>220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47.018986415021374</v>
      </c>
      <c r="M24" s="4">
        <f t="shared" ref="M24:N27" si="34">L24*Y24</f>
        <v>29.057733604483207</v>
      </c>
      <c r="N24" s="4">
        <f t="shared" si="34"/>
        <v>331.83931776319821</v>
      </c>
      <c r="O24" s="4">
        <f t="shared" ref="O24:O27" si="35">M24*AH24</f>
        <v>2.8476578932393544</v>
      </c>
      <c r="Q24" s="45"/>
      <c r="R24" s="45"/>
      <c r="S24" s="44"/>
      <c r="T24" s="45"/>
      <c r="U24" s="45"/>
      <c r="V24" s="46"/>
      <c r="W24" s="46"/>
      <c r="X24" s="45"/>
      <c r="Y24" s="237">
        <v>0.61799999999999999</v>
      </c>
      <c r="Z24" s="236">
        <v>11.42</v>
      </c>
      <c r="AA24" s="43">
        <f t="shared" ref="AA24:AA27" si="36">(AG24/SUM(AG$7:AG$27))*0.98</f>
        <v>8.5261483157867218E-2</v>
      </c>
      <c r="AB24" s="17">
        <v>0.10905631606380603</v>
      </c>
      <c r="AC24" s="43">
        <f t="shared" ref="AC24:AC27" si="37">(AH24/SUM(AH$7:AH$27))*0.98</f>
        <v>0.10969027585552349</v>
      </c>
      <c r="AE24" s="47"/>
      <c r="AF24" s="47"/>
      <c r="AG24" s="61">
        <v>8.5290433231077836E-2</v>
      </c>
      <c r="AH24" s="61">
        <v>9.8000000000000004E-2</v>
      </c>
    </row>
    <row r="25" spans="1:34" x14ac:dyDescent="0.3">
      <c r="A25" s="101" t="s">
        <v>292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13.749376781285058</v>
      </c>
      <c r="M25" s="4">
        <f t="shared" si="34"/>
        <v>8.0708841706143293</v>
      </c>
      <c r="N25" s="4">
        <f t="shared" si="34"/>
        <v>110.08686008717946</v>
      </c>
      <c r="O25" s="4">
        <f t="shared" si="35"/>
        <v>0.6456707336491464</v>
      </c>
      <c r="Q25" s="45"/>
      <c r="R25" s="45"/>
      <c r="S25" s="44"/>
      <c r="T25" s="45"/>
      <c r="U25" s="45"/>
      <c r="V25" s="46"/>
      <c r="W25" s="46"/>
      <c r="X25" s="45"/>
      <c r="Y25" s="237">
        <v>0.58699999999999997</v>
      </c>
      <c r="Z25" s="236">
        <v>13.64</v>
      </c>
      <c r="AA25" s="43">
        <f t="shared" si="36"/>
        <v>2.4932316628888219E-2</v>
      </c>
      <c r="AB25" s="17">
        <v>3.7452350641812744E-2</v>
      </c>
      <c r="AC25" s="43">
        <f t="shared" si="37"/>
        <v>8.9543082331039581E-2</v>
      </c>
      <c r="AE25" s="47"/>
      <c r="AF25" s="47"/>
      <c r="AG25" s="61">
        <v>2.4940782261492572E-2</v>
      </c>
      <c r="AH25" s="61">
        <v>0.08</v>
      </c>
    </row>
    <row r="26" spans="1:34" x14ac:dyDescent="0.3">
      <c r="A26" s="101" t="s">
        <v>575</v>
      </c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7.8221822082469643</v>
      </c>
      <c r="M26" s="4">
        <f t="shared" si="34"/>
        <v>4.5861454286951959</v>
      </c>
      <c r="N26" s="4">
        <f t="shared" si="34"/>
        <v>56.776480407246531</v>
      </c>
      <c r="O26" s="4">
        <f t="shared" si="35"/>
        <v>0.3714777797243109</v>
      </c>
      <c r="Q26" s="45"/>
      <c r="R26" s="45"/>
      <c r="S26" s="44"/>
      <c r="T26" s="45"/>
      <c r="U26" s="45"/>
      <c r="V26" s="46"/>
      <c r="W26" s="46"/>
      <c r="X26" s="45"/>
      <c r="Y26" s="237">
        <v>0.58630000000000004</v>
      </c>
      <c r="Z26" s="236">
        <v>12.38</v>
      </c>
      <c r="AA26" s="43">
        <f t="shared" si="36"/>
        <v>1.4184288251546608E-2</v>
      </c>
      <c r="AB26" s="17">
        <v>6.9991974021732777E-3</v>
      </c>
      <c r="AC26" s="43">
        <f t="shared" si="37"/>
        <v>9.0662370860177574E-2</v>
      </c>
      <c r="AE26" s="47"/>
      <c r="AF26" s="47"/>
      <c r="AG26" s="61">
        <v>1.4189104449530903E-2</v>
      </c>
      <c r="AH26" s="61">
        <v>8.1000000000000003E-2</v>
      </c>
    </row>
    <row r="27" spans="1:34" x14ac:dyDescent="0.3">
      <c r="A27" s="101"/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0.97499999999999998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0.98021587679174615</v>
      </c>
      <c r="AG30" s="28">
        <f>SUM(AG7:AG27)</f>
        <v>0.98033275367370609</v>
      </c>
    </row>
    <row r="31" spans="1:34" s="86" customFormat="1" x14ac:dyDescent="0.3">
      <c r="A31" s="102"/>
      <c r="B31" s="80"/>
      <c r="C31" s="80"/>
      <c r="D31" s="105">
        <v>1058.48</v>
      </c>
      <c r="E31" s="106">
        <v>0.52100000000000002</v>
      </c>
      <c r="F31" s="8">
        <f>1-E31</f>
        <v>0.47899999999999998</v>
      </c>
      <c r="G31" s="234">
        <v>4.2</v>
      </c>
      <c r="H31" s="275">
        <v>3.9E-2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551.46807999999999</v>
      </c>
      <c r="E34" s="2">
        <f>SUM(E2:E4)</f>
        <v>345.70982467119995</v>
      </c>
      <c r="F34" s="2">
        <f>SUM(F2:F4)</f>
        <v>4042.2440411831358</v>
      </c>
      <c r="G34" s="2">
        <f>SUM(G2:G4)</f>
        <v>24.500065037252263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507.01191999999998</v>
      </c>
      <c r="E37" s="2">
        <f>D37*G31</f>
        <v>2129.4500640000001</v>
      </c>
      <c r="F37" s="2">
        <f>D37*H31</f>
        <v>19.773464879999999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496.87168159999993</v>
      </c>
      <c r="E40" s="3">
        <f>SUM(J2:J4,J7:J12,J15:J22)</f>
        <v>2106.5434554868466</v>
      </c>
      <c r="F40" s="3">
        <f>SUM(K2:K4,K7:K12,K15:K22)</f>
        <v>19.669291668756721</v>
      </c>
      <c r="G40" s="3">
        <f>SUM(L7:L12,L15:L22,L24:L27)</f>
        <v>540.43871839999986</v>
      </c>
      <c r="H40" s="3">
        <f>SUM(M7:M12,M15:M22,M24:M27)</f>
        <v>345.23363054351586</v>
      </c>
      <c r="I40" s="3">
        <f>SUM(N7:N12,N15:N22,N24:N27)</f>
        <v>4030.1913934137465</v>
      </c>
      <c r="J40" s="3">
        <f>SUM(O7:O12,O15:O22,O24:O27)</f>
        <v>24.425697501784832</v>
      </c>
    </row>
    <row r="41" spans="1:32" ht="14.4" thickTop="1" x14ac:dyDescent="0.3">
      <c r="D41" s="50">
        <f>D37-D40</f>
        <v>10.140238400000044</v>
      </c>
      <c r="E41" s="50">
        <f>E37-E40</f>
        <v>22.906608513153515</v>
      </c>
      <c r="F41" s="50">
        <f>F37-F40</f>
        <v>0.10417321124327827</v>
      </c>
      <c r="G41" s="50">
        <f>SUM(D2:D4)-G40</f>
        <v>11.029361600000129</v>
      </c>
      <c r="H41" s="50">
        <f>E34-H40</f>
        <v>0.47619412768409575</v>
      </c>
      <c r="I41" s="50">
        <f>F34-I40</f>
        <v>12.052647769389296</v>
      </c>
      <c r="J41" s="50">
        <f>G34-J40</f>
        <v>7.4367535467430912E-2</v>
      </c>
    </row>
    <row r="42" spans="1:32" x14ac:dyDescent="0.3">
      <c r="N42" s="74"/>
      <c r="O42" s="74"/>
    </row>
    <row r="44" spans="1:32" x14ac:dyDescent="0.3">
      <c r="N44" s="74"/>
      <c r="O44" s="74"/>
    </row>
    <row r="45" spans="1:32" x14ac:dyDescent="0.3">
      <c r="N45" s="74"/>
      <c r="O45" s="74"/>
    </row>
    <row r="46" spans="1:32" x14ac:dyDescent="0.3">
      <c r="N46" s="74"/>
      <c r="O46" s="74"/>
    </row>
  </sheetData>
  <sheetProtection sheet="1" selectLockedCells="1"/>
  <conditionalFormatting sqref="AA30:AB30 AD30:AF30">
    <cfRule type="cellIs" dxfId="233" priority="14" operator="greaterThan">
      <formula>1</formula>
    </cfRule>
    <cfRule type="cellIs" dxfId="232" priority="15" operator="greaterThan">
      <formula>1</formula>
    </cfRule>
  </conditionalFormatting>
  <conditionalFormatting sqref="AC30">
    <cfRule type="cellIs" dxfId="231" priority="10" operator="greaterThan">
      <formula>1</formula>
    </cfRule>
    <cfRule type="cellIs" dxfId="230" priority="11" operator="greaterThan">
      <formula>1</formula>
    </cfRule>
  </conditionalFormatting>
  <conditionalFormatting sqref="AG30">
    <cfRule type="cellIs" dxfId="229" priority="8" operator="greaterThan">
      <formula>1</formula>
    </cfRule>
    <cfRule type="cellIs" dxfId="228" priority="9" operator="greaterThan">
      <formula>1</formula>
    </cfRule>
  </conditionalFormatting>
  <conditionalFormatting sqref="W30">
    <cfRule type="cellIs" dxfId="227" priority="2" operator="greaterThan">
      <formula>1</formula>
    </cfRule>
    <cfRule type="cellIs" dxfId="226" priority="3" operator="greaterThan">
      <formula>1</formula>
    </cfRule>
  </conditionalFormatting>
  <conditionalFormatting sqref="D41:J41">
    <cfRule type="cellIs" dxfId="225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3">
    <tabColor theme="9" tint="0.79998168889431442"/>
  </sheetPr>
  <dimension ref="A1:AG221"/>
  <sheetViews>
    <sheetView showGridLines="0" zoomScale="85" zoomScaleNormal="85" workbookViewId="0">
      <selection activeCell="F3" sqref="F3"/>
    </sheetView>
  </sheetViews>
  <sheetFormatPr defaultColWidth="9.109375" defaultRowHeight="13.8" x14ac:dyDescent="0.3"/>
  <cols>
    <col min="1" max="1" width="3.5546875" style="22" bestFit="1" customWidth="1"/>
    <col min="2" max="2" width="19.5546875" style="22" bestFit="1" customWidth="1"/>
    <col min="3" max="3" width="5.33203125" style="22" bestFit="1" customWidth="1"/>
    <col min="4" max="4" width="4.33203125" style="22" bestFit="1" customWidth="1"/>
    <col min="5" max="5" width="7.6640625" style="22" bestFit="1" customWidth="1"/>
    <col min="6" max="6" width="5.88671875" style="22" bestFit="1" customWidth="1"/>
    <col min="7" max="7" width="5.6640625" style="22" customWidth="1"/>
    <col min="8" max="8" width="4.109375" style="22" bestFit="1" customWidth="1"/>
    <col min="9" max="9" width="22.33203125" style="22" bestFit="1" customWidth="1"/>
    <col min="10" max="10" width="5.109375" style="22" bestFit="1" customWidth="1"/>
    <col min="11" max="11" width="4.33203125" style="22" bestFit="1" customWidth="1"/>
    <col min="12" max="12" width="7.6640625" style="22" bestFit="1" customWidth="1"/>
    <col min="13" max="13" width="5.88671875" style="22" bestFit="1" customWidth="1"/>
    <col min="14" max="14" width="5.6640625" style="22" customWidth="1"/>
    <col min="15" max="15" width="4.109375" style="22" bestFit="1" customWidth="1"/>
    <col min="16" max="16" width="25.5546875" style="22" bestFit="1" customWidth="1"/>
    <col min="17" max="17" width="5.33203125" style="22" bestFit="1" customWidth="1"/>
    <col min="18" max="18" width="4.33203125" style="22" bestFit="1" customWidth="1"/>
    <col min="19" max="19" width="7.6640625" style="22" bestFit="1" customWidth="1"/>
    <col min="20" max="20" width="5.88671875" style="22" bestFit="1" customWidth="1"/>
    <col min="21" max="21" width="5.6640625" style="22" customWidth="1"/>
    <col min="22" max="22" width="4.109375" style="22" bestFit="1" customWidth="1"/>
    <col min="23" max="23" width="21.44140625" style="22" bestFit="1" customWidth="1"/>
    <col min="24" max="24" width="5.33203125" style="22" bestFit="1" customWidth="1"/>
    <col min="25" max="25" width="4.33203125" style="22" bestFit="1" customWidth="1"/>
    <col min="26" max="26" width="7.6640625" style="22" bestFit="1" customWidth="1"/>
    <col min="27" max="27" width="5.88671875" style="22" bestFit="1" customWidth="1"/>
    <col min="28" max="28" width="5.6640625" style="22" customWidth="1"/>
    <col min="29" max="29" width="3.5546875" style="22" bestFit="1" customWidth="1"/>
    <col min="30" max="30" width="26.6640625" style="22" bestFit="1" customWidth="1"/>
    <col min="31" max="31" width="4.33203125" style="22" bestFit="1" customWidth="1"/>
    <col min="32" max="32" width="7.6640625" style="22" bestFit="1" customWidth="1"/>
    <col min="33" max="33" width="5.88671875" style="22" bestFit="1" customWidth="1"/>
    <col min="34" max="16384" width="9.109375" style="22"/>
  </cols>
  <sheetData>
    <row r="1" spans="1:33" s="20" customFormat="1" x14ac:dyDescent="0.3">
      <c r="A1" s="20" t="s">
        <v>191</v>
      </c>
      <c r="B1" s="20" t="s">
        <v>507</v>
      </c>
      <c r="C1" s="20" t="s">
        <v>136</v>
      </c>
      <c r="D1" s="20" t="s">
        <v>174</v>
      </c>
      <c r="E1" s="20" t="s">
        <v>169</v>
      </c>
      <c r="F1" s="20" t="s">
        <v>477</v>
      </c>
      <c r="H1" s="20" t="s">
        <v>191</v>
      </c>
      <c r="I1" s="20" t="s">
        <v>507</v>
      </c>
      <c r="J1" s="20" t="s">
        <v>136</v>
      </c>
      <c r="K1" s="20" t="s">
        <v>174</v>
      </c>
      <c r="L1" s="20" t="s">
        <v>169</v>
      </c>
      <c r="M1" s="20" t="s">
        <v>477</v>
      </c>
      <c r="O1" s="20" t="s">
        <v>191</v>
      </c>
      <c r="P1" s="20" t="s">
        <v>507</v>
      </c>
      <c r="Q1" s="20" t="s">
        <v>136</v>
      </c>
      <c r="R1" s="20" t="s">
        <v>174</v>
      </c>
      <c r="S1" s="20" t="s">
        <v>169</v>
      </c>
      <c r="T1" s="20" t="s">
        <v>477</v>
      </c>
      <c r="V1" s="20" t="s">
        <v>191</v>
      </c>
      <c r="W1" s="20" t="s">
        <v>507</v>
      </c>
      <c r="X1" s="20" t="s">
        <v>136</v>
      </c>
      <c r="Y1" s="20" t="s">
        <v>174</v>
      </c>
      <c r="Z1" s="20" t="s">
        <v>169</v>
      </c>
      <c r="AA1" s="20" t="s">
        <v>477</v>
      </c>
      <c r="AC1" s="20" t="s">
        <v>191</v>
      </c>
      <c r="AD1" s="20" t="s">
        <v>507</v>
      </c>
      <c r="AE1" s="20" t="s">
        <v>174</v>
      </c>
      <c r="AF1" s="20" t="s">
        <v>169</v>
      </c>
      <c r="AG1" s="20" t="s">
        <v>477</v>
      </c>
    </row>
    <row r="2" spans="1:33" x14ac:dyDescent="0.3">
      <c r="A2" s="22">
        <v>1</v>
      </c>
      <c r="B2" s="22" t="str">
        <f>IFERROR(INDEX(TableQBCalcPts[PLAYER],MATCH(TableQBRanks[[#This Row],[RK]],TableQBCalcPts[RK],0)),"")</f>
        <v>Josh Allen</v>
      </c>
      <c r="C2" s="22" t="str">
        <f>IFERROR(INDEX(TableQBCalcPts[TM],MATCH(TableQBRanks[[#This Row],[RK]],TableQBCalcPts[RK],0)),"")</f>
        <v>BUF</v>
      </c>
      <c r="D2" s="22">
        <f>IFERROR(INDEX(TableQBCalcPts[BYE],MATCH(TableQBRanks[[#This Row],[RK]],TableQBCalcPts[RK],0)),"")</f>
        <v>7</v>
      </c>
      <c r="E2" s="272">
        <f>IFERROR(INDEX(TableQBCalcPts[Custom],MATCH(TableQBRanks[[#This Row],[RK]],TableQBCalcPts[RK],0)),"")</f>
        <v>421.90619014402529</v>
      </c>
      <c r="F2" s="273">
        <f>(((VLOOKUP(TableQBRanks[[#This Row],[Player]],'OVR &amp; VORP Ranks'!$B:$F,5,FALSE)))/('OVR &amp; VORP Ranks'!$BM$6))*(Settings!$E$10*TEAMS)</f>
        <v>50.887346296766459</v>
      </c>
      <c r="H2" s="22">
        <v>1</v>
      </c>
      <c r="I2" s="22" t="str">
        <f>IFERROR(INDEX(TableRBCalcPts[PLAYER],MATCH(TableRBRanks[[#This Row],[RK]],TableRBCalcPts[RK],0)),"")</f>
        <v>Jonathan Taylor</v>
      </c>
      <c r="J2" s="22" t="str">
        <f>IFERROR(INDEX(TableRBCalcPts[TM],MATCH(TableRBRanks[[#This Row],[RK]],TableRBCalcPts[RK],0)),"")</f>
        <v>IND</v>
      </c>
      <c r="K2" s="22">
        <f>IFERROR(INDEX(TableRBCalcPts[BYE],MATCH(TableRBRanks[[#This Row],[RK]],TableRBCalcPts[RK],0)),"")</f>
        <v>14</v>
      </c>
      <c r="L2" s="272">
        <f>IFERROR(INDEX(TableRBCalcPts[Custom],MATCH(TableRBRanks[[#This Row],[RK]],TableRBCalcPts[RK],0)),"")</f>
        <v>302.80832149563741</v>
      </c>
      <c r="M2" s="273">
        <f>(((VLOOKUP(TableRBRanks[[#This Row],[Player]],'OVR &amp; VORP Ranks'!$I:$M,5,FALSE)))/('OVR &amp; VORP Ranks'!$BM$6))*(Settings!$E$10*TEAMS)</f>
        <v>102.07715843356709</v>
      </c>
      <c r="O2" s="22">
        <v>1</v>
      </c>
      <c r="P2" s="22" t="str">
        <f>IFERROR(INDEX(TableWRCalcPts[PLAYER],MATCH(TableWRRanks[[#This Row],[RK]],TableWRCalcPts[RK],0)),"")</f>
        <v>Cooper Kupp</v>
      </c>
      <c r="Q2" s="22" t="str">
        <f>IFERROR(INDEX(TableWRCalcPts[TM],MATCH(TableWRRanks[[#This Row],[RK]],TableWRCalcPts[RK],0)),"")</f>
        <v>LAR</v>
      </c>
      <c r="R2" s="22">
        <f>IFERROR(INDEX(TableWRCalcPts[BYE],MATCH(TableWRRanks[[#This Row],[RK]],TableWRCalcPts[RK],0)),"")</f>
        <v>7</v>
      </c>
      <c r="S2" s="272">
        <f>IFERROR(INDEX(TableWRCalcPts[Custom],MATCH(TableWRRanks[[#This Row],[RK]],TableWRCalcPts[RK],0)),"")</f>
        <v>238.89381844067441</v>
      </c>
      <c r="T2" s="273">
        <f>(((VLOOKUP(TableWRRanks[[#This Row],[Player]],'OVR &amp; VORP Ranks'!$P:$T,5,FALSE)))/('OVR &amp; VORP Ranks'!$BM$6))*(Settings!$E$10*TEAMS)</f>
        <v>61.197275316131801</v>
      </c>
      <c r="V2" s="22">
        <v>1</v>
      </c>
      <c r="W2" s="22" t="str">
        <f>IFERROR(INDEX(TableTECalcPts[PLAYER],MATCH(TableTERanks[[#This Row],[RK]],TableTECalcPts[RK],0)),"")</f>
        <v>Travis Kelce</v>
      </c>
      <c r="X2" s="22" t="str">
        <f>IFERROR(INDEX(TableTECalcPts[TM],MATCH(TableTERanks[[#This Row],[RK]],TableTECalcPts[RK],0)),"")</f>
        <v>KC</v>
      </c>
      <c r="Y2" s="22">
        <f>IFERROR(INDEX(TableTECalcPts[BYE],MATCH(TableTERanks[[#This Row],[RK]],TableTECalcPts[RK],0)),"")</f>
        <v>8</v>
      </c>
      <c r="Z2" s="272">
        <f>IFERROR(INDEX(TableTECalcPts[Custom],MATCH(TableTERanks[[#This Row],[RK]],TableTECalcPts[RK],0)),"")</f>
        <v>168.01396248207141</v>
      </c>
      <c r="AA2" s="273">
        <f>(((VLOOKUP(TableTERanks[[#This Row],[Player]],'OVR &amp; VORP Ranks'!$W:$AA,5,FALSE)))/('OVR &amp; VORP Ranks'!$BM$6))*(Settings!$E$10*TEAMS)</f>
        <v>32.847003918332348</v>
      </c>
      <c r="AC2" s="22">
        <v>1</v>
      </c>
      <c r="AD2" s="22" t="str">
        <f>IFERROR(INDEX(TableDSTCalcPts[PLAYER],MATCH(TableDSTRanks[[#This Row],[RK]],TableDSTCalcPts[RK],0)),"")</f>
        <v>Buffalo Bills</v>
      </c>
      <c r="AE2" s="22">
        <f>IFERROR(INDEX(TableDSTCalcPts[BYE],MATCH(TableDSTRanks[[#This Row],[RK]],TableDSTCalcPts[RK],0)),"")</f>
        <v>7</v>
      </c>
      <c r="AF2" s="272">
        <f>IFERROR(INDEX(TableDSTCalcPts[Custom],MATCH(TableDSTRanks[[#This Row],[RK]],TableDSTCalcPts[RK],0)),"")</f>
        <v>135.60936444729785</v>
      </c>
      <c r="AG2" s="273">
        <v>2</v>
      </c>
    </row>
    <row r="3" spans="1:33" x14ac:dyDescent="0.3">
      <c r="A3" s="22">
        <v>2</v>
      </c>
      <c r="B3" s="22" t="str">
        <f>IFERROR(INDEX(TableQBCalcPts[PLAYER],MATCH(TableQBRanks[[#This Row],[RK]],TableQBCalcPts[RK],0)),"")</f>
        <v>Jalen Hurts</v>
      </c>
      <c r="C3" s="22" t="str">
        <f>IFERROR(INDEX(TableQBCalcPts[TM],MATCH(TableQBRanks[[#This Row],[RK]],TableQBCalcPts[RK],0)),"")</f>
        <v>PHI</v>
      </c>
      <c r="D3" s="22">
        <f>IFERROR(INDEX(TableQBCalcPts[BYE],MATCH(TableQBRanks[[#This Row],[RK]],TableQBCalcPts[RK],0)),"")</f>
        <v>7</v>
      </c>
      <c r="E3" s="272">
        <f>IFERROR(INDEX(TableQBCalcPts[Custom],MATCH(TableQBRanks[[#This Row],[RK]],TableQBCalcPts[RK],0)),"")</f>
        <v>393.75142926100978</v>
      </c>
      <c r="F3" s="273">
        <f>(((VLOOKUP(TableQBRanks[[#This Row],[Player]],'OVR &amp; VORP Ranks'!$B:$F,5,FALSE)))/('OVR &amp; VORP Ranks'!$BM$6))*(Settings!$E$10*TEAMS)</f>
        <v>44.08530680673455</v>
      </c>
      <c r="H3" s="22">
        <v>2</v>
      </c>
      <c r="I3" s="22" t="str">
        <f>IFERROR(INDEX(TableRBCalcPts[PLAYER],MATCH(TableRBRanks[[#This Row],[RK]],TableRBCalcPts[RK],0)),"")</f>
        <v>Derrick Henry</v>
      </c>
      <c r="J3" s="22" t="str">
        <f>IFERROR(INDEX(TableRBCalcPts[TM],MATCH(TableRBRanks[[#This Row],[RK]],TableRBCalcPts[RK],0)),"")</f>
        <v>TEN</v>
      </c>
      <c r="K3" s="22">
        <f>IFERROR(INDEX(TableRBCalcPts[BYE],MATCH(TableRBRanks[[#This Row],[RK]],TableRBCalcPts[RK],0)),"")</f>
        <v>6</v>
      </c>
      <c r="L3" s="272">
        <f>IFERROR(INDEX(TableRBCalcPts[Custom],MATCH(TableRBRanks[[#This Row],[RK]],TableRBCalcPts[RK],0)),"")</f>
        <v>289.44642681060907</v>
      </c>
      <c r="M3" s="273">
        <f>(((VLOOKUP(TableRBRanks[[#This Row],[Player]],'OVR &amp; VORP Ranks'!$I:$M,5,FALSE)))/('OVR &amp; VORP Ranks'!$BM$6))*(Settings!$E$10*TEAMS)</f>
        <v>95.307839927672021</v>
      </c>
      <c r="O3" s="274">
        <v>2</v>
      </c>
      <c r="P3" s="274" t="str">
        <f>IFERROR(INDEX(TableWRCalcPts[PLAYER],MATCH(TableWRRanks[[#This Row],[RK]],TableWRCalcPts[RK],0)),"")</f>
        <v>Ja'Marr Chase</v>
      </c>
      <c r="Q3" s="22" t="str">
        <f>IFERROR(INDEX(TableWRCalcPts[TM],MATCH(TableWRRanks[[#This Row],[RK]],TableWRCalcPts[RK],0)),"")</f>
        <v>CIN</v>
      </c>
      <c r="R3" s="22">
        <f>IFERROR(INDEX(TableWRCalcPts[BYE],MATCH(TableWRRanks[[#This Row],[RK]],TableWRCalcPts[RK],0)),"")</f>
        <v>10</v>
      </c>
      <c r="S3" s="272">
        <f>IFERROR(INDEX(TableWRCalcPts[Custom],MATCH(TableWRRanks[[#This Row],[RK]],TableWRCalcPts[RK],0)),"")</f>
        <v>233.9846437068403</v>
      </c>
      <c r="T3" s="273">
        <f>(((VLOOKUP(TableWRRanks[[#This Row],[Player]],'OVR &amp; VORP Ranks'!$P:$T,5,FALSE)))/('OVR &amp; VORP Ranks'!$BM$6))*(Settings!$E$10*TEAMS)</f>
        <v>58.884890369940763</v>
      </c>
      <c r="V3" s="274">
        <v>2</v>
      </c>
      <c r="W3" s="274" t="str">
        <f>IFERROR(INDEX(TableTECalcPts[PLAYER],MATCH(TableTERanks[[#This Row],[RK]],TableTECalcPts[RK],0)),"")</f>
        <v>Mark Andrews</v>
      </c>
      <c r="X3" s="22" t="str">
        <f>IFERROR(INDEX(TableTECalcPts[TM],MATCH(TableTERanks[[#This Row],[RK]],TableTECalcPts[RK],0)),"")</f>
        <v>BAL</v>
      </c>
      <c r="Y3" s="22">
        <f>IFERROR(INDEX(TableTECalcPts[BYE],MATCH(TableTERanks[[#This Row],[RK]],TableTECalcPts[RK],0)),"")</f>
        <v>10</v>
      </c>
      <c r="Z3" s="272">
        <f>IFERROR(INDEX(TableTECalcPts[Custom],MATCH(TableTERanks[[#This Row],[RK]],TableTECalcPts[RK],0)),"")</f>
        <v>159.94886032288994</v>
      </c>
      <c r="AA3" s="273">
        <f>(((VLOOKUP(TableTERanks[[#This Row],[Player]],'OVR &amp; VORP Ranks'!$W:$AA,5,FALSE)))/('OVR &amp; VORP Ranks'!$BM$6))*(Settings!$E$10*TEAMS)</f>
        <v>28.80630683441748</v>
      </c>
      <c r="AC3" s="22">
        <v>2</v>
      </c>
      <c r="AD3" s="22" t="str">
        <f>IFERROR(INDEX(TableDSTCalcPts[PLAYER],MATCH(TableDSTRanks[[#This Row],[RK]],TableDSTCalcPts[RK],0)),"")</f>
        <v>Pittsburgh Steelers</v>
      </c>
      <c r="AE3" s="22">
        <f>IFERROR(INDEX(TableDSTCalcPts[BYE],MATCH(TableDSTRanks[[#This Row],[RK]],TableDSTCalcPts[RK],0)),"")</f>
        <v>9</v>
      </c>
      <c r="AF3" s="272">
        <f>IFERROR(INDEX(TableDSTCalcPts[Custom],MATCH(TableDSTRanks[[#This Row],[RK]],TableDSTCalcPts[RK],0)),"")</f>
        <v>132.78874750395235</v>
      </c>
      <c r="AG3" s="273">
        <v>2</v>
      </c>
    </row>
    <row r="4" spans="1:33" x14ac:dyDescent="0.3">
      <c r="A4" s="22">
        <v>3</v>
      </c>
      <c r="B4" s="22" t="str">
        <f>IFERROR(INDEX(TableQBCalcPts[PLAYER],MATCH(TableQBRanks[[#This Row],[RK]],TableQBCalcPts[RK],0)),"")</f>
        <v>Justin Herbert</v>
      </c>
      <c r="C4" s="22" t="str">
        <f>IFERROR(INDEX(TableQBCalcPts[TM],MATCH(TableQBRanks[[#This Row],[RK]],TableQBCalcPts[RK],0)),"")</f>
        <v>LAC</v>
      </c>
      <c r="D4" s="22">
        <f>IFERROR(INDEX(TableQBCalcPts[BYE],MATCH(TableQBRanks[[#This Row],[RK]],TableQBCalcPts[RK],0)),"")</f>
        <v>8</v>
      </c>
      <c r="E4" s="272">
        <f>IFERROR(INDEX(TableQBCalcPts[Custom],MATCH(TableQBRanks[[#This Row],[RK]],TableQBCalcPts[RK],0)),"")</f>
        <v>384.78007617755509</v>
      </c>
      <c r="F4" s="273">
        <f>(((VLOOKUP(TableQBRanks[[#This Row],[Player]],'OVR &amp; VORP Ranks'!$B:$F,5,FALSE)))/('OVR &amp; VORP Ranks'!$BM$6))*(Settings!$E$10*TEAMS)</f>
        <v>37.657405235825244</v>
      </c>
      <c r="H4" s="22">
        <v>3</v>
      </c>
      <c r="I4" s="22" t="str">
        <f>IFERROR(INDEX(TableRBCalcPts[PLAYER],MATCH(TableRBRanks[[#This Row],[RK]],TableRBCalcPts[RK],0)),"")</f>
        <v>Christian McCaffrey</v>
      </c>
      <c r="J4" s="22" t="str">
        <f>IFERROR(INDEX(TableRBCalcPts[TM],MATCH(TableRBRanks[[#This Row],[RK]],TableRBCalcPts[RK],0)),"")</f>
        <v>CAR</v>
      </c>
      <c r="K4" s="22">
        <f>IFERROR(INDEX(TableRBCalcPts[BYE],MATCH(TableRBRanks[[#This Row],[RK]],TableRBCalcPts[RK],0)),"")</f>
        <v>13</v>
      </c>
      <c r="L4" s="272">
        <f>IFERROR(INDEX(TableRBCalcPts[Custom],MATCH(TableRBRanks[[#This Row],[RK]],TableRBCalcPts[RK],0)),"")</f>
        <v>266.50050594933555</v>
      </c>
      <c r="M4" s="273">
        <f>(((VLOOKUP(TableRBRanks[[#This Row],[Player]],'OVR &amp; VORP Ranks'!$I:$M,5,FALSE)))/('OVR &amp; VORP Ranks'!$BM$6))*(Settings!$E$10*TEAMS)</f>
        <v>83.683122746278329</v>
      </c>
      <c r="O4" s="22">
        <v>3</v>
      </c>
      <c r="P4" s="274" t="str">
        <f>IFERROR(INDEX(TableWRCalcPts[PLAYER],MATCH(TableWRRanks[[#This Row],[RK]],TableWRCalcPts[RK],0)),"")</f>
        <v>Deebo Samuel</v>
      </c>
      <c r="Q4" s="22" t="str">
        <f>IFERROR(INDEX(TableWRCalcPts[TM],MATCH(TableWRRanks[[#This Row],[RK]],TableWRCalcPts[RK],0)),"")</f>
        <v>SF</v>
      </c>
      <c r="R4" s="22">
        <f>IFERROR(INDEX(TableWRCalcPts[BYE],MATCH(TableWRRanks[[#This Row],[RK]],TableWRCalcPts[RK],0)),"")</f>
        <v>9</v>
      </c>
      <c r="S4" s="272">
        <f>IFERROR(INDEX(TableWRCalcPts[Custom],MATCH(TableWRRanks[[#This Row],[RK]],TableWRCalcPts[RK],0)),"")</f>
        <v>204.70306981913626</v>
      </c>
      <c r="T4" s="273">
        <f>(((VLOOKUP(TableWRRanks[[#This Row],[Player]],'OVR &amp; VORP Ranks'!$P:$T,5,FALSE)))/('OVR &amp; VORP Ranks'!$BM$6))*(Settings!$E$10*TEAMS)</f>
        <v>45.092292972246433</v>
      </c>
      <c r="V4" s="22">
        <v>3</v>
      </c>
      <c r="W4" s="274" t="str">
        <f>IFERROR(INDEX(TableTECalcPts[PLAYER],MATCH(TableTERanks[[#This Row],[RK]],TableTECalcPts[RK],0)),"")</f>
        <v>Kyle Pitts</v>
      </c>
      <c r="X4" s="22" t="str">
        <f>IFERROR(INDEX(TableTECalcPts[TM],MATCH(TableTERanks[[#This Row],[RK]],TableTECalcPts[RK],0)),"")</f>
        <v>ATL</v>
      </c>
      <c r="Y4" s="22">
        <f>IFERROR(INDEX(TableTECalcPts[BYE],MATCH(TableTERanks[[#This Row],[RK]],TableTECalcPts[RK],0)),"")</f>
        <v>14</v>
      </c>
      <c r="Z4" s="272">
        <f>IFERROR(INDEX(TableTECalcPts[Custom],MATCH(TableTERanks[[#This Row],[RK]],TableTECalcPts[RK],0)),"")</f>
        <v>156.30374171587718</v>
      </c>
      <c r="AA4" s="273">
        <f>(((VLOOKUP(TableTERanks[[#This Row],[Player]],'OVR &amp; VORP Ranks'!$W:$AA,5,FALSE)))/('OVR &amp; VORP Ranks'!$BM$6))*(Settings!$E$10*TEAMS)</f>
        <v>26.980065847610799</v>
      </c>
      <c r="AC4" s="22">
        <v>3</v>
      </c>
      <c r="AD4" s="22" t="str">
        <f>IFERROR(INDEX(TableDSTCalcPts[PLAYER],MATCH(TableDSTRanks[[#This Row],[RK]],TableDSTCalcPts[RK],0)),"")</f>
        <v>Tampa Bay Buccaneers</v>
      </c>
      <c r="AE4" s="22">
        <f>IFERROR(INDEX(TableDSTCalcPts[BYE],MATCH(TableDSTRanks[[#This Row],[RK]],TableDSTCalcPts[RK],0)),"")</f>
        <v>11</v>
      </c>
      <c r="AF4" s="272">
        <f>IFERROR(INDEX(TableDSTCalcPts[Custom],MATCH(TableDSTRanks[[#This Row],[RK]],TableDSTCalcPts[RK],0)),"")</f>
        <v>131.23538113227093</v>
      </c>
      <c r="AG4" s="273">
        <v>1</v>
      </c>
    </row>
    <row r="5" spans="1:33" x14ac:dyDescent="0.3">
      <c r="A5" s="22">
        <v>4</v>
      </c>
      <c r="B5" s="22" t="str">
        <f>IFERROR(INDEX(TableQBCalcPts[PLAYER],MATCH(TableQBRanks[[#This Row],[RK]],TableQBCalcPts[RK],0)),"")</f>
        <v>Patrick Mahomes</v>
      </c>
      <c r="C5" s="22" t="str">
        <f>IFERROR(INDEX(TableQBCalcPts[TM],MATCH(TableQBRanks[[#This Row],[RK]],TableQBCalcPts[RK],0)),"")</f>
        <v>KC</v>
      </c>
      <c r="D5" s="22">
        <f>IFERROR(INDEX(TableQBCalcPts[BYE],MATCH(TableQBRanks[[#This Row],[RK]],TableQBCalcPts[RK],0)),"")</f>
        <v>8</v>
      </c>
      <c r="E5" s="272">
        <f>IFERROR(INDEX(TableQBCalcPts[Custom],MATCH(TableQBRanks[[#This Row],[RK]],TableQBCalcPts[RK],0)),"")</f>
        <v>384.34597458539344</v>
      </c>
      <c r="F5" s="273">
        <f>(((VLOOKUP(TableQBRanks[[#This Row],[Player]],'OVR &amp; VORP Ranks'!$B:$F,5,FALSE)))/('OVR &amp; VORP Ranks'!$BM$6))*(Settings!$E$10*TEAMS)</f>
        <v>32.049851617238609</v>
      </c>
      <c r="H5" s="22">
        <v>4</v>
      </c>
      <c r="I5" s="22" t="str">
        <f>IFERROR(INDEX(TableRBCalcPts[PLAYER],MATCH(TableRBRanks[[#This Row],[RK]],TableRBCalcPts[RK],0)),"")</f>
        <v>Najee Harris</v>
      </c>
      <c r="J5" s="22" t="str">
        <f>IFERROR(INDEX(TableRBCalcPts[TM],MATCH(TableRBRanks[[#This Row],[RK]],TableRBCalcPts[RK],0)),"")</f>
        <v>PIT</v>
      </c>
      <c r="K5" s="22">
        <f>IFERROR(INDEX(TableRBCalcPts[BYE],MATCH(TableRBRanks[[#This Row],[RK]],TableRBCalcPts[RK],0)),"")</f>
        <v>9</v>
      </c>
      <c r="L5" s="272">
        <f>IFERROR(INDEX(TableRBCalcPts[Custom],MATCH(TableRBRanks[[#This Row],[RK]],TableRBCalcPts[RK],0)),"")</f>
        <v>242.15741386619138</v>
      </c>
      <c r="M5" s="273">
        <f>(((VLOOKUP(TableRBRanks[[#This Row],[Player]],'OVR &amp; VORP Ranks'!$I:$M,5,FALSE)))/('OVR &amp; VORP Ranks'!$BM$6))*(Settings!$E$10*TEAMS)</f>
        <v>71.350579524412225</v>
      </c>
      <c r="O5" s="22">
        <v>4</v>
      </c>
      <c r="P5" s="274" t="str">
        <f>IFERROR(INDEX(TableWRCalcPts[PLAYER],MATCH(TableWRRanks[[#This Row],[RK]],TableWRCalcPts[RK],0)),"")</f>
        <v>Justin Jefferson</v>
      </c>
      <c r="Q5" s="22" t="str">
        <f>IFERROR(INDEX(TableWRCalcPts[TM],MATCH(TableWRRanks[[#This Row],[RK]],TableWRCalcPts[RK],0)),"")</f>
        <v>MIN</v>
      </c>
      <c r="R5" s="22">
        <f>IFERROR(INDEX(TableWRCalcPts[BYE],MATCH(TableWRRanks[[#This Row],[RK]],TableWRCalcPts[RK],0)),"")</f>
        <v>7</v>
      </c>
      <c r="S5" s="272">
        <f>IFERROR(INDEX(TableWRCalcPts[Custom],MATCH(TableWRRanks[[#This Row],[RK]],TableWRCalcPts[RK],0)),"")</f>
        <v>202.65658638405648</v>
      </c>
      <c r="T5" s="273">
        <f>(((VLOOKUP(TableWRRanks[[#This Row],[Player]],'OVR &amp; VORP Ranks'!$P:$T,5,FALSE)))/('OVR &amp; VORP Ranks'!$BM$6))*(Settings!$E$10*TEAMS)</f>
        <v>44.128331055125614</v>
      </c>
      <c r="V5" s="22">
        <v>4</v>
      </c>
      <c r="W5" s="22" t="str">
        <f>IFERROR(INDEX(TableTECalcPts[PLAYER],MATCH(TableTERanks[[#This Row],[RK]],TableTECalcPts[RK],0)),"")</f>
        <v>Darren Waller</v>
      </c>
      <c r="X5" s="22" t="str">
        <f>IFERROR(INDEX(TableTECalcPts[TM],MATCH(TableTERanks[[#This Row],[RK]],TableTECalcPts[RK],0)),"")</f>
        <v>LV</v>
      </c>
      <c r="Y5" s="22">
        <f>IFERROR(INDEX(TableTECalcPts[BYE],MATCH(TableTERanks[[#This Row],[RK]],TableTECalcPts[RK],0)),"")</f>
        <v>6</v>
      </c>
      <c r="Z5" s="272">
        <f>IFERROR(INDEX(TableTECalcPts[Custom],MATCH(TableTERanks[[#This Row],[RK]],TableTECalcPts[RK],0)),"")</f>
        <v>131.83146212938658</v>
      </c>
      <c r="AA5" s="273">
        <f>(((VLOOKUP(TableTERanks[[#This Row],[Player]],'OVR &amp; VORP Ranks'!$W:$AA,5,FALSE)))/('OVR &amp; VORP Ranks'!$BM$6))*(Settings!$E$10*TEAMS)</f>
        <v>14.719208289928265</v>
      </c>
      <c r="AC5" s="22">
        <v>4</v>
      </c>
      <c r="AD5" s="22" t="str">
        <f>IFERROR(INDEX(TableDSTCalcPts[PLAYER],MATCH(TableDSTRanks[[#This Row],[RK]],TableDSTCalcPts[RK],0)),"")</f>
        <v>San Francisco 49ers</v>
      </c>
      <c r="AE5" s="22">
        <f>IFERROR(INDEX(TableDSTCalcPts[BYE],MATCH(TableDSTRanks[[#This Row],[RK]],TableDSTCalcPts[RK],0)),"")</f>
        <v>9</v>
      </c>
      <c r="AF5" s="272">
        <f>IFERROR(INDEX(TableDSTCalcPts[Custom],MATCH(TableDSTRanks[[#This Row],[RK]],TableDSTCalcPts[RK],0)),"")</f>
        <v>128.12190975763966</v>
      </c>
      <c r="AG5" s="273">
        <v>1</v>
      </c>
    </row>
    <row r="6" spans="1:33" x14ac:dyDescent="0.3">
      <c r="A6" s="22">
        <v>5</v>
      </c>
      <c r="B6" s="22" t="str">
        <f>IFERROR(INDEX(TableQBCalcPts[PLAYER],MATCH(TableQBRanks[[#This Row],[RK]],TableQBCalcPts[RK],0)),"")</f>
        <v>Lamar Jackson</v>
      </c>
      <c r="C6" s="22" t="str">
        <f>IFERROR(INDEX(TableQBCalcPts[TM],MATCH(TableQBRanks[[#This Row],[RK]],TableQBCalcPts[RK],0)),"")</f>
        <v>BAL</v>
      </c>
      <c r="D6" s="22">
        <f>IFERROR(INDEX(TableQBCalcPts[BYE],MATCH(TableQBRanks[[#This Row],[RK]],TableQBCalcPts[RK],0)),"")</f>
        <v>10</v>
      </c>
      <c r="E6" s="272">
        <f>IFERROR(INDEX(TableQBCalcPts[Custom],MATCH(TableQBRanks[[#This Row],[RK]],TableQBCalcPts[RK],0)),"")</f>
        <v>381.77774616144228</v>
      </c>
      <c r="F6" s="273">
        <f>(((VLOOKUP(TableQBRanks[[#This Row],[Player]],'OVR &amp; VORP Ranks'!$B:$F,5,FALSE)))/('OVR &amp; VORP Ranks'!$BM$6))*(Settings!$E$10*TEAMS)</f>
        <v>29.46952870887959</v>
      </c>
      <c r="H6" s="22">
        <v>5</v>
      </c>
      <c r="I6" s="22" t="str">
        <f>IFERROR(INDEX(TableRBCalcPts[PLAYER],MATCH(TableRBRanks[[#This Row],[RK]],TableRBCalcPts[RK],0)),"")</f>
        <v>Austin Ekeler</v>
      </c>
      <c r="J6" s="22" t="str">
        <f>IFERROR(INDEX(TableRBCalcPts[TM],MATCH(TableRBRanks[[#This Row],[RK]],TableRBCalcPts[RK],0)),"")</f>
        <v>LAC</v>
      </c>
      <c r="K6" s="22">
        <f>IFERROR(INDEX(TableRBCalcPts[BYE],MATCH(TableRBRanks[[#This Row],[RK]],TableRBCalcPts[RK],0)),"")</f>
        <v>8</v>
      </c>
      <c r="L6" s="272">
        <f>IFERROR(INDEX(TableRBCalcPts[Custom],MATCH(TableRBRanks[[#This Row],[RK]],TableRBCalcPts[RK],0)),"")</f>
        <v>232.34182076714802</v>
      </c>
      <c r="M6" s="273">
        <f>(((VLOOKUP(TableRBRanks[[#This Row],[Player]],'OVR &amp; VORP Ranks'!$I:$M,5,FALSE)))/('OVR &amp; VORP Ranks'!$BM$6))*(Settings!$E$10*TEAMS)</f>
        <v>66.377865880280623</v>
      </c>
      <c r="O6" s="274">
        <v>5</v>
      </c>
      <c r="P6" s="22" t="str">
        <f>IFERROR(INDEX(TableWRCalcPts[PLAYER],MATCH(TableWRRanks[[#This Row],[RK]],TableWRCalcPts[RK],0)),"")</f>
        <v>Stefon Diggs</v>
      </c>
      <c r="Q6" s="22" t="str">
        <f>IFERROR(INDEX(TableWRCalcPts[TM],MATCH(TableWRRanks[[#This Row],[RK]],TableWRCalcPts[RK],0)),"")</f>
        <v>BUF</v>
      </c>
      <c r="R6" s="22">
        <f>IFERROR(INDEX(TableWRCalcPts[BYE],MATCH(TableWRRanks[[#This Row],[RK]],TableWRCalcPts[RK],0)),"")</f>
        <v>7</v>
      </c>
      <c r="S6" s="272">
        <f>IFERROR(INDEX(TableWRCalcPts[Custom],MATCH(TableWRRanks[[#This Row],[RK]],TableWRCalcPts[RK],0)),"")</f>
        <v>187.79224518431042</v>
      </c>
      <c r="T6" s="273">
        <f>(((VLOOKUP(TableWRRanks[[#This Row],[Player]],'OVR &amp; VORP Ranks'!$P:$T,5,FALSE)))/('OVR &amp; VORP Ranks'!$BM$6))*(Settings!$E$10*TEAMS)</f>
        <v>37.126730849606957</v>
      </c>
      <c r="V6" s="274">
        <v>5</v>
      </c>
      <c r="W6" s="274" t="str">
        <f>IFERROR(INDEX(TableTECalcPts[PLAYER],MATCH(TableTERanks[[#This Row],[RK]],TableTECalcPts[RK],0)),"")</f>
        <v>George Kittle</v>
      </c>
      <c r="X6" s="22" t="str">
        <f>IFERROR(INDEX(TableTECalcPts[TM],MATCH(TableTERanks[[#This Row],[RK]],TableTECalcPts[RK],0)),"")</f>
        <v>SF</v>
      </c>
      <c r="Y6" s="22">
        <f>IFERROR(INDEX(TableTECalcPts[BYE],MATCH(TableTERanks[[#This Row],[RK]],TableTECalcPts[RK],0)),"")</f>
        <v>9</v>
      </c>
      <c r="Z6" s="272">
        <f>IFERROR(INDEX(TableTECalcPts[Custom],MATCH(TableTERanks[[#This Row],[RK]],TableTECalcPts[RK],0)),"")</f>
        <v>126.30437701272027</v>
      </c>
      <c r="AA6" s="273">
        <f>(((VLOOKUP(TableTERanks[[#This Row],[Player]],'OVR &amp; VORP Ranks'!$W:$AA,5,FALSE)))/('OVR &amp; VORP Ranks'!$BM$6))*(Settings!$E$10*TEAMS)</f>
        <v>11.950083203516531</v>
      </c>
      <c r="AC6" s="22">
        <v>5</v>
      </c>
      <c r="AD6" s="22" t="str">
        <f>IFERROR(INDEX(TableDSTCalcPts[PLAYER],MATCH(TableDSTRanks[[#This Row],[RK]],TableDSTCalcPts[RK],0)),"")</f>
        <v>Los Angeles Chargers</v>
      </c>
      <c r="AE6" s="22">
        <f>IFERROR(INDEX(TableDSTCalcPts[BYE],MATCH(TableDSTRanks[[#This Row],[RK]],TableDSTCalcPts[RK],0)),"")</f>
        <v>8</v>
      </c>
      <c r="AF6" s="272">
        <f>IFERROR(INDEX(TableDSTCalcPts[Custom],MATCH(TableDSTRanks[[#This Row],[RK]],TableDSTCalcPts[RK],0)),"")</f>
        <v>127.27911970423864</v>
      </c>
      <c r="AG6" s="273">
        <v>1</v>
      </c>
    </row>
    <row r="7" spans="1:33" x14ac:dyDescent="0.3">
      <c r="A7" s="22">
        <v>6</v>
      </c>
      <c r="B7" s="22" t="str">
        <f>IFERROR(INDEX(TableQBCalcPts[PLAYER],MATCH(TableQBRanks[[#This Row],[RK]],TableQBCalcPts[RK],0)),"")</f>
        <v>Joe Burrow</v>
      </c>
      <c r="C7" s="22" t="str">
        <f>IFERROR(INDEX(TableQBCalcPts[TM],MATCH(TableQBRanks[[#This Row],[RK]],TableQBCalcPts[RK],0)),"")</f>
        <v>CIN</v>
      </c>
      <c r="D7" s="22">
        <f>IFERROR(INDEX(TableQBCalcPts[BYE],MATCH(TableQBRanks[[#This Row],[RK]],TableQBCalcPts[RK],0)),"")</f>
        <v>10</v>
      </c>
      <c r="E7" s="272">
        <f>IFERROR(INDEX(TableQBCalcPts[Custom],MATCH(TableQBRanks[[#This Row],[RK]],TableQBCalcPts[RK],0)),"")</f>
        <v>361.68235807563957</v>
      </c>
      <c r="F7" s="273">
        <f>(((VLOOKUP(TableQBRanks[[#This Row],[Player]],'OVR &amp; VORP Ranks'!$B:$F,5,FALSE)))/('OVR &amp; VORP Ranks'!$BM$6))*(Settings!$E$10*TEAMS)</f>
        <v>25.105983160565373</v>
      </c>
      <c r="H7" s="22">
        <v>6</v>
      </c>
      <c r="I7" s="22" t="str">
        <f>IFERROR(INDEX(TableRBCalcPts[PLAYER],MATCH(TableRBRanks[[#This Row],[RK]],TableRBCalcPts[RK],0)),"")</f>
        <v>Joe Mixon</v>
      </c>
      <c r="J7" s="22" t="str">
        <f>IFERROR(INDEX(TableRBCalcPts[TM],MATCH(TableRBRanks[[#This Row],[RK]],TableRBCalcPts[RK],0)),"")</f>
        <v>CIN</v>
      </c>
      <c r="K7" s="22">
        <f>IFERROR(INDEX(TableRBCalcPts[BYE],MATCH(TableRBRanks[[#This Row],[RK]],TableRBCalcPts[RK],0)),"")</f>
        <v>10</v>
      </c>
      <c r="L7" s="272">
        <f>IFERROR(INDEX(TableRBCalcPts[Custom],MATCH(TableRBRanks[[#This Row],[RK]],TableRBCalcPts[RK],0)),"")</f>
        <v>224.96025910261358</v>
      </c>
      <c r="M7" s="273">
        <f>(((VLOOKUP(TableRBRanks[[#This Row],[Player]],'OVR &amp; VORP Ranks'!$I:$M,5,FALSE)))/('OVR &amp; VORP Ranks'!$BM$6))*(Settings!$E$10*TEAMS)</f>
        <v>62.638265834328578</v>
      </c>
      <c r="O7" s="22">
        <v>6</v>
      </c>
      <c r="P7" s="22" t="str">
        <f>IFERROR(INDEX(TableWRCalcPts[PLAYER],MATCH(TableWRRanks[[#This Row],[RK]],TableWRCalcPts[RK],0)),"")</f>
        <v>Davante Adams</v>
      </c>
      <c r="Q7" s="22" t="str">
        <f>IFERROR(INDEX(TableWRCalcPts[TM],MATCH(TableWRRanks[[#This Row],[RK]],TableWRCalcPts[RK],0)),"")</f>
        <v>LV</v>
      </c>
      <c r="R7" s="22">
        <f>IFERROR(INDEX(TableWRCalcPts[BYE],MATCH(TableWRRanks[[#This Row],[RK]],TableWRCalcPts[RK],0)),"")</f>
        <v>6</v>
      </c>
      <c r="S7" s="272">
        <f>IFERROR(INDEX(TableWRCalcPts[Custom],MATCH(TableWRRanks[[#This Row],[RK]],TableWRCalcPts[RK],0)),"")</f>
        <v>186.68481728142513</v>
      </c>
      <c r="T7" s="273">
        <f>(((VLOOKUP(TableWRRanks[[#This Row],[Player]],'OVR &amp; VORP Ranks'!$P:$T,5,FALSE)))/('OVR &amp; VORP Ranks'!$BM$6))*(Settings!$E$10*TEAMS)</f>
        <v>36.60509539141583</v>
      </c>
      <c r="V7" s="22">
        <v>6</v>
      </c>
      <c r="W7" s="274" t="str">
        <f>IFERROR(INDEX(TableTECalcPts[PLAYER],MATCH(TableTERanks[[#This Row],[RK]],TableTECalcPts[RK],0)),"")</f>
        <v>Dallas Goedert</v>
      </c>
      <c r="X7" s="22" t="str">
        <f>IFERROR(INDEX(TableTECalcPts[TM],MATCH(TableTERanks[[#This Row],[RK]],TableTECalcPts[RK],0)),"")</f>
        <v>PHI</v>
      </c>
      <c r="Y7" s="22">
        <f>IFERROR(INDEX(TableTECalcPts[BYE],MATCH(TableTERanks[[#This Row],[RK]],TableTECalcPts[RK],0)),"")</f>
        <v>7</v>
      </c>
      <c r="Z7" s="272">
        <f>IFERROR(INDEX(TableTECalcPts[Custom],MATCH(TableTERanks[[#This Row],[RK]],TableTECalcPts[RK],0)),"")</f>
        <v>119.68741678217346</v>
      </c>
      <c r="AA7" s="273">
        <f>(((VLOOKUP(TableTERanks[[#This Row],[Player]],'OVR &amp; VORP Ranks'!$W:$AA,5,FALSE)))/('OVR &amp; VORP Ranks'!$BM$6))*(Settings!$E$10*TEAMS)</f>
        <v>8.6349197523613537</v>
      </c>
      <c r="AC7" s="22">
        <v>6</v>
      </c>
      <c r="AD7" s="22" t="str">
        <f>IFERROR(INDEX(TableDSTCalcPts[PLAYER],MATCH(TableDSTRanks[[#This Row],[RK]],TableDSTCalcPts[RK],0)),"")</f>
        <v>Dallas Cowboys</v>
      </c>
      <c r="AE7" s="22">
        <f>IFERROR(INDEX(TableDSTCalcPts[BYE],MATCH(TableDSTRanks[[#This Row],[RK]],TableDSTCalcPts[RK],0)),"")</f>
        <v>9</v>
      </c>
      <c r="AF7" s="272">
        <f>IFERROR(INDEX(TableDSTCalcPts[Custom],MATCH(TableDSTRanks[[#This Row],[RK]],TableDSTCalcPts[RK],0)),"")</f>
        <v>126.65112288747655</v>
      </c>
      <c r="AG7" s="273">
        <v>1</v>
      </c>
    </row>
    <row r="8" spans="1:33" x14ac:dyDescent="0.3">
      <c r="A8" s="22">
        <v>7</v>
      </c>
      <c r="B8" s="22" t="str">
        <f>IFERROR(INDEX(TableQBCalcPts[PLAYER],MATCH(TableQBRanks[[#This Row],[RK]],TableQBCalcPts[RK],0)),"")</f>
        <v>Kyler Murray</v>
      </c>
      <c r="C8" s="22" t="str">
        <f>IFERROR(INDEX(TableQBCalcPts[TM],MATCH(TableQBRanks[[#This Row],[RK]],TableQBCalcPts[RK],0)),"")</f>
        <v>ARI</v>
      </c>
      <c r="D8" s="22">
        <f>IFERROR(INDEX(TableQBCalcPts[BYE],MATCH(TableQBRanks[[#This Row],[RK]],TableQBCalcPts[RK],0)),"")</f>
        <v>13</v>
      </c>
      <c r="E8" s="272">
        <f>IFERROR(INDEX(TableQBCalcPts[Custom],MATCH(TableQBRanks[[#This Row],[RK]],TableQBCalcPts[RK],0)),"")</f>
        <v>353.57371760134686</v>
      </c>
      <c r="F8" s="273">
        <f>(((VLOOKUP(TableQBRanks[[#This Row],[Player]],'OVR &amp; VORP Ranks'!$B:$F,5,FALSE)))/('OVR &amp; VORP Ranks'!$BM$6))*(Settings!$E$10*TEAMS)</f>
        <v>22.188019298595769</v>
      </c>
      <c r="H8" s="22">
        <v>7</v>
      </c>
      <c r="I8" s="22" t="str">
        <f>IFERROR(INDEX(TableRBCalcPts[PLAYER],MATCH(TableRBRanks[[#This Row],[RK]],TableRBCalcPts[RK],0)),"")</f>
        <v>Nick Chubb</v>
      </c>
      <c r="J8" s="22" t="str">
        <f>IFERROR(INDEX(TableRBCalcPts[TM],MATCH(TableRBRanks[[#This Row],[RK]],TableRBCalcPts[RK],0)),"")</f>
        <v>CLE</v>
      </c>
      <c r="K8" s="22">
        <f>IFERROR(INDEX(TableRBCalcPts[BYE],MATCH(TableRBRanks[[#This Row],[RK]],TableRBCalcPts[RK],0)),"")</f>
        <v>9</v>
      </c>
      <c r="L8" s="272">
        <f>IFERROR(INDEX(TableRBCalcPts[Custom],MATCH(TableRBRanks[[#This Row],[RK]],TableRBCalcPts[RK],0)),"")</f>
        <v>216.90559678465985</v>
      </c>
      <c r="M8" s="273">
        <f>(((VLOOKUP(TableRBRanks[[#This Row],[Player]],'OVR &amp; VORP Ranks'!$I:$M,5,FALSE)))/('OVR &amp; VORP Ranks'!$BM$6))*(Settings!$E$10*TEAMS)</f>
        <v>58.5576637959999</v>
      </c>
      <c r="O8" s="22">
        <v>7</v>
      </c>
      <c r="P8" s="22" t="str">
        <f>IFERROR(INDEX(TableWRCalcPts[PLAYER],MATCH(TableWRRanks[[#This Row],[RK]],TableWRCalcPts[RK],0)),"")</f>
        <v>CeeDee Lamb</v>
      </c>
      <c r="Q8" s="22" t="str">
        <f>IFERROR(INDEX(TableWRCalcPts[TM],MATCH(TableWRRanks[[#This Row],[RK]],TableWRCalcPts[RK],0)),"")</f>
        <v>DAL</v>
      </c>
      <c r="R8" s="22">
        <f>IFERROR(INDEX(TableWRCalcPts[BYE],MATCH(TableWRRanks[[#This Row],[RK]],TableWRCalcPts[RK],0)),"")</f>
        <v>9</v>
      </c>
      <c r="S8" s="272">
        <f>IFERROR(INDEX(TableWRCalcPts[Custom],MATCH(TableWRRanks[[#This Row],[RK]],TableWRCalcPts[RK],0)),"")</f>
        <v>183.36829122663792</v>
      </c>
      <c r="T8" s="273">
        <f>(((VLOOKUP(TableWRRanks[[#This Row],[Player]],'OVR &amp; VORP Ranks'!$P:$T,5,FALSE)))/('OVR &amp; VORP Ranks'!$BM$6))*(Settings!$E$10*TEAMS)</f>
        <v>35.042901063745077</v>
      </c>
      <c r="V8" s="22">
        <v>7</v>
      </c>
      <c r="W8" s="22" t="str">
        <f>IFERROR(INDEX(TableTECalcPts[PLAYER],MATCH(TableTERanks[[#This Row],[RK]],TableTECalcPts[RK],0)),"")</f>
        <v>Dalton Schultz</v>
      </c>
      <c r="X8" s="22" t="str">
        <f>IFERROR(INDEX(TableTECalcPts[TM],MATCH(TableTERanks[[#This Row],[RK]],TableTECalcPts[RK],0)),"")</f>
        <v>DAL</v>
      </c>
      <c r="Y8" s="22">
        <f>IFERROR(INDEX(TableTECalcPts[BYE],MATCH(TableTERanks[[#This Row],[RK]],TableTECalcPts[RK],0)),"")</f>
        <v>9</v>
      </c>
      <c r="Z8" s="272">
        <f>IFERROR(INDEX(TableTECalcPts[Custom],MATCH(TableTERanks[[#This Row],[RK]],TableTECalcPts[RK],0)),"")</f>
        <v>119.58073410503061</v>
      </c>
      <c r="AA8" s="273">
        <f>(((VLOOKUP(TableTERanks[[#This Row],[Player]],'OVR &amp; VORP Ranks'!$W:$AA,5,FALSE)))/('OVR &amp; VORP Ranks'!$BM$6))*(Settings!$E$10*TEAMS)</f>
        <v>8.581470660963971</v>
      </c>
      <c r="AC8" s="22">
        <v>7</v>
      </c>
      <c r="AD8" s="22" t="str">
        <f>IFERROR(INDEX(TableDSTCalcPts[PLAYER],MATCH(TableDSTRanks[[#This Row],[RK]],TableDSTCalcPts[RK],0)),"")</f>
        <v>Baltimore Ravens</v>
      </c>
      <c r="AE8" s="22">
        <f>IFERROR(INDEX(TableDSTCalcPts[BYE],MATCH(TableDSTRanks[[#This Row],[RK]],TableDSTCalcPts[RK],0)),"")</f>
        <v>10</v>
      </c>
      <c r="AF8" s="272">
        <f>IFERROR(INDEX(TableDSTCalcPts[Custom],MATCH(TableDSTRanks[[#This Row],[RK]],TableDSTCalcPts[RK],0)),"")</f>
        <v>125.6491890968727</v>
      </c>
      <c r="AG8" s="273">
        <v>1</v>
      </c>
    </row>
    <row r="9" spans="1:33" x14ac:dyDescent="0.3">
      <c r="A9" s="22">
        <v>8</v>
      </c>
      <c r="B9" s="22" t="str">
        <f>IFERROR(INDEX(TableQBCalcPts[PLAYER],MATCH(TableQBRanks[[#This Row],[RK]],TableQBCalcPts[RK],0)),"")</f>
        <v>Tom Brady</v>
      </c>
      <c r="C9" s="22" t="str">
        <f>IFERROR(INDEX(TableQBCalcPts[TM],MATCH(TableQBRanks[[#This Row],[RK]],TableQBCalcPts[RK],0)),"")</f>
        <v>TB</v>
      </c>
      <c r="D9" s="22">
        <f>IFERROR(INDEX(TableQBCalcPts[BYE],MATCH(TableQBRanks[[#This Row],[RK]],TableQBCalcPts[RK],0)),"")</f>
        <v>11</v>
      </c>
      <c r="E9" s="272">
        <f>IFERROR(INDEX(TableQBCalcPts[Custom],MATCH(TableQBRanks[[#This Row],[RK]],TableQBCalcPts[RK],0)),"")</f>
        <v>352.86881815129311</v>
      </c>
      <c r="F9" s="273">
        <f>(((VLOOKUP(TableQBRanks[[#This Row],[Player]],'OVR &amp; VORP Ranks'!$B:$F,5,FALSE)))/('OVR &amp; VORP Ranks'!$BM$6))*(Settings!$E$10*TEAMS)</f>
        <v>22.040173459408269</v>
      </c>
      <c r="H9" s="22">
        <v>8</v>
      </c>
      <c r="I9" s="22" t="str">
        <f>IFERROR(INDEX(TableRBCalcPts[PLAYER],MATCH(TableRBRanks[[#This Row],[RK]],TableRBCalcPts[RK],0)),"")</f>
        <v>Dalvin Cook</v>
      </c>
      <c r="J9" s="22" t="str">
        <f>IFERROR(INDEX(TableRBCalcPts[TM],MATCH(TableRBRanks[[#This Row],[RK]],TableRBCalcPts[RK],0)),"")</f>
        <v>MIN</v>
      </c>
      <c r="K9" s="22">
        <f>IFERROR(INDEX(TableRBCalcPts[BYE],MATCH(TableRBRanks[[#This Row],[RK]],TableRBCalcPts[RK],0)),"")</f>
        <v>7</v>
      </c>
      <c r="L9" s="272">
        <f>IFERROR(INDEX(TableRBCalcPts[Custom],MATCH(TableRBRanks[[#This Row],[RK]],TableRBCalcPts[RK],0)),"")</f>
        <v>216.66955355982242</v>
      </c>
      <c r="M9" s="273">
        <f>(((VLOOKUP(TableRBRanks[[#This Row],[Player]],'OVR &amp; VORP Ranks'!$I:$M,5,FALSE)))/('OVR &amp; VORP Ranks'!$BM$6))*(Settings!$E$10*TEAMS)</f>
        <v>58.438081071562365</v>
      </c>
      <c r="O9" s="274">
        <v>8</v>
      </c>
      <c r="P9" s="274" t="str">
        <f>IFERROR(INDEX(TableWRCalcPts[PLAYER],MATCH(TableWRRanks[[#This Row],[RK]],TableWRCalcPts[RK],0)),"")</f>
        <v>Mike Evans</v>
      </c>
      <c r="Q9" s="22" t="str">
        <f>IFERROR(INDEX(TableWRCalcPts[TM],MATCH(TableWRRanks[[#This Row],[RK]],TableWRCalcPts[RK],0)),"")</f>
        <v>TB</v>
      </c>
      <c r="R9" s="22">
        <f>IFERROR(INDEX(TableWRCalcPts[BYE],MATCH(TableWRRanks[[#This Row],[RK]],TableWRCalcPts[RK],0)),"")</f>
        <v>11</v>
      </c>
      <c r="S9" s="272">
        <f>IFERROR(INDEX(TableWRCalcPts[Custom],MATCH(TableWRRanks[[#This Row],[RK]],TableWRCalcPts[RK],0)),"")</f>
        <v>179.06376440282733</v>
      </c>
      <c r="T9" s="273">
        <f>(((VLOOKUP(TableWRRanks[[#This Row],[Player]],'OVR &amp; VORP Ranks'!$P:$T,5,FALSE)))/('OVR &amp; VORP Ranks'!$BM$6))*(Settings!$E$10*TEAMS)</f>
        <v>33.015325439016571</v>
      </c>
      <c r="V9" s="274">
        <v>8</v>
      </c>
      <c r="W9" s="274" t="str">
        <f>IFERROR(INDEX(TableTECalcPts[PLAYER],MATCH(TableTERanks[[#This Row],[RK]],TableTECalcPts[RK],0)),"")</f>
        <v>Irv Smith</v>
      </c>
      <c r="X9" s="22" t="str">
        <f>IFERROR(INDEX(TableTECalcPts[TM],MATCH(TableTERanks[[#This Row],[RK]],TableTECalcPts[RK],0)),"")</f>
        <v>MIN</v>
      </c>
      <c r="Y9" s="22">
        <f>IFERROR(INDEX(TableTECalcPts[BYE],MATCH(TableTERanks[[#This Row],[RK]],TableTECalcPts[RK],0)),"")</f>
        <v>7</v>
      </c>
      <c r="Z9" s="272">
        <f>IFERROR(INDEX(TableTECalcPts[Custom],MATCH(TableTERanks[[#This Row],[RK]],TableTECalcPts[RK],0)),"")</f>
        <v>104.82297141661108</v>
      </c>
      <c r="AA9" s="273">
        <f>(((VLOOKUP(TableTERanks[[#This Row],[Player]],'OVR &amp; VORP Ranks'!$W:$AA,5,FALSE)))/('OVR &amp; VORP Ranks'!$BM$6))*(Settings!$E$10*TEAMS)</f>
        <v>1.1876835168893487</v>
      </c>
      <c r="AC9" s="22">
        <v>8</v>
      </c>
      <c r="AD9" s="22" t="str">
        <f>IFERROR(INDEX(TableDSTCalcPts[PLAYER],MATCH(TableDSTRanks[[#This Row],[RK]],TableDSTCalcPts[RK],0)),"")</f>
        <v>Miami Dolphins</v>
      </c>
      <c r="AE9" s="22">
        <f>IFERROR(INDEX(TableDSTCalcPts[BYE],MATCH(TableDSTRanks[[#This Row],[RK]],TableDSTCalcPts[RK],0)),"")</f>
        <v>11</v>
      </c>
      <c r="AF9" s="272">
        <f>IFERROR(INDEX(TableDSTCalcPts[Custom],MATCH(TableDSTRanks[[#This Row],[RK]],TableDSTCalcPts[RK],0)),"")</f>
        <v>124.74974042430634</v>
      </c>
      <c r="AG9" s="273">
        <v>1</v>
      </c>
    </row>
    <row r="10" spans="1:33" x14ac:dyDescent="0.3">
      <c r="A10" s="22">
        <v>9</v>
      </c>
      <c r="B10" s="22" t="str">
        <f>IFERROR(INDEX(TableQBCalcPts[PLAYER],MATCH(TableQBRanks[[#This Row],[RK]],TableQBCalcPts[RK],0)),"")</f>
        <v>Aaron Rodgers</v>
      </c>
      <c r="C10" s="22" t="str">
        <f>IFERROR(INDEX(TableQBCalcPts[TM],MATCH(TableQBRanks[[#This Row],[RK]],TableQBCalcPts[RK],0)),"")</f>
        <v>GB</v>
      </c>
      <c r="D10" s="22">
        <f>IFERROR(INDEX(TableQBCalcPts[BYE],MATCH(TableQBRanks[[#This Row],[RK]],TableQBCalcPts[RK],0)),"")</f>
        <v>14</v>
      </c>
      <c r="E10" s="272">
        <f>IFERROR(INDEX(TableQBCalcPts[Custom],MATCH(TableQBRanks[[#This Row],[RK]],TableQBCalcPts[RK],0)),"")</f>
        <v>337.00673385001676</v>
      </c>
      <c r="F10" s="273">
        <f>(((VLOOKUP(TableQBRanks[[#This Row],[Player]],'OVR &amp; VORP Ranks'!$B:$F,5,FALSE)))/('OVR &amp; VORP Ranks'!$BM$6))*(Settings!$E$10*TEAMS)</f>
        <v>18.617724256750225</v>
      </c>
      <c r="H10" s="22">
        <v>9</v>
      </c>
      <c r="I10" s="22" t="str">
        <f>IFERROR(INDEX(TableRBCalcPts[PLAYER],MATCH(TableRBRanks[[#This Row],[RK]],TableRBCalcPts[RK],0)),"")</f>
        <v>James Conner</v>
      </c>
      <c r="J10" s="22" t="str">
        <f>IFERROR(INDEX(TableRBCalcPts[TM],MATCH(TableRBRanks[[#This Row],[RK]],TableRBCalcPts[RK],0)),"")</f>
        <v>ARI</v>
      </c>
      <c r="K10" s="22">
        <f>IFERROR(INDEX(TableRBCalcPts[BYE],MATCH(TableRBRanks[[#This Row],[RK]],TableRBCalcPts[RK],0)),"")</f>
        <v>13</v>
      </c>
      <c r="L10" s="272">
        <f>IFERROR(INDEX(TableRBCalcPts[Custom],MATCH(TableRBRanks[[#This Row],[RK]],TableRBCalcPts[RK],0)),"")</f>
        <v>210.93892537574453</v>
      </c>
      <c r="M10" s="273">
        <f>(((VLOOKUP(TableRBRanks[[#This Row],[Player]],'OVR &amp; VORP Ranks'!$I:$M,5,FALSE)))/('OVR &amp; VORP Ranks'!$BM$6))*(Settings!$E$10*TEAMS)</f>
        <v>55.534866495238234</v>
      </c>
      <c r="O10" s="22">
        <v>9</v>
      </c>
      <c r="P10" s="22" t="str">
        <f>IFERROR(INDEX(TableWRCalcPts[PLAYER],MATCH(TableWRRanks[[#This Row],[RK]],TableWRCalcPts[RK],0)),"")</f>
        <v>Tee Higgins</v>
      </c>
      <c r="Q10" s="22" t="str">
        <f>IFERROR(INDEX(TableWRCalcPts[TM],MATCH(TableWRRanks[[#This Row],[RK]],TableWRCalcPts[RK],0)),"")</f>
        <v>CIN</v>
      </c>
      <c r="R10" s="22">
        <f>IFERROR(INDEX(TableWRCalcPts[BYE],MATCH(TableWRRanks[[#This Row],[RK]],TableWRCalcPts[RK],0)),"")</f>
        <v>10</v>
      </c>
      <c r="S10" s="272">
        <f>IFERROR(INDEX(TableWRCalcPts[Custom],MATCH(TableWRRanks[[#This Row],[RK]],TableWRCalcPts[RK],0)),"")</f>
        <v>173.13026472375194</v>
      </c>
      <c r="T10" s="273">
        <f>(((VLOOKUP(TableWRRanks[[#This Row],[Player]],'OVR &amp; VORP Ranks'!$P:$T,5,FALSE)))/('OVR &amp; VORP Ranks'!$BM$6))*(Settings!$E$10*TEAMS)</f>
        <v>30.220449297908555</v>
      </c>
      <c r="V10" s="22">
        <v>9</v>
      </c>
      <c r="W10" s="22" t="str">
        <f>IFERROR(INDEX(TableTECalcPts[PLAYER],MATCH(TableTERanks[[#This Row],[RK]],TableTECalcPts[RK],0)),"")</f>
        <v>Dawson Knox</v>
      </c>
      <c r="X10" s="22" t="str">
        <f>IFERROR(INDEX(TableTECalcPts[TM],MATCH(TableTERanks[[#This Row],[RK]],TableTECalcPts[RK],0)),"")</f>
        <v>BUF</v>
      </c>
      <c r="Y10" s="22">
        <f>IFERROR(INDEX(TableTECalcPts[BYE],MATCH(TableTERanks[[#This Row],[RK]],TableTECalcPts[RK],0)),"")</f>
        <v>7</v>
      </c>
      <c r="Z10" s="272">
        <f>IFERROR(INDEX(TableTECalcPts[Custom],MATCH(TableTERanks[[#This Row],[RK]],TableTECalcPts[RK],0)),"")</f>
        <v>102.87952804843867</v>
      </c>
      <c r="AA10" s="273">
        <f>(((VLOOKUP(TableTERanks[[#This Row],[Player]],'OVR &amp; VORP Ranks'!$W:$AA,5,FALSE)))/('OVR &amp; VORP Ranks'!$BM$6))*(Settings!$E$10*TEAMS)</f>
        <v>0.21399889448340834</v>
      </c>
      <c r="AC10" s="22">
        <v>9</v>
      </c>
      <c r="AD10" s="22" t="str">
        <f>IFERROR(INDEX(TableDSTCalcPts[PLAYER],MATCH(TableDSTRanks[[#This Row],[RK]],TableDSTCalcPts[RK],0)),"")</f>
        <v>Indianapolis Colts</v>
      </c>
      <c r="AE10" s="22">
        <f>IFERROR(INDEX(TableDSTCalcPts[BYE],MATCH(TableDSTRanks[[#This Row],[RK]],TableDSTCalcPts[RK],0)),"")</f>
        <v>14</v>
      </c>
      <c r="AF10" s="272">
        <f>IFERROR(INDEX(TableDSTCalcPts[Custom],MATCH(TableDSTRanks[[#This Row],[RK]],TableDSTCalcPts[RK],0)),"")</f>
        <v>124.55475841840658</v>
      </c>
      <c r="AG10" s="273">
        <v>1</v>
      </c>
    </row>
    <row r="11" spans="1:33" x14ac:dyDescent="0.3">
      <c r="A11" s="22">
        <v>10</v>
      </c>
      <c r="B11" s="22" t="str">
        <f>IFERROR(INDEX(TableQBCalcPts[PLAYER],MATCH(TableQBRanks[[#This Row],[RK]],TableQBCalcPts[RK],0)),"")</f>
        <v>Matthew Stafford</v>
      </c>
      <c r="C11" s="22" t="str">
        <f>IFERROR(INDEX(TableQBCalcPts[TM],MATCH(TableQBRanks[[#This Row],[RK]],TableQBCalcPts[RK],0)),"")</f>
        <v>LAR</v>
      </c>
      <c r="D11" s="22">
        <f>IFERROR(INDEX(TableQBCalcPts[BYE],MATCH(TableQBRanks[[#This Row],[RK]],TableQBCalcPts[RK],0)),"")</f>
        <v>7</v>
      </c>
      <c r="E11" s="272">
        <f>IFERROR(INDEX(TableQBCalcPts[Custom],MATCH(TableQBRanks[[#This Row],[RK]],TableQBCalcPts[RK],0)),"")</f>
        <v>334.82539842089091</v>
      </c>
      <c r="F11" s="273">
        <f>(((VLOOKUP(TableQBRanks[[#This Row],[Player]],'OVR &amp; VORP Ranks'!$B:$F,5,FALSE)))/('OVR &amp; VORP Ranks'!$BM$6))*(Settings!$E$10*TEAMS)</f>
        <v>18.210140488875453</v>
      </c>
      <c r="H11" s="22">
        <v>10</v>
      </c>
      <c r="I11" s="22" t="str">
        <f>IFERROR(INDEX(TableRBCalcPts[PLAYER],MATCH(TableRBRanks[[#This Row],[RK]],TableRBCalcPts[RK],0)),"")</f>
        <v>Cam Akers</v>
      </c>
      <c r="J11" s="22" t="str">
        <f>IFERROR(INDEX(TableRBCalcPts[TM],MATCH(TableRBRanks[[#This Row],[RK]],TableRBCalcPts[RK],0)),"")</f>
        <v>LAR</v>
      </c>
      <c r="K11" s="22">
        <f>IFERROR(INDEX(TableRBCalcPts[BYE],MATCH(TableRBRanks[[#This Row],[RK]],TableRBCalcPts[RK],0)),"")</f>
        <v>7</v>
      </c>
      <c r="L11" s="272">
        <f>IFERROR(INDEX(TableRBCalcPts[Custom],MATCH(TableRBRanks[[#This Row],[RK]],TableRBCalcPts[RK],0)),"")</f>
        <v>210.42749670801629</v>
      </c>
      <c r="M11" s="273">
        <f>(((VLOOKUP(TableRBRanks[[#This Row],[Player]],'OVR &amp; VORP Ranks'!$I:$M,5,FALSE)))/('OVR &amp; VORP Ranks'!$BM$6))*(Settings!$E$10*TEAMS)</f>
        <v>55.275769740885188</v>
      </c>
      <c r="O11" s="22">
        <v>10</v>
      </c>
      <c r="P11" s="274" t="str">
        <f>IFERROR(INDEX(TableWRCalcPts[PLAYER],MATCH(TableWRRanks[[#This Row],[RK]],TableWRCalcPts[RK],0)),"")</f>
        <v>Tyreek Hill</v>
      </c>
      <c r="Q11" s="22" t="str">
        <f>IFERROR(INDEX(TableWRCalcPts[TM],MATCH(TableWRRanks[[#This Row],[RK]],TableWRCalcPts[RK],0)),"")</f>
        <v>MIA</v>
      </c>
      <c r="R11" s="22">
        <f>IFERROR(INDEX(TableWRCalcPts[BYE],MATCH(TableWRRanks[[#This Row],[RK]],TableWRCalcPts[RK],0)),"")</f>
        <v>11</v>
      </c>
      <c r="S11" s="272">
        <f>IFERROR(INDEX(TableWRCalcPts[Custom],MATCH(TableWRRanks[[#This Row],[RK]],TableWRCalcPts[RK],0)),"")</f>
        <v>170.43250907909703</v>
      </c>
      <c r="T11" s="273">
        <f>(((VLOOKUP(TableWRRanks[[#This Row],[Player]],'OVR &amp; VORP Ranks'!$P:$T,5,FALSE)))/('OVR &amp; VORP Ranks'!$BM$6))*(Settings!$E$10*TEAMS)</f>
        <v>28.949716460022838</v>
      </c>
      <c r="V11" s="22">
        <v>10</v>
      </c>
      <c r="W11" s="22" t="str">
        <f>IFERROR(INDEX(TableTECalcPts[PLAYER],MATCH(TableTERanks[[#This Row],[RK]],TableTECalcPts[RK],0)),"")</f>
        <v>T.J. Hockenson</v>
      </c>
      <c r="X11" s="22" t="str">
        <f>IFERROR(INDEX(TableTECalcPts[TM],MATCH(TableTERanks[[#This Row],[RK]],TableTECalcPts[RK],0)),"")</f>
        <v>DET</v>
      </c>
      <c r="Y11" s="22">
        <f>IFERROR(INDEX(TableTECalcPts[BYE],MATCH(TableTERanks[[#This Row],[RK]],TableTECalcPts[RK],0)),"")</f>
        <v>6</v>
      </c>
      <c r="Z11" s="272">
        <f>IFERROR(INDEX(TableTECalcPts[Custom],MATCH(TableTERanks[[#This Row],[RK]],TableTECalcPts[RK],0)),"")</f>
        <v>102.45239309867193</v>
      </c>
      <c r="AA11" s="273">
        <f>(((VLOOKUP(TableTERanks[[#This Row],[Player]],'OVR &amp; VORP Ranks'!$W:$AA,5,FALSE)))/('OVR &amp; VORP Ranks'!$BM$6))*(Settings!$E$10*TEAMS)</f>
        <v>0</v>
      </c>
      <c r="AC11" s="22">
        <v>10</v>
      </c>
      <c r="AD11" s="22" t="str">
        <f>IFERROR(INDEX(TableDSTCalcPts[PLAYER],MATCH(TableDSTRanks[[#This Row],[RK]],TableDSTCalcPts[RK],0)),"")</f>
        <v>Arizona Cardinals</v>
      </c>
      <c r="AE11" s="22">
        <f>IFERROR(INDEX(TableDSTCalcPts[BYE],MATCH(TableDSTRanks[[#This Row],[RK]],TableDSTCalcPts[RK],0)),"")</f>
        <v>13</v>
      </c>
      <c r="AF11" s="272">
        <f>IFERROR(INDEX(TableDSTCalcPts[Custom],MATCH(TableDSTRanks[[#This Row],[RK]],TableDSTCalcPts[RK],0)),"")</f>
        <v>124.21505030262492</v>
      </c>
      <c r="AG11" s="273">
        <v>1</v>
      </c>
    </row>
    <row r="12" spans="1:33" x14ac:dyDescent="0.3">
      <c r="A12" s="22">
        <v>11</v>
      </c>
      <c r="B12" s="22" t="str">
        <f>IFERROR(INDEX(TableQBCalcPts[PLAYER],MATCH(TableQBRanks[[#This Row],[RK]],TableQBCalcPts[RK],0)),"")</f>
        <v>Dak Prescott</v>
      </c>
      <c r="C12" s="22" t="str">
        <f>IFERROR(INDEX(TableQBCalcPts[TM],MATCH(TableQBRanks[[#This Row],[RK]],TableQBCalcPts[RK],0)),"")</f>
        <v>DAL</v>
      </c>
      <c r="D12" s="22">
        <f>IFERROR(INDEX(TableQBCalcPts[BYE],MATCH(TableQBRanks[[#This Row],[RK]],TableQBCalcPts[RK],0)),"")</f>
        <v>9</v>
      </c>
      <c r="E12" s="272">
        <f>IFERROR(INDEX(TableQBCalcPts[Custom],MATCH(TableQBRanks[[#This Row],[RK]],TableQBCalcPts[RK],0)),"")</f>
        <v>334.42955697750307</v>
      </c>
      <c r="F12" s="273">
        <f>(((VLOOKUP(TableQBRanks[[#This Row],[Player]],'OVR &amp; VORP Ranks'!$B:$F,5,FALSE)))/('OVR &amp; VORP Ranks'!$BM$6))*(Settings!$E$10*TEAMS)</f>
        <v>17.793509289528149</v>
      </c>
      <c r="H12" s="22">
        <v>11</v>
      </c>
      <c r="I12" s="22" t="str">
        <f>IFERROR(INDEX(TableRBCalcPts[PLAYER],MATCH(TableRBRanks[[#This Row],[RK]],TableRBCalcPts[RK],0)),"")</f>
        <v>Saquon Barkley</v>
      </c>
      <c r="J12" s="22" t="str">
        <f>IFERROR(INDEX(TableRBCalcPts[TM],MATCH(TableRBRanks[[#This Row],[RK]],TableRBCalcPts[RK],0)),"")</f>
        <v>NYG</v>
      </c>
      <c r="K12" s="22">
        <f>IFERROR(INDEX(TableRBCalcPts[BYE],MATCH(TableRBRanks[[#This Row],[RK]],TableRBCalcPts[RK],0)),"")</f>
        <v>9</v>
      </c>
      <c r="L12" s="272">
        <f>IFERROR(INDEX(TableRBCalcPts[Custom],MATCH(TableRBRanks[[#This Row],[RK]],TableRBCalcPts[RK],0)),"")</f>
        <v>208.83160199086635</v>
      </c>
      <c r="M12" s="273">
        <f>(((VLOOKUP(TableRBRanks[[#This Row],[Player]],'OVR &amp; VORP Ranks'!$I:$M,5,FALSE)))/('OVR &amp; VORP Ranks'!$BM$6))*(Settings!$E$10*TEAMS)</f>
        <v>54.467267661133882</v>
      </c>
      <c r="O12" s="274">
        <v>11</v>
      </c>
      <c r="P12" s="274" t="str">
        <f>IFERROR(INDEX(TableWRCalcPts[PLAYER],MATCH(TableWRRanks[[#This Row],[RK]],TableWRCalcPts[RK],0)),"")</f>
        <v>A.J. Brown</v>
      </c>
      <c r="Q12" s="22" t="str">
        <f>IFERROR(INDEX(TableWRCalcPts[TM],MATCH(TableWRRanks[[#This Row],[RK]],TableWRCalcPts[RK],0)),"")</f>
        <v>PHI</v>
      </c>
      <c r="R12" s="22">
        <f>IFERROR(INDEX(TableWRCalcPts[BYE],MATCH(TableWRRanks[[#This Row],[RK]],TableWRCalcPts[RK],0)),"")</f>
        <v>7</v>
      </c>
      <c r="S12" s="272">
        <f>IFERROR(INDEX(TableWRCalcPts[Custom],MATCH(TableWRRanks[[#This Row],[RK]],TableWRCalcPts[RK],0)),"")</f>
        <v>169.4104360268131</v>
      </c>
      <c r="T12" s="273">
        <f>(((VLOOKUP(TableWRRanks[[#This Row],[Player]],'OVR &amp; VORP Ranks'!$P:$T,5,FALSE)))/('OVR &amp; VORP Ranks'!$BM$6))*(Settings!$E$10*TEAMS)</f>
        <v>28.468285981755258</v>
      </c>
      <c r="V12" s="274">
        <v>11</v>
      </c>
      <c r="W12" s="274" t="str">
        <f>IFERROR(INDEX(TableTECalcPts[PLAYER],MATCH(TableTERanks[[#This Row],[RK]],TableTECalcPts[RK],0)),"")</f>
        <v>Zach Ertz</v>
      </c>
      <c r="X12" s="22" t="str">
        <f>IFERROR(INDEX(TableTECalcPts[TM],MATCH(TableTERanks[[#This Row],[RK]],TableTECalcPts[RK],0)),"")</f>
        <v>ARI</v>
      </c>
      <c r="Y12" s="22">
        <f>IFERROR(INDEX(TableTECalcPts[BYE],MATCH(TableTERanks[[#This Row],[RK]],TableTECalcPts[RK],0)),"")</f>
        <v>13</v>
      </c>
      <c r="Z12" s="272">
        <f>IFERROR(INDEX(TableTECalcPts[Custom],MATCH(TableTERanks[[#This Row],[RK]],TableTECalcPts[RK],0)),"")</f>
        <v>99.340220639314538</v>
      </c>
      <c r="AA12" s="273">
        <f>(((VLOOKUP(TableTERanks[[#This Row],[Player]],'OVR &amp; VORP Ranks'!$W:$AA,5,FALSE)))/('OVR &amp; VORP Ranks'!$BM$6))*(Settings!$E$10*TEAMS)</f>
        <v>-1.5592296207741854</v>
      </c>
      <c r="AC12" s="22">
        <v>11</v>
      </c>
      <c r="AD12" s="22" t="str">
        <f>IFERROR(INDEX(TableDSTCalcPts[PLAYER],MATCH(TableDSTRanks[[#This Row],[RK]],TableDSTCalcPts[RK],0)),"")</f>
        <v>New Orleans Saints</v>
      </c>
      <c r="AE12" s="22">
        <f>IFERROR(INDEX(TableDSTCalcPts[BYE],MATCH(TableDSTRanks[[#This Row],[RK]],TableDSTCalcPts[RK],0)),"")</f>
        <v>14</v>
      </c>
      <c r="AF12" s="272">
        <f>IFERROR(INDEX(TableDSTCalcPts[Custom],MATCH(TableDSTRanks[[#This Row],[RK]],TableDSTCalcPts[RK],0)),"")</f>
        <v>124.01003127976355</v>
      </c>
      <c r="AG12" s="273">
        <v>1</v>
      </c>
    </row>
    <row r="13" spans="1:33" x14ac:dyDescent="0.3">
      <c r="A13" s="22">
        <v>12</v>
      </c>
      <c r="B13" s="22" t="str">
        <f>IFERROR(INDEX(TableQBCalcPts[PLAYER],MATCH(TableQBRanks[[#This Row],[RK]],TableQBCalcPts[RK],0)),"")</f>
        <v>Trey Lance</v>
      </c>
      <c r="C13" s="22" t="str">
        <f>IFERROR(INDEX(TableQBCalcPts[TM],MATCH(TableQBRanks[[#This Row],[RK]],TableQBCalcPts[RK],0)),"")</f>
        <v>SF</v>
      </c>
      <c r="D13" s="22">
        <f>IFERROR(INDEX(TableQBCalcPts[BYE],MATCH(TableQBRanks[[#This Row],[RK]],TableQBCalcPts[RK],0)),"")</f>
        <v>9</v>
      </c>
      <c r="E13" s="272">
        <f>IFERROR(INDEX(TableQBCalcPts[Custom],MATCH(TableQBRanks[[#This Row],[RK]],TableQBCalcPts[RK],0)),"")</f>
        <v>324.0209681257009</v>
      </c>
      <c r="F13" s="273">
        <f>(((VLOOKUP(TableQBRanks[[#This Row],[Player]],'OVR &amp; VORP Ranks'!$B:$F,5,FALSE)))/('OVR &amp; VORP Ranks'!$BM$6))*(Settings!$E$10*TEAMS)</f>
        <v>14.459731273768787</v>
      </c>
      <c r="H13" s="22">
        <v>12</v>
      </c>
      <c r="I13" s="22" t="str">
        <f>IFERROR(INDEX(TableRBCalcPts[PLAYER],MATCH(TableRBRanks[[#This Row],[RK]],TableRBCalcPts[RK],0)),"")</f>
        <v>J.K. Dobbins</v>
      </c>
      <c r="J13" s="22" t="str">
        <f>IFERROR(INDEX(TableRBCalcPts[TM],MATCH(TableRBRanks[[#This Row],[RK]],TableRBCalcPts[RK],0)),"")</f>
        <v>BAL</v>
      </c>
      <c r="K13" s="22">
        <f>IFERROR(INDEX(TableRBCalcPts[BYE],MATCH(TableRBRanks[[#This Row],[RK]],TableRBCalcPts[RK],0)),"")</f>
        <v>10</v>
      </c>
      <c r="L13" s="272">
        <f>IFERROR(INDEX(TableRBCalcPts[Custom],MATCH(TableRBRanks[[#This Row],[RK]],TableRBCalcPts[RK],0)),"")</f>
        <v>200.29881530397194</v>
      </c>
      <c r="M13" s="273">
        <f>(((VLOOKUP(TableRBRanks[[#This Row],[Player]],'OVR &amp; VORP Ranks'!$I:$M,5,FALSE)))/('OVR &amp; VORP Ranks'!$BM$6))*(Settings!$E$10*TEAMS)</f>
        <v>50.144441281491098</v>
      </c>
      <c r="O13" s="22">
        <v>12</v>
      </c>
      <c r="P13" s="274" t="str">
        <f>IFERROR(INDEX(TableWRCalcPts[PLAYER],MATCH(TableWRRanks[[#This Row],[RK]],TableWRCalcPts[RK],0)),"")</f>
        <v>Mike Williams</v>
      </c>
      <c r="Q13" s="22" t="str">
        <f>IFERROR(INDEX(TableWRCalcPts[TM],MATCH(TableWRRanks[[#This Row],[RK]],TableWRCalcPts[RK],0)),"")</f>
        <v>LAC</v>
      </c>
      <c r="R13" s="22">
        <f>IFERROR(INDEX(TableWRCalcPts[BYE],MATCH(TableWRRanks[[#This Row],[RK]],TableWRCalcPts[RK],0)),"")</f>
        <v>8</v>
      </c>
      <c r="S13" s="272">
        <f>IFERROR(INDEX(TableWRCalcPts[Custom],MATCH(TableWRRanks[[#This Row],[RK]],TableWRCalcPts[RK],0)),"")</f>
        <v>161.21370314796229</v>
      </c>
      <c r="T13" s="273">
        <f>(((VLOOKUP(TableWRRanks[[#This Row],[Player]],'OVR &amp; VORP Ranks'!$P:$T,5,FALSE)))/('OVR &amp; VORP Ranks'!$BM$6))*(Settings!$E$10*TEAMS)</f>
        <v>24.607351559036019</v>
      </c>
      <c r="V13" s="22">
        <v>12</v>
      </c>
      <c r="W13" s="274" t="str">
        <f>IFERROR(INDEX(TableTECalcPts[PLAYER],MATCH(TableTERanks[[#This Row],[RK]],TableTECalcPts[RK],0)),"")</f>
        <v>Cameron Brate</v>
      </c>
      <c r="X13" s="22" t="str">
        <f>IFERROR(INDEX(TableTECalcPts[TM],MATCH(TableTERanks[[#This Row],[RK]],TableTECalcPts[RK],0)),"")</f>
        <v>TB</v>
      </c>
      <c r="Y13" s="22">
        <f>IFERROR(INDEX(TableTECalcPts[BYE],MATCH(TableTERanks[[#This Row],[RK]],TableTECalcPts[RK],0)),"")</f>
        <v>11</v>
      </c>
      <c r="Z13" s="272">
        <f>IFERROR(INDEX(TableTECalcPts[Custom],MATCH(TableTERanks[[#This Row],[RK]],TableTECalcPts[RK],0)),"")</f>
        <v>99.231125452288012</v>
      </c>
      <c r="AA13" s="273">
        <f>(((VLOOKUP(TableTERanks[[#This Row],[Player]],'OVR &amp; VORP Ranks'!$W:$AA,5,FALSE)))/('OVR &amp; VORP Ranks'!$BM$6))*(Settings!$E$10*TEAMS)</f>
        <v>-1.613887403823516</v>
      </c>
      <c r="AC13" s="22">
        <v>12</v>
      </c>
      <c r="AD13" s="22" t="str">
        <f>IFERROR(INDEX(TableDSTCalcPts[PLAYER],MATCH(TableDSTRanks[[#This Row],[RK]],TableDSTCalcPts[RK],0)),"")</f>
        <v>Green Bay Packers</v>
      </c>
      <c r="AE13" s="22">
        <f>IFERROR(INDEX(TableDSTCalcPts[BYE],MATCH(TableDSTRanks[[#This Row],[RK]],TableDSTCalcPts[RK],0)),"")</f>
        <v>14</v>
      </c>
      <c r="AF13" s="272">
        <f>IFERROR(INDEX(TableDSTCalcPts[Custom],MATCH(TableDSTRanks[[#This Row],[RK]],TableDSTCalcPts[RK],0)),"")</f>
        <v>123.90086431811162</v>
      </c>
      <c r="AG13" s="273">
        <v>0</v>
      </c>
    </row>
    <row r="14" spans="1:33" x14ac:dyDescent="0.3">
      <c r="A14" s="22">
        <v>13</v>
      </c>
      <c r="B14" s="22" t="str">
        <f>IFERROR(INDEX(TableQBCalcPts[PLAYER],MATCH(TableQBRanks[[#This Row],[RK]],TableQBCalcPts[RK],0)),"")</f>
        <v>Russell Wilson</v>
      </c>
      <c r="C14" s="22" t="str">
        <f>IFERROR(INDEX(TableQBCalcPts[TM],MATCH(TableQBRanks[[#This Row],[RK]],TableQBCalcPts[RK],0)),"")</f>
        <v>DEN</v>
      </c>
      <c r="D14" s="22">
        <f>IFERROR(INDEX(TableQBCalcPts[BYE],MATCH(TableQBRanks[[#This Row],[RK]],TableQBCalcPts[RK],0)),"")</f>
        <v>9</v>
      </c>
      <c r="E14" s="272">
        <f>IFERROR(INDEX(TableQBCalcPts[Custom],MATCH(TableQBRanks[[#This Row],[RK]],TableQBCalcPts[RK],0)),"")</f>
        <v>321.28473990032666</v>
      </c>
      <c r="F14" s="273">
        <f>(((VLOOKUP(TableQBRanks[[#This Row],[Player]],'OVR &amp; VORP Ranks'!$B:$F,5,FALSE)))/('OVR &amp; VORP Ranks'!$BM$6))*(Settings!$E$10*TEAMS)</f>
        <v>14.080085846053766</v>
      </c>
      <c r="H14" s="22">
        <v>13</v>
      </c>
      <c r="I14" s="22" t="str">
        <f>IFERROR(INDEX(TableRBCalcPts[PLAYER],MATCH(TableRBRanks[[#This Row],[RK]],TableRBCalcPts[RK],0)),"")</f>
        <v>Leonard Fournette</v>
      </c>
      <c r="J14" s="22" t="str">
        <f>IFERROR(INDEX(TableRBCalcPts[TM],MATCH(TableRBRanks[[#This Row],[RK]],TableRBCalcPts[RK],0)),"")</f>
        <v>TB</v>
      </c>
      <c r="K14" s="22">
        <f>IFERROR(INDEX(TableRBCalcPts[BYE],MATCH(TableRBRanks[[#This Row],[RK]],TableRBCalcPts[RK],0)),"")</f>
        <v>11</v>
      </c>
      <c r="L14" s="272">
        <f>IFERROR(INDEX(TableRBCalcPts[Custom],MATCH(TableRBRanks[[#This Row],[RK]],TableRBCalcPts[RK],0)),"")</f>
        <v>200.23463104926964</v>
      </c>
      <c r="M14" s="273">
        <f>(((VLOOKUP(TableRBRanks[[#This Row],[Player]],'OVR &amp; VORP Ranks'!$I:$M,5,FALSE)))/('OVR &amp; VORP Ranks'!$BM$6))*(Settings!$E$10*TEAMS)</f>
        <v>50.111924660653621</v>
      </c>
      <c r="O14" s="22">
        <v>13</v>
      </c>
      <c r="P14" s="22" t="str">
        <f>IFERROR(INDEX(TableWRCalcPts[PLAYER],MATCH(TableWRRanks[[#This Row],[RK]],TableWRCalcPts[RK],0)),"")</f>
        <v>Michael Pittman</v>
      </c>
      <c r="Q14" s="22" t="str">
        <f>IFERROR(INDEX(TableWRCalcPts[TM],MATCH(TableWRRanks[[#This Row],[RK]],TableWRCalcPts[RK],0)),"")</f>
        <v>IND</v>
      </c>
      <c r="R14" s="22">
        <f>IFERROR(INDEX(TableWRCalcPts[BYE],MATCH(TableWRRanks[[#This Row],[RK]],TableWRCalcPts[RK],0)),"")</f>
        <v>14</v>
      </c>
      <c r="S14" s="272">
        <f>IFERROR(INDEX(TableWRCalcPts[Custom],MATCH(TableWRRanks[[#This Row],[RK]],TableWRCalcPts[RK],0)),"")</f>
        <v>157.32741468517131</v>
      </c>
      <c r="T14" s="273">
        <f>(((VLOOKUP(TableWRRanks[[#This Row],[Player]],'OVR &amp; VORP Ranks'!$P:$T,5,FALSE)))/('OVR &amp; VORP Ranks'!$BM$6))*(Settings!$E$10*TEAMS)</f>
        <v>22.776780144256673</v>
      </c>
      <c r="V14" s="22">
        <v>13</v>
      </c>
      <c r="W14" s="274" t="str">
        <f>IFERROR(INDEX(TableTECalcPts[PLAYER],MATCH(TableTERanks[[#This Row],[RK]],TableTECalcPts[RK],0)),"")</f>
        <v>David Njoku</v>
      </c>
      <c r="X14" s="22" t="str">
        <f>IFERROR(INDEX(TableTECalcPts[TM],MATCH(TableTERanks[[#This Row],[RK]],TableTECalcPts[RK],0)),"")</f>
        <v>CLE</v>
      </c>
      <c r="Y14" s="22">
        <f>IFERROR(INDEX(TableTECalcPts[BYE],MATCH(TableTERanks[[#This Row],[RK]],TableTECalcPts[RK],0)),"")</f>
        <v>9</v>
      </c>
      <c r="Z14" s="272">
        <f>IFERROR(INDEX(TableTECalcPts[Custom],MATCH(TableTERanks[[#This Row],[RK]],TableTECalcPts[RK],0)),"")</f>
        <v>98.103124524733062</v>
      </c>
      <c r="AA14" s="273">
        <f>(((VLOOKUP(TableTERanks[[#This Row],[Player]],'OVR &amp; VORP Ranks'!$W:$AA,5,FALSE)))/('OVR &amp; VORP Ranks'!$BM$6))*(Settings!$E$10*TEAMS)</f>
        <v>-2.179027183663222</v>
      </c>
      <c r="AC14" s="22">
        <v>13</v>
      </c>
      <c r="AD14" s="22" t="str">
        <f>IFERROR(INDEX(TableDSTCalcPts[PLAYER],MATCH(TableDSTRanks[[#This Row],[RK]],TableDSTCalcPts[RK],0)),"")</f>
        <v>Minnesota Vikings</v>
      </c>
      <c r="AE14" s="22">
        <f>IFERROR(INDEX(TableDSTCalcPts[BYE],MATCH(TableDSTRanks[[#This Row],[RK]],TableDSTCalcPts[RK],0)),"")</f>
        <v>7</v>
      </c>
      <c r="AF14" s="272">
        <f>IFERROR(INDEX(TableDSTCalcPts[Custom],MATCH(TableDSTRanks[[#This Row],[RK]],TableDSTCalcPts[RK],0)),"")</f>
        <v>122.84825294894627</v>
      </c>
      <c r="AG14" s="273">
        <v>0</v>
      </c>
    </row>
    <row r="15" spans="1:33" x14ac:dyDescent="0.3">
      <c r="A15" s="22">
        <v>14</v>
      </c>
      <c r="B15" s="22" t="str">
        <f>IFERROR(INDEX(TableQBCalcPts[PLAYER],MATCH(TableQBRanks[[#This Row],[RK]],TableQBCalcPts[RK],0)),"")</f>
        <v>Trevor Lawrence</v>
      </c>
      <c r="C15" s="22" t="str">
        <f>IFERROR(INDEX(TableQBCalcPts[TM],MATCH(TableQBRanks[[#This Row],[RK]],TableQBCalcPts[RK],0)),"")</f>
        <v>JAX</v>
      </c>
      <c r="D15" s="22">
        <f>IFERROR(INDEX(TableQBCalcPts[BYE],MATCH(TableQBRanks[[#This Row],[RK]],TableQBCalcPts[RK],0)),"")</f>
        <v>11</v>
      </c>
      <c r="E15" s="272">
        <f>IFERROR(INDEX(TableQBCalcPts[Custom],MATCH(TableQBRanks[[#This Row],[RK]],TableQBCalcPts[RK],0)),"")</f>
        <v>317.61171397799848</v>
      </c>
      <c r="F15" s="273">
        <f>(((VLOOKUP(TableQBRanks[[#This Row],[Player]],'OVR &amp; VORP Ranks'!$B:$F,5,FALSE)))/('OVR &amp; VORP Ranks'!$BM$6))*(Settings!$E$10*TEAMS)</f>
        <v>13.54689268333814</v>
      </c>
      <c r="H15" s="22">
        <v>14</v>
      </c>
      <c r="I15" s="22" t="str">
        <f>IFERROR(INDEX(TableRBCalcPts[PLAYER],MATCH(TableRBRanks[[#This Row],[RK]],TableRBCalcPts[RK],0)),"")</f>
        <v>Antonio Gibson</v>
      </c>
      <c r="J15" s="22" t="str">
        <f>IFERROR(INDEX(TableRBCalcPts[TM],MATCH(TableRBRanks[[#This Row],[RK]],TableRBCalcPts[RK],0)),"")</f>
        <v>WSH</v>
      </c>
      <c r="K15" s="22">
        <f>IFERROR(INDEX(TableRBCalcPts[BYE],MATCH(TableRBRanks[[#This Row],[RK]],TableRBCalcPts[RK],0)),"")</f>
        <v>14</v>
      </c>
      <c r="L15" s="272">
        <f>IFERROR(INDEX(TableRBCalcPts[Custom],MATCH(TableRBRanks[[#This Row],[RK]],TableRBCalcPts[RK],0)),"")</f>
        <v>200.04508768685292</v>
      </c>
      <c r="M15" s="273">
        <f>(((VLOOKUP(TableRBRanks[[#This Row],[Player]],'OVR &amp; VORP Ranks'!$I:$M,5,FALSE)))/('OVR &amp; VORP Ranks'!$BM$6))*(Settings!$E$10*TEAMS)</f>
        <v>50.015899402176274</v>
      </c>
      <c r="O15" s="274">
        <v>14</v>
      </c>
      <c r="P15" s="274" t="str">
        <f>IFERROR(INDEX(TableWRCalcPts[PLAYER],MATCH(TableWRRanks[[#This Row],[RK]],TableWRCalcPts[RK],0)),"")</f>
        <v>Amari Cooper</v>
      </c>
      <c r="Q15" s="22" t="str">
        <f>IFERROR(INDEX(TableWRCalcPts[TM],MATCH(TableWRRanks[[#This Row],[RK]],TableWRCalcPts[RK],0)),"")</f>
        <v>CLE</v>
      </c>
      <c r="R15" s="22">
        <f>IFERROR(INDEX(TableWRCalcPts[BYE],MATCH(TableWRRanks[[#This Row],[RK]],TableWRCalcPts[RK],0)),"")</f>
        <v>9</v>
      </c>
      <c r="S15" s="272">
        <f>IFERROR(INDEX(TableWRCalcPts[Custom],MATCH(TableWRRanks[[#This Row],[RK]],TableWRCalcPts[RK],0)),"")</f>
        <v>156.91573129483072</v>
      </c>
      <c r="T15" s="273">
        <f>(((VLOOKUP(TableWRRanks[[#This Row],[Player]],'OVR &amp; VORP Ranks'!$P:$T,5,FALSE)))/('OVR &amp; VORP Ranks'!$BM$6))*(Settings!$E$10*TEAMS)</f>
        <v>22.582863544006234</v>
      </c>
      <c r="V15" s="274">
        <v>14</v>
      </c>
      <c r="W15" s="274" t="str">
        <f>IFERROR(INDEX(TableTECalcPts[PLAYER],MATCH(TableTERanks[[#This Row],[RK]],TableTECalcPts[RK],0)),"")</f>
        <v>Pat Freiermuth</v>
      </c>
      <c r="X15" s="22" t="str">
        <f>IFERROR(INDEX(TableTECalcPts[TM],MATCH(TableTERanks[[#This Row],[RK]],TableTECalcPts[RK],0)),"")</f>
        <v>PIT</v>
      </c>
      <c r="Y15" s="22">
        <f>IFERROR(INDEX(TableTECalcPts[BYE],MATCH(TableTERanks[[#This Row],[RK]],TableTECalcPts[RK],0)),"")</f>
        <v>9</v>
      </c>
      <c r="Z15" s="272">
        <f>IFERROR(INDEX(TableTECalcPts[Custom],MATCH(TableTERanks[[#This Row],[RK]],TableTECalcPts[RK],0)),"")</f>
        <v>95.849834967367968</v>
      </c>
      <c r="AA15" s="273">
        <f>(((VLOOKUP(TableTERanks[[#This Row],[Player]],'OVR &amp; VORP Ranks'!$W:$AA,5,FALSE)))/('OVR &amp; VORP Ranks'!$BM$6))*(Settings!$E$10*TEAMS)</f>
        <v>-3.3079478549650481</v>
      </c>
      <c r="AC15" s="22">
        <v>14</v>
      </c>
      <c r="AD15" s="22" t="str">
        <f>IFERROR(INDEX(TableDSTCalcPts[PLAYER],MATCH(TableDSTRanks[[#This Row],[RK]],TableDSTCalcPts[RK],0)),"")</f>
        <v>Los Angeles Rams</v>
      </c>
      <c r="AE15" s="22">
        <f>IFERROR(INDEX(TableDSTCalcPts[BYE],MATCH(TableDSTRanks[[#This Row],[RK]],TableDSTCalcPts[RK],0)),"")</f>
        <v>7</v>
      </c>
      <c r="AF15" s="272">
        <f>IFERROR(INDEX(TableDSTCalcPts[Custom],MATCH(TableDSTRanks[[#This Row],[RK]],TableDSTCalcPts[RK],0)),"")</f>
        <v>122.17576203614043</v>
      </c>
      <c r="AG15" s="273">
        <v>0</v>
      </c>
    </row>
    <row r="16" spans="1:33" x14ac:dyDescent="0.3">
      <c r="A16" s="22">
        <v>15</v>
      </c>
      <c r="B16" s="22" t="str">
        <f>IFERROR(INDEX(TableQBCalcPts[PLAYER],MATCH(TableQBRanks[[#This Row],[RK]],TableQBCalcPts[RK],0)),"")</f>
        <v>Justin Fields</v>
      </c>
      <c r="C16" s="22" t="str">
        <f>IFERROR(INDEX(TableQBCalcPts[TM],MATCH(TableQBRanks[[#This Row],[RK]],TableQBCalcPts[RK],0)),"")</f>
        <v>CHI</v>
      </c>
      <c r="D16" s="22">
        <f>IFERROR(INDEX(TableQBCalcPts[BYE],MATCH(TableQBRanks[[#This Row],[RK]],TableQBCalcPts[RK],0)),"")</f>
        <v>14</v>
      </c>
      <c r="E16" s="272">
        <f>IFERROR(INDEX(TableQBCalcPts[Custom],MATCH(TableQBRanks[[#This Row],[RK]],TableQBCalcPts[RK],0)),"")</f>
        <v>309.50928958655686</v>
      </c>
      <c r="F16" s="273">
        <f>(((VLOOKUP(TableQBRanks[[#This Row],[Player]],'OVR &amp; VORP Ranks'!$B:$F,5,FALSE)))/('OVR &amp; VORP Ranks'!$BM$6))*(Settings!$E$10*TEAMS)</f>
        <v>11.875907757401784</v>
      </c>
      <c r="H16" s="22">
        <v>15</v>
      </c>
      <c r="I16" s="22" t="str">
        <f>IFERROR(INDEX(TableRBCalcPts[PLAYER],MATCH(TableRBRanks[[#This Row],[RK]],TableRBCalcPts[RK],0)),"")</f>
        <v>D'Andre Swift</v>
      </c>
      <c r="J16" s="22" t="str">
        <f>IFERROR(INDEX(TableRBCalcPts[TM],MATCH(TableRBRanks[[#This Row],[RK]],TableRBCalcPts[RK],0)),"")</f>
        <v>DET</v>
      </c>
      <c r="K16" s="22">
        <f>IFERROR(INDEX(TableRBCalcPts[BYE],MATCH(TableRBRanks[[#This Row],[RK]],TableRBCalcPts[RK],0)),"")</f>
        <v>6</v>
      </c>
      <c r="L16" s="272">
        <f>IFERROR(INDEX(TableRBCalcPts[Custom],MATCH(TableRBRanks[[#This Row],[RK]],TableRBCalcPts[RK],0)),"")</f>
        <v>197.4565660239515</v>
      </c>
      <c r="M16" s="273">
        <f>(((VLOOKUP(TableRBRanks[[#This Row],[Player]],'OVR &amp; VORP Ranks'!$I:$M,5,FALSE)))/('OVR &amp; VORP Ranks'!$BM$6))*(Settings!$E$10*TEAMS)</f>
        <v>48.704518942395943</v>
      </c>
      <c r="O16" s="22">
        <v>15</v>
      </c>
      <c r="P16" s="274" t="str">
        <f>IFERROR(INDEX(TableWRCalcPts[PLAYER],MATCH(TableWRRanks[[#This Row],[RK]],TableWRCalcPts[RK],0)),"")</f>
        <v>Keenan Allen</v>
      </c>
      <c r="Q16" s="22" t="str">
        <f>IFERROR(INDEX(TableWRCalcPts[TM],MATCH(TableWRRanks[[#This Row],[RK]],TableWRCalcPts[RK],0)),"")</f>
        <v>LAC</v>
      </c>
      <c r="R16" s="22">
        <f>IFERROR(INDEX(TableWRCalcPts[BYE],MATCH(TableWRRanks[[#This Row],[RK]],TableWRCalcPts[RK],0)),"")</f>
        <v>8</v>
      </c>
      <c r="S16" s="272">
        <f>IFERROR(INDEX(TableWRCalcPts[Custom],MATCH(TableWRRanks[[#This Row],[RK]],TableWRCalcPts[RK],0)),"")</f>
        <v>151.05767453585224</v>
      </c>
      <c r="T16" s="273">
        <f>(((VLOOKUP(TableWRRanks[[#This Row],[Player]],'OVR &amp; VORP Ranks'!$P:$T,5,FALSE)))/('OVR &amp; VORP Ranks'!$BM$6))*(Settings!$E$10*TEAMS)</f>
        <v>19.82352353314155</v>
      </c>
      <c r="V16" s="22">
        <v>15</v>
      </c>
      <c r="W16" s="274" t="str">
        <f>IFERROR(INDEX(TableTECalcPts[PLAYER],MATCH(TableTERanks[[#This Row],[RK]],TableTECalcPts[RK],0)),"")</f>
        <v>Hunter Henry</v>
      </c>
      <c r="X16" s="22" t="str">
        <f>IFERROR(INDEX(TableTECalcPts[TM],MATCH(TableTERanks[[#This Row],[RK]],TableTECalcPts[RK],0)),"")</f>
        <v>NE</v>
      </c>
      <c r="Y16" s="22">
        <f>IFERROR(INDEX(TableTECalcPts[BYE],MATCH(TableTERanks[[#This Row],[RK]],TableTECalcPts[RK],0)),"")</f>
        <v>10</v>
      </c>
      <c r="Z16" s="272">
        <f>IFERROR(INDEX(TableTECalcPts[Custom],MATCH(TableTERanks[[#This Row],[RK]],TableTECalcPts[RK],0)),"")</f>
        <v>95.676800335250789</v>
      </c>
      <c r="AA16" s="273">
        <f>(((VLOOKUP(TableTERanks[[#This Row],[Player]],'OVR &amp; VORP Ranks'!$W:$AA,5,FALSE)))/('OVR &amp; VORP Ranks'!$BM$6))*(Settings!$E$10*TEAMS)</f>
        <v>-3.3946399413902908</v>
      </c>
      <c r="AC16" s="22">
        <v>15</v>
      </c>
      <c r="AD16" s="22" t="str">
        <f>IFERROR(INDEX(TableDSTCalcPts[PLAYER],MATCH(TableDSTRanks[[#This Row],[RK]],TableDSTCalcPts[RK],0)),"")</f>
        <v>Cleveland Browns</v>
      </c>
      <c r="AE16" s="22">
        <f>IFERROR(INDEX(TableDSTCalcPts[BYE],MATCH(TableDSTRanks[[#This Row],[RK]],TableDSTCalcPts[RK],0)),"")</f>
        <v>9</v>
      </c>
      <c r="AF16" s="272">
        <f>IFERROR(INDEX(TableDSTCalcPts[Custom],MATCH(TableDSTRanks[[#This Row],[RK]],TableDSTCalcPts[RK],0)),"")</f>
        <v>121.27147995232988</v>
      </c>
      <c r="AG16" s="273">
        <v>0</v>
      </c>
    </row>
    <row r="17" spans="1:33" x14ac:dyDescent="0.3">
      <c r="A17" s="22">
        <v>16</v>
      </c>
      <c r="B17" s="22" t="str">
        <f>IFERROR(INDEX(TableQBCalcPts[PLAYER],MATCH(TableQBRanks[[#This Row],[RK]],TableQBCalcPts[RK],0)),"")</f>
        <v>Derek Carr</v>
      </c>
      <c r="C17" s="22" t="str">
        <f>IFERROR(INDEX(TableQBCalcPts[TM],MATCH(TableQBRanks[[#This Row],[RK]],TableQBCalcPts[RK],0)),"")</f>
        <v>LV</v>
      </c>
      <c r="D17" s="22">
        <f>IFERROR(INDEX(TableQBCalcPts[BYE],MATCH(TableQBRanks[[#This Row],[RK]],TableQBCalcPts[RK],0)),"")</f>
        <v>6</v>
      </c>
      <c r="E17" s="272">
        <f>IFERROR(INDEX(TableQBCalcPts[Custom],MATCH(TableQBRanks[[#This Row],[RK]],TableQBCalcPts[RK],0)),"")</f>
        <v>302.05894196246436</v>
      </c>
      <c r="F17" s="273">
        <f>(((VLOOKUP(TableQBRanks[[#This Row],[Player]],'OVR &amp; VORP Ranks'!$B:$F,5,FALSE)))/('OVR &amp; VORP Ranks'!$BM$6))*(Settings!$E$10*TEAMS)</f>
        <v>10.6668664538655</v>
      </c>
      <c r="H17" s="22">
        <v>16</v>
      </c>
      <c r="I17" s="22" t="str">
        <f>IFERROR(INDEX(TableRBCalcPts[PLAYER],MATCH(TableRBRanks[[#This Row],[RK]],TableRBCalcPts[RK],0)),"")</f>
        <v>Aaron Jones</v>
      </c>
      <c r="J17" s="22" t="str">
        <f>IFERROR(INDEX(TableRBCalcPts[TM],MATCH(TableRBRanks[[#This Row],[RK]],TableRBCalcPts[RK],0)),"")</f>
        <v>GB</v>
      </c>
      <c r="K17" s="22">
        <f>IFERROR(INDEX(TableRBCalcPts[BYE],MATCH(TableRBRanks[[#This Row],[RK]],TableRBCalcPts[RK],0)),"")</f>
        <v>14</v>
      </c>
      <c r="L17" s="272">
        <f>IFERROR(INDEX(TableRBCalcPts[Custom],MATCH(TableRBRanks[[#This Row],[RK]],TableRBCalcPts[RK],0)),"")</f>
        <v>196.51276269904162</v>
      </c>
      <c r="M17" s="273">
        <f>(((VLOOKUP(TableRBRanks[[#This Row],[Player]],'OVR &amp; VORP Ranks'!$I:$M,5,FALSE)))/('OVR &amp; VORP Ranks'!$BM$6))*(Settings!$E$10*TEAMS)</f>
        <v>48.226375276109124</v>
      </c>
      <c r="O17" s="22">
        <v>16</v>
      </c>
      <c r="P17" s="22" t="str">
        <f>IFERROR(INDEX(TableWRCalcPts[PLAYER],MATCH(TableWRRanks[[#This Row],[RK]],TableWRCalcPts[RK],0)),"")</f>
        <v>Diontae Johnson</v>
      </c>
      <c r="Q17" s="22" t="str">
        <f>IFERROR(INDEX(TableWRCalcPts[TM],MATCH(TableWRRanks[[#This Row],[RK]],TableWRCalcPts[RK],0)),"")</f>
        <v>PIT</v>
      </c>
      <c r="R17" s="22">
        <f>IFERROR(INDEX(TableWRCalcPts[BYE],MATCH(TableWRRanks[[#This Row],[RK]],TableWRCalcPts[RK],0)),"")</f>
        <v>9</v>
      </c>
      <c r="S17" s="272">
        <f>IFERROR(INDEX(TableWRCalcPts[Custom],MATCH(TableWRRanks[[#This Row],[RK]],TableWRCalcPts[RK],0)),"")</f>
        <v>150.82650522066166</v>
      </c>
      <c r="T17" s="273">
        <f>(((VLOOKUP(TableWRRanks[[#This Row],[Player]],'OVR &amp; VORP Ranks'!$P:$T,5,FALSE)))/('OVR &amp; VORP Ranks'!$BM$6))*(Settings!$E$10*TEAMS)</f>
        <v>19.714635079694609</v>
      </c>
      <c r="V17" s="22">
        <v>16</v>
      </c>
      <c r="W17" s="274" t="str">
        <f>IFERROR(INDEX(TableTECalcPts[PLAYER],MATCH(TableTERanks[[#This Row],[RK]],TableTECalcPts[RK],0)),"")</f>
        <v>Cole Kmet</v>
      </c>
      <c r="X17" s="22" t="str">
        <f>IFERROR(INDEX(TableTECalcPts[TM],MATCH(TableTERanks[[#This Row],[RK]],TableTECalcPts[RK],0)),"")</f>
        <v>CHI</v>
      </c>
      <c r="Y17" s="22">
        <f>IFERROR(INDEX(TableTECalcPts[BYE],MATCH(TableTERanks[[#This Row],[RK]],TableTECalcPts[RK],0)),"")</f>
        <v>14</v>
      </c>
      <c r="Z17" s="272">
        <f>IFERROR(INDEX(TableTECalcPts[Custom],MATCH(TableTERanks[[#This Row],[RK]],TableTECalcPts[RK],0)),"")</f>
        <v>92.695204078308137</v>
      </c>
      <c r="AA17" s="273">
        <f>(((VLOOKUP(TableTERanks[[#This Row],[Player]],'OVR &amp; VORP Ranks'!$W:$AA,5,FALSE)))/('OVR &amp; VORP Ranks'!$BM$6))*(Settings!$E$10*TEAMS)</f>
        <v>-4.8884495749265851</v>
      </c>
      <c r="AC17" s="22">
        <v>16</v>
      </c>
      <c r="AD17" s="22" t="str">
        <f>IFERROR(INDEX(TableDSTCalcPts[PLAYER],MATCH(TableDSTRanks[[#This Row],[RK]],TableDSTCalcPts[RK],0)),"")</f>
        <v>Denver Broncos</v>
      </c>
      <c r="AE17" s="22">
        <f>IFERROR(INDEX(TableDSTCalcPts[BYE],MATCH(TableDSTRanks[[#This Row],[RK]],TableDSTCalcPts[RK],0)),"")</f>
        <v>9</v>
      </c>
      <c r="AF17" s="272">
        <f>IFERROR(INDEX(TableDSTCalcPts[Custom],MATCH(TableDSTRanks[[#This Row],[RK]],TableDSTCalcPts[RK],0)),"")</f>
        <v>120.32839499657774</v>
      </c>
      <c r="AG17" s="273">
        <v>0</v>
      </c>
    </row>
    <row r="18" spans="1:33" x14ac:dyDescent="0.3">
      <c r="A18" s="22">
        <v>17</v>
      </c>
      <c r="B18" s="22" t="str">
        <f>IFERROR(INDEX(TableQBCalcPts[PLAYER],MATCH(TableQBRanks[[#This Row],[RK]],TableQBCalcPts[RK],0)),"")</f>
        <v>Kirk Cousins</v>
      </c>
      <c r="C18" s="22" t="str">
        <f>IFERROR(INDEX(TableQBCalcPts[TM],MATCH(TableQBRanks[[#This Row],[RK]],TableQBCalcPts[RK],0)),"")</f>
        <v>MIN</v>
      </c>
      <c r="D18" s="22">
        <f>IFERROR(INDEX(TableQBCalcPts[BYE],MATCH(TableQBRanks[[#This Row],[RK]],TableQBCalcPts[RK],0)),"")</f>
        <v>7</v>
      </c>
      <c r="E18" s="272">
        <f>IFERROR(INDEX(TableQBCalcPts[Custom],MATCH(TableQBRanks[[#This Row],[RK]],TableQBCalcPts[RK],0)),"")</f>
        <v>301.93338591922918</v>
      </c>
      <c r="F18" s="273">
        <f>(((VLOOKUP(TableQBRanks[[#This Row],[Player]],'OVR &amp; VORP Ranks'!$B:$F,5,FALSE)))/('OVR &amp; VORP Ranks'!$BM$6))*(Settings!$E$10*TEAMS)</f>
        <v>9.7891730418633891</v>
      </c>
      <c r="H18" s="22">
        <v>17</v>
      </c>
      <c r="I18" s="22" t="str">
        <f>IFERROR(INDEX(TableRBCalcPts[PLAYER],MATCH(TableRBRanks[[#This Row],[RK]],TableRBCalcPts[RK],0)),"")</f>
        <v>Javonte Williams</v>
      </c>
      <c r="J18" s="22" t="str">
        <f>IFERROR(INDEX(TableRBCalcPts[TM],MATCH(TableRBRanks[[#This Row],[RK]],TableRBCalcPts[RK],0)),"")</f>
        <v>DEN</v>
      </c>
      <c r="K18" s="22">
        <f>IFERROR(INDEX(TableRBCalcPts[BYE],MATCH(TableRBRanks[[#This Row],[RK]],TableRBCalcPts[RK],0)),"")</f>
        <v>9</v>
      </c>
      <c r="L18" s="272">
        <f>IFERROR(INDEX(TableRBCalcPts[Custom],MATCH(TableRBRanks[[#This Row],[RK]],TableRBCalcPts[RK],0)),"")</f>
        <v>192.73629649734781</v>
      </c>
      <c r="M18" s="273">
        <f>(((VLOOKUP(TableRBRanks[[#This Row],[Player]],'OVR &amp; VORP Ranks'!$I:$M,5,FALSE)))/('OVR &amp; VORP Ranks'!$BM$6))*(Settings!$E$10*TEAMS)</f>
        <v>46.313165873653872</v>
      </c>
      <c r="O18" s="274">
        <v>17</v>
      </c>
      <c r="P18" s="22" t="str">
        <f>IFERROR(INDEX(TableWRCalcPts[PLAYER],MATCH(TableWRRanks[[#This Row],[RK]],TableWRCalcPts[RK],0)),"")</f>
        <v>Allen Robinson</v>
      </c>
      <c r="Q18" s="22" t="str">
        <f>IFERROR(INDEX(TableWRCalcPts[TM],MATCH(TableWRRanks[[#This Row],[RK]],TableWRCalcPts[RK],0)),"")</f>
        <v>LAR</v>
      </c>
      <c r="R18" s="22">
        <f>IFERROR(INDEX(TableWRCalcPts[BYE],MATCH(TableWRRanks[[#This Row],[RK]],TableWRCalcPts[RK],0)),"")</f>
        <v>7</v>
      </c>
      <c r="S18" s="272">
        <f>IFERROR(INDEX(TableWRCalcPts[Custom],MATCH(TableWRRanks[[#This Row],[RK]],TableWRCalcPts[RK],0)),"")</f>
        <v>150.34659128848409</v>
      </c>
      <c r="T18" s="273">
        <f>(((VLOOKUP(TableWRRanks[[#This Row],[Player]],'OVR &amp; VORP Ranks'!$P:$T,5,FALSE)))/('OVR &amp; VORP Ranks'!$BM$6))*(Settings!$E$10*TEAMS)</f>
        <v>19.488579619784748</v>
      </c>
      <c r="V18" s="274">
        <v>17</v>
      </c>
      <c r="W18" s="22" t="str">
        <f>IFERROR(INDEX(TableTECalcPts[PLAYER],MATCH(TableTERanks[[#This Row],[RK]],TableTECalcPts[RK],0)),"")</f>
        <v>Brevin Jordan</v>
      </c>
      <c r="X18" s="22" t="str">
        <f>IFERROR(INDEX(TableTECalcPts[TM],MATCH(TableTERanks[[#This Row],[RK]],TableTECalcPts[RK],0)),"")</f>
        <v>HOU</v>
      </c>
      <c r="Y18" s="22">
        <f>IFERROR(INDEX(TableTECalcPts[BYE],MATCH(TableTERanks[[#This Row],[RK]],TableTECalcPts[RK],0)),"")</f>
        <v>6</v>
      </c>
      <c r="Z18" s="272">
        <f>IFERROR(INDEX(TableTECalcPts[Custom],MATCH(TableTERanks[[#This Row],[RK]],TableTECalcPts[RK],0)),"")</f>
        <v>87.480985240276397</v>
      </c>
      <c r="AA18" s="273">
        <f>(((VLOOKUP(TableTERanks[[#This Row],[Player]],'OVR &amp; VORP Ranks'!$W:$AA,5,FALSE)))/('OVR &amp; VORP Ranks'!$BM$6))*(Settings!$E$10*TEAMS)</f>
        <v>-7.5008255173371063</v>
      </c>
      <c r="AC18" s="22">
        <v>17</v>
      </c>
      <c r="AD18" s="22" t="str">
        <f>IFERROR(INDEX(TableDSTCalcPts[PLAYER],MATCH(TableDSTRanks[[#This Row],[RK]],TableDSTCalcPts[RK],0)),"")</f>
        <v>Kansas City Chiefs</v>
      </c>
      <c r="AE18" s="22">
        <f>IFERROR(INDEX(TableDSTCalcPts[BYE],MATCH(TableDSTRanks[[#This Row],[RK]],TableDSTCalcPts[RK],0)),"")</f>
        <v>8</v>
      </c>
      <c r="AF18" s="272">
        <f>IFERROR(INDEX(TableDSTCalcPts[Custom],MATCH(TableDSTRanks[[#This Row],[RK]],TableDSTCalcPts[RK],0)),"")</f>
        <v>119.51396935667663</v>
      </c>
      <c r="AG18" s="273">
        <v>0</v>
      </c>
    </row>
    <row r="19" spans="1:33" x14ac:dyDescent="0.3">
      <c r="A19" s="22">
        <v>18</v>
      </c>
      <c r="B19" s="22" t="str">
        <f>IFERROR(INDEX(TableQBCalcPts[PLAYER],MATCH(TableQBRanks[[#This Row],[RK]],TableQBCalcPts[RK],0)),"")</f>
        <v>Tua Tagovailoa</v>
      </c>
      <c r="C19" s="22" t="str">
        <f>IFERROR(INDEX(TableQBCalcPts[TM],MATCH(TableQBRanks[[#This Row],[RK]],TableQBCalcPts[RK],0)),"")</f>
        <v>MIA</v>
      </c>
      <c r="D19" s="22">
        <f>IFERROR(INDEX(TableQBCalcPts[BYE],MATCH(TableQBRanks[[#This Row],[RK]],TableQBCalcPts[RK],0)),"")</f>
        <v>11</v>
      </c>
      <c r="E19" s="272">
        <f>IFERROR(INDEX(TableQBCalcPts[Custom],MATCH(TableQBRanks[[#This Row],[RK]],TableQBCalcPts[RK],0)),"")</f>
        <v>298.54252678254943</v>
      </c>
      <c r="F19" s="273">
        <f>(((VLOOKUP(TableQBRanks[[#This Row],[Player]],'OVR &amp; VORP Ranks'!$B:$F,5,FALSE)))/('OVR &amp; VORP Ranks'!$BM$6))*(Settings!$E$10*TEAMS)</f>
        <v>8.7586588411684385</v>
      </c>
      <c r="H19" s="22">
        <v>18</v>
      </c>
      <c r="I19" s="22" t="str">
        <f>IFERROR(INDEX(TableRBCalcPts[PLAYER],MATCH(TableRBRanks[[#This Row],[RK]],TableRBCalcPts[RK],0)),"")</f>
        <v>Alvin Kamara</v>
      </c>
      <c r="J19" s="22" t="str">
        <f>IFERROR(INDEX(TableRBCalcPts[TM],MATCH(TableRBRanks[[#This Row],[RK]],TableRBCalcPts[RK],0)),"")</f>
        <v>NO</v>
      </c>
      <c r="K19" s="22">
        <f>IFERROR(INDEX(TableRBCalcPts[BYE],MATCH(TableRBRanks[[#This Row],[RK]],TableRBCalcPts[RK],0)),"")</f>
        <v>14</v>
      </c>
      <c r="L19" s="272">
        <f>IFERROR(INDEX(TableRBCalcPts[Custom],MATCH(TableRBRanks[[#This Row],[RK]],TableRBCalcPts[RK],0)),"")</f>
        <v>190.20018269680975</v>
      </c>
      <c r="M19" s="273">
        <f>(((VLOOKUP(TableRBRanks[[#This Row],[Player]],'OVR &amp; VORP Ranks'!$I:$M,5,FALSE)))/('OVR &amp; VORP Ranks'!$BM$6))*(Settings!$E$10*TEAMS)</f>
        <v>45.028335953367638</v>
      </c>
      <c r="O19" s="22">
        <v>18</v>
      </c>
      <c r="P19" s="22" t="str">
        <f>IFERROR(INDEX(TableWRCalcPts[PLAYER],MATCH(TableWRRanks[[#This Row],[RK]],TableWRCalcPts[RK],0)),"")</f>
        <v>DK Metcalf</v>
      </c>
      <c r="Q19" s="22" t="str">
        <f>IFERROR(INDEX(TableWRCalcPts[TM],MATCH(TableWRRanks[[#This Row],[RK]],TableWRCalcPts[RK],0)),"")</f>
        <v>SEA</v>
      </c>
      <c r="R19" s="22">
        <f>IFERROR(INDEX(TableWRCalcPts[BYE],MATCH(TableWRRanks[[#This Row],[RK]],TableWRCalcPts[RK],0)),"")</f>
        <v>11</v>
      </c>
      <c r="S19" s="272">
        <f>IFERROR(INDEX(TableWRCalcPts[Custom],MATCH(TableWRRanks[[#This Row],[RK]],TableWRCalcPts[RK],0)),"")</f>
        <v>150.29995128334309</v>
      </c>
      <c r="T19" s="273">
        <f>(((VLOOKUP(TableWRRanks[[#This Row],[Player]],'OVR &amp; VORP Ranks'!$P:$T,5,FALSE)))/('OVR &amp; VORP Ranks'!$BM$6))*(Settings!$E$10*TEAMS)</f>
        <v>19.46661062262622</v>
      </c>
      <c r="V19" s="22">
        <v>18</v>
      </c>
      <c r="W19" s="274" t="str">
        <f>IFERROR(INDEX(TableTECalcPts[PLAYER],MATCH(TableTERanks[[#This Row],[RK]],TableTECalcPts[RK],0)),"")</f>
        <v>Gerald Everett</v>
      </c>
      <c r="X19" s="22" t="str">
        <f>IFERROR(INDEX(TableTECalcPts[TM],MATCH(TableTERanks[[#This Row],[RK]],TableTECalcPts[RK],0)),"")</f>
        <v>LAC</v>
      </c>
      <c r="Y19" s="22">
        <f>IFERROR(INDEX(TableTECalcPts[BYE],MATCH(TableTERanks[[#This Row],[RK]],TableTECalcPts[RK],0)),"")</f>
        <v>8</v>
      </c>
      <c r="Z19" s="272">
        <f>IFERROR(INDEX(TableTECalcPts[Custom],MATCH(TableTERanks[[#This Row],[RK]],TableTECalcPts[RK],0)),"")</f>
        <v>86.501515712526853</v>
      </c>
      <c r="AA19" s="273">
        <f>(((VLOOKUP(TableTERanks[[#This Row],[Player]],'OVR &amp; VORP Ranks'!$W:$AA,5,FALSE)))/('OVR &amp; VORP Ranks'!$BM$6))*(Settings!$E$10*TEAMS)</f>
        <v>-7.9915495759351103</v>
      </c>
      <c r="AC19" s="22">
        <v>18</v>
      </c>
      <c r="AD19" s="22" t="str">
        <f>IFERROR(INDEX(TableDSTCalcPts[PLAYER],MATCH(TableDSTRanks[[#This Row],[RK]],TableDSTCalcPts[RK],0)),"")</f>
        <v>Washington Commanders</v>
      </c>
      <c r="AE19" s="22">
        <f>IFERROR(INDEX(TableDSTCalcPts[BYE],MATCH(TableDSTRanks[[#This Row],[RK]],TableDSTCalcPts[RK],0)),"")</f>
        <v>14</v>
      </c>
      <c r="AF19" s="272">
        <f>IFERROR(INDEX(TableDSTCalcPts[Custom],MATCH(TableDSTRanks[[#This Row],[RK]],TableDSTCalcPts[RK],0)),"")</f>
        <v>118.755400011327</v>
      </c>
      <c r="AG19" s="273">
        <v>0</v>
      </c>
    </row>
    <row r="20" spans="1:33" x14ac:dyDescent="0.3">
      <c r="A20" s="22">
        <v>19</v>
      </c>
      <c r="B20" s="22" t="str">
        <f>IFERROR(INDEX(TableQBCalcPts[PLAYER],MATCH(TableQBRanks[[#This Row],[RK]],TableQBCalcPts[RK],0)),"")</f>
        <v>Carson Wentz</v>
      </c>
      <c r="C20" s="22" t="str">
        <f>IFERROR(INDEX(TableQBCalcPts[TM],MATCH(TableQBRanks[[#This Row],[RK]],TableQBCalcPts[RK],0)),"")</f>
        <v>WSH</v>
      </c>
      <c r="D20" s="22">
        <f>IFERROR(INDEX(TableQBCalcPts[BYE],MATCH(TableQBRanks[[#This Row],[RK]],TableQBCalcPts[RK],0)),"")</f>
        <v>14</v>
      </c>
      <c r="E20" s="272">
        <f>IFERROR(INDEX(TableQBCalcPts[Custom],MATCH(TableQBRanks[[#This Row],[RK]],TableQBCalcPts[RK],0)),"")</f>
        <v>278.04589293460975</v>
      </c>
      <c r="F20" s="273">
        <f>(((VLOOKUP(TableQBRanks[[#This Row],[Player]],'OVR &amp; VORP Ranks'!$B:$F,5,FALSE)))/('OVR &amp; VORP Ranks'!$BM$6))*(Settings!$E$10*TEAMS)</f>
        <v>5.5647706521677289</v>
      </c>
      <c r="H20" s="22">
        <v>19</v>
      </c>
      <c r="I20" s="22" t="str">
        <f>IFERROR(INDEX(TableRBCalcPts[PLAYER],MATCH(TableRBRanks[[#This Row],[RK]],TableRBCalcPts[RK],0)),"")</f>
        <v>Josh Jacobs</v>
      </c>
      <c r="J20" s="22" t="str">
        <f>IFERROR(INDEX(TableRBCalcPts[TM],MATCH(TableRBRanks[[#This Row],[RK]],TableRBCalcPts[RK],0)),"")</f>
        <v>LV</v>
      </c>
      <c r="K20" s="22">
        <f>IFERROR(INDEX(TableRBCalcPts[BYE],MATCH(TableRBRanks[[#This Row],[RK]],TableRBCalcPts[RK],0)),"")</f>
        <v>6</v>
      </c>
      <c r="L20" s="272">
        <f>IFERROR(INDEX(TableRBCalcPts[Custom],MATCH(TableRBRanks[[#This Row],[RK]],TableRBCalcPts[RK],0)),"")</f>
        <v>188.18402241660306</v>
      </c>
      <c r="M20" s="273">
        <f>(((VLOOKUP(TableRBRanks[[#This Row],[Player]],'OVR &amp; VORP Ranks'!$I:$M,5,FALSE)))/('OVR &amp; VORP Ranks'!$BM$6))*(Settings!$E$10*TEAMS)</f>
        <v>44.006921594298781</v>
      </c>
      <c r="O20" s="22">
        <v>19</v>
      </c>
      <c r="P20" s="22" t="str">
        <f>IFERROR(INDEX(TableWRCalcPts[PLAYER],MATCH(TableWRRanks[[#This Row],[RK]],TableWRCalcPts[RK],0)),"")</f>
        <v>Gabriel Davis</v>
      </c>
      <c r="Q20" s="22" t="str">
        <f>IFERROR(INDEX(TableWRCalcPts[TM],MATCH(TableWRRanks[[#This Row],[RK]],TableWRCalcPts[RK],0)),"")</f>
        <v>BUF</v>
      </c>
      <c r="R20" s="22">
        <f>IFERROR(INDEX(TableWRCalcPts[BYE],MATCH(TableWRRanks[[#This Row],[RK]],TableWRCalcPts[RK],0)),"")</f>
        <v>7</v>
      </c>
      <c r="S20" s="272">
        <f>IFERROR(INDEX(TableWRCalcPts[Custom],MATCH(TableWRRanks[[#This Row],[RK]],TableWRCalcPts[RK],0)),"")</f>
        <v>149.8562933454524</v>
      </c>
      <c r="T20" s="273">
        <f>(((VLOOKUP(TableWRRanks[[#This Row],[Player]],'OVR &amp; VORP Ranks'!$P:$T,5,FALSE)))/('OVR &amp; VORP Ranks'!$BM$6))*(Settings!$E$10*TEAMS)</f>
        <v>19.257632944613249</v>
      </c>
      <c r="V20" s="22">
        <v>19</v>
      </c>
      <c r="W20" s="22" t="str">
        <f>IFERROR(INDEX(TableTECalcPts[PLAYER],MATCH(TableTERanks[[#This Row],[RK]],TableTECalcPts[RK],0)),"")</f>
        <v>Mike Gesicki</v>
      </c>
      <c r="X20" s="22" t="str">
        <f>IFERROR(INDEX(TableTECalcPts[TM],MATCH(TableTERanks[[#This Row],[RK]],TableTECalcPts[RK],0)),"")</f>
        <v>MIA</v>
      </c>
      <c r="Y20" s="22">
        <f>IFERROR(INDEX(TableTECalcPts[BYE],MATCH(TableTERanks[[#This Row],[RK]],TableTECalcPts[RK],0)),"")</f>
        <v>11</v>
      </c>
      <c r="Z20" s="272">
        <f>IFERROR(INDEX(TableTECalcPts[Custom],MATCH(TableTERanks[[#This Row],[RK]],TableTECalcPts[RK],0)),"")</f>
        <v>85.63439943178301</v>
      </c>
      <c r="AA20" s="273">
        <f>(((VLOOKUP(TableTERanks[[#This Row],[Player]],'OVR &amp; VORP Ranks'!$W:$AA,5,FALSE)))/('OVR &amp; VORP Ranks'!$BM$6))*(Settings!$E$10*TEAMS)</f>
        <v>-8.4259835307521609</v>
      </c>
      <c r="AC20" s="22">
        <v>19</v>
      </c>
      <c r="AD20" s="22" t="str">
        <f>IFERROR(INDEX(TableDSTCalcPts[PLAYER],MATCH(TableDSTRanks[[#This Row],[RK]],TableDSTCalcPts[RK],0)),"")</f>
        <v>Chicago Bears</v>
      </c>
      <c r="AE20" s="22">
        <f>IFERROR(INDEX(TableDSTCalcPts[BYE],MATCH(TableDSTRanks[[#This Row],[RK]],TableDSTCalcPts[RK],0)),"")</f>
        <v>14</v>
      </c>
      <c r="AF20" s="272">
        <f>IFERROR(INDEX(TableDSTCalcPts[Custom],MATCH(TableDSTRanks[[#This Row],[RK]],TableDSTCalcPts[RK],0)),"")</f>
        <v>118.04415989333287</v>
      </c>
      <c r="AG20" s="273">
        <v>0</v>
      </c>
    </row>
    <row r="21" spans="1:33" x14ac:dyDescent="0.3">
      <c r="A21" s="22">
        <v>20</v>
      </c>
      <c r="B21" s="22" t="str">
        <f>IFERROR(INDEX(TableQBCalcPts[PLAYER],MATCH(TableQBRanks[[#This Row],[RK]],TableQBCalcPts[RK],0)),"")</f>
        <v>Matt Ryan</v>
      </c>
      <c r="C21" s="22" t="str">
        <f>IFERROR(INDEX(TableQBCalcPts[TM],MATCH(TableQBRanks[[#This Row],[RK]],TableQBCalcPts[RK],0)),"")</f>
        <v>IND</v>
      </c>
      <c r="D21" s="22">
        <f>IFERROR(INDEX(TableQBCalcPts[BYE],MATCH(TableQBRanks[[#This Row],[RK]],TableQBCalcPts[RK],0)),"")</f>
        <v>14</v>
      </c>
      <c r="E21" s="272">
        <f>IFERROR(INDEX(TableQBCalcPts[Custom],MATCH(TableQBRanks[[#This Row],[RK]],TableQBCalcPts[RK],0)),"")</f>
        <v>276.76416065824327</v>
      </c>
      <c r="F21" s="273">
        <f>(((VLOOKUP(TableQBRanks[[#This Row],[Player]],'OVR &amp; VORP Ranks'!$B:$F,5,FALSE)))/('OVR &amp; VORP Ranks'!$BM$6))*(Settings!$E$10*TEAMS)</f>
        <v>4.066778130034705</v>
      </c>
      <c r="H21" s="22">
        <v>20</v>
      </c>
      <c r="I21" s="22" t="str">
        <f>IFERROR(INDEX(TableRBCalcPts[PLAYER],MATCH(TableRBRanks[[#This Row],[RK]],TableRBCalcPts[RK],0)),"")</f>
        <v>Ezekiel Elliott</v>
      </c>
      <c r="J21" s="22" t="str">
        <f>IFERROR(INDEX(TableRBCalcPts[TM],MATCH(TableRBRanks[[#This Row],[RK]],TableRBCalcPts[RK],0)),"")</f>
        <v>DAL</v>
      </c>
      <c r="K21" s="22">
        <f>IFERROR(INDEX(TableRBCalcPts[BYE],MATCH(TableRBRanks[[#This Row],[RK]],TableRBCalcPts[RK],0)),"")</f>
        <v>9</v>
      </c>
      <c r="L21" s="272">
        <f>IFERROR(INDEX(TableRBCalcPts[Custom],MATCH(TableRBRanks[[#This Row],[RK]],TableRBCalcPts[RK],0)),"")</f>
        <v>182.36319695224904</v>
      </c>
      <c r="M21" s="273">
        <f>(((VLOOKUP(TableRBRanks[[#This Row],[Player]],'OVR &amp; VORP Ranks'!$I:$M,5,FALSE)))/('OVR &amp; VORP Ranks'!$BM$6))*(Settings!$E$10*TEAMS)</f>
        <v>41.058011842780772</v>
      </c>
      <c r="O21" s="274">
        <v>20</v>
      </c>
      <c r="P21" s="22" t="str">
        <f>IFERROR(INDEX(TableWRCalcPts[PLAYER],MATCH(TableWRRanks[[#This Row],[RK]],TableWRCalcPts[RK],0)),"")</f>
        <v>Rashod Bateman</v>
      </c>
      <c r="Q21" s="22" t="str">
        <f>IFERROR(INDEX(TableWRCalcPts[TM],MATCH(TableWRRanks[[#This Row],[RK]],TableWRCalcPts[RK],0)),"")</f>
        <v>BAL</v>
      </c>
      <c r="R21" s="22">
        <f>IFERROR(INDEX(TableWRCalcPts[BYE],MATCH(TableWRRanks[[#This Row],[RK]],TableWRCalcPts[RK],0)),"")</f>
        <v>10</v>
      </c>
      <c r="S21" s="272">
        <f>IFERROR(INDEX(TableWRCalcPts[Custom],MATCH(TableWRRanks[[#This Row],[RK]],TableWRCalcPts[RK],0)),"")</f>
        <v>148.63992321748958</v>
      </c>
      <c r="T21" s="273">
        <f>(((VLOOKUP(TableWRRanks[[#This Row],[Player]],'OVR &amp; VORP Ranks'!$P:$T,5,FALSE)))/('OVR &amp; VORP Ranks'!$BM$6))*(Settings!$E$10*TEAMS)</f>
        <v>18.684682066838949</v>
      </c>
      <c r="V21" s="274">
        <v>20</v>
      </c>
      <c r="W21" s="274" t="str">
        <f>IFERROR(INDEX(TableTECalcPts[PLAYER],MATCH(TableTERanks[[#This Row],[RK]],TableTECalcPts[RK],0)),"")</f>
        <v>Albert Okwuegbunam</v>
      </c>
      <c r="X21" s="22" t="str">
        <f>IFERROR(INDEX(TableTECalcPts[TM],MATCH(TableTERanks[[#This Row],[RK]],TableTECalcPts[RK],0)),"")</f>
        <v>DEN</v>
      </c>
      <c r="Y21" s="22">
        <f>IFERROR(INDEX(TableTECalcPts[BYE],MATCH(TableTERanks[[#This Row],[RK]],TableTECalcPts[RK],0)),"")</f>
        <v>9</v>
      </c>
      <c r="Z21" s="272">
        <f>IFERROR(INDEX(TableTECalcPts[Custom],MATCH(TableTERanks[[#This Row],[RK]],TableTECalcPts[RK],0)),"")</f>
        <v>85.353394830706264</v>
      </c>
      <c r="AA21" s="273">
        <f>(((VLOOKUP(TableTERanks[[#This Row],[Player]],'OVR &amp; VORP Ranks'!$W:$AA,5,FALSE)))/('OVR &amp; VORP Ranks'!$BM$6))*(Settings!$E$10*TEAMS)</f>
        <v>-8.5667696546879686</v>
      </c>
      <c r="AC21" s="22">
        <v>20</v>
      </c>
      <c r="AD21" s="22" t="str">
        <f>IFERROR(INDEX(TableDSTCalcPts[PLAYER],MATCH(TableDSTRanks[[#This Row],[RK]],TableDSTCalcPts[RK],0)),"")</f>
        <v>Cincinnati Bengals</v>
      </c>
      <c r="AE21" s="22">
        <f>IFERROR(INDEX(TableDSTCalcPts[BYE],MATCH(TableDSTRanks[[#This Row],[RK]],TableDSTCalcPts[RK],0)),"")</f>
        <v>10</v>
      </c>
      <c r="AF21" s="272">
        <f>IFERROR(INDEX(TableDSTCalcPts[Custom],MATCH(TableDSTRanks[[#This Row],[RK]],TableDSTCalcPts[RK],0)),"")</f>
        <v>117.70189775776983</v>
      </c>
      <c r="AG21" s="273">
        <v>0</v>
      </c>
    </row>
    <row r="22" spans="1:33" x14ac:dyDescent="0.3">
      <c r="A22" s="22">
        <v>21</v>
      </c>
      <c r="B22" s="22" t="str">
        <f>IFERROR(INDEX(TableQBCalcPts[PLAYER],MATCH(TableQBRanks[[#This Row],[RK]],TableQBCalcPts[RK],0)),"")</f>
        <v>Zach Wilson</v>
      </c>
      <c r="C22" s="22" t="str">
        <f>IFERROR(INDEX(TableQBCalcPts[TM],MATCH(TableQBRanks[[#This Row],[RK]],TableQBCalcPts[RK],0)),"")</f>
        <v>NYJ</v>
      </c>
      <c r="D22" s="22">
        <f>IFERROR(INDEX(TableQBCalcPts[BYE],MATCH(TableQBRanks[[#This Row],[RK]],TableQBCalcPts[RK],0)),"")</f>
        <v>10</v>
      </c>
      <c r="E22" s="272">
        <f>IFERROR(INDEX(TableQBCalcPts[Custom],MATCH(TableQBRanks[[#This Row],[RK]],TableQBCalcPts[RK],0)),"")</f>
        <v>276.60231184125121</v>
      </c>
      <c r="F22" s="273">
        <f>(((VLOOKUP(TableQBRanks[[#This Row],[Player]],'OVR &amp; VORP Ranks'!$B:$F,5,FALSE)))/('OVR &amp; VORP Ranks'!$BM$6))*(Settings!$E$10*TEAMS)</f>
        <v>1.8392513870929776</v>
      </c>
      <c r="H22" s="22">
        <v>21</v>
      </c>
      <c r="I22" s="22" t="str">
        <f>IFERROR(INDEX(TableRBCalcPts[PLAYER],MATCH(TableRBRanks[[#This Row],[RK]],TableRBCalcPts[RK],0)),"")</f>
        <v>Damien Harris</v>
      </c>
      <c r="J22" s="22" t="str">
        <f>IFERROR(INDEX(TableRBCalcPts[TM],MATCH(TableRBRanks[[#This Row],[RK]],TableRBCalcPts[RK],0)),"")</f>
        <v>NE</v>
      </c>
      <c r="K22" s="22">
        <f>IFERROR(INDEX(TableRBCalcPts[BYE],MATCH(TableRBRanks[[#This Row],[RK]],TableRBCalcPts[RK],0)),"")</f>
        <v>10</v>
      </c>
      <c r="L22" s="272">
        <f>IFERROR(INDEX(TableRBCalcPts[Custom],MATCH(TableRBRanks[[#This Row],[RK]],TableRBCalcPts[RK],0)),"")</f>
        <v>172.68702648572901</v>
      </c>
      <c r="M22" s="273">
        <f>(((VLOOKUP(TableRBRanks[[#This Row],[Player]],'OVR &amp; VORP Ranks'!$I:$M,5,FALSE)))/('OVR &amp; VORP Ranks'!$BM$6))*(Settings!$E$10*TEAMS)</f>
        <v>36.155931610207055</v>
      </c>
      <c r="O22" s="22">
        <v>21</v>
      </c>
      <c r="P22" s="274" t="str">
        <f>IFERROR(INDEX(TableWRCalcPts[PLAYER],MATCH(TableWRRanks[[#This Row],[RK]],TableWRCalcPts[RK],0)),"")</f>
        <v>Jaylen Waddle</v>
      </c>
      <c r="Q22" s="22" t="str">
        <f>IFERROR(INDEX(TableWRCalcPts[TM],MATCH(TableWRRanks[[#This Row],[RK]],TableWRCalcPts[RK],0)),"")</f>
        <v>MIA</v>
      </c>
      <c r="R22" s="22">
        <f>IFERROR(INDEX(TableWRCalcPts[BYE],MATCH(TableWRRanks[[#This Row],[RK]],TableWRCalcPts[RK],0)),"")</f>
        <v>11</v>
      </c>
      <c r="S22" s="272">
        <f>IFERROR(INDEX(TableWRCalcPts[Custom],MATCH(TableWRRanks[[#This Row],[RK]],TableWRCalcPts[RK],0)),"")</f>
        <v>147.75272085722844</v>
      </c>
      <c r="T22" s="273">
        <f>(((VLOOKUP(TableWRRanks[[#This Row],[Player]],'OVR &amp; VORP Ranks'!$P:$T,5,FALSE)))/('OVR &amp; VORP Ranks'!$BM$6))*(Settings!$E$10*TEAMS)</f>
        <v>18.266780180407061</v>
      </c>
      <c r="V22" s="22">
        <v>21</v>
      </c>
      <c r="W22" s="22" t="str">
        <f>IFERROR(INDEX(TableTECalcPts[PLAYER],MATCH(TableTERanks[[#This Row],[RK]],TableTECalcPts[RK],0)),"")</f>
        <v>Noah Fant</v>
      </c>
      <c r="X22" s="22" t="str">
        <f>IFERROR(INDEX(TableTECalcPts[TM],MATCH(TableTERanks[[#This Row],[RK]],TableTECalcPts[RK],0)),"")</f>
        <v>SEA</v>
      </c>
      <c r="Y22" s="22">
        <f>IFERROR(INDEX(TableTECalcPts[BYE],MATCH(TableTERanks[[#This Row],[RK]],TableTECalcPts[RK],0)),"")</f>
        <v>11</v>
      </c>
      <c r="Z22" s="272">
        <f>IFERROR(INDEX(TableTECalcPts[Custom],MATCH(TableTERanks[[#This Row],[RK]],TableTECalcPts[RK],0)),"")</f>
        <v>84.555063158015798</v>
      </c>
      <c r="AA22" s="273">
        <f>(((VLOOKUP(TableTERanks[[#This Row],[Player]],'OVR &amp; VORP Ranks'!$W:$AA,5,FALSE)))/('OVR &amp; VORP Ranks'!$BM$6))*(Settings!$E$10*TEAMS)</f>
        <v>-8.9667418308822775</v>
      </c>
      <c r="AC22" s="22">
        <v>21</v>
      </c>
      <c r="AD22" s="22" t="str">
        <f>IFERROR(INDEX(TableDSTCalcPts[PLAYER],MATCH(TableDSTRanks[[#This Row],[RK]],TableDSTCalcPts[RK],0)),"")</f>
        <v>New England Patriots</v>
      </c>
      <c r="AE22" s="22">
        <f>IFERROR(INDEX(TableDSTCalcPts[BYE],MATCH(TableDSTRanks[[#This Row],[RK]],TableDSTCalcPts[RK],0)),"")</f>
        <v>10</v>
      </c>
      <c r="AF22" s="272">
        <f>IFERROR(INDEX(TableDSTCalcPts[Custom],MATCH(TableDSTRanks[[#This Row],[RK]],TableDSTCalcPts[RK],0)),"")</f>
        <v>114.99775930336239</v>
      </c>
      <c r="AG22" s="273">
        <v>0</v>
      </c>
    </row>
    <row r="23" spans="1:33" x14ac:dyDescent="0.3">
      <c r="A23" s="22">
        <v>22</v>
      </c>
      <c r="B23" s="22" t="str">
        <f>IFERROR(INDEX(TableQBCalcPts[PLAYER],MATCH(TableQBRanks[[#This Row],[RK]],TableQBCalcPts[RK],0)),"")</f>
        <v>Daniel Jones</v>
      </c>
      <c r="C23" s="22" t="str">
        <f>IFERROR(INDEX(TableQBCalcPts[TM],MATCH(TableQBRanks[[#This Row],[RK]],TableQBCalcPts[RK],0)),"")</f>
        <v>NYG</v>
      </c>
      <c r="D23" s="22">
        <f>IFERROR(INDEX(TableQBCalcPts[BYE],MATCH(TableQBRanks[[#This Row],[RK]],TableQBCalcPts[RK],0)),"")</f>
        <v>9</v>
      </c>
      <c r="E23" s="272">
        <f>IFERROR(INDEX(TableQBCalcPts[Custom],MATCH(TableQBRanks[[#This Row],[RK]],TableQBCalcPts[RK],0)),"")</f>
        <v>272.32576236876167</v>
      </c>
      <c r="F23" s="273">
        <f>(((VLOOKUP(TableQBRanks[[#This Row],[Player]],'OVR &amp; VORP Ranks'!$B:$F,5,FALSE)))/('OVR &amp; VORP Ranks'!$BM$6))*(Settings!$E$10*TEAMS)</f>
        <v>-0.42587200817171234</v>
      </c>
      <c r="H23" s="22">
        <v>22</v>
      </c>
      <c r="I23" s="22" t="str">
        <f>IFERROR(INDEX(TableRBCalcPts[PLAYER],MATCH(TableRBRanks[[#This Row],[RK]],TableRBCalcPts[RK],0)),"")</f>
        <v>Elijah Mitchell</v>
      </c>
      <c r="J23" s="22" t="str">
        <f>IFERROR(INDEX(TableRBCalcPts[TM],MATCH(TableRBRanks[[#This Row],[RK]],TableRBCalcPts[RK],0)),"")</f>
        <v>SF</v>
      </c>
      <c r="K23" s="22">
        <f>IFERROR(INDEX(TableRBCalcPts[BYE],MATCH(TableRBRanks[[#This Row],[RK]],TableRBCalcPts[RK],0)),"")</f>
        <v>9</v>
      </c>
      <c r="L23" s="272">
        <f>IFERROR(INDEX(TableRBCalcPts[Custom],MATCH(TableRBRanks[[#This Row],[RK]],TableRBCalcPts[RK],0)),"")</f>
        <v>165.25365451656748</v>
      </c>
      <c r="M23" s="273">
        <f>(((VLOOKUP(TableRBRanks[[#This Row],[Player]],'OVR &amp; VORP Ranks'!$I:$M,5,FALSE)))/('OVR &amp; VORP Ranks'!$BM$6))*(Settings!$E$10*TEAMS)</f>
        <v>32.390083755678788</v>
      </c>
      <c r="O23" s="22">
        <v>22</v>
      </c>
      <c r="P23" s="22" t="str">
        <f>IFERROR(INDEX(TableWRCalcPts[PLAYER],MATCH(TableWRRanks[[#This Row],[RK]],TableWRCalcPts[RK],0)),"")</f>
        <v>DJ Moore</v>
      </c>
      <c r="Q23" s="22" t="str">
        <f>IFERROR(INDEX(TableWRCalcPts[TM],MATCH(TableWRRanks[[#This Row],[RK]],TableWRCalcPts[RK],0)),"")</f>
        <v>CAR</v>
      </c>
      <c r="R23" s="22">
        <f>IFERROR(INDEX(TableWRCalcPts[BYE],MATCH(TableWRRanks[[#This Row],[RK]],TableWRCalcPts[RK],0)),"")</f>
        <v>13</v>
      </c>
      <c r="S23" s="272">
        <f>IFERROR(INDEX(TableWRCalcPts[Custom],MATCH(TableWRRanks[[#This Row],[RK]],TableWRCalcPts[RK],0)),"")</f>
        <v>145.62594698031444</v>
      </c>
      <c r="T23" s="273">
        <f>(((VLOOKUP(TableWRRanks[[#This Row],[Player]],'OVR &amp; VORP Ranks'!$P:$T,5,FALSE)))/('OVR &amp; VORP Ranks'!$BM$6))*(Settings!$E$10*TEAMS)</f>
        <v>17.264998788713289</v>
      </c>
      <c r="V23" s="22">
        <v>22</v>
      </c>
      <c r="W23" s="22" t="str">
        <f>IFERROR(INDEX(TableTECalcPts[PLAYER],MATCH(TableTERanks[[#This Row],[RK]],TableTECalcPts[RK],0)),"")</f>
        <v>Logan Thomas</v>
      </c>
      <c r="X23" s="22" t="str">
        <f>IFERROR(INDEX(TableTECalcPts[TM],MATCH(TableTERanks[[#This Row],[RK]],TableTECalcPts[RK],0)),"")</f>
        <v>WSH</v>
      </c>
      <c r="Y23" s="22">
        <f>IFERROR(INDEX(TableTECalcPts[BYE],MATCH(TableTERanks[[#This Row],[RK]],TableTECalcPts[RK],0)),"")</f>
        <v>14</v>
      </c>
      <c r="Z23" s="272">
        <f>IFERROR(INDEX(TableTECalcPts[Custom],MATCH(TableTERanks[[#This Row],[RK]],TableTECalcPts[RK],0)),"")</f>
        <v>84.483769417527256</v>
      </c>
      <c r="AA23" s="273">
        <f>(((VLOOKUP(TableTERanks[[#This Row],[Player]],'OVR &amp; VORP Ranks'!$W:$AA,5,FALSE)))/('OVR &amp; VORP Ranks'!$BM$6))*(Settings!$E$10*TEAMS)</f>
        <v>-9.0024607100244953</v>
      </c>
      <c r="AC23" s="22">
        <v>22</v>
      </c>
      <c r="AD23" s="22" t="str">
        <f>IFERROR(INDEX(TableDSTCalcPts[PLAYER],MATCH(TableDSTRanks[[#This Row],[RK]],TableDSTCalcPts[RK],0)),"")</f>
        <v>Tennessee Titans</v>
      </c>
      <c r="AE23" s="22">
        <f>IFERROR(INDEX(TableDSTCalcPts[BYE],MATCH(TableDSTRanks[[#This Row],[RK]],TableDSTCalcPts[RK],0)),"")</f>
        <v>6</v>
      </c>
      <c r="AF23" s="272">
        <f>IFERROR(INDEX(TableDSTCalcPts[Custom],MATCH(TableDSTRanks[[#This Row],[RK]],TableDSTCalcPts[RK],0)),"")</f>
        <v>114.80594377867905</v>
      </c>
      <c r="AG23" s="273">
        <v>0</v>
      </c>
    </row>
    <row r="24" spans="1:33" x14ac:dyDescent="0.3">
      <c r="A24" s="22">
        <v>23</v>
      </c>
      <c r="B24" s="22" t="str">
        <f>IFERROR(INDEX(TableQBCalcPts[PLAYER],MATCH(TableQBRanks[[#This Row],[RK]],TableQBCalcPts[RK],0)),"")</f>
        <v>Ryan Tannehill</v>
      </c>
      <c r="C24" s="22" t="str">
        <f>IFERROR(INDEX(TableQBCalcPts[TM],MATCH(TableQBRanks[[#This Row],[RK]],TableQBCalcPts[RK],0)),"")</f>
        <v>TEN</v>
      </c>
      <c r="D24" s="22">
        <f>IFERROR(INDEX(TableQBCalcPts[BYE],MATCH(TableQBRanks[[#This Row],[RK]],TableQBCalcPts[RK],0)),"")</f>
        <v>6</v>
      </c>
      <c r="E24" s="272">
        <f>IFERROR(INDEX(TableQBCalcPts[Custom],MATCH(TableQBRanks[[#This Row],[RK]],TableQBCalcPts[RK],0)),"")</f>
        <v>271.12275313928944</v>
      </c>
      <c r="F24" s="273">
        <f>(((VLOOKUP(TableQBRanks[[#This Row],[Player]],'OVR &amp; VORP Ranks'!$B:$F,5,FALSE)))/('OVR &amp; VORP Ranks'!$BM$6))*(Settings!$E$10*TEAMS)</f>
        <v>-1.5003810231795931</v>
      </c>
      <c r="H24" s="22">
        <v>23</v>
      </c>
      <c r="I24" s="22" t="str">
        <f>IFERROR(INDEX(TableRBCalcPts[PLAYER],MATCH(TableRBRanks[[#This Row],[RK]],TableRBCalcPts[RK],0)),"")</f>
        <v>David Montgomery</v>
      </c>
      <c r="J24" s="22" t="str">
        <f>IFERROR(INDEX(TableRBCalcPts[TM],MATCH(TableRBRanks[[#This Row],[RK]],TableRBCalcPts[RK],0)),"")</f>
        <v>CHI</v>
      </c>
      <c r="K24" s="22">
        <f>IFERROR(INDEX(TableRBCalcPts[BYE],MATCH(TableRBRanks[[#This Row],[RK]],TableRBCalcPts[RK],0)),"")</f>
        <v>14</v>
      </c>
      <c r="L24" s="272">
        <f>IFERROR(INDEX(TableRBCalcPts[Custom],MATCH(TableRBRanks[[#This Row],[RK]],TableRBCalcPts[RK],0)),"")</f>
        <v>161.24434243597648</v>
      </c>
      <c r="M24" s="273">
        <f>(((VLOOKUP(TableRBRanks[[#This Row],[Player]],'OVR &amp; VORP Ranks'!$I:$M,5,FALSE)))/('OVR &amp; VORP Ranks'!$BM$6))*(Settings!$E$10*TEAMS)</f>
        <v>30.358911447947364</v>
      </c>
      <c r="O24" s="274">
        <v>23</v>
      </c>
      <c r="P24" s="274" t="str">
        <f>IFERROR(INDEX(TableWRCalcPts[PLAYER],MATCH(TableWRRanks[[#This Row],[RK]],TableWRCalcPts[RK],0)),"")</f>
        <v>Terry McLaurin</v>
      </c>
      <c r="Q24" s="22" t="str">
        <f>IFERROR(INDEX(TableWRCalcPts[TM],MATCH(TableWRRanks[[#This Row],[RK]],TableWRCalcPts[RK],0)),"")</f>
        <v>WSH</v>
      </c>
      <c r="R24" s="22">
        <f>IFERROR(INDEX(TableWRCalcPts[BYE],MATCH(TableWRRanks[[#This Row],[RK]],TableWRCalcPts[RK],0)),"")</f>
        <v>14</v>
      </c>
      <c r="S24" s="272">
        <f>IFERROR(INDEX(TableWRCalcPts[Custom],MATCH(TableWRRanks[[#This Row],[RK]],TableWRCalcPts[RK],0)),"")</f>
        <v>144.79369367514585</v>
      </c>
      <c r="T24" s="273">
        <f>(((VLOOKUP(TableWRRanks[[#This Row],[Player]],'OVR &amp; VORP Ranks'!$P:$T,5,FALSE)))/('OVR &amp; VORP Ranks'!$BM$6))*(Settings!$E$10*TEAMS)</f>
        <v>16.872979738947961</v>
      </c>
      <c r="V24" s="274">
        <v>23</v>
      </c>
      <c r="W24" s="22" t="str">
        <f>IFERROR(INDEX(TableTECalcPts[PLAYER],MATCH(TableTERanks[[#This Row],[RK]],TableTECalcPts[RK],0)),"")</f>
        <v>Robert Tonyan</v>
      </c>
      <c r="X24" s="22" t="str">
        <f>IFERROR(INDEX(TableTECalcPts[TM],MATCH(TableTERanks[[#This Row],[RK]],TableTECalcPts[RK],0)),"")</f>
        <v>GB</v>
      </c>
      <c r="Y24" s="22">
        <f>IFERROR(INDEX(TableTECalcPts[BYE],MATCH(TableTERanks[[#This Row],[RK]],TableTECalcPts[RK],0)),"")</f>
        <v>14</v>
      </c>
      <c r="Z24" s="272">
        <f>IFERROR(INDEX(TableTECalcPts[Custom],MATCH(TableTERanks[[#This Row],[RK]],TableTECalcPts[RK],0)),"")</f>
        <v>81.128898794421957</v>
      </c>
      <c r="AA24" s="273">
        <f>(((VLOOKUP(TableTERanks[[#This Row],[Player]],'OVR &amp; VORP Ranks'!$W:$AA,5,FALSE)))/('OVR &amp; VORP Ranks'!$BM$6))*(Settings!$E$10*TEAMS)</f>
        <v>-10.683284545375521</v>
      </c>
      <c r="AC24" s="22">
        <v>23</v>
      </c>
      <c r="AD24" s="22" t="str">
        <f>IFERROR(INDEX(TableDSTCalcPts[PLAYER],MATCH(TableDSTRanks[[#This Row],[RK]],TableDSTCalcPts[RK],0)),"")</f>
        <v>Carolina Panthers</v>
      </c>
      <c r="AE24" s="22">
        <f>IFERROR(INDEX(TableDSTCalcPts[BYE],MATCH(TableDSTRanks[[#This Row],[RK]],TableDSTCalcPts[RK],0)),"")</f>
        <v>13</v>
      </c>
      <c r="AF24" s="272">
        <f>IFERROR(INDEX(TableDSTCalcPts[Custom],MATCH(TableDSTRanks[[#This Row],[RK]],TableDSTCalcPts[RK],0)),"")</f>
        <v>113.06478718285221</v>
      </c>
      <c r="AG24" s="273">
        <v>0</v>
      </c>
    </row>
    <row r="25" spans="1:33" x14ac:dyDescent="0.3">
      <c r="A25" s="22">
        <v>24</v>
      </c>
      <c r="B25" s="22" t="str">
        <f>IFERROR(INDEX(TableQBCalcPts[PLAYER],MATCH(TableQBRanks[[#This Row],[RK]],TableQBCalcPts[RK],0)),"")</f>
        <v>Jared Goff</v>
      </c>
      <c r="C25" s="22" t="str">
        <f>IFERROR(INDEX(TableQBCalcPts[TM],MATCH(TableQBRanks[[#This Row],[RK]],TableQBCalcPts[RK],0)),"")</f>
        <v>DET</v>
      </c>
      <c r="D25" s="22">
        <f>IFERROR(INDEX(TableQBCalcPts[BYE],MATCH(TableQBRanks[[#This Row],[RK]],TableQBCalcPts[RK],0)),"")</f>
        <v>6</v>
      </c>
      <c r="E25" s="272">
        <f>IFERROR(INDEX(TableQBCalcPts[Custom],MATCH(TableQBRanks[[#This Row],[RK]],TableQBCalcPts[RK],0)),"")</f>
        <v>258.14716946765958</v>
      </c>
      <c r="F25" s="273">
        <f>(((VLOOKUP(TableQBRanks[[#This Row],[Player]],'OVR &amp; VORP Ranks'!$B:$F,5,FALSE)))/('OVR &amp; VORP Ranks'!$BM$6))*(Settings!$E$10*TEAMS)</f>
        <v>-3.508382238595626</v>
      </c>
      <c r="H25" s="22">
        <v>24</v>
      </c>
      <c r="I25" s="22" t="str">
        <f>IFERROR(INDEX(TableRBCalcPts[PLAYER],MATCH(TableRBRanks[[#This Row],[RK]],TableRBCalcPts[RK],0)),"")</f>
        <v>Breece Hall</v>
      </c>
      <c r="J25" s="22" t="str">
        <f>IFERROR(INDEX(TableRBCalcPts[TM],MATCH(TableRBRanks[[#This Row],[RK]],TableRBCalcPts[RK],0)),"")</f>
        <v>NYJ</v>
      </c>
      <c r="K25" s="22">
        <f>IFERROR(INDEX(TableRBCalcPts[BYE],MATCH(TableRBRanks[[#This Row],[RK]],TableRBCalcPts[RK],0)),"")</f>
        <v>10</v>
      </c>
      <c r="L25" s="272">
        <f>IFERROR(INDEX(TableRBCalcPts[Custom],MATCH(TableRBRanks[[#This Row],[RK]],TableRBCalcPts[RK],0)),"")</f>
        <v>160.02904924432423</v>
      </c>
      <c r="M25" s="273">
        <f>(((VLOOKUP(TableRBRanks[[#This Row],[Player]],'OVR &amp; VORP Ranks'!$I:$M,5,FALSE)))/('OVR &amp; VORP Ranks'!$BM$6))*(Settings!$E$10*TEAMS)</f>
        <v>29.743227303874772</v>
      </c>
      <c r="O25" s="22">
        <v>24</v>
      </c>
      <c r="P25" s="274" t="str">
        <f>IFERROR(INDEX(TableWRCalcPts[PLAYER],MATCH(TableWRRanks[[#This Row],[RK]],TableWRCalcPts[RK],0)),"")</f>
        <v>Brandin Cooks</v>
      </c>
      <c r="Q25" s="22" t="str">
        <f>IFERROR(INDEX(TableWRCalcPts[TM],MATCH(TableWRRanks[[#This Row],[RK]],TableWRCalcPts[RK],0)),"")</f>
        <v>HOU</v>
      </c>
      <c r="R25" s="22">
        <f>IFERROR(INDEX(TableWRCalcPts[BYE],MATCH(TableWRRanks[[#This Row],[RK]],TableWRCalcPts[RK],0)),"")</f>
        <v>6</v>
      </c>
      <c r="S25" s="272">
        <f>IFERROR(INDEX(TableWRCalcPts[Custom],MATCH(TableWRRanks[[#This Row],[RK]],TableWRCalcPts[RK],0)),"")</f>
        <v>143.01669018608655</v>
      </c>
      <c r="T25" s="273">
        <f>(((VLOOKUP(TableWRRanks[[#This Row],[Player]],'OVR &amp; VORP Ranks'!$P:$T,5,FALSE)))/('OVR &amp; VORP Ranks'!$BM$6))*(Settings!$E$10*TEAMS)</f>
        <v>16.035951859473727</v>
      </c>
      <c r="V25" s="22">
        <v>24</v>
      </c>
      <c r="W25" s="22" t="str">
        <f>IFERROR(INDEX(TableTECalcPts[PLAYER],MATCH(TableTERanks[[#This Row],[RK]],TableTECalcPts[RK],0)),"")</f>
        <v>Mo Alie-Cox</v>
      </c>
      <c r="X25" s="22" t="str">
        <f>IFERROR(INDEX(TableTECalcPts[TM],MATCH(TableTERanks[[#This Row],[RK]],TableTECalcPts[RK],0)),"")</f>
        <v>IND</v>
      </c>
      <c r="Y25" s="22">
        <f>IFERROR(INDEX(TableTECalcPts[BYE],MATCH(TableTERanks[[#This Row],[RK]],TableTECalcPts[RK],0)),"")</f>
        <v>14</v>
      </c>
      <c r="Z25" s="272">
        <f>IFERROR(INDEX(TableTECalcPts[Custom],MATCH(TableTERanks[[#This Row],[RK]],TableTECalcPts[RK],0)),"")</f>
        <v>80.481520247403466</v>
      </c>
      <c r="AA25" s="273">
        <f>(((VLOOKUP(TableTERanks[[#This Row],[Player]],'OVR &amp; VORP Ranks'!$W:$AA,5,FALSE)))/('OVR &amp; VORP Ranks'!$BM$6))*(Settings!$E$10*TEAMS)</f>
        <v>-11.007627691376308</v>
      </c>
      <c r="AC25" s="22">
        <v>24</v>
      </c>
      <c r="AD25" s="22" t="str">
        <f>IFERROR(INDEX(TableDSTCalcPts[PLAYER],MATCH(TableDSTRanks[[#This Row],[RK]],TableDSTCalcPts[RK],0)),"")</f>
        <v>New York Giants</v>
      </c>
      <c r="AE25" s="22">
        <f>IFERROR(INDEX(TableDSTCalcPts[BYE],MATCH(TableDSTRanks[[#This Row],[RK]],TableDSTCalcPts[RK],0)),"")</f>
        <v>9</v>
      </c>
      <c r="AF25" s="272">
        <f>IFERROR(INDEX(TableDSTCalcPts[Custom],MATCH(TableDSTRanks[[#This Row],[RK]],TableDSTCalcPts[RK],0)),"")</f>
        <v>107.09996773317323</v>
      </c>
      <c r="AG25" s="273">
        <v>0</v>
      </c>
    </row>
    <row r="26" spans="1:33" x14ac:dyDescent="0.3">
      <c r="A26" s="22">
        <v>25</v>
      </c>
      <c r="B26" s="22" t="str">
        <f>IFERROR(INDEX(TableQBCalcPts[PLAYER],MATCH(TableQBRanks[[#This Row],[RK]],TableQBCalcPts[RK],0)),"")</f>
        <v>Jameis Winston</v>
      </c>
      <c r="C26" s="22" t="str">
        <f>IFERROR(INDEX(TableQBCalcPts[TM],MATCH(TableQBRanks[[#This Row],[RK]],TableQBCalcPts[RK],0)),"")</f>
        <v>NO</v>
      </c>
      <c r="D26" s="22">
        <f>IFERROR(INDEX(TableQBCalcPts[BYE],MATCH(TableQBRanks[[#This Row],[RK]],TableQBCalcPts[RK],0)),"")</f>
        <v>14</v>
      </c>
      <c r="E26" s="272">
        <f>IFERROR(INDEX(TableQBCalcPts[Custom],MATCH(TableQBRanks[[#This Row],[RK]],TableQBCalcPts[RK],0)),"")</f>
        <v>258.137240167492</v>
      </c>
      <c r="F26" s="273">
        <f>(((VLOOKUP(TableQBRanks[[#This Row],[Player]],'OVR &amp; VORP Ranks'!$B:$F,5,FALSE)))/('OVR &amp; VORP Ranks'!$BM$6))*(Settings!$E$10*TEAMS)</f>
        <v>-3.5703571990057625</v>
      </c>
      <c r="H26" s="22">
        <v>25</v>
      </c>
      <c r="I26" s="22" t="str">
        <f>IFERROR(INDEX(TableRBCalcPts[PLAYER],MATCH(TableRBRanks[[#This Row],[RK]],TableRBCalcPts[RK],0)),"")</f>
        <v>Travis Etienne</v>
      </c>
      <c r="J26" s="22" t="str">
        <f>IFERROR(INDEX(TableRBCalcPts[TM],MATCH(TableRBRanks[[#This Row],[RK]],TableRBCalcPts[RK],0)),"")</f>
        <v>JAX</v>
      </c>
      <c r="K26" s="22">
        <f>IFERROR(INDEX(TableRBCalcPts[BYE],MATCH(TableRBRanks[[#This Row],[RK]],TableRBCalcPts[RK],0)),"")</f>
        <v>11</v>
      </c>
      <c r="L26" s="272">
        <f>IFERROR(INDEX(TableRBCalcPts[Custom],MATCH(TableRBRanks[[#This Row],[RK]],TableRBCalcPts[RK],0)),"")</f>
        <v>159.76301092855081</v>
      </c>
      <c r="M26" s="273">
        <f>(((VLOOKUP(TableRBRanks[[#This Row],[Player]],'OVR &amp; VORP Ranks'!$I:$M,5,FALSE)))/('OVR &amp; VORP Ranks'!$BM$6))*(Settings!$E$10*TEAMS)</f>
        <v>29.60844865633312</v>
      </c>
      <c r="O26" s="22">
        <v>25</v>
      </c>
      <c r="P26" s="274" t="str">
        <f>IFERROR(INDEX(TableWRCalcPts[PLAYER],MATCH(TableWRRanks[[#This Row],[RK]],TableWRCalcPts[RK],0)),"")</f>
        <v>DeVonta Smith</v>
      </c>
      <c r="Q26" s="22" t="str">
        <f>IFERROR(INDEX(TableWRCalcPts[TM],MATCH(TableWRRanks[[#This Row],[RK]],TableWRCalcPts[RK],0)),"")</f>
        <v>PHI</v>
      </c>
      <c r="R26" s="22">
        <f>IFERROR(INDEX(TableWRCalcPts[BYE],MATCH(TableWRRanks[[#This Row],[RK]],TableWRCalcPts[RK],0)),"")</f>
        <v>7</v>
      </c>
      <c r="S26" s="272">
        <f>IFERROR(INDEX(TableWRCalcPts[Custom],MATCH(TableWRRanks[[#This Row],[RK]],TableWRCalcPts[RK],0)),"")</f>
        <v>141.82410304289172</v>
      </c>
      <c r="T26" s="273">
        <f>(((VLOOKUP(TableWRRanks[[#This Row],[Player]],'OVR &amp; VORP Ranks'!$P:$T,5,FALSE)))/('OVR &amp; VORP Ranks'!$BM$6))*(Settings!$E$10*TEAMS)</f>
        <v>15.474203560327144</v>
      </c>
      <c r="V26" s="22">
        <v>25</v>
      </c>
      <c r="W26" s="22" t="str">
        <f>IFERROR(INDEX(TableTECalcPts[PLAYER],MATCH(TableTERanks[[#This Row],[RK]],TableTECalcPts[RK],0)),"")</f>
        <v>Hayden Hurst</v>
      </c>
      <c r="X26" s="22" t="str">
        <f>IFERROR(INDEX(TableTECalcPts[TM],MATCH(TableTERanks[[#This Row],[RK]],TableTECalcPts[RK],0)),"")</f>
        <v>CIN</v>
      </c>
      <c r="Y26" s="22">
        <f>IFERROR(INDEX(TableTECalcPts[BYE],MATCH(TableTERanks[[#This Row],[RK]],TableTECalcPts[RK],0)),"")</f>
        <v>10</v>
      </c>
      <c r="Z26" s="272">
        <f>IFERROR(INDEX(TableTECalcPts[Custom],MATCH(TableTERanks[[#This Row],[RK]],TableTECalcPts[RK],0)),"")</f>
        <v>79.091408704172068</v>
      </c>
      <c r="AA26" s="273">
        <f>(((VLOOKUP(TableTERanks[[#This Row],[Player]],'OVR &amp; VORP Ranks'!$W:$AA,5,FALSE)))/('OVR &amp; VORP Ranks'!$BM$6))*(Settings!$E$10*TEAMS)</f>
        <v>-11.704087518938069</v>
      </c>
      <c r="AC26" s="22">
        <v>25</v>
      </c>
      <c r="AD26" s="22" t="str">
        <f>IFERROR(INDEX(TableDSTCalcPts[PLAYER],MATCH(TableDSTRanks[[#This Row],[RK]],TableDSTCalcPts[RK],0)),"")</f>
        <v>Houston Texans</v>
      </c>
      <c r="AE26" s="22">
        <f>IFERROR(INDEX(TableDSTCalcPts[BYE],MATCH(TableDSTRanks[[#This Row],[RK]],TableDSTCalcPts[RK],0)),"")</f>
        <v>6</v>
      </c>
      <c r="AF26" s="272">
        <f>IFERROR(INDEX(TableDSTCalcPts[Custom],MATCH(TableDSTRanks[[#This Row],[RK]],TableDSTCalcPts[RK],0)),"")</f>
        <v>106.81867080778713</v>
      </c>
      <c r="AG26" s="273">
        <v>0</v>
      </c>
    </row>
    <row r="27" spans="1:33" x14ac:dyDescent="0.3">
      <c r="A27" s="22">
        <v>26</v>
      </c>
      <c r="B27" s="22" t="str">
        <f>IFERROR(INDEX(TableQBCalcPts[PLAYER],MATCH(TableQBRanks[[#This Row],[RK]],TableQBCalcPts[RK],0)),"")</f>
        <v>Mac Jones</v>
      </c>
      <c r="C27" s="22" t="str">
        <f>IFERROR(INDEX(TableQBCalcPts[TM],MATCH(TableQBRanks[[#This Row],[RK]],TableQBCalcPts[RK],0)),"")</f>
        <v>NE</v>
      </c>
      <c r="D27" s="22">
        <f>IFERROR(INDEX(TableQBCalcPts[BYE],MATCH(TableQBRanks[[#This Row],[RK]],TableQBCalcPts[RK],0)),"")</f>
        <v>10</v>
      </c>
      <c r="E27" s="272">
        <f>IFERROR(INDEX(TableQBCalcPts[Custom],MATCH(TableQBRanks[[#This Row],[RK]],TableQBCalcPts[RK],0)),"")</f>
        <v>243.25766741524433</v>
      </c>
      <c r="F27" s="273">
        <f>(((VLOOKUP(TableQBRanks[[#This Row],[Player]],'OVR &amp; VORP Ranks'!$B:$F,5,FALSE)))/('OVR &amp; VORP Ranks'!$BM$6))*(Settings!$E$10*TEAMS)</f>
        <v>-5.9765064373450105</v>
      </c>
      <c r="H27" s="22">
        <v>26</v>
      </c>
      <c r="I27" s="22" t="str">
        <f>IFERROR(INDEX(TableRBCalcPts[PLAYER],MATCH(TableRBRanks[[#This Row],[RK]],TableRBCalcPts[RK],0)),"")</f>
        <v>AJ Dillon</v>
      </c>
      <c r="J27" s="22" t="str">
        <f>IFERROR(INDEX(TableRBCalcPts[TM],MATCH(TableRBRanks[[#This Row],[RK]],TableRBCalcPts[RK],0)),"")</f>
        <v>GB</v>
      </c>
      <c r="K27" s="22">
        <f>IFERROR(INDEX(TableRBCalcPts[BYE],MATCH(TableRBRanks[[#This Row],[RK]],TableRBCalcPts[RK],0)),"")</f>
        <v>14</v>
      </c>
      <c r="L27" s="272">
        <f>IFERROR(INDEX(TableRBCalcPts[Custom],MATCH(TableRBRanks[[#This Row],[RK]],TableRBCalcPts[RK],0)),"")</f>
        <v>157.91538928118763</v>
      </c>
      <c r="M27" s="273">
        <f>(((VLOOKUP(TableRBRanks[[#This Row],[Player]],'OVR &amp; VORP Ranks'!$I:$M,5,FALSE)))/('OVR &amp; VORP Ranks'!$BM$6))*(Settings!$E$10*TEAMS)</f>
        <v>28.672418272603039</v>
      </c>
      <c r="O27" s="274">
        <v>26</v>
      </c>
      <c r="P27" s="22" t="str">
        <f>IFERROR(INDEX(TableWRCalcPts[PLAYER],MATCH(TableWRRanks[[#This Row],[RK]],TableWRCalcPts[RK],0)),"")</f>
        <v>JuJu Smith-Schuster</v>
      </c>
      <c r="Q27" s="22" t="str">
        <f>IFERROR(INDEX(TableWRCalcPts[TM],MATCH(TableWRRanks[[#This Row],[RK]],TableWRCalcPts[RK],0)),"")</f>
        <v>KC</v>
      </c>
      <c r="R27" s="22">
        <f>IFERROR(INDEX(TableWRCalcPts[BYE],MATCH(TableWRRanks[[#This Row],[RK]],TableWRCalcPts[RK],0)),"")</f>
        <v>8</v>
      </c>
      <c r="S27" s="272">
        <f>IFERROR(INDEX(TableWRCalcPts[Custom],MATCH(TableWRRanks[[#This Row],[RK]],TableWRCalcPts[RK],0)),"")</f>
        <v>141.77739977868507</v>
      </c>
      <c r="T27" s="273">
        <f>(((VLOOKUP(TableWRRanks[[#This Row],[Player]],'OVR &amp; VORP Ranks'!$P:$T,5,FALSE)))/('OVR &amp; VORP Ranks'!$BM$6))*(Settings!$E$10*TEAMS)</f>
        <v>15.452204766039964</v>
      </c>
      <c r="V27" s="274">
        <v>26</v>
      </c>
      <c r="W27" s="22" t="str">
        <f>IFERROR(INDEX(TableTECalcPts[PLAYER],MATCH(TableTERanks[[#This Row],[RK]],TableTECalcPts[RK],0)),"")</f>
        <v>Evan Engram</v>
      </c>
      <c r="X27" s="22" t="str">
        <f>IFERROR(INDEX(TableTECalcPts[TM],MATCH(TableTERanks[[#This Row],[RK]],TableTECalcPts[RK],0)),"")</f>
        <v>JAX</v>
      </c>
      <c r="Y27" s="22">
        <f>IFERROR(INDEX(TableTECalcPts[BYE],MATCH(TableTERanks[[#This Row],[RK]],TableTECalcPts[RK],0)),"")</f>
        <v>11</v>
      </c>
      <c r="Z27" s="272">
        <f>IFERROR(INDEX(TableTECalcPts[Custom],MATCH(TableTERanks[[#This Row],[RK]],TableTECalcPts[RK],0)),"")</f>
        <v>79.044237431345721</v>
      </c>
      <c r="AA27" s="273">
        <f>(((VLOOKUP(TableTERanks[[#This Row],[Player]],'OVR &amp; VORP Ranks'!$W:$AA,5,FALSE)))/('OVR &amp; VORP Ranks'!$BM$6))*(Settings!$E$10*TEAMS)</f>
        <v>-11.727720799805686</v>
      </c>
      <c r="AC27" s="22">
        <v>26</v>
      </c>
      <c r="AD27" s="22" t="str">
        <f>IFERROR(INDEX(TableDSTCalcPts[PLAYER],MATCH(TableDSTRanks[[#This Row],[RK]],TableDSTCalcPts[RK],0)),"")</f>
        <v>Las Vegas Raiders</v>
      </c>
      <c r="AE27" s="22">
        <f>IFERROR(INDEX(TableDSTCalcPts[BYE],MATCH(TableDSTRanks[[#This Row],[RK]],TableDSTCalcPts[RK],0)),"")</f>
        <v>6</v>
      </c>
      <c r="AF27" s="272">
        <f>IFERROR(INDEX(TableDSTCalcPts[Custom],MATCH(TableDSTRanks[[#This Row],[RK]],TableDSTCalcPts[RK],0)),"")</f>
        <v>105.71020167625841</v>
      </c>
      <c r="AG27" s="273">
        <v>0</v>
      </c>
    </row>
    <row r="28" spans="1:33" x14ac:dyDescent="0.3">
      <c r="A28" s="22">
        <v>27</v>
      </c>
      <c r="B28" s="22" t="str">
        <f>IFERROR(INDEX(TableQBCalcPts[PLAYER],MATCH(TableQBRanks[[#This Row],[RK]],TableQBCalcPts[RK],0)),"")</f>
        <v>Davis Mills</v>
      </c>
      <c r="C28" s="22" t="str">
        <f>IFERROR(INDEX(TableQBCalcPts[TM],MATCH(TableQBRanks[[#This Row],[RK]],TableQBCalcPts[RK],0)),"")</f>
        <v>HOU</v>
      </c>
      <c r="D28" s="22">
        <f>IFERROR(INDEX(TableQBCalcPts[BYE],MATCH(TableQBRanks[[#This Row],[RK]],TableQBCalcPts[RK],0)),"")</f>
        <v>6</v>
      </c>
      <c r="E28" s="272">
        <f>IFERROR(INDEX(TableQBCalcPts[Custom],MATCH(TableQBRanks[[#This Row],[RK]],TableQBCalcPts[RK],0)),"")</f>
        <v>238.21543876703646</v>
      </c>
      <c r="F28" s="273">
        <f>(((VLOOKUP(TableQBRanks[[#This Row],[Player]],'OVR &amp; VORP Ranks'!$B:$F,5,FALSE)))/('OVR &amp; VORP Ranks'!$BM$6))*(Settings!$E$10*TEAMS)</f>
        <v>-10.213881389908259</v>
      </c>
      <c r="H28" s="22">
        <v>27</v>
      </c>
      <c r="I28" s="22" t="str">
        <f>IFERROR(INDEX(TableRBCalcPts[PLAYER],MATCH(TableRBRanks[[#This Row],[RK]],TableRBCalcPts[RK],0)),"")</f>
        <v>Ken Walker</v>
      </c>
      <c r="J28" s="22" t="str">
        <f>IFERROR(INDEX(TableRBCalcPts[TM],MATCH(TableRBRanks[[#This Row],[RK]],TableRBCalcPts[RK],0)),"")</f>
        <v>SEA</v>
      </c>
      <c r="K28" s="22">
        <f>IFERROR(INDEX(TableRBCalcPts[BYE],MATCH(TableRBRanks[[#This Row],[RK]],TableRBCalcPts[RK],0)),"")</f>
        <v>11</v>
      </c>
      <c r="L28" s="272">
        <f>IFERROR(INDEX(TableRBCalcPts[Custom],MATCH(TableRBRanks[[#This Row],[RK]],TableRBCalcPts[RK],0)),"")</f>
        <v>142.27892276141387</v>
      </c>
      <c r="M28" s="273">
        <f>(((VLOOKUP(TableRBRanks[[#This Row],[Player]],'OVR &amp; VORP Ranks'!$I:$M,5,FALSE)))/('OVR &amp; VORP Ranks'!$BM$6))*(Settings!$E$10*TEAMS)</f>
        <v>20.750770581597585</v>
      </c>
      <c r="O28" s="22">
        <v>27</v>
      </c>
      <c r="P28" s="274" t="str">
        <f>IFERROR(INDEX(TableWRCalcPts[PLAYER],MATCH(TableWRRanks[[#This Row],[RK]],TableWRCalcPts[RK],0)),"")</f>
        <v>Elijah Moore</v>
      </c>
      <c r="Q28" s="22" t="str">
        <f>IFERROR(INDEX(TableWRCalcPts[TM],MATCH(TableWRRanks[[#This Row],[RK]],TableWRCalcPts[RK],0)),"")</f>
        <v>NYJ</v>
      </c>
      <c r="R28" s="22">
        <f>IFERROR(INDEX(TableWRCalcPts[BYE],MATCH(TableWRRanks[[#This Row],[RK]],TableWRCalcPts[RK],0)),"")</f>
        <v>10</v>
      </c>
      <c r="S28" s="272">
        <f>IFERROR(INDEX(TableWRCalcPts[Custom],MATCH(TableWRRanks[[#This Row],[RK]],TableWRCalcPts[RK],0)),"")</f>
        <v>140.30061800932492</v>
      </c>
      <c r="T28" s="273">
        <f>(((VLOOKUP(TableWRRanks[[#This Row],[Player]],'OVR &amp; VORP Ranks'!$P:$T,5,FALSE)))/('OVR &amp; VORP Ranks'!$BM$6))*(Settings!$E$10*TEAMS)</f>
        <v>14.756591324387074</v>
      </c>
      <c r="V28" s="22">
        <v>27</v>
      </c>
      <c r="W28" s="274" t="str">
        <f>IFERROR(INDEX(TableTECalcPts[PLAYER],MATCH(TableTERanks[[#This Row],[RK]],TableTECalcPts[RK],0)),"")</f>
        <v>Tyler Higbee</v>
      </c>
      <c r="X28" s="22" t="str">
        <f>IFERROR(INDEX(TableTECalcPts[TM],MATCH(TableTERanks[[#This Row],[RK]],TableTECalcPts[RK],0)),"")</f>
        <v>LAR</v>
      </c>
      <c r="Y28" s="22">
        <f>IFERROR(INDEX(TableTECalcPts[BYE],MATCH(TableTERanks[[#This Row],[RK]],TableTECalcPts[RK],0)),"")</f>
        <v>7</v>
      </c>
      <c r="Z28" s="272">
        <f>IFERROR(INDEX(TableTECalcPts[Custom],MATCH(TableTERanks[[#This Row],[RK]],TableTECalcPts[RK],0)),"")</f>
        <v>77.95767368469582</v>
      </c>
      <c r="AA28" s="273">
        <f>(((VLOOKUP(TableTERanks[[#This Row],[Player]],'OVR &amp; VORP Ranks'!$W:$AA,5,FALSE)))/('OVR &amp; VORP Ranks'!$BM$6))*(Settings!$E$10*TEAMS)</f>
        <v>-12.27210013634982</v>
      </c>
      <c r="AC28" s="22">
        <v>27</v>
      </c>
      <c r="AD28" s="22" t="str">
        <f>IFERROR(INDEX(TableDSTCalcPts[PLAYER],MATCH(TableDSTRanks[[#This Row],[RK]],TableDSTCalcPts[RK],0)),"")</f>
        <v>Detroit Lions</v>
      </c>
      <c r="AE28" s="22">
        <f>IFERROR(INDEX(TableDSTCalcPts[BYE],MATCH(TableDSTRanks[[#This Row],[RK]],TableDSTCalcPts[RK],0)),"")</f>
        <v>6</v>
      </c>
      <c r="AF28" s="272">
        <f>IFERROR(INDEX(TableDSTCalcPts[Custom],MATCH(TableDSTRanks[[#This Row],[RK]],TableDSTCalcPts[RK],0)),"")</f>
        <v>105.66883121378228</v>
      </c>
      <c r="AG28" s="273">
        <v>0</v>
      </c>
    </row>
    <row r="29" spans="1:33" x14ac:dyDescent="0.3">
      <c r="A29" s="22">
        <v>28</v>
      </c>
      <c r="B29" s="22" t="str">
        <f>IFERROR(INDEX(TableQBCalcPts[PLAYER],MATCH(TableQBRanks[[#This Row],[RK]],TableQBCalcPts[RK],0)),"")</f>
        <v>Kenny Pickett</v>
      </c>
      <c r="C29" s="22" t="str">
        <f>IFERROR(INDEX(TableQBCalcPts[TM],MATCH(TableQBRanks[[#This Row],[RK]],TableQBCalcPts[RK],0)),"")</f>
        <v>PIT</v>
      </c>
      <c r="D29" s="22">
        <f>IFERROR(INDEX(TableQBCalcPts[BYE],MATCH(TableQBRanks[[#This Row],[RK]],TableQBCalcPts[RK],0)),"")</f>
        <v>9</v>
      </c>
      <c r="E29" s="272">
        <f>IFERROR(INDEX(TableQBCalcPts[Custom],MATCH(TableQBRanks[[#This Row],[RK]],TableQBCalcPts[RK],0)),"")</f>
        <v>217.71824887120525</v>
      </c>
      <c r="F29" s="273">
        <f>(((VLOOKUP(TableQBRanks[[#This Row],[Player]],'OVR &amp; VORP Ranks'!$B:$F,5,FALSE)))/('OVR &amp; VORP Ranks'!$BM$6))*(Settings!$E$10*TEAMS)</f>
        <v>-13.631896446354558</v>
      </c>
      <c r="H29" s="22">
        <v>28</v>
      </c>
      <c r="I29" s="22" t="str">
        <f>IFERROR(INDEX(TableRBCalcPts[PLAYER],MATCH(TableRBRanks[[#This Row],[RK]],TableRBCalcPts[RK],0)),"")</f>
        <v>Clyde Edwards-Helaire</v>
      </c>
      <c r="J29" s="22" t="str">
        <f>IFERROR(INDEX(TableRBCalcPts[TM],MATCH(TableRBRanks[[#This Row],[RK]],TableRBCalcPts[RK],0)),"")</f>
        <v>KC</v>
      </c>
      <c r="K29" s="22">
        <f>IFERROR(INDEX(TableRBCalcPts[BYE],MATCH(TableRBRanks[[#This Row],[RK]],TableRBCalcPts[RK],0)),"")</f>
        <v>8</v>
      </c>
      <c r="L29" s="272">
        <f>IFERROR(INDEX(TableRBCalcPts[Custom],MATCH(TableRBRanks[[#This Row],[RK]],TableRBCalcPts[RK],0)),"")</f>
        <v>139.27997244322847</v>
      </c>
      <c r="M29" s="273">
        <f>(((VLOOKUP(TableRBRanks[[#This Row],[Player]],'OVR &amp; VORP Ranks'!$I:$M,5,FALSE)))/('OVR &amp; VORP Ranks'!$BM$6))*(Settings!$E$10*TEAMS)</f>
        <v>19.231461354448921</v>
      </c>
      <c r="O29" s="22">
        <v>28</v>
      </c>
      <c r="P29" s="274" t="str">
        <f>IFERROR(INDEX(TableWRCalcPts[PLAYER],MATCH(TableWRRanks[[#This Row],[RK]],TableWRCalcPts[RK],0)),"")</f>
        <v>Courtland Sutton</v>
      </c>
      <c r="Q29" s="22" t="str">
        <f>IFERROR(INDEX(TableWRCalcPts[TM],MATCH(TableWRRanks[[#This Row],[RK]],TableWRCalcPts[RK],0)),"")</f>
        <v>DEN</v>
      </c>
      <c r="R29" s="22">
        <f>IFERROR(INDEX(TableWRCalcPts[BYE],MATCH(TableWRRanks[[#This Row],[RK]],TableWRCalcPts[RK],0)),"")</f>
        <v>9</v>
      </c>
      <c r="S29" s="272">
        <f>IFERROR(INDEX(TableWRCalcPts[Custom],MATCH(TableWRRanks[[#This Row],[RK]],TableWRCalcPts[RK],0)),"")</f>
        <v>138.39974689846576</v>
      </c>
      <c r="T29" s="273">
        <f>(((VLOOKUP(TableWRRanks[[#This Row],[Player]],'OVR &amp; VORP Ranks'!$P:$T,5,FALSE)))/('OVR &amp; VORP Ranks'!$BM$6))*(Settings!$E$10*TEAMS)</f>
        <v>13.86121766593773</v>
      </c>
      <c r="V29" s="22">
        <v>28</v>
      </c>
      <c r="W29" s="22" t="str">
        <f>IFERROR(INDEX(TableTECalcPts[PLAYER],MATCH(TableTERanks[[#This Row],[RK]],TableTECalcPts[RK],0)),"")</f>
        <v>Austin Hooper</v>
      </c>
      <c r="X29" s="22" t="str">
        <f>IFERROR(INDEX(TableTECalcPts[TM],MATCH(TableTERanks[[#This Row],[RK]],TableTECalcPts[RK],0)),"")</f>
        <v>TEN</v>
      </c>
      <c r="Y29" s="22">
        <f>IFERROR(INDEX(TableTECalcPts[BYE],MATCH(TableTERanks[[#This Row],[RK]],TableTECalcPts[RK],0)),"")</f>
        <v>6</v>
      </c>
      <c r="Z29" s="272">
        <f>IFERROR(INDEX(TableTECalcPts[Custom],MATCH(TableTERanks[[#This Row],[RK]],TableTECalcPts[RK],0)),"")</f>
        <v>74.609358572769963</v>
      </c>
      <c r="AA29" s="273">
        <f>(((VLOOKUP(TableTERanks[[#This Row],[Player]],'OVR &amp; VORP Ranks'!$W:$AA,5,FALSE)))/('OVR &amp; VORP Ranks'!$BM$6))*(Settings!$E$10*TEAMS)</f>
        <v>-13.949639594840697</v>
      </c>
      <c r="AC29" s="22">
        <v>28</v>
      </c>
      <c r="AD29" s="22" t="str">
        <f>IFERROR(INDEX(TableDSTCalcPts[PLAYER],MATCH(TableDSTRanks[[#This Row],[RK]],TableDSTCalcPts[RK],0)),"")</f>
        <v>Philadelphia Eagles</v>
      </c>
      <c r="AE29" s="22">
        <f>IFERROR(INDEX(TableDSTCalcPts[BYE],MATCH(TableDSTRanks[[#This Row],[RK]],TableDSTCalcPts[RK],0)),"")</f>
        <v>7</v>
      </c>
      <c r="AF29" s="272">
        <f>IFERROR(INDEX(TableDSTCalcPts[Custom],MATCH(TableDSTRanks[[#This Row],[RK]],TableDSTCalcPts[RK],0)),"")</f>
        <v>104.57762063361568</v>
      </c>
      <c r="AG29" s="273">
        <v>0</v>
      </c>
    </row>
    <row r="30" spans="1:33" x14ac:dyDescent="0.3">
      <c r="A30" s="22">
        <v>29</v>
      </c>
      <c r="B30" s="22" t="str">
        <f>IFERROR(INDEX(TableQBCalcPts[PLAYER],MATCH(TableQBRanks[[#This Row],[RK]],TableQBCalcPts[RK],0)),"")</f>
        <v>Deshaun Watson</v>
      </c>
      <c r="C30" s="22" t="str">
        <f>IFERROR(INDEX(TableQBCalcPts[TM],MATCH(TableQBRanks[[#This Row],[RK]],TableQBCalcPts[RK],0)),"")</f>
        <v>CLE</v>
      </c>
      <c r="D30" s="22">
        <f>IFERROR(INDEX(TableQBCalcPts[BYE],MATCH(TableQBRanks[[#This Row],[RK]],TableQBCalcPts[RK],0)),"")</f>
        <v>9</v>
      </c>
      <c r="E30" s="272">
        <f>IFERROR(INDEX(TableQBCalcPts[Custom],MATCH(TableQBRanks[[#This Row],[RK]],TableQBCalcPts[RK],0)),"")</f>
        <v>211.65472751779441</v>
      </c>
      <c r="F30" s="273">
        <f>(((VLOOKUP(TableQBRanks[[#This Row],[Player]],'OVR &amp; VORP Ranks'!$B:$F,5,FALSE)))/('OVR &amp; VORP Ranks'!$BM$6))*(Settings!$E$10*TEAMS)</f>
        <v>-14.811243116873829</v>
      </c>
      <c r="H30" s="22">
        <v>29</v>
      </c>
      <c r="I30" s="22" t="str">
        <f>IFERROR(INDEX(TableRBCalcPts[PLAYER],MATCH(TableRBRanks[[#This Row],[RK]],TableRBCalcPts[RK],0)),"")</f>
        <v>Tony Pollard</v>
      </c>
      <c r="J30" s="22" t="str">
        <f>IFERROR(INDEX(TableRBCalcPts[TM],MATCH(TableRBRanks[[#This Row],[RK]],TableRBCalcPts[RK],0)),"")</f>
        <v>DAL</v>
      </c>
      <c r="K30" s="22">
        <f>IFERROR(INDEX(TableRBCalcPts[BYE],MATCH(TableRBRanks[[#This Row],[RK]],TableRBCalcPts[RK],0)),"")</f>
        <v>9</v>
      </c>
      <c r="L30" s="272">
        <f>IFERROR(INDEX(TableRBCalcPts[Custom],MATCH(TableRBRanks[[#This Row],[RK]],TableRBCalcPts[RK],0)),"")</f>
        <v>137.65492223051754</v>
      </c>
      <c r="M30" s="273">
        <f>(((VLOOKUP(TableRBRanks[[#This Row],[Player]],'OVR &amp; VORP Ranks'!$I:$M,5,FALSE)))/('OVR &amp; VORP Ranks'!$BM$6))*(Settings!$E$10*TEAMS)</f>
        <v>18.408188702087834</v>
      </c>
      <c r="O30" s="274">
        <v>29</v>
      </c>
      <c r="P30" s="274" t="str">
        <f>IFERROR(INDEX(TableWRCalcPts[PLAYER],MATCH(TableWRRanks[[#This Row],[RK]],TableWRCalcPts[RK],0)),"")</f>
        <v>Tyler Lockett</v>
      </c>
      <c r="Q30" s="22" t="str">
        <f>IFERROR(INDEX(TableWRCalcPts[TM],MATCH(TableWRRanks[[#This Row],[RK]],TableWRCalcPts[RK],0)),"")</f>
        <v>SEA</v>
      </c>
      <c r="R30" s="22">
        <f>IFERROR(INDEX(TableWRCalcPts[BYE],MATCH(TableWRRanks[[#This Row],[RK]],TableWRCalcPts[RK],0)),"")</f>
        <v>11</v>
      </c>
      <c r="S30" s="272">
        <f>IFERROR(INDEX(TableWRCalcPts[Custom],MATCH(TableWRRanks[[#This Row],[RK]],TableWRCalcPts[RK],0)),"")</f>
        <v>135.85216520741739</v>
      </c>
      <c r="T30" s="273">
        <f>(((VLOOKUP(TableWRRanks[[#This Row],[Player]],'OVR &amp; VORP Ranks'!$P:$T,5,FALSE)))/('OVR &amp; VORP Ranks'!$BM$6))*(Settings!$E$10*TEAMS)</f>
        <v>12.661221766225431</v>
      </c>
      <c r="V30" s="274">
        <v>29</v>
      </c>
      <c r="W30" s="274" t="str">
        <f>IFERROR(INDEX(TableTECalcPts[PLAYER],MATCH(TableTERanks[[#This Row],[RK]],TableTECalcPts[RK],0)),"")</f>
        <v>C.J. Uzomah</v>
      </c>
      <c r="X30" s="22" t="str">
        <f>IFERROR(INDEX(TableTECalcPts[TM],MATCH(TableTERanks[[#This Row],[RK]],TableTECalcPts[RK],0)),"")</f>
        <v>NYJ</v>
      </c>
      <c r="Y30" s="22">
        <f>IFERROR(INDEX(TableTECalcPts[BYE],MATCH(TableTERanks[[#This Row],[RK]],TableTECalcPts[RK],0)),"")</f>
        <v>10</v>
      </c>
      <c r="Z30" s="272">
        <f>IFERROR(INDEX(TableTECalcPts[Custom],MATCH(TableTERanks[[#This Row],[RK]],TableTECalcPts[RK],0)),"")</f>
        <v>65.233312093704654</v>
      </c>
      <c r="AA30" s="273">
        <f>(((VLOOKUP(TableTERanks[[#This Row],[Player]],'OVR &amp; VORP Ranks'!$W:$AA,5,FALSE)))/('OVR &amp; VORP Ranks'!$BM$6))*(Settings!$E$10*TEAMS)</f>
        <v>-18.647132933282734</v>
      </c>
      <c r="AC30" s="22">
        <v>29</v>
      </c>
      <c r="AD30" s="22" t="str">
        <f>IFERROR(INDEX(TableDSTCalcPts[PLAYER],MATCH(TableDSTRanks[[#This Row],[RK]],TableDSTCalcPts[RK],0)),"")</f>
        <v>New York Jets</v>
      </c>
      <c r="AE30" s="22">
        <f>IFERROR(INDEX(TableDSTCalcPts[BYE],MATCH(TableDSTRanks[[#This Row],[RK]],TableDSTCalcPts[RK],0)),"")</f>
        <v>10</v>
      </c>
      <c r="AF30" s="272">
        <f>IFERROR(INDEX(TableDSTCalcPts[Custom],MATCH(TableDSTRanks[[#This Row],[RK]],TableDSTCalcPts[RK],0)),"")</f>
        <v>103.40260220970457</v>
      </c>
      <c r="AG30" s="273">
        <v>0</v>
      </c>
    </row>
    <row r="31" spans="1:33" x14ac:dyDescent="0.3">
      <c r="A31" s="22">
        <v>30</v>
      </c>
      <c r="B31" s="22" t="str">
        <f>IFERROR(INDEX(TableQBCalcPts[PLAYER],MATCH(TableQBRanks[[#This Row],[RK]],TableQBCalcPts[RK],0)),"")</f>
        <v>Marcus Mariota</v>
      </c>
      <c r="C31" s="22" t="str">
        <f>IFERROR(INDEX(TableQBCalcPts[TM],MATCH(TableQBRanks[[#This Row],[RK]],TableQBCalcPts[RK],0)),"")</f>
        <v>ATL</v>
      </c>
      <c r="D31" s="22">
        <f>IFERROR(INDEX(TableQBCalcPts[BYE],MATCH(TableQBRanks[[#This Row],[RK]],TableQBCalcPts[RK],0)),"")</f>
        <v>14</v>
      </c>
      <c r="E31" s="272">
        <f>IFERROR(INDEX(TableQBCalcPts[Custom],MATCH(TableQBRanks[[#This Row],[RK]],TableQBCalcPts[RK],0)),"")</f>
        <v>209.13869454613715</v>
      </c>
      <c r="F31" s="273">
        <f>(((VLOOKUP(TableQBRanks[[#This Row],[Player]],'OVR &amp; VORP Ranks'!$B:$F,5,FALSE)))/('OVR &amp; VORP Ranks'!$BM$6))*(Settings!$E$10*TEAMS)</f>
        <v>-15.521694547539926</v>
      </c>
      <c r="H31" s="22">
        <v>30</v>
      </c>
      <c r="I31" s="22" t="str">
        <f>IFERROR(INDEX(TableRBCalcPts[PLAYER],MATCH(TableRBRanks[[#This Row],[RK]],TableRBCalcPts[RK],0)),"")</f>
        <v>Cordarrelle Patterson</v>
      </c>
      <c r="J31" s="22" t="str">
        <f>IFERROR(INDEX(TableRBCalcPts[TM],MATCH(TableRBRanks[[#This Row],[RK]],TableRBCalcPts[RK],0)),"")</f>
        <v>ATL</v>
      </c>
      <c r="K31" s="22">
        <f>IFERROR(INDEX(TableRBCalcPts[BYE],MATCH(TableRBRanks[[#This Row],[RK]],TableRBCalcPts[RK],0)),"")</f>
        <v>14</v>
      </c>
      <c r="L31" s="272">
        <f>IFERROR(INDEX(TableRBCalcPts[Custom],MATCH(TableRBRanks[[#This Row],[RK]],TableRBCalcPts[RK],0)),"")</f>
        <v>136.0108356235321</v>
      </c>
      <c r="M31" s="273">
        <f>(((VLOOKUP(TableRBRanks[[#This Row],[Player]],'OVR &amp; VORP Ranks'!$I:$M,5,FALSE)))/('OVR &amp; VORP Ranks'!$BM$6))*(Settings!$E$10*TEAMS)</f>
        <v>17.575271952157834</v>
      </c>
      <c r="O31" s="22">
        <v>30</v>
      </c>
      <c r="P31" s="22" t="str">
        <f>IFERROR(INDEX(TableWRCalcPts[PLAYER],MATCH(TableWRRanks[[#This Row],[RK]],TableWRCalcPts[RK],0)),"")</f>
        <v>Jerry Jeudy</v>
      </c>
      <c r="Q31" s="22" t="str">
        <f>IFERROR(INDEX(TableWRCalcPts[TM],MATCH(TableWRRanks[[#This Row],[RK]],TableWRCalcPts[RK],0)),"")</f>
        <v>DEN</v>
      </c>
      <c r="R31" s="22">
        <f>IFERROR(INDEX(TableWRCalcPts[BYE],MATCH(TableWRRanks[[#This Row],[RK]],TableWRCalcPts[RK],0)),"")</f>
        <v>9</v>
      </c>
      <c r="S31" s="272">
        <f>IFERROR(INDEX(TableWRCalcPts[Custom],MATCH(TableWRRanks[[#This Row],[RK]],TableWRCalcPts[RK],0)),"")</f>
        <v>135.36511278671432</v>
      </c>
      <c r="T31" s="273">
        <f>(((VLOOKUP(TableWRRanks[[#This Row],[Player]],'OVR &amp; VORP Ranks'!$P:$T,5,FALSE)))/('OVR &amp; VORP Ranks'!$BM$6))*(Settings!$E$10*TEAMS)</f>
        <v>12.431803840259684</v>
      </c>
      <c r="V31" s="22">
        <v>30</v>
      </c>
      <c r="W31" s="22" t="str">
        <f>IFERROR(INDEX(TableTECalcPts[PLAYER],MATCH(TableTERanks[[#This Row],[RK]],TableTECalcPts[RK],0)),"")</f>
        <v>Dan Arnold</v>
      </c>
      <c r="X31" s="22" t="str">
        <f>IFERROR(INDEX(TableTECalcPts[TM],MATCH(TableTERanks[[#This Row],[RK]],TableTECalcPts[RK],0)),"")</f>
        <v>JAX</v>
      </c>
      <c r="Y31" s="22">
        <f>IFERROR(INDEX(TableTECalcPts[BYE],MATCH(TableTERanks[[#This Row],[RK]],TableTECalcPts[RK],0)),"")</f>
        <v>11</v>
      </c>
      <c r="Z31" s="272">
        <f>IFERROR(INDEX(TableTECalcPts[Custom],MATCH(TableTERanks[[#This Row],[RK]],TableTECalcPts[RK],0)),"")</f>
        <v>54.026711510678737</v>
      </c>
      <c r="AA31" s="273">
        <f>(((VLOOKUP(TableTERanks[[#This Row],[Player]],'OVR &amp; VORP Ranks'!$W:$AA,5,FALSE)))/('OVR &amp; VORP Ranks'!$BM$6))*(Settings!$E$10*TEAMS)</f>
        <v>-24.261752240352639</v>
      </c>
      <c r="AC31" s="22">
        <v>30</v>
      </c>
      <c r="AD31" s="22" t="str">
        <f>IFERROR(INDEX(TableDSTCalcPts[PLAYER],MATCH(TableDSTRanks[[#This Row],[RK]],TableDSTCalcPts[RK],0)),"")</f>
        <v>Seattle Seahawks</v>
      </c>
      <c r="AE31" s="22">
        <f>IFERROR(INDEX(TableDSTCalcPts[BYE],MATCH(TableDSTRanks[[#This Row],[RK]],TableDSTCalcPts[RK],0)),"")</f>
        <v>11</v>
      </c>
      <c r="AF31" s="272">
        <f>IFERROR(INDEX(TableDSTCalcPts[Custom],MATCH(TableDSTRanks[[#This Row],[RK]],TableDSTCalcPts[RK],0)),"")</f>
        <v>102.70111851865825</v>
      </c>
      <c r="AG31" s="273">
        <v>0</v>
      </c>
    </row>
    <row r="32" spans="1:33" x14ac:dyDescent="0.3">
      <c r="A32" s="22">
        <v>31</v>
      </c>
      <c r="B32" s="22" t="str">
        <f>IFERROR(INDEX(TableQBCalcPts[PLAYER],MATCH(TableQBRanks[[#This Row],[RK]],TableQBCalcPts[RK],0)),"")</f>
        <v>Sam Darnold</v>
      </c>
      <c r="C32" s="22" t="str">
        <f>IFERROR(INDEX(TableQBCalcPts[TM],MATCH(TableQBRanks[[#This Row],[RK]],TableQBCalcPts[RK],0)),"")</f>
        <v>CAR</v>
      </c>
      <c r="D32" s="22">
        <f>IFERROR(INDEX(TableQBCalcPts[BYE],MATCH(TableQBRanks[[#This Row],[RK]],TableQBCalcPts[RK],0)),"")</f>
        <v>13</v>
      </c>
      <c r="E32" s="272">
        <f>IFERROR(INDEX(TableQBCalcPts[Custom],MATCH(TableQBRanks[[#This Row],[RK]],TableQBCalcPts[RK],0)),"")</f>
        <v>182.36501795271968</v>
      </c>
      <c r="F32" s="273">
        <f>(((VLOOKUP(TableQBRanks[[#This Row],[Player]],'OVR &amp; VORP Ranks'!$B:$F,5,FALSE)))/('OVR &amp; VORP Ranks'!$BM$6))*(Settings!$E$10*TEAMS)</f>
        <v>-19.326489519434688</v>
      </c>
      <c r="H32" s="22">
        <v>31</v>
      </c>
      <c r="I32" s="22" t="str">
        <f>IFERROR(INDEX(TableRBCalcPts[PLAYER],MATCH(TableRBRanks[[#This Row],[RK]],TableRBCalcPts[RK],0)),"")</f>
        <v>Devin Singletary</v>
      </c>
      <c r="J32" s="22" t="str">
        <f>IFERROR(INDEX(TableRBCalcPts[TM],MATCH(TableRBRanks[[#This Row],[RK]],TableRBCalcPts[RK],0)),"")</f>
        <v>BUF</v>
      </c>
      <c r="K32" s="22">
        <f>IFERROR(INDEX(TableRBCalcPts[BYE],MATCH(TableRBRanks[[#This Row],[RK]],TableRBCalcPts[RK],0)),"")</f>
        <v>7</v>
      </c>
      <c r="L32" s="272">
        <f>IFERROR(INDEX(TableRBCalcPts[Custom],MATCH(TableRBRanks[[#This Row],[RK]],TableRBCalcPts[RK],0)),"")</f>
        <v>134.98798518855412</v>
      </c>
      <c r="M32" s="273">
        <f>(((VLOOKUP(TableRBRanks[[#This Row],[Player]],'OVR &amp; VORP Ranks'!$I:$M,5,FALSE)))/('OVR &amp; VORP Ranks'!$BM$6))*(Settings!$E$10*TEAMS)</f>
        <v>17.057081939328484</v>
      </c>
      <c r="O32" s="22">
        <v>31</v>
      </c>
      <c r="P32" s="274" t="str">
        <f>IFERROR(INDEX(TableWRCalcPts[PLAYER],MATCH(TableWRRanks[[#This Row],[RK]],TableWRCalcPts[RK],0)),"")</f>
        <v>Allen Lazard</v>
      </c>
      <c r="Q32" s="22" t="str">
        <f>IFERROR(INDEX(TableWRCalcPts[TM],MATCH(TableWRRanks[[#This Row],[RK]],TableWRCalcPts[RK],0)),"")</f>
        <v>GB</v>
      </c>
      <c r="R32" s="22">
        <f>IFERROR(INDEX(TableWRCalcPts[BYE],MATCH(TableWRRanks[[#This Row],[RK]],TableWRCalcPts[RK],0)),"")</f>
        <v>14</v>
      </c>
      <c r="S32" s="272">
        <f>IFERROR(INDEX(TableWRCalcPts[Custom],MATCH(TableWRRanks[[#This Row],[RK]],TableWRCalcPts[RK],0)),"")</f>
        <v>134.96304503309676</v>
      </c>
      <c r="T32" s="273">
        <f>(((VLOOKUP(TableWRRanks[[#This Row],[Player]],'OVR &amp; VORP Ranks'!$P:$T,5,FALSE)))/('OVR &amp; VORP Ranks'!$BM$6))*(Settings!$E$10*TEAMS)</f>
        <v>12.242416525441508</v>
      </c>
      <c r="V32" s="22">
        <v>31</v>
      </c>
      <c r="W32" s="274" t="str">
        <f>IFERROR(INDEX(TableTECalcPts[PLAYER],MATCH(TableTERanks[[#This Row],[RK]],TableTECalcPts[RK],0)),"")</f>
        <v>Tommy Tremble</v>
      </c>
      <c r="X32" s="22" t="str">
        <f>IFERROR(INDEX(TableTECalcPts[TM],MATCH(TableTERanks[[#This Row],[RK]],TableTECalcPts[RK],0)),"")</f>
        <v>CAR</v>
      </c>
      <c r="Y32" s="22">
        <f>IFERROR(INDEX(TableTECalcPts[BYE],MATCH(TableTERanks[[#This Row],[RK]],TableTECalcPts[RK],0)),"")</f>
        <v>13</v>
      </c>
      <c r="Z32" s="272">
        <f>IFERROR(INDEX(TableTECalcPts[Custom],MATCH(TableTERanks[[#This Row],[RK]],TableTECalcPts[RK],0)),"")</f>
        <v>50.482570632097605</v>
      </c>
      <c r="AA32" s="273">
        <f>(((VLOOKUP(TableTERanks[[#This Row],[Player]],'OVR &amp; VORP Ranks'!$W:$AA,5,FALSE)))/('OVR &amp; VORP Ranks'!$BM$6))*(Settings!$E$10*TEAMS)</f>
        <v>-26.037402372293393</v>
      </c>
      <c r="AC32" s="22">
        <v>31</v>
      </c>
      <c r="AD32" s="22" t="str">
        <f>IFERROR(INDEX(TableDSTCalcPts[PLAYER],MATCH(TableDSTRanks[[#This Row],[RK]],TableDSTCalcPts[RK],0)),"")</f>
        <v>Atlanta Falcons</v>
      </c>
      <c r="AE32" s="22">
        <f>IFERROR(INDEX(TableDSTCalcPts[BYE],MATCH(TableDSTRanks[[#This Row],[RK]],TableDSTCalcPts[RK],0)),"")</f>
        <v>14</v>
      </c>
      <c r="AF32" s="272">
        <f>IFERROR(INDEX(TableDSTCalcPts[Custom],MATCH(TableDSTRanks[[#This Row],[RK]],TableDSTCalcPts[RK],0)),"")</f>
        <v>102.28070325616474</v>
      </c>
      <c r="AG32" s="273">
        <v>0</v>
      </c>
    </row>
    <row r="33" spans="1:33" x14ac:dyDescent="0.3">
      <c r="A33" s="22">
        <v>32</v>
      </c>
      <c r="B33" s="22" t="str">
        <f>IFERROR(INDEX(TableQBCalcPts[PLAYER],MATCH(TableQBRanks[[#This Row],[RK]],TableQBCalcPts[RK],0)),"")</f>
        <v>Drew Lock</v>
      </c>
      <c r="C33" s="22" t="str">
        <f>IFERROR(INDEX(TableQBCalcPts[TM],MATCH(TableQBRanks[[#This Row],[RK]],TableQBCalcPts[RK],0)),"")</f>
        <v>SEA</v>
      </c>
      <c r="D33" s="22">
        <f>IFERROR(INDEX(TableQBCalcPts[BYE],MATCH(TableQBRanks[[#This Row],[RK]],TableQBCalcPts[RK],0)),"")</f>
        <v>11</v>
      </c>
      <c r="E33" s="272">
        <f>IFERROR(INDEX(TableQBCalcPts[Custom],MATCH(TableQBRanks[[#This Row],[RK]],TableQBCalcPts[RK],0)),"")</f>
        <v>161.30702075141295</v>
      </c>
      <c r="F33" s="273">
        <f>(((VLOOKUP(TableQBRanks[[#This Row],[Player]],'OVR &amp; VORP Ranks'!$B:$F,5,FALSE)))/('OVR &amp; VORP Ranks'!$BM$6))*(Settings!$E$10*TEAMS)</f>
        <v>-23.175427190012773</v>
      </c>
      <c r="H33" s="22">
        <v>32</v>
      </c>
      <c r="I33" s="22" t="str">
        <f>IFERROR(INDEX(TableRBCalcPts[PLAYER],MATCH(TableRBRanks[[#This Row],[RK]],TableRBCalcPts[RK],0)),"")</f>
        <v>Melvin Gordon</v>
      </c>
      <c r="J33" s="22" t="str">
        <f>IFERROR(INDEX(TableRBCalcPts[TM],MATCH(TableRBRanks[[#This Row],[RK]],TableRBCalcPts[RK],0)),"")</f>
        <v>DEN</v>
      </c>
      <c r="K33" s="22">
        <f>IFERROR(INDEX(TableRBCalcPts[BYE],MATCH(TableRBRanks[[#This Row],[RK]],TableRBCalcPts[RK],0)),"")</f>
        <v>9</v>
      </c>
      <c r="L33" s="272">
        <f>IFERROR(INDEX(TableRBCalcPts[Custom],MATCH(TableRBRanks[[#This Row],[RK]],TableRBCalcPts[RK],0)),"")</f>
        <v>130.42698157645512</v>
      </c>
      <c r="M33" s="273">
        <f>(((VLOOKUP(TableRBRanks[[#This Row],[Player]],'OVR &amp; VORP Ranks'!$I:$M,5,FALSE)))/('OVR &amp; VORP Ranks'!$BM$6))*(Settings!$E$10*TEAMS)</f>
        <v>14.746415160055749</v>
      </c>
      <c r="O33" s="274">
        <v>32</v>
      </c>
      <c r="P33" s="22" t="str">
        <f>IFERROR(INDEX(TableWRCalcPts[PLAYER],MATCH(TableWRRanks[[#This Row],[RK]],TableWRCalcPts[RK],0)),"")</f>
        <v>Darnell Mooney</v>
      </c>
      <c r="Q33" s="22" t="str">
        <f>IFERROR(INDEX(TableWRCalcPts[TM],MATCH(TableWRRanks[[#This Row],[RK]],TableWRCalcPts[RK],0)),"")</f>
        <v>CHI</v>
      </c>
      <c r="R33" s="22">
        <f>IFERROR(INDEX(TableWRCalcPts[BYE],MATCH(TableWRRanks[[#This Row],[RK]],TableWRCalcPts[RK],0)),"")</f>
        <v>14</v>
      </c>
      <c r="S33" s="272">
        <f>IFERROR(INDEX(TableWRCalcPts[Custom],MATCH(TableWRRanks[[#This Row],[RK]],TableWRCalcPts[RK],0)),"")</f>
        <v>134.25338130240169</v>
      </c>
      <c r="T33" s="273">
        <f>(((VLOOKUP(TableWRRanks[[#This Row],[Player]],'OVR &amp; VORP Ranks'!$P:$T,5,FALSE)))/('OVR &amp; VORP Ranks'!$BM$6))*(Settings!$E$10*TEAMS)</f>
        <v>11.908141251757085</v>
      </c>
      <c r="V33" s="274">
        <v>32</v>
      </c>
      <c r="W33" s="22" t="str">
        <f>IFERROR(INDEX(TableTECalcPts[PLAYER],MATCH(TableTERanks[[#This Row],[RK]],TableTECalcPts[RK],0)),"")</f>
        <v>Adam Trautman</v>
      </c>
      <c r="X33" s="22" t="str">
        <f>IFERROR(INDEX(TableTECalcPts[TM],MATCH(TableTERanks[[#This Row],[RK]],TableTECalcPts[RK],0)),"")</f>
        <v>NO</v>
      </c>
      <c r="Y33" s="22">
        <f>IFERROR(INDEX(TableTECalcPts[BYE],MATCH(TableTERanks[[#This Row],[RK]],TableTECalcPts[RK],0)),"")</f>
        <v>14</v>
      </c>
      <c r="Z33" s="272">
        <f>IFERROR(INDEX(TableTECalcPts[Custom],MATCH(TableTERanks[[#This Row],[RK]],TableTECalcPts[RK],0)),"")</f>
        <v>50.26987913575595</v>
      </c>
      <c r="AA33" s="273">
        <f>(((VLOOKUP(TableTERanks[[#This Row],[Player]],'OVR &amp; VORP Ranks'!$W:$AA,5,FALSE)))/('OVR &amp; VORP Ranks'!$BM$6))*(Settings!$E$10*TEAMS)</f>
        <v>-26.143962945498632</v>
      </c>
      <c r="AC33" s="22">
        <v>32</v>
      </c>
      <c r="AD33" s="22" t="str">
        <f>IFERROR(INDEX(TableDSTCalcPts[PLAYER],MATCH(TableDSTRanks[[#This Row],[RK]],TableDSTCalcPts[RK],0)),"")</f>
        <v>Jacksonville Jaguars</v>
      </c>
      <c r="AE33" s="22">
        <f>IFERROR(INDEX(TableDSTCalcPts[BYE],MATCH(TableDSTRanks[[#This Row],[RK]],TableDSTCalcPts[RK],0)),"")</f>
        <v>11</v>
      </c>
      <c r="AF33" s="272">
        <f>IFERROR(INDEX(TableDSTCalcPts[Custom],MATCH(TableDSTRanks[[#This Row],[RK]],TableDSTCalcPts[RK],0)),"")</f>
        <v>98.455899727230161</v>
      </c>
      <c r="AG33" s="273">
        <v>0</v>
      </c>
    </row>
    <row r="34" spans="1:33" x14ac:dyDescent="0.3">
      <c r="A34" s="22">
        <v>33</v>
      </c>
      <c r="B34" s="22" t="str">
        <f>IFERROR(INDEX(TableQBCalcPts[PLAYER],MATCH(TableQBRanks[[#This Row],[RK]],TableQBCalcPts[RK],0)),"")</f>
        <v>Jacoby Brissett</v>
      </c>
      <c r="C34" s="22" t="str">
        <f>IFERROR(INDEX(TableQBCalcPts[TM],MATCH(TableQBRanks[[#This Row],[RK]],TableQBCalcPts[RK],0)),"")</f>
        <v>CLE</v>
      </c>
      <c r="D34" s="22">
        <f>IFERROR(INDEX(TableQBCalcPts[BYE],MATCH(TableQBRanks[[#This Row],[RK]],TableQBCalcPts[RK],0)),"")</f>
        <v>9</v>
      </c>
      <c r="E34" s="272">
        <f>IFERROR(INDEX(TableQBCalcPts[Custom],MATCH(TableQBRanks[[#This Row],[RK]],TableQBCalcPts[RK],0)),"")</f>
        <v>134.63847628568968</v>
      </c>
      <c r="F34" s="273">
        <f>(((VLOOKUP(TableQBRanks[[#This Row],[Player]],'OVR &amp; VORP Ranks'!$B:$F,5,FALSE)))/('OVR &amp; VORP Ranks'!$BM$6))*(Settings!$E$10*TEAMS)</f>
        <v>-27.227104345293196</v>
      </c>
      <c r="H34" s="22">
        <v>33</v>
      </c>
      <c r="I34" s="22" t="str">
        <f>IFERROR(INDEX(TableRBCalcPts[PLAYER],MATCH(TableRBRanks[[#This Row],[RK]],TableRBCalcPts[RK],0)),"")</f>
        <v>Miles Sanders</v>
      </c>
      <c r="J34" s="22" t="str">
        <f>IFERROR(INDEX(TableRBCalcPts[TM],MATCH(TableRBRanks[[#This Row],[RK]],TableRBCalcPts[RK],0)),"")</f>
        <v>PHI</v>
      </c>
      <c r="K34" s="22">
        <f>IFERROR(INDEX(TableRBCalcPts[BYE],MATCH(TableRBRanks[[#This Row],[RK]],TableRBCalcPts[RK],0)),"")</f>
        <v>7</v>
      </c>
      <c r="L34" s="272">
        <f>IFERROR(INDEX(TableRBCalcPts[Custom],MATCH(TableRBRanks[[#This Row],[RK]],TableRBCalcPts[RK],0)),"")</f>
        <v>128.25968330598508</v>
      </c>
      <c r="M34" s="273">
        <f>(((VLOOKUP(TableRBRanks[[#This Row],[Player]],'OVR &amp; VORP Ranks'!$I:$M,5,FALSE)))/('OVR &amp; VORP Ranks'!$BM$6))*(Settings!$E$10*TEAMS)</f>
        <v>13.648432229047781</v>
      </c>
      <c r="O34" s="22">
        <v>33</v>
      </c>
      <c r="P34" s="22" t="str">
        <f>IFERROR(INDEX(TableWRCalcPts[PLAYER],MATCH(TableWRRanks[[#This Row],[RK]],TableWRCalcPts[RK],0)),"")</f>
        <v>Drake London</v>
      </c>
      <c r="Q34" s="22" t="str">
        <f>IFERROR(INDEX(TableWRCalcPts[TM],MATCH(TableWRRanks[[#This Row],[RK]],TableWRCalcPts[RK],0)),"")</f>
        <v>ATL</v>
      </c>
      <c r="R34" s="22">
        <f>IFERROR(INDEX(TableWRCalcPts[BYE],MATCH(TableWRRanks[[#This Row],[RK]],TableWRCalcPts[RK],0)),"")</f>
        <v>14</v>
      </c>
      <c r="S34" s="272">
        <f>IFERROR(INDEX(TableWRCalcPts[Custom],MATCH(TableWRRanks[[#This Row],[RK]],TableWRCalcPts[RK],0)),"")</f>
        <v>133.93393650127959</v>
      </c>
      <c r="T34" s="273">
        <f>(((VLOOKUP(TableWRRanks[[#This Row],[Player]],'OVR &amp; VORP Ranks'!$P:$T,5,FALSE)))/('OVR &amp; VORP Ranks'!$BM$6))*(Settings!$E$10*TEAMS)</f>
        <v>11.757672101787183</v>
      </c>
      <c r="V34" s="22">
        <v>33</v>
      </c>
      <c r="W34" s="274" t="str">
        <f>IFERROR(INDEX(TableTECalcPts[PLAYER],MATCH(TableTERanks[[#This Row],[RK]],TableTECalcPts[RK],0)),"")</f>
        <v>Ricky Seals-Jones</v>
      </c>
      <c r="X34" s="22" t="str">
        <f>IFERROR(INDEX(TableTECalcPts[TM],MATCH(TableTERanks[[#This Row],[RK]],TableTECalcPts[RK],0)),"")</f>
        <v>NYG</v>
      </c>
      <c r="Y34" s="22">
        <f>IFERROR(INDEX(TableTECalcPts[BYE],MATCH(TableTERanks[[#This Row],[RK]],TableTECalcPts[RK],0)),"")</f>
        <v>9</v>
      </c>
      <c r="Z34" s="272">
        <f>IFERROR(INDEX(TableTECalcPts[Custom],MATCH(TableTERanks[[#This Row],[RK]],TableTECalcPts[RK],0)),"")</f>
        <v>43.271345190999646</v>
      </c>
      <c r="AA34" s="273">
        <f>(((VLOOKUP(TableTERanks[[#This Row],[Player]],'OVR &amp; VORP Ranks'!$W:$AA,5,FALSE)))/('OVR &amp; VORP Ranks'!$BM$6))*(Settings!$E$10*TEAMS)</f>
        <v>-29.650298655091937</v>
      </c>
    </row>
    <row r="35" spans="1:33" x14ac:dyDescent="0.3">
      <c r="A35" s="22">
        <v>34</v>
      </c>
      <c r="B35" s="22" t="str">
        <f>IFERROR(INDEX(TableQBCalcPts[PLAYER],MATCH(TableQBRanks[[#This Row],[RK]],TableQBCalcPts[RK],0)),"")</f>
        <v>Geno Smith</v>
      </c>
      <c r="C35" s="22" t="str">
        <f>IFERROR(INDEX(TableQBCalcPts[TM],MATCH(TableQBRanks[[#This Row],[RK]],TableQBCalcPts[RK],0)),"")</f>
        <v>SEA</v>
      </c>
      <c r="D35" s="22">
        <f>IFERROR(INDEX(TableQBCalcPts[BYE],MATCH(TableQBRanks[[#This Row],[RK]],TableQBCalcPts[RK],0)),"")</f>
        <v>11</v>
      </c>
      <c r="E35" s="272">
        <f>IFERROR(INDEX(TableQBCalcPts[Custom],MATCH(TableQBRanks[[#This Row],[RK]],TableQBCalcPts[RK],0)),"")</f>
        <v>106.80991898747439</v>
      </c>
      <c r="F35" s="273">
        <f>(((VLOOKUP(TableQBRanks[[#This Row],[Player]],'OVR &amp; VORP Ranks'!$B:$F,5,FALSE)))/('OVR &amp; VORP Ranks'!$BM$6))*(Settings!$E$10*TEAMS)</f>
        <v>-31.910643283206284</v>
      </c>
      <c r="H35" s="22">
        <v>34</v>
      </c>
      <c r="I35" s="22" t="str">
        <f>IFERROR(INDEX(TableRBCalcPts[PLAYER],MATCH(TableRBRanks[[#This Row],[RK]],TableRBCalcPts[RK],0)),"")</f>
        <v>Rashaad Penny</v>
      </c>
      <c r="J35" s="22" t="str">
        <f>IFERROR(INDEX(TableRBCalcPts[TM],MATCH(TableRBRanks[[#This Row],[RK]],TableRBCalcPts[RK],0)),"")</f>
        <v>SEA</v>
      </c>
      <c r="K35" s="22">
        <f>IFERROR(INDEX(TableRBCalcPts[BYE],MATCH(TableRBRanks[[#This Row],[RK]],TableRBCalcPts[RK],0)),"")</f>
        <v>11</v>
      </c>
      <c r="L35" s="272">
        <f>IFERROR(INDEX(TableRBCalcPts[Custom],MATCH(TableRBRanks[[#This Row],[RK]],TableRBCalcPts[RK],0)),"")</f>
        <v>123.99955197448789</v>
      </c>
      <c r="M35" s="273">
        <f>(((VLOOKUP(TableRBRanks[[#This Row],[Player]],'OVR &amp; VORP Ranks'!$I:$M,5,FALSE)))/('OVR &amp; VORP Ranks'!$BM$6))*(Settings!$E$10*TEAMS)</f>
        <v>11.490191460082608</v>
      </c>
      <c r="O35" s="22">
        <v>34</v>
      </c>
      <c r="P35" s="274" t="str">
        <f>IFERROR(INDEX(TableWRCalcPts[PLAYER],MATCH(TableWRRanks[[#This Row],[RK]],TableWRCalcPts[RK],0)),"")</f>
        <v>Chris Godwin</v>
      </c>
      <c r="Q35" s="22" t="str">
        <f>IFERROR(INDEX(TableWRCalcPts[TM],MATCH(TableWRRanks[[#This Row],[RK]],TableWRCalcPts[RK],0)),"")</f>
        <v>TB</v>
      </c>
      <c r="R35" s="22">
        <f>IFERROR(INDEX(TableWRCalcPts[BYE],MATCH(TableWRRanks[[#This Row],[RK]],TableWRCalcPts[RK],0)),"")</f>
        <v>11</v>
      </c>
      <c r="S35" s="272">
        <f>IFERROR(INDEX(TableWRCalcPts[Custom],MATCH(TableWRRanks[[#This Row],[RK]],TableWRCalcPts[RK],0)),"")</f>
        <v>132.66088916790426</v>
      </c>
      <c r="T35" s="273">
        <f>(((VLOOKUP(TableWRRanks[[#This Row],[Player]],'OVR &amp; VORP Ranks'!$P:$T,5,FALSE)))/('OVR &amp; VORP Ranks'!$BM$6))*(Settings!$E$10*TEAMS)</f>
        <v>11.158024370938005</v>
      </c>
      <c r="V35" s="22">
        <v>34</v>
      </c>
      <c r="W35" s="274" t="str">
        <f>IFERROR(INDEX(TableTECalcPts[PLAYER],MATCH(TableTERanks[[#This Row],[RK]],TableTECalcPts[RK],0)),"")</f>
        <v>Jonnu Smith</v>
      </c>
      <c r="X35" s="22" t="str">
        <f>IFERROR(INDEX(TableTECalcPts[TM],MATCH(TableTERanks[[#This Row],[RK]],TableTECalcPts[RK],0)),"")</f>
        <v>NE</v>
      </c>
      <c r="Y35" s="22">
        <f>IFERROR(INDEX(TableTECalcPts[BYE],MATCH(TableTERanks[[#This Row],[RK]],TableTECalcPts[RK],0)),"")</f>
        <v>10</v>
      </c>
      <c r="Z35" s="272">
        <f>IFERROR(INDEX(TableTECalcPts[Custom],MATCH(TableTERanks[[#This Row],[RK]],TableTECalcPts[RK],0)),"")</f>
        <v>41.486085433533724</v>
      </c>
      <c r="AA35" s="273">
        <f>(((VLOOKUP(TableTERanks[[#This Row],[Player]],'OVR &amp; VORP Ranks'!$W:$AA,5,FALSE)))/('OVR &amp; VORP Ranks'!$BM$6))*(Settings!$E$10*TEAMS)</f>
        <v>-30.544731701772058</v>
      </c>
    </row>
    <row r="36" spans="1:33" x14ac:dyDescent="0.3">
      <c r="A36" s="22">
        <v>35</v>
      </c>
      <c r="B36" s="22" t="str">
        <f>IFERROR(INDEX(TableQBCalcPts[PLAYER],MATCH(TableQBRanks[[#This Row],[RK]],TableQBCalcPts[RK],0)),"")</f>
        <v>Desmond Ridder</v>
      </c>
      <c r="C36" s="22" t="str">
        <f>IFERROR(INDEX(TableQBCalcPts[TM],MATCH(TableQBRanks[[#This Row],[RK]],TableQBCalcPts[RK],0)),"")</f>
        <v>ATL</v>
      </c>
      <c r="D36" s="22">
        <f>IFERROR(INDEX(TableQBCalcPts[BYE],MATCH(TableQBRanks[[#This Row],[RK]],TableQBCalcPts[RK],0)),"")</f>
        <v>14</v>
      </c>
      <c r="E36" s="272">
        <f>IFERROR(INDEX(TableQBCalcPts[Custom],MATCH(TableQBRanks[[#This Row],[RK]],TableQBCalcPts[RK],0)),"")</f>
        <v>87.369203460727817</v>
      </c>
      <c r="F36" s="273">
        <f>(((VLOOKUP(TableQBRanks[[#This Row],[Player]],'OVR &amp; VORP Ranks'!$B:$F,5,FALSE)))/('OVR &amp; VORP Ranks'!$BM$6))*(Settings!$E$10*TEAMS)</f>
        <v>-34.612498171079622</v>
      </c>
      <c r="H36" s="22">
        <v>35</v>
      </c>
      <c r="I36" s="22" t="str">
        <f>IFERROR(INDEX(TableRBCalcPts[PLAYER],MATCH(TableRBRanks[[#This Row],[RK]],TableRBCalcPts[RK],0)),"")</f>
        <v>Kareem Hunt</v>
      </c>
      <c r="J36" s="22" t="str">
        <f>IFERROR(INDEX(TableRBCalcPts[TM],MATCH(TableRBRanks[[#This Row],[RK]],TableRBCalcPts[RK],0)),"")</f>
        <v>CLE</v>
      </c>
      <c r="K36" s="22">
        <f>IFERROR(INDEX(TableRBCalcPts[BYE],MATCH(TableRBRanks[[#This Row],[RK]],TableRBCalcPts[RK],0)),"")</f>
        <v>9</v>
      </c>
      <c r="L36" s="272">
        <f>IFERROR(INDEX(TableRBCalcPts[Custom],MATCH(TableRBRanks[[#This Row],[RK]],TableRBCalcPts[RK],0)),"")</f>
        <v>123.52378859510981</v>
      </c>
      <c r="M36" s="273">
        <f>(((VLOOKUP(TableRBRanks[[#This Row],[Player]],'OVR &amp; VORP Ranks'!$I:$M,5,FALSE)))/('OVR &amp; VORP Ranks'!$BM$6))*(Settings!$E$10*TEAMS)</f>
        <v>11.249163228355876</v>
      </c>
      <c r="O36" s="274">
        <v>35</v>
      </c>
      <c r="P36" s="22" t="str">
        <f>IFERROR(INDEX(TableWRCalcPts[PLAYER],MATCH(TableWRRanks[[#This Row],[RK]],TableWRCalcPts[RK],0)),"")</f>
        <v>Hunter Renfrow</v>
      </c>
      <c r="Q36" s="22" t="str">
        <f>IFERROR(INDEX(TableWRCalcPts[TM],MATCH(TableWRRanks[[#This Row],[RK]],TableWRCalcPts[RK],0)),"")</f>
        <v>LV</v>
      </c>
      <c r="R36" s="22">
        <f>IFERROR(INDEX(TableWRCalcPts[BYE],MATCH(TableWRRanks[[#This Row],[RK]],TableWRCalcPts[RK],0)),"")</f>
        <v>6</v>
      </c>
      <c r="S36" s="272">
        <f>IFERROR(INDEX(TableWRCalcPts[Custom],MATCH(TableWRRanks[[#This Row],[RK]],TableWRCalcPts[RK],0)),"")</f>
        <v>132.55605237294674</v>
      </c>
      <c r="T36" s="273">
        <f>(((VLOOKUP(TableWRRanks[[#This Row],[Player]],'OVR &amp; VORP Ranks'!$P:$T,5,FALSE)))/('OVR &amp; VORP Ranks'!$BM$6))*(Settings!$E$10*TEAMS)</f>
        <v>11.108642745795205</v>
      </c>
      <c r="V36" s="274">
        <v>35</v>
      </c>
      <c r="W36" s="274" t="str">
        <f>IFERROR(INDEX(TableTECalcPts[PLAYER],MATCH(TableTERanks[[#This Row],[RK]],TableTECalcPts[RK],0)),"")</f>
        <v>Cade Otton</v>
      </c>
      <c r="X36" s="22" t="str">
        <f>IFERROR(INDEX(TableTECalcPts[TM],MATCH(TableTERanks[[#This Row],[RK]],TableTECalcPts[RK],0)),"")</f>
        <v>TB</v>
      </c>
      <c r="Y36" s="22">
        <f>IFERROR(INDEX(TableTECalcPts[BYE],MATCH(TableTERanks[[#This Row],[RK]],TableTECalcPts[RK],0)),"")</f>
        <v>11</v>
      </c>
      <c r="Z36" s="272">
        <f>IFERROR(INDEX(TableTECalcPts[Custom],MATCH(TableTERanks[[#This Row],[RK]],TableTECalcPts[RK],0)),"")</f>
        <v>38.578392188776903</v>
      </c>
      <c r="AA36" s="273">
        <f>(((VLOOKUP(TableTERanks[[#This Row],[Player]],'OVR &amp; VORP Ranks'!$W:$AA,5,FALSE)))/('OVR &amp; VORP Ranks'!$BM$6))*(Settings!$E$10*TEAMS)</f>
        <v>-32.001515184871828</v>
      </c>
    </row>
    <row r="37" spans="1:33" x14ac:dyDescent="0.3">
      <c r="A37" s="22">
        <v>36</v>
      </c>
      <c r="B37" s="22" t="str">
        <f>IFERROR(INDEX(TableQBCalcPts[PLAYER],MATCH(TableQBRanks[[#This Row],[RK]],TableQBCalcPts[RK],0)),"")</f>
        <v>Matt Corral</v>
      </c>
      <c r="C37" s="22" t="str">
        <f>IFERROR(INDEX(TableQBCalcPts[TM],MATCH(TableQBRanks[[#This Row],[RK]],TableQBCalcPts[RK],0)),"")</f>
        <v>CAR</v>
      </c>
      <c r="D37" s="22">
        <f>IFERROR(INDEX(TableQBCalcPts[BYE],MATCH(TableQBRanks[[#This Row],[RK]],TableQBCalcPts[RK],0)),"")</f>
        <v>13</v>
      </c>
      <c r="E37" s="272">
        <f>IFERROR(INDEX(TableQBCalcPts[Custom],MATCH(TableQBRanks[[#This Row],[RK]],TableQBCalcPts[RK],0)),"")</f>
        <v>76.001794257808797</v>
      </c>
      <c r="F37" s="273">
        <f>(((VLOOKUP(TableQBRanks[[#This Row],[Player]],'OVR &amp; VORP Ranks'!$B:$F,5,FALSE)))/('OVR &amp; VORP Ranks'!$BM$6))*(Settings!$E$10*TEAMS)</f>
        <v>-37.567775292235012</v>
      </c>
      <c r="H37" s="22">
        <v>36</v>
      </c>
      <c r="I37" s="22" t="str">
        <f>IFERROR(INDEX(TableRBCalcPts[PLAYER],MATCH(TableRBRanks[[#This Row],[RK]],TableRBCalcPts[RK],0)),"")</f>
        <v>Chase Edmonds</v>
      </c>
      <c r="J37" s="22" t="str">
        <f>IFERROR(INDEX(TableRBCalcPts[TM],MATCH(TableRBRanks[[#This Row],[RK]],TableRBCalcPts[RK],0)),"")</f>
        <v>MIA</v>
      </c>
      <c r="K37" s="22">
        <f>IFERROR(INDEX(TableRBCalcPts[BYE],MATCH(TableRBRanks[[#This Row],[RK]],TableRBCalcPts[RK],0)),"")</f>
        <v>11</v>
      </c>
      <c r="L37" s="272">
        <f>IFERROR(INDEX(TableRBCalcPts[Custom],MATCH(TableRBRanks[[#This Row],[RK]],TableRBCalcPts[RK],0)),"")</f>
        <v>117.21232006859266</v>
      </c>
      <c r="M37" s="273">
        <f>(((VLOOKUP(TableRBRanks[[#This Row],[Player]],'OVR &amp; VORP Ranks'!$I:$M,5,FALSE)))/('OVR &amp; VORP Ranks'!$BM$6))*(Settings!$E$10*TEAMS)</f>
        <v>8.051686994405447</v>
      </c>
      <c r="O37" s="22">
        <v>36</v>
      </c>
      <c r="P37" s="274" t="str">
        <f>IFERROR(INDEX(TableWRCalcPts[PLAYER],MATCH(TableWRRanks[[#This Row],[RK]],TableWRCalcPts[RK],0)),"")</f>
        <v>Amon-Ra St. Brown</v>
      </c>
      <c r="Q37" s="22" t="str">
        <f>IFERROR(INDEX(TableWRCalcPts[TM],MATCH(TableWRRanks[[#This Row],[RK]],TableWRCalcPts[RK],0)),"")</f>
        <v>DET</v>
      </c>
      <c r="R37" s="22">
        <f>IFERROR(INDEX(TableWRCalcPts[BYE],MATCH(TableWRRanks[[#This Row],[RK]],TableWRCalcPts[RK],0)),"")</f>
        <v>6</v>
      </c>
      <c r="S37" s="272">
        <f>IFERROR(INDEX(TableWRCalcPts[Custom],MATCH(TableWRRanks[[#This Row],[RK]],TableWRCalcPts[RK],0)),"")</f>
        <v>132.52196259296818</v>
      </c>
      <c r="T37" s="273">
        <f>(((VLOOKUP(TableWRRanks[[#This Row],[Player]],'OVR &amp; VORP Ranks'!$P:$T,5,FALSE)))/('OVR &amp; VORP Ranks'!$BM$6))*(Settings!$E$10*TEAMS)</f>
        <v>11.092585323047938</v>
      </c>
      <c r="V37" s="22">
        <v>36</v>
      </c>
      <c r="W37" s="274" t="str">
        <f>IFERROR(INDEX(TableTECalcPts[PLAYER],MATCH(TableTERanks[[#This Row],[RK]],TableTECalcPts[RK],0)),"")</f>
        <v>Geoff Swaim</v>
      </c>
      <c r="X37" s="22" t="str">
        <f>IFERROR(INDEX(TableTECalcPts[TM],MATCH(TableTERanks[[#This Row],[RK]],TableTECalcPts[RK],0)),"")</f>
        <v>TEN</v>
      </c>
      <c r="Y37" s="22">
        <f>IFERROR(INDEX(TableTECalcPts[BYE],MATCH(TableTERanks[[#This Row],[RK]],TableTECalcPts[RK],0)),"")</f>
        <v>6</v>
      </c>
      <c r="Z37" s="272">
        <f>IFERROR(INDEX(TableTECalcPts[Custom],MATCH(TableTERanks[[#This Row],[RK]],TableTECalcPts[RK],0)),"")</f>
        <v>38.183041253692494</v>
      </c>
      <c r="AA37" s="273">
        <f>(((VLOOKUP(TableTERanks[[#This Row],[Player]],'OVR &amp; VORP Ranks'!$W:$AA,5,FALSE)))/('OVR &amp; VORP Ranks'!$BM$6))*(Settings!$E$10*TEAMS)</f>
        <v>-32.199589969169509</v>
      </c>
    </row>
    <row r="38" spans="1:33" x14ac:dyDescent="0.3">
      <c r="A38" s="22">
        <v>37</v>
      </c>
      <c r="B38" s="22" t="str">
        <f>IFERROR(INDEX(TableQBCalcPts[PLAYER],MATCH(TableQBRanks[[#This Row],[RK]],TableQBCalcPts[RK],0)),"")</f>
        <v>Mitchell Trubisky</v>
      </c>
      <c r="C38" s="22" t="str">
        <f>IFERROR(INDEX(TableQBCalcPts[TM],MATCH(TableQBRanks[[#This Row],[RK]],TableQBCalcPts[RK],0)),"")</f>
        <v>PIT</v>
      </c>
      <c r="D38" s="22">
        <f>IFERROR(INDEX(TableQBCalcPts[BYE],MATCH(TableQBRanks[[#This Row],[RK]],TableQBCalcPts[RK],0)),"")</f>
        <v>9</v>
      </c>
      <c r="E38" s="272">
        <f>IFERROR(INDEX(TableQBCalcPts[Custom],MATCH(TableQBRanks[[#This Row],[RK]],TableQBCalcPts[RK],0)),"")</f>
        <v>54.43495605827907</v>
      </c>
      <c r="F38" s="273">
        <f>(((VLOOKUP(TableQBRanks[[#This Row],[Player]],'OVR &amp; VORP Ranks'!$B:$F,5,FALSE)))/('OVR &amp; VORP Ranks'!$BM$6))*(Settings!$E$10*TEAMS)</f>
        <v>-40.78907704184472</v>
      </c>
      <c r="H38" s="22">
        <v>37</v>
      </c>
      <c r="I38" s="22" t="str">
        <f>IFERROR(INDEX(TableRBCalcPts[PLAYER],MATCH(TableRBRanks[[#This Row],[RK]],TableRBCalcPts[RK],0)),"")</f>
        <v>Gus Edwards</v>
      </c>
      <c r="J38" s="22" t="str">
        <f>IFERROR(INDEX(TableRBCalcPts[TM],MATCH(TableRBRanks[[#This Row],[RK]],TableRBCalcPts[RK],0)),"")</f>
        <v>BAL</v>
      </c>
      <c r="K38" s="22">
        <f>IFERROR(INDEX(TableRBCalcPts[BYE],MATCH(TableRBRanks[[#This Row],[RK]],TableRBCalcPts[RK],0)),"")</f>
        <v>10</v>
      </c>
      <c r="L38" s="272">
        <f>IFERROR(INDEX(TableRBCalcPts[Custom],MATCH(TableRBRanks[[#This Row],[RK]],TableRBCalcPts[RK],0)),"")</f>
        <v>115.70214139841576</v>
      </c>
      <c r="M38" s="273">
        <f>(((VLOOKUP(TableRBRanks[[#This Row],[Player]],'OVR &amp; VORP Ranks'!$I:$M,5,FALSE)))/('OVR &amp; VORP Ranks'!$BM$6))*(Settings!$E$10*TEAMS)</f>
        <v>7.2866098357977718</v>
      </c>
      <c r="O38" s="22">
        <v>37</v>
      </c>
      <c r="P38" s="274" t="str">
        <f>IFERROR(INDEX(TableWRCalcPts[PLAYER],MATCH(TableWRRanks[[#This Row],[RK]],TableWRCalcPts[RK],0)),"")</f>
        <v>Marquise Brown</v>
      </c>
      <c r="Q38" s="22" t="str">
        <f>IFERROR(INDEX(TableWRCalcPts[TM],MATCH(TableWRRanks[[#This Row],[RK]],TableWRCalcPts[RK],0)),"")</f>
        <v>ARI</v>
      </c>
      <c r="R38" s="22">
        <f>IFERROR(INDEX(TableWRCalcPts[BYE],MATCH(TableWRRanks[[#This Row],[RK]],TableWRCalcPts[RK],0)),"")</f>
        <v>13</v>
      </c>
      <c r="S38" s="272">
        <f>IFERROR(INDEX(TableWRCalcPts[Custom],MATCH(TableWRRanks[[#This Row],[RK]],TableWRCalcPts[RK],0)),"")</f>
        <v>131.59638525679199</v>
      </c>
      <c r="T38" s="273">
        <f>(((VLOOKUP(TableWRRanks[[#This Row],[Player]],'OVR &amp; VORP Ranks'!$P:$T,5,FALSE)))/('OVR &amp; VORP Ranks'!$BM$6))*(Settings!$E$10*TEAMS)</f>
        <v>10.656607543736378</v>
      </c>
      <c r="V38" s="22">
        <v>37</v>
      </c>
      <c r="W38" s="274" t="str">
        <f>IFERROR(INDEX(TableTECalcPts[PLAYER],MATCH(TableTERanks[[#This Row],[RK]],TableTECalcPts[RK],0)),"")</f>
        <v>Harrison Bryant</v>
      </c>
      <c r="X38" s="22" t="str">
        <f>IFERROR(INDEX(TableTECalcPts[TM],MATCH(TableTERanks[[#This Row],[RK]],TableTECalcPts[RK],0)),"")</f>
        <v>CLE</v>
      </c>
      <c r="Y38" s="22">
        <f>IFERROR(INDEX(TableTECalcPts[BYE],MATCH(TableTERanks[[#This Row],[RK]],TableTECalcPts[RK],0)),"")</f>
        <v>9</v>
      </c>
      <c r="Z38" s="272">
        <f>IFERROR(INDEX(TableTECalcPts[Custom],MATCH(TableTERanks[[#This Row],[RK]],TableTECalcPts[RK],0)),"")</f>
        <v>38.106607571611121</v>
      </c>
      <c r="AA38" s="273">
        <f>(((VLOOKUP(TableTERanks[[#This Row],[Player]],'OVR &amp; VORP Ranks'!$W:$AA,5,FALSE)))/('OVR &amp; VORP Ranks'!$BM$6))*(Settings!$E$10*TEAMS)</f>
        <v>-32.237884010609193</v>
      </c>
    </row>
    <row r="39" spans="1:33" x14ac:dyDescent="0.3">
      <c r="A39" s="22">
        <v>38</v>
      </c>
      <c r="B39" s="22" t="str">
        <f>IFERROR(INDEX(TableQBCalcPts[PLAYER],MATCH(TableQBRanks[[#This Row],[RK]],TableQBCalcPts[RK],0)),"")</f>
        <v>Taysom Hill</v>
      </c>
      <c r="C39" s="22" t="str">
        <f>IFERROR(INDEX(TableQBCalcPts[TM],MATCH(TableQBRanks[[#This Row],[RK]],TableQBCalcPts[RK],0)),"")</f>
        <v>NO</v>
      </c>
      <c r="D39" s="22">
        <f>IFERROR(INDEX(TableQBCalcPts[BYE],MATCH(TableQBRanks[[#This Row],[RK]],TableQBCalcPts[RK],0)),"")</f>
        <v>14</v>
      </c>
      <c r="E39" s="272">
        <f>IFERROR(INDEX(TableQBCalcPts[Custom],MATCH(TableQBRanks[[#This Row],[RK]],TableQBCalcPts[RK],0)),"")</f>
        <v>43.6576146450805</v>
      </c>
      <c r="F39" s="273">
        <f>(((VLOOKUP(TableQBRanks[[#This Row],[Player]],'OVR &amp; VORP Ranks'!$B:$F,5,FALSE)))/('OVR &amp; VORP Ranks'!$BM$6))*(Settings!$E$10*TEAMS)</f>
        <v>-42.496022627377926</v>
      </c>
      <c r="H39" s="22">
        <v>38</v>
      </c>
      <c r="I39" s="22" t="str">
        <f>IFERROR(INDEX(TableRBCalcPts[PLAYER],MATCH(TableRBRanks[[#This Row],[RK]],TableRBCalcPts[RK],0)),"")</f>
        <v>Rhamondre Stevenson</v>
      </c>
      <c r="J39" s="22" t="str">
        <f>IFERROR(INDEX(TableRBCalcPts[TM],MATCH(TableRBRanks[[#This Row],[RK]],TableRBCalcPts[RK],0)),"")</f>
        <v>NE</v>
      </c>
      <c r="K39" s="22">
        <f>IFERROR(INDEX(TableRBCalcPts[BYE],MATCH(TableRBRanks[[#This Row],[RK]],TableRBCalcPts[RK],0)),"")</f>
        <v>10</v>
      </c>
      <c r="L39" s="272">
        <f>IFERROR(INDEX(TableRBCalcPts[Custom],MATCH(TableRBRanks[[#This Row],[RK]],TableRBCalcPts[RK],0)),"")</f>
        <v>114.52110630677849</v>
      </c>
      <c r="M39" s="273">
        <f>(((VLOOKUP(TableRBRanks[[#This Row],[Player]],'OVR &amp; VORP Ranks'!$I:$M,5,FALSE)))/('OVR &amp; VORP Ranks'!$BM$6))*(Settings!$E$10*TEAMS)</f>
        <v>6.6882813135044792</v>
      </c>
      <c r="O39" s="274">
        <v>38</v>
      </c>
      <c r="P39" s="22" t="str">
        <f>IFERROR(INDEX(TableWRCalcPts[PLAYER],MATCH(TableWRRanks[[#This Row],[RK]],TableWRCalcPts[RK],0)),"")</f>
        <v>Christian Kirk</v>
      </c>
      <c r="Q39" s="22" t="str">
        <f>IFERROR(INDEX(TableWRCalcPts[TM],MATCH(TableWRRanks[[#This Row],[RK]],TableWRCalcPts[RK],0)),"")</f>
        <v>JAX</v>
      </c>
      <c r="R39" s="22">
        <f>IFERROR(INDEX(TableWRCalcPts[BYE],MATCH(TableWRRanks[[#This Row],[RK]],TableWRCalcPts[RK],0)),"")</f>
        <v>11</v>
      </c>
      <c r="S39" s="272">
        <f>IFERROR(INDEX(TableWRCalcPts[Custom],MATCH(TableWRRanks[[#This Row],[RK]],TableWRCalcPts[RK],0)),"")</f>
        <v>124.06080172234979</v>
      </c>
      <c r="T39" s="273">
        <f>(((VLOOKUP(TableWRRanks[[#This Row],[Player]],'OVR &amp; VORP Ranks'!$P:$T,5,FALSE)))/('OVR &amp; VORP Ranks'!$BM$6))*(Settings!$E$10*TEAMS)</f>
        <v>7.1070965015413279</v>
      </c>
      <c r="V39" s="274">
        <v>38</v>
      </c>
      <c r="W39" s="22" t="str">
        <f>IFERROR(INDEX(TableTECalcPts[PLAYER],MATCH(TableTERanks[[#This Row],[RK]],TableTECalcPts[RK],0)),"")</f>
        <v>O.J. Howard</v>
      </c>
      <c r="X39" s="22" t="str">
        <f>IFERROR(INDEX(TableTECalcPts[TM],MATCH(TableTERanks[[#This Row],[RK]],TableTECalcPts[RK],0)),"")</f>
        <v>BUF</v>
      </c>
      <c r="Y39" s="22">
        <f>IFERROR(INDEX(TableTECalcPts[BYE],MATCH(TableTERanks[[#This Row],[RK]],TableTECalcPts[RK],0)),"")</f>
        <v>7</v>
      </c>
      <c r="Z39" s="272">
        <f>IFERROR(INDEX(TableTECalcPts[Custom],MATCH(TableTERanks[[#This Row],[RK]],TableTECalcPts[RK],0)),"")</f>
        <v>35.057279579450409</v>
      </c>
      <c r="AA39" s="273">
        <f>(((VLOOKUP(TableTERanks[[#This Row],[Player]],'OVR &amp; VORP Ranks'!$W:$AA,5,FALSE)))/('OVR &amp; VORP Ranks'!$BM$6))*(Settings!$E$10*TEAMS)</f>
        <v>-33.765627922916224</v>
      </c>
    </row>
    <row r="40" spans="1:33" x14ac:dyDescent="0.3">
      <c r="A40" s="22">
        <v>39</v>
      </c>
      <c r="B40" s="22" t="str">
        <f>IFERROR(INDEX(TableQBCalcPts[PLAYER],MATCH(TableQBRanks[[#This Row],[RK]],TableQBCalcPts[RK],0)),"")</f>
        <v>Tyrod Taylor</v>
      </c>
      <c r="C40" s="22" t="str">
        <f>IFERROR(INDEX(TableQBCalcPts[TM],MATCH(TableQBRanks[[#This Row],[RK]],TableQBCalcPts[RK],0)),"")</f>
        <v>NYG</v>
      </c>
      <c r="D40" s="22">
        <f>IFERROR(INDEX(TableQBCalcPts[BYE],MATCH(TableQBRanks[[#This Row],[RK]],TableQBCalcPts[RK],0)),"")</f>
        <v>9</v>
      </c>
      <c r="E40" s="272">
        <f>IFERROR(INDEX(TableQBCalcPts[Custom],MATCH(TableQBRanks[[#This Row],[RK]],TableQBCalcPts[RK],0)),"")</f>
        <v>28.036483896196742</v>
      </c>
      <c r="F40" s="273">
        <f>(((VLOOKUP(TableQBRanks[[#This Row],[Player]],'OVR &amp; VORP Ranks'!$B:$F,5,FALSE)))/('OVR &amp; VORP Ranks'!$BM$6))*(Settings!$E$10*TEAMS)</f>
        <v>-45.692337885441553</v>
      </c>
      <c r="H40" s="22">
        <v>39</v>
      </c>
      <c r="I40" s="22" t="str">
        <f>IFERROR(INDEX(TableRBCalcPts[PLAYER],MATCH(TableRBRanks[[#This Row],[RK]],TableRBCalcPts[RK],0)),"")</f>
        <v>Ronald Jones</v>
      </c>
      <c r="J40" s="22" t="str">
        <f>IFERROR(INDEX(TableRBCalcPts[TM],MATCH(TableRBRanks[[#This Row],[RK]],TableRBCalcPts[RK],0)),"")</f>
        <v>KC</v>
      </c>
      <c r="K40" s="22">
        <f>IFERROR(INDEX(TableRBCalcPts[BYE],MATCH(TableRBRanks[[#This Row],[RK]],TableRBCalcPts[RK],0)),"")</f>
        <v>8</v>
      </c>
      <c r="L40" s="272">
        <f>IFERROR(INDEX(TableRBCalcPts[Custom],MATCH(TableRBRanks[[#This Row],[RK]],TableRBCalcPts[RK],0)),"")</f>
        <v>109.64140367045293</v>
      </c>
      <c r="M40" s="273">
        <f>(((VLOOKUP(TableRBRanks[[#This Row],[Player]],'OVR &amp; VORP Ranks'!$I:$M,5,FALSE)))/('OVR &amp; VORP Ranks'!$BM$6))*(Settings!$E$10*TEAMS)</f>
        <v>4.2161572519104835</v>
      </c>
      <c r="O40" s="22">
        <v>39</v>
      </c>
      <c r="P40" s="22" t="str">
        <f>IFERROR(INDEX(TableWRCalcPts[PLAYER],MATCH(TableWRRanks[[#This Row],[RK]],TableWRCalcPts[RK],0)),"")</f>
        <v>Adam Thielen</v>
      </c>
      <c r="Q40" s="22" t="str">
        <f>IFERROR(INDEX(TableWRCalcPts[TM],MATCH(TableWRRanks[[#This Row],[RK]],TableWRCalcPts[RK],0)),"")</f>
        <v>MIN</v>
      </c>
      <c r="R40" s="22">
        <f>IFERROR(INDEX(TableWRCalcPts[BYE],MATCH(TableWRRanks[[#This Row],[RK]],TableWRCalcPts[RK],0)),"")</f>
        <v>7</v>
      </c>
      <c r="S40" s="272">
        <f>IFERROR(INDEX(TableWRCalcPts[Custom],MATCH(TableWRRanks[[#This Row],[RK]],TableWRCalcPts[RK],0)),"")</f>
        <v>123.40827254262244</v>
      </c>
      <c r="T40" s="273">
        <f>(((VLOOKUP(TableWRRanks[[#This Row],[Player]],'OVR &amp; VORP Ranks'!$P:$T,5,FALSE)))/('OVR &amp; VORP Ranks'!$BM$6))*(Settings!$E$10*TEAMS)</f>
        <v>6.799733505933828</v>
      </c>
      <c r="V40" s="22">
        <v>39</v>
      </c>
      <c r="W40" s="274" t="str">
        <f>IFERROR(INDEX(TableTECalcPts[PLAYER],MATCH(TableTERanks[[#This Row],[RK]],TableTECalcPts[RK],0)),"")</f>
        <v>Donald Parham</v>
      </c>
      <c r="X40" s="22" t="str">
        <f>IFERROR(INDEX(TableTECalcPts[TM],MATCH(TableTERanks[[#This Row],[RK]],TableTECalcPts[RK],0)),"")</f>
        <v>LAC</v>
      </c>
      <c r="Y40" s="22">
        <f>IFERROR(INDEX(TableTECalcPts[BYE],MATCH(TableTERanks[[#This Row],[RK]],TableTECalcPts[RK],0)),"")</f>
        <v>8</v>
      </c>
      <c r="Z40" s="272">
        <f>IFERROR(INDEX(TableTECalcPts[Custom],MATCH(TableTERanks[[#This Row],[RK]],TableTECalcPts[RK],0)),"")</f>
        <v>32.820358387610085</v>
      </c>
      <c r="AA40" s="273">
        <f>(((VLOOKUP(TableTERanks[[#This Row],[Player]],'OVR &amp; VORP Ranks'!$W:$AA,5,FALSE)))/('OVR &amp; VORP Ranks'!$BM$6))*(Settings!$E$10*TEAMS)</f>
        <v>-34.886347878896785</v>
      </c>
    </row>
    <row r="41" spans="1:33" x14ac:dyDescent="0.3">
      <c r="A41" s="22">
        <v>40</v>
      </c>
      <c r="B41" s="22" t="str">
        <f>IFERROR(INDEX(TableQBCalcPts[PLAYER],MATCH(TableQBRanks[[#This Row],[RK]],TableQBCalcPts[RK],0)),"")</f>
        <v>Gardner Minshew</v>
      </c>
      <c r="C41" s="22" t="str">
        <f>IFERROR(INDEX(TableQBCalcPts[TM],MATCH(TableQBRanks[[#This Row],[RK]],TableQBCalcPts[RK],0)),"")</f>
        <v>PHI</v>
      </c>
      <c r="D41" s="22">
        <f>IFERROR(INDEX(TableQBCalcPts[BYE],MATCH(TableQBRanks[[#This Row],[RK]],TableQBCalcPts[RK],0)),"")</f>
        <v>7</v>
      </c>
      <c r="E41" s="272">
        <f>IFERROR(INDEX(TableQBCalcPts[Custom],MATCH(TableQBRanks[[#This Row],[RK]],TableQBCalcPts[RK],0)),"")</f>
        <v>18.33636913744019</v>
      </c>
      <c r="F41" s="273">
        <f>(((VLOOKUP(TableQBRanks[[#This Row],[Player]],'OVR &amp; VORP Ranks'!$B:$F,5,FALSE)))/('OVR &amp; VORP Ranks'!$BM$6))*(Settings!$E$10*TEAMS)</f>
        <v>-48.113269444863157</v>
      </c>
      <c r="H41" s="22">
        <v>40</v>
      </c>
      <c r="I41" s="22" t="str">
        <f>IFERROR(INDEX(TableRBCalcPts[PLAYER],MATCH(TableRBRanks[[#This Row],[RK]],TableRBCalcPts[RK],0)),"")</f>
        <v>Isaiah Spiller</v>
      </c>
      <c r="J41" s="22" t="str">
        <f>IFERROR(INDEX(TableRBCalcPts[TM],MATCH(TableRBRanks[[#This Row],[RK]],TableRBCalcPts[RK],0)),"")</f>
        <v>LAC</v>
      </c>
      <c r="K41" s="22">
        <f>IFERROR(INDEX(TableRBCalcPts[BYE],MATCH(TableRBRanks[[#This Row],[RK]],TableRBCalcPts[RK],0)),"")</f>
        <v>8</v>
      </c>
      <c r="L41" s="272">
        <f>IFERROR(INDEX(TableRBCalcPts[Custom],MATCH(TableRBRanks[[#This Row],[RK]],TableRBCalcPts[RK],0)),"")</f>
        <v>104.69818536642967</v>
      </c>
      <c r="M41" s="273">
        <f>(((VLOOKUP(TableRBRanks[[#This Row],[Player]],'OVR &amp; VORP Ranks'!$I:$M,5,FALSE)))/('OVR &amp; VORP Ranks'!$BM$6))*(Settings!$E$10*TEAMS)</f>
        <v>1.711855284795194</v>
      </c>
      <c r="O41" s="22">
        <v>40</v>
      </c>
      <c r="P41" s="274" t="str">
        <f>IFERROR(INDEX(TableWRCalcPts[PLAYER],MATCH(TableWRRanks[[#This Row],[RK]],TableWRCalcPts[RK],0)),"")</f>
        <v>Michael Gallup</v>
      </c>
      <c r="Q41" s="22" t="str">
        <f>IFERROR(INDEX(TableWRCalcPts[TM],MATCH(TableWRRanks[[#This Row],[RK]],TableWRCalcPts[RK],0)),"")</f>
        <v>DAL</v>
      </c>
      <c r="R41" s="22">
        <f>IFERROR(INDEX(TableWRCalcPts[BYE],MATCH(TableWRRanks[[#This Row],[RK]],TableWRCalcPts[RK],0)),"")</f>
        <v>9</v>
      </c>
      <c r="S41" s="272">
        <f>IFERROR(INDEX(TableWRCalcPts[Custom],MATCH(TableWRRanks[[#This Row],[RK]],TableWRCalcPts[RK],0)),"")</f>
        <v>123.27371421730166</v>
      </c>
      <c r="T41" s="273">
        <f>(((VLOOKUP(TableWRRanks[[#This Row],[Player]],'OVR &amp; VORP Ranks'!$P:$T,5,FALSE)))/('OVR &amp; VORP Ranks'!$BM$6))*(Settings!$E$10*TEAMS)</f>
        <v>6.7363520492274684</v>
      </c>
      <c r="V41" s="22">
        <v>40</v>
      </c>
      <c r="W41" s="274" t="str">
        <f>IFERROR(INDEX(TableTECalcPts[PLAYER],MATCH(TableTERanks[[#This Row],[RK]],TableTECalcPts[RK],0)),"")</f>
        <v>Jordan Akins</v>
      </c>
      <c r="X41" s="22" t="str">
        <f>IFERROR(INDEX(TableTECalcPts[TM],MATCH(TableTERanks[[#This Row],[RK]],TableTECalcPts[RK],0)),"")</f>
        <v>NYG</v>
      </c>
      <c r="Y41" s="22">
        <f>IFERROR(INDEX(TableTECalcPts[BYE],MATCH(TableTERanks[[#This Row],[RK]],TableTECalcPts[RK],0)),"")</f>
        <v>9</v>
      </c>
      <c r="Z41" s="272">
        <f>IFERROR(INDEX(TableTECalcPts[Custom],MATCH(TableTERanks[[#This Row],[RK]],TableTECalcPts[RK],0)),"")</f>
        <v>31.016681903522954</v>
      </c>
      <c r="AA41" s="273">
        <f>(((VLOOKUP(TableTERanks[[#This Row],[Player]],'OVR &amp; VORP Ranks'!$W:$AA,5,FALSE)))/('OVR &amp; VORP Ranks'!$BM$6))*(Settings!$E$10*TEAMS)</f>
        <v>-35.790007890354886</v>
      </c>
    </row>
    <row r="42" spans="1:33" x14ac:dyDescent="0.3">
      <c r="A42" s="22">
        <v>41</v>
      </c>
      <c r="B42" s="22" t="str">
        <f>IFERROR(INDEX(TableQBCalcPts[PLAYER],MATCH(TableQBRanks[[#This Row],[RK]],TableQBCalcPts[RK],0)),"")</f>
        <v>Tyler Huntley</v>
      </c>
      <c r="C42" s="22" t="str">
        <f>IFERROR(INDEX(TableQBCalcPts[TM],MATCH(TableQBRanks[[#This Row],[RK]],TableQBCalcPts[RK],0)),"")</f>
        <v>BAL</v>
      </c>
      <c r="D42" s="22">
        <f>IFERROR(INDEX(TableQBCalcPts[BYE],MATCH(TableQBRanks[[#This Row],[RK]],TableQBCalcPts[RK],0)),"")</f>
        <v>10</v>
      </c>
      <c r="E42" s="272">
        <f>IFERROR(INDEX(TableQBCalcPts[Custom],MATCH(TableQBRanks[[#This Row],[RK]],TableQBCalcPts[RK],0)),"")</f>
        <v>12.528292274562727</v>
      </c>
      <c r="F42" s="273">
        <f>(((VLOOKUP(TableQBRanks[[#This Row],[Player]],'OVR &amp; VORP Ranks'!$B:$F,5,FALSE)))/('OVR &amp; VORP Ranks'!$BM$6))*(Settings!$E$10*TEAMS)</f>
        <v>-48.969376726759499</v>
      </c>
      <c r="H42" s="22">
        <v>41</v>
      </c>
      <c r="I42" s="22" t="str">
        <f>IFERROR(INDEX(TableRBCalcPts[PLAYER],MATCH(TableRBRanks[[#This Row],[RK]],TableRBCalcPts[RK],0)),"")</f>
        <v>Khalil Herbert</v>
      </c>
      <c r="J42" s="22" t="str">
        <f>IFERROR(INDEX(TableRBCalcPts[TM],MATCH(TableRBRanks[[#This Row],[RK]],TableRBCalcPts[RK],0)),"")</f>
        <v>CHI</v>
      </c>
      <c r="K42" s="22">
        <f>IFERROR(INDEX(TableRBCalcPts[BYE],MATCH(TableRBRanks[[#This Row],[RK]],TableRBCalcPts[RK],0)),"")</f>
        <v>14</v>
      </c>
      <c r="L42" s="272">
        <f>IFERROR(INDEX(TableRBCalcPts[Custom],MATCH(TableRBRanks[[#This Row],[RK]],TableRBCalcPts[RK],0)),"")</f>
        <v>104.34152696576828</v>
      </c>
      <c r="M42" s="273">
        <f>(((VLOOKUP(TableRBRanks[[#This Row],[Player]],'OVR &amp; VORP Ranks'!$I:$M,5,FALSE)))/('OVR &amp; VORP Ranks'!$BM$6))*(Settings!$E$10*TEAMS)</f>
        <v>1.5311672634635136</v>
      </c>
      <c r="O42" s="274">
        <v>41</v>
      </c>
      <c r="P42" s="274" t="str">
        <f>IFERROR(INDEX(TableWRCalcPts[PLAYER],MATCH(TableWRRanks[[#This Row],[RK]],TableWRCalcPts[RK],0)),"")</f>
        <v>Robert Woods</v>
      </c>
      <c r="Q42" s="22" t="str">
        <f>IFERROR(INDEX(TableWRCalcPts[TM],MATCH(TableWRRanks[[#This Row],[RK]],TableWRCalcPts[RK],0)),"")</f>
        <v>TEN</v>
      </c>
      <c r="R42" s="22">
        <f>IFERROR(INDEX(TableWRCalcPts[BYE],MATCH(TableWRRanks[[#This Row],[RK]],TableWRCalcPts[RK],0)),"")</f>
        <v>6</v>
      </c>
      <c r="S42" s="272">
        <f>IFERROR(INDEX(TableWRCalcPts[Custom],MATCH(TableWRRanks[[#This Row],[RK]],TableWRCalcPts[RK],0)),"")</f>
        <v>121.23371183487117</v>
      </c>
      <c r="T42" s="273">
        <f>(((VLOOKUP(TableWRRanks[[#This Row],[Player]],'OVR &amp; VORP Ranks'!$P:$T,5,FALSE)))/('OVR &amp; VORP Ranks'!$BM$6))*(Settings!$E$10*TEAMS)</f>
        <v>5.7754429239493268</v>
      </c>
      <c r="V42" s="274">
        <v>41</v>
      </c>
      <c r="W42" s="274" t="str">
        <f>IFERROR(INDEX(TableTECalcPts[PLAYER],MATCH(TableTERanks[[#This Row],[RK]],TableTECalcPts[RK],0)),"")</f>
        <v>Foster Moreau</v>
      </c>
      <c r="X42" s="22" t="str">
        <f>IFERROR(INDEX(TableTECalcPts[TM],MATCH(TableTERanks[[#This Row],[RK]],TableTECalcPts[RK],0)),"")</f>
        <v>LV</v>
      </c>
      <c r="Y42" s="22">
        <f>IFERROR(INDEX(TableTECalcPts[BYE],MATCH(TableTERanks[[#This Row],[RK]],TableTECalcPts[RK],0)),"")</f>
        <v>6</v>
      </c>
      <c r="Z42" s="272">
        <f>IFERROR(INDEX(TableTECalcPts[Custom],MATCH(TableTERanks[[#This Row],[RK]],TableTECalcPts[RK],0)),"")</f>
        <v>29.607862319138633</v>
      </c>
      <c r="AA42" s="273">
        <f>(((VLOOKUP(TableTERanks[[#This Row],[Player]],'OVR &amp; VORP Ranks'!$W:$AA,5,FALSE)))/('OVR &amp; VORP Ranks'!$BM$6))*(Settings!$E$10*TEAMS)</f>
        <v>-36.495840634197236</v>
      </c>
    </row>
    <row r="43" spans="1:33" x14ac:dyDescent="0.3">
      <c r="A43" s="22">
        <v>42</v>
      </c>
      <c r="B43" s="22" t="str">
        <f>IFERROR(INDEX(TableQBCalcPts[PLAYER],MATCH(TableQBRanks[[#This Row],[RK]],TableQBCalcPts[RK],0)),"")</f>
        <v>Kyle Allen</v>
      </c>
      <c r="C43" s="22" t="str">
        <f>IFERROR(INDEX(TableQBCalcPts[TM],MATCH(TableQBRanks[[#This Row],[RK]],TableQBCalcPts[RK],0)),"")</f>
        <v>HOU</v>
      </c>
      <c r="D43" s="22">
        <f>IFERROR(INDEX(TableQBCalcPts[BYE],MATCH(TableQBRanks[[#This Row],[RK]],TableQBCalcPts[RK],0)),"")</f>
        <v>6</v>
      </c>
      <c r="E43" s="272">
        <f>IFERROR(INDEX(TableQBCalcPts[Custom],MATCH(TableQBRanks[[#This Row],[RK]],TableQBCalcPts[RK],0)),"")</f>
        <v>12.49472066411383</v>
      </c>
      <c r="F43" s="273">
        <f>(((VLOOKUP(TableQBRanks[[#This Row],[Player]],'OVR &amp; VORP Ranks'!$B:$F,5,FALSE)))/('OVR &amp; VORP Ranks'!$BM$6))*(Settings!$E$10*TEAMS)</f>
        <v>-49.662880449416598</v>
      </c>
      <c r="H43" s="22">
        <v>42</v>
      </c>
      <c r="I43" s="22" t="str">
        <f>IFERROR(INDEX(TableRBCalcPts[PLAYER],MATCH(TableRBRanks[[#This Row],[RK]],TableRBCalcPts[RK],0)),"")</f>
        <v>Mark Ingram</v>
      </c>
      <c r="J43" s="22" t="str">
        <f>IFERROR(INDEX(TableRBCalcPts[TM],MATCH(TableRBRanks[[#This Row],[RK]],TableRBCalcPts[RK],0)),"")</f>
        <v>NO</v>
      </c>
      <c r="K43" s="22">
        <f>IFERROR(INDEX(TableRBCalcPts[BYE],MATCH(TableRBRanks[[#This Row],[RK]],TableRBCalcPts[RK],0)),"")</f>
        <v>14</v>
      </c>
      <c r="L43" s="272">
        <f>IFERROR(INDEX(TableRBCalcPts[Custom],MATCH(TableRBRanks[[#This Row],[RK]],TableRBCalcPts[RK],0)),"")</f>
        <v>101.31917018025943</v>
      </c>
      <c r="M43" s="273">
        <f>(((VLOOKUP(TableRBRanks[[#This Row],[Player]],'OVR &amp; VORP Ranks'!$I:$M,5,FALSE)))/('OVR &amp; VORP Ranks'!$BM$6))*(Settings!$E$10*TEAMS)</f>
        <v>0</v>
      </c>
      <c r="O43" s="22">
        <v>42</v>
      </c>
      <c r="P43" s="274" t="str">
        <f>IFERROR(INDEX(TableWRCalcPts[PLAYER],MATCH(TableWRRanks[[#This Row],[RK]],TableWRCalcPts[RK],0)),"")</f>
        <v>Russell Gage</v>
      </c>
      <c r="Q43" s="22" t="str">
        <f>IFERROR(INDEX(TableWRCalcPts[TM],MATCH(TableWRRanks[[#This Row],[RK]],TableWRCalcPts[RK],0)),"")</f>
        <v>TB</v>
      </c>
      <c r="R43" s="22">
        <f>IFERROR(INDEX(TableWRCalcPts[BYE],MATCH(TableWRRanks[[#This Row],[RK]],TableWRCalcPts[RK],0)),"")</f>
        <v>11</v>
      </c>
      <c r="S43" s="272">
        <f>IFERROR(INDEX(TableWRCalcPts[Custom],MATCH(TableWRRanks[[#This Row],[RK]],TableWRCalcPts[RK],0)),"")</f>
        <v>119.91450420586676</v>
      </c>
      <c r="T43" s="273">
        <f>(((VLOOKUP(TableWRRanks[[#This Row],[Player]],'OVR &amp; VORP Ranks'!$P:$T,5,FALSE)))/('OVR &amp; VORP Ranks'!$BM$6))*(Settings!$E$10*TEAMS)</f>
        <v>5.1540521551127743</v>
      </c>
      <c r="V43" s="22">
        <v>42</v>
      </c>
      <c r="W43" s="274" t="str">
        <f>IFERROR(INDEX(TableTECalcPts[PLAYER],MATCH(TableTERanks[[#This Row],[RK]],TableTECalcPts[RK],0)),"")</f>
        <v>Tyler Conklin</v>
      </c>
      <c r="X43" s="22" t="str">
        <f>IFERROR(INDEX(TableTECalcPts[TM],MATCH(TableTERanks[[#This Row],[RK]],TableTECalcPts[RK],0)),"")</f>
        <v>NYJ</v>
      </c>
      <c r="Y43" s="22">
        <f>IFERROR(INDEX(TableTECalcPts[BYE],MATCH(TableTERanks[[#This Row],[RK]],TableTECalcPts[RK],0)),"")</f>
        <v>10</v>
      </c>
      <c r="Z43" s="272">
        <f>IFERROR(INDEX(TableTECalcPts[Custom],MATCH(TableTERanks[[#This Row],[RK]],TableTECalcPts[RK],0)),"")</f>
        <v>29.058916736132929</v>
      </c>
      <c r="AA43" s="273">
        <f>(((VLOOKUP(TableTERanks[[#This Row],[Player]],'OVR &amp; VORP Ranks'!$W:$AA,5,FALSE)))/('OVR &amp; VORP Ranks'!$BM$6))*(Settings!$E$10*TEAMS)</f>
        <v>-36.770867877832814</v>
      </c>
    </row>
    <row r="44" spans="1:33" x14ac:dyDescent="0.3">
      <c r="A44" s="22">
        <v>43</v>
      </c>
      <c r="B44" s="22" t="str">
        <f>IFERROR(INDEX(TableQBCalcPts[PLAYER],MATCH(TableQBRanks[[#This Row],[RK]],TableQBCalcPts[RK],0)),"")</f>
        <v>Cooper Rush</v>
      </c>
      <c r="C44" s="22" t="str">
        <f>IFERROR(INDEX(TableQBCalcPts[TM],MATCH(TableQBRanks[[#This Row],[RK]],TableQBCalcPts[RK],0)),"")</f>
        <v>DAL</v>
      </c>
      <c r="D44" s="22">
        <f>IFERROR(INDEX(TableQBCalcPts[BYE],MATCH(TableQBRanks[[#This Row],[RK]],TableQBCalcPts[RK],0)),"")</f>
        <v>9</v>
      </c>
      <c r="E44" s="272">
        <f>IFERROR(INDEX(TableQBCalcPts[Custom],MATCH(TableQBRanks[[#This Row],[RK]],TableQBCalcPts[RK],0)),"")</f>
        <v>12.262783830998966</v>
      </c>
      <c r="F44" s="273">
        <f>(((VLOOKUP(TableQBRanks[[#This Row],[Player]],'OVR &amp; VORP Ranks'!$B:$F,5,FALSE)))/('OVR &amp; VORP Ranks'!$BM$6))*(Settings!$E$10*TEAMS)</f>
        <v>-50.015821723508729</v>
      </c>
      <c r="H44" s="22">
        <v>43</v>
      </c>
      <c r="I44" s="22" t="str">
        <f>IFERROR(INDEX(TableRBCalcPts[PLAYER],MATCH(TableRBRanks[[#This Row],[RK]],TableRBCalcPts[RK],0)),"")</f>
        <v>Alexander Mattison</v>
      </c>
      <c r="J44" s="22" t="str">
        <f>IFERROR(INDEX(TableRBCalcPts[TM],MATCH(TableRBRanks[[#This Row],[RK]],TableRBCalcPts[RK],0)),"")</f>
        <v>MIN</v>
      </c>
      <c r="K44" s="22">
        <f>IFERROR(INDEX(TableRBCalcPts[BYE],MATCH(TableRBRanks[[#This Row],[RK]],TableRBCalcPts[RK],0)),"")</f>
        <v>7</v>
      </c>
      <c r="L44" s="272">
        <f>IFERROR(INDEX(TableRBCalcPts[Custom],MATCH(TableRBRanks[[#This Row],[RK]],TableRBCalcPts[RK],0)),"")</f>
        <v>99.906737828742521</v>
      </c>
      <c r="M44" s="273">
        <f>(((VLOOKUP(TableRBRanks[[#This Row],[Player]],'OVR &amp; VORP Ranks'!$I:$M,5,FALSE)))/('OVR &amp; VORP Ranks'!$BM$6))*(Settings!$E$10*TEAMS)</f>
        <v>-0.71555753737240424</v>
      </c>
      <c r="O44" s="22">
        <v>43</v>
      </c>
      <c r="P44" s="274" t="str">
        <f>IFERROR(INDEX(TableWRCalcPts[PLAYER],MATCH(TableWRRanks[[#This Row],[RK]],TableWRCalcPts[RK],0)),"")</f>
        <v>Garrett Wilson</v>
      </c>
      <c r="Q44" s="22" t="str">
        <f>IFERROR(INDEX(TableWRCalcPts[TM],MATCH(TableWRRanks[[#This Row],[RK]],TableWRCalcPts[RK],0)),"")</f>
        <v>NYJ</v>
      </c>
      <c r="R44" s="22">
        <f>IFERROR(INDEX(TableWRCalcPts[BYE],MATCH(TableWRRanks[[#This Row],[RK]],TableWRCalcPts[RK],0)),"")</f>
        <v>10</v>
      </c>
      <c r="S44" s="272">
        <f>IFERROR(INDEX(TableWRCalcPts[Custom],MATCH(TableWRRanks[[#This Row],[RK]],TableWRCalcPts[RK],0)),"")</f>
        <v>118.75015619934166</v>
      </c>
      <c r="T44" s="273">
        <f>(((VLOOKUP(TableWRRanks[[#This Row],[Player]],'OVR &amp; VORP Ranks'!$P:$T,5,FALSE)))/('OVR &amp; VORP Ranks'!$BM$6))*(Settings!$E$10*TEAMS)</f>
        <v>4.6056054306847409</v>
      </c>
      <c r="V44" s="22">
        <v>43</v>
      </c>
      <c r="W44" s="274" t="str">
        <f>IFERROR(INDEX(TableTECalcPts[PLAYER],MATCH(TableTERanks[[#This Row],[RK]],TableTECalcPts[RK],0)),"")</f>
        <v>Pharaoh Brown</v>
      </c>
      <c r="X44" s="22" t="str">
        <f>IFERROR(INDEX(TableTECalcPts[TM],MATCH(TableTERanks[[#This Row],[RK]],TableTECalcPts[RK],0)),"")</f>
        <v>HOU</v>
      </c>
      <c r="Y44" s="22">
        <f>IFERROR(INDEX(TableTECalcPts[BYE],MATCH(TableTERanks[[#This Row],[RK]],TableTECalcPts[RK],0)),"")</f>
        <v>6</v>
      </c>
      <c r="Z44" s="272">
        <f>IFERROR(INDEX(TableTECalcPts[Custom],MATCH(TableTERanks[[#This Row],[RK]],TableTECalcPts[RK],0)),"")</f>
        <v>28.593766911205876</v>
      </c>
      <c r="AA44" s="273">
        <f>(((VLOOKUP(TableTERanks[[#This Row],[Player]],'OVR &amp; VORP Ranks'!$W:$AA,5,FALSE)))/('OVR &amp; VORP Ranks'!$BM$6))*(Settings!$E$10*TEAMS)</f>
        <v>-37.003912606104066</v>
      </c>
    </row>
    <row r="45" spans="1:33" x14ac:dyDescent="0.3">
      <c r="A45" s="22">
        <v>44</v>
      </c>
      <c r="B45" s="22" t="str">
        <f>IFERROR(INDEX(TableQBCalcPts[PLAYER],MATCH(TableQBRanks[[#This Row],[RK]],TableQBCalcPts[RK],0)),"")</f>
        <v>John Wolford</v>
      </c>
      <c r="C45" s="22" t="str">
        <f>IFERROR(INDEX(TableQBCalcPts[TM],MATCH(TableQBRanks[[#This Row],[RK]],TableQBCalcPts[RK],0)),"")</f>
        <v>LAR</v>
      </c>
      <c r="D45" s="22">
        <f>IFERROR(INDEX(TableQBCalcPts[BYE],MATCH(TableQBRanks[[#This Row],[RK]],TableQBCalcPts[RK],0)),"")</f>
        <v>7</v>
      </c>
      <c r="E45" s="272">
        <f>IFERROR(INDEX(TableQBCalcPts[Custom],MATCH(TableQBRanks[[#This Row],[RK]],TableQBCalcPts[RK],0)),"")</f>
        <v>12.258846056123112</v>
      </c>
      <c r="F45" s="273">
        <f>(((VLOOKUP(TableQBRanks[[#This Row],[Player]],'OVR &amp; VORP Ranks'!$B:$F,5,FALSE)))/('OVR &amp; VORP Ranks'!$BM$6))*(Settings!$E$10*TEAMS)</f>
        <v>-50.347697646525077</v>
      </c>
      <c r="H45" s="22">
        <v>44</v>
      </c>
      <c r="I45" s="22" t="str">
        <f>IFERROR(INDEX(TableRBCalcPts[PLAYER],MATCH(TableRBRanks[[#This Row],[RK]],TableRBCalcPts[RK],0)),"")</f>
        <v>James Cook</v>
      </c>
      <c r="J45" s="22" t="str">
        <f>IFERROR(INDEX(TableRBCalcPts[TM],MATCH(TableRBRanks[[#This Row],[RK]],TableRBCalcPts[RK],0)),"")</f>
        <v>BUF</v>
      </c>
      <c r="K45" s="22">
        <f>IFERROR(INDEX(TableRBCalcPts[BYE],MATCH(TableRBRanks[[#This Row],[RK]],TableRBCalcPts[RK],0)),"")</f>
        <v>7</v>
      </c>
      <c r="L45" s="272">
        <f>IFERROR(INDEX(TableRBCalcPts[Custom],MATCH(TableRBRanks[[#This Row],[RK]],TableRBCalcPts[RK],0)),"")</f>
        <v>98.453293591470882</v>
      </c>
      <c r="M45" s="273">
        <f>(((VLOOKUP(TableRBRanks[[#This Row],[Player]],'OVR &amp; VORP Ranks'!$I:$M,5,FALSE)))/('OVR &amp; VORP Ranks'!$BM$6))*(Settings!$E$10*TEAMS)</f>
        <v>-1.4518922567048038</v>
      </c>
      <c r="O45" s="274">
        <v>44</v>
      </c>
      <c r="P45" s="274" t="str">
        <f>IFERROR(INDEX(TableWRCalcPts[PLAYER],MATCH(TableWRRanks[[#This Row],[RK]],TableWRCalcPts[RK],0)),"")</f>
        <v>Brandon Aiyuk</v>
      </c>
      <c r="Q45" s="22" t="str">
        <f>IFERROR(INDEX(TableWRCalcPts[TM],MATCH(TableWRRanks[[#This Row],[RK]],TableWRCalcPts[RK],0)),"")</f>
        <v>SF</v>
      </c>
      <c r="R45" s="22">
        <f>IFERROR(INDEX(TableWRCalcPts[BYE],MATCH(TableWRRanks[[#This Row],[RK]],TableWRCalcPts[RK],0)),"")</f>
        <v>9</v>
      </c>
      <c r="S45" s="272">
        <f>IFERROR(INDEX(TableWRCalcPts[Custom],MATCH(TableWRRanks[[#This Row],[RK]],TableWRCalcPts[RK],0)),"")</f>
        <v>118.29153042188688</v>
      </c>
      <c r="T45" s="273">
        <f>(((VLOOKUP(TableWRRanks[[#This Row],[Player]],'OVR &amp; VORP Ranks'!$P:$T,5,FALSE)))/('OVR &amp; VORP Ranks'!$BM$6))*(Settings!$E$10*TEAMS)</f>
        <v>4.3895774012865445</v>
      </c>
      <c r="V45" s="274">
        <v>44</v>
      </c>
      <c r="W45" s="22" t="str">
        <f>IFERROR(INDEX(TableTECalcPts[PLAYER],MATCH(TableTERanks[[#This Row],[RK]],TableTECalcPts[RK],0)),"")</f>
        <v>John Bates</v>
      </c>
      <c r="X45" s="22" t="str">
        <f>IFERROR(INDEX(TableTECalcPts[TM],MATCH(TableTERanks[[#This Row],[RK]],TableTECalcPts[RK],0)),"")</f>
        <v>WSH</v>
      </c>
      <c r="Y45" s="22">
        <f>IFERROR(INDEX(TableTECalcPts[BYE],MATCH(TableTERanks[[#This Row],[RK]],TableTECalcPts[RK],0)),"")</f>
        <v>14</v>
      </c>
      <c r="Z45" s="272">
        <f>IFERROR(INDEX(TableTECalcPts[Custom],MATCH(TableTERanks[[#This Row],[RK]],TableTECalcPts[RK],0)),"")</f>
        <v>28.379723029633141</v>
      </c>
      <c r="AA45" s="273">
        <f>(((VLOOKUP(TableTERanks[[#This Row],[Player]],'OVR &amp; VORP Ranks'!$W:$AA,5,FALSE)))/('OVR &amp; VORP Ranks'!$BM$6))*(Settings!$E$10*TEAMS)</f>
        <v>-37.111150737876038</v>
      </c>
    </row>
    <row r="46" spans="1:33" x14ac:dyDescent="0.3">
      <c r="A46" s="22">
        <v>45</v>
      </c>
      <c r="B46" s="22" t="str">
        <f>IFERROR(INDEX(TableQBCalcPts[PLAYER],MATCH(TableQBRanks[[#This Row],[RK]],TableQBCalcPts[RK],0)),"")</f>
        <v>Trevor Siemian</v>
      </c>
      <c r="C46" s="22" t="str">
        <f>IFERROR(INDEX(TableQBCalcPts[TM],MATCH(TableQBRanks[[#This Row],[RK]],TableQBCalcPts[RK],0)),"")</f>
        <v>CHI</v>
      </c>
      <c r="D46" s="22">
        <f>IFERROR(INDEX(TableQBCalcPts[BYE],MATCH(TableQBRanks[[#This Row],[RK]],TableQBCalcPts[RK],0)),"")</f>
        <v>14</v>
      </c>
      <c r="E46" s="272">
        <f>IFERROR(INDEX(TableQBCalcPts[Custom],MATCH(TableQBRanks[[#This Row],[RK]],TableQBCalcPts[RK],0)),"")</f>
        <v>11.507443866290711</v>
      </c>
      <c r="F46" s="273">
        <f>(((VLOOKUP(TableQBRanks[[#This Row],[Player]],'OVR &amp; VORP Ranks'!$B:$F,5,FALSE)))/('OVR &amp; VORP Ranks'!$BM$6))*(Settings!$E$10*TEAMS)</f>
        <v>-50.672908638178079</v>
      </c>
      <c r="H46" s="22">
        <v>45</v>
      </c>
      <c r="I46" s="22" t="str">
        <f>IFERROR(INDEX(TableRBCalcPts[PLAYER],MATCH(TableRBRanks[[#This Row],[RK]],TableRBCalcPts[RK],0)),"")</f>
        <v>Kenneth Gainwell</v>
      </c>
      <c r="J46" s="22" t="str">
        <f>IFERROR(INDEX(TableRBCalcPts[TM],MATCH(TableRBRanks[[#This Row],[RK]],TableRBCalcPts[RK],0)),"")</f>
        <v>PHI</v>
      </c>
      <c r="K46" s="22">
        <f>IFERROR(INDEX(TableRBCalcPts[BYE],MATCH(TableRBRanks[[#This Row],[RK]],TableRBCalcPts[RK],0)),"")</f>
        <v>7</v>
      </c>
      <c r="L46" s="272">
        <f>IFERROR(INDEX(TableRBCalcPts[Custom],MATCH(TableRBRanks[[#This Row],[RK]],TableRBCalcPts[RK],0)),"")</f>
        <v>97.466462689647429</v>
      </c>
      <c r="M46" s="273">
        <f>(((VLOOKUP(TableRBRanks[[#This Row],[Player]],'OVR &amp; VORP Ranks'!$I:$M,5,FALSE)))/('OVR &amp; VORP Ranks'!$BM$6))*(Settings!$E$10*TEAMS)</f>
        <v>-1.9518342816473859</v>
      </c>
      <c r="O46" s="22">
        <v>45</v>
      </c>
      <c r="P46" s="22" t="str">
        <f>IFERROR(INDEX(TableWRCalcPts[PLAYER],MATCH(TableWRRanks[[#This Row],[RK]],TableWRCalcPts[RK],0)),"")</f>
        <v>Tyler Boyd</v>
      </c>
      <c r="Q46" s="22" t="str">
        <f>IFERROR(INDEX(TableWRCalcPts[TM],MATCH(TableWRRanks[[#This Row],[RK]],TableWRCalcPts[RK],0)),"")</f>
        <v>CIN</v>
      </c>
      <c r="R46" s="22">
        <f>IFERROR(INDEX(TableWRCalcPts[BYE],MATCH(TableWRRanks[[#This Row],[RK]],TableWRCalcPts[RK],0)),"")</f>
        <v>10</v>
      </c>
      <c r="S46" s="272">
        <f>IFERROR(INDEX(TableWRCalcPts[Custom],MATCH(TableWRRanks[[#This Row],[RK]],TableWRCalcPts[RK],0)),"")</f>
        <v>115.93168781692657</v>
      </c>
      <c r="T46" s="273">
        <f>(((VLOOKUP(TableWRRanks[[#This Row],[Player]],'OVR &amp; VORP Ranks'!$P:$T,5,FALSE)))/('OVR &amp; VORP Ranks'!$BM$6))*(Settings!$E$10*TEAMS)</f>
        <v>3.2780128693741557</v>
      </c>
      <c r="V46" s="22">
        <v>45</v>
      </c>
      <c r="W46" s="274" t="str">
        <f>IFERROR(INDEX(TableTECalcPts[PLAYER],MATCH(TableTERanks[[#This Row],[RK]],TableTECalcPts[RK],0)),"")</f>
        <v>Anthony Firkser</v>
      </c>
      <c r="X46" s="22" t="str">
        <f>IFERROR(INDEX(TableTECalcPts[TM],MATCH(TableTERanks[[#This Row],[RK]],TableTECalcPts[RK],0)),"")</f>
        <v>ATL</v>
      </c>
      <c r="Y46" s="22">
        <f>IFERROR(INDEX(TableTECalcPts[BYE],MATCH(TableTERanks[[#This Row],[RK]],TableTECalcPts[RK],0)),"")</f>
        <v>14</v>
      </c>
      <c r="Z46" s="272">
        <f>IFERROR(INDEX(TableTECalcPts[Custom],MATCH(TableTERanks[[#This Row],[RK]],TableTECalcPts[RK],0)),"")</f>
        <v>27.919752297861926</v>
      </c>
      <c r="AA46" s="273">
        <f>(((VLOOKUP(TableTERanks[[#This Row],[Player]],'OVR &amp; VORP Ranks'!$W:$AA,5,FALSE)))/('OVR &amp; VORP Ranks'!$BM$6))*(Settings!$E$10*TEAMS)</f>
        <v>-37.341600688524004</v>
      </c>
    </row>
    <row r="47" spans="1:33" x14ac:dyDescent="0.3">
      <c r="A47" s="22">
        <v>46</v>
      </c>
      <c r="B47" s="22" t="str">
        <f>IFERROR(INDEX(TableQBCalcPts[PLAYER],MATCH(TableQBRanks[[#This Row],[RK]],TableQBCalcPts[RK],0)),"")</f>
        <v>Jimmy Garoppolo</v>
      </c>
      <c r="C47" s="22" t="str">
        <f>IFERROR(INDEX(TableQBCalcPts[TM],MATCH(TableQBRanks[[#This Row],[RK]],TableQBCalcPts[RK],0)),"")</f>
        <v>SF</v>
      </c>
      <c r="D47" s="22">
        <f>IFERROR(INDEX(TableQBCalcPts[BYE],MATCH(TableQBRanks[[#This Row],[RK]],TableQBCalcPts[RK],0)),"")</f>
        <v>9</v>
      </c>
      <c r="E47" s="272">
        <f>IFERROR(INDEX(TableQBCalcPts[Custom],MATCH(TableQBRanks[[#This Row],[RK]],TableQBCalcPts[RK],0)),"")</f>
        <v>10.674137380582136</v>
      </c>
      <c r="F47" s="273">
        <f>(((VLOOKUP(TableQBRanks[[#This Row],[Player]],'OVR &amp; VORP Ranks'!$B:$F,5,FALSE)))/('OVR &amp; VORP Ranks'!$BM$6))*(Settings!$E$10*TEAMS)</f>
        <v>-50.996704081027715</v>
      </c>
      <c r="H47" s="22">
        <v>46</v>
      </c>
      <c r="I47" s="22" t="str">
        <f>IFERROR(INDEX(TableRBCalcPts[PLAYER],MATCH(TableRBRanks[[#This Row],[RK]],TableRBCalcPts[RK],0)),"")</f>
        <v>Jamaal Williams</v>
      </c>
      <c r="J47" s="22" t="str">
        <f>IFERROR(INDEX(TableRBCalcPts[TM],MATCH(TableRBRanks[[#This Row],[RK]],TableRBCalcPts[RK],0)),"")</f>
        <v>DET</v>
      </c>
      <c r="K47" s="22">
        <f>IFERROR(INDEX(TableRBCalcPts[BYE],MATCH(TableRBRanks[[#This Row],[RK]],TableRBCalcPts[RK],0)),"")</f>
        <v>6</v>
      </c>
      <c r="L47" s="272">
        <f>IFERROR(INDEX(TableRBCalcPts[Custom],MATCH(TableRBRanks[[#This Row],[RK]],TableRBCalcPts[RK],0)),"")</f>
        <v>96.533767208897046</v>
      </c>
      <c r="M47" s="273">
        <f>(((VLOOKUP(TableRBRanks[[#This Row],[Player]],'OVR &amp; VORP Ranks'!$I:$M,5,FALSE)))/('OVR &amp; VORP Ranks'!$BM$6))*(Settings!$E$10*TEAMS)</f>
        <v>-2.4243505622376378</v>
      </c>
      <c r="O47" s="22">
        <v>46</v>
      </c>
      <c r="P47" s="274" t="str">
        <f>IFERROR(INDEX(TableWRCalcPts[PLAYER],MATCH(TableWRRanks[[#This Row],[RK]],TableWRCalcPts[RK],0)),"")</f>
        <v>Treylon Burks</v>
      </c>
      <c r="Q47" s="22" t="str">
        <f>IFERROR(INDEX(TableWRCalcPts[TM],MATCH(TableWRRanks[[#This Row],[RK]],TableWRCalcPts[RK],0)),"")</f>
        <v>TEN</v>
      </c>
      <c r="R47" s="22">
        <f>IFERROR(INDEX(TableWRCalcPts[BYE],MATCH(TableWRRanks[[#This Row],[RK]],TableWRCalcPts[RK],0)),"")</f>
        <v>6</v>
      </c>
      <c r="S47" s="272">
        <f>IFERROR(INDEX(TableWRCalcPts[Custom],MATCH(TableWRRanks[[#This Row],[RK]],TableWRCalcPts[RK],0)),"")</f>
        <v>113.28738996373363</v>
      </c>
      <c r="T47" s="273">
        <f>(((VLOOKUP(TableWRRanks[[#This Row],[Player]],'OVR &amp; VORP Ranks'!$P:$T,5,FALSE)))/('OVR &amp; VORP Ranks'!$BM$6))*(Settings!$E$10*TEAMS)</f>
        <v>2.0324604332739602</v>
      </c>
      <c r="V47" s="22">
        <v>46</v>
      </c>
      <c r="W47" s="22" t="str">
        <f>IFERROR(INDEX(TableTECalcPts[PLAYER],MATCH(TableTERanks[[#This Row],[RK]],TableTECalcPts[RK],0)),"")</f>
        <v>Kylen Granson</v>
      </c>
      <c r="X47" s="22" t="str">
        <f>IFERROR(INDEX(TableTECalcPts[TM],MATCH(TableTERanks[[#This Row],[RK]],TableTECalcPts[RK],0)),"")</f>
        <v>IND</v>
      </c>
      <c r="Y47" s="22">
        <f>IFERROR(INDEX(TableTECalcPts[BYE],MATCH(TableTERanks[[#This Row],[RK]],TableTECalcPts[RK],0)),"")</f>
        <v>14</v>
      </c>
      <c r="Z47" s="272">
        <f>IFERROR(INDEX(TableTECalcPts[Custom],MATCH(TableTERanks[[#This Row],[RK]],TableTECalcPts[RK],0)),"")</f>
        <v>27.433862445722774</v>
      </c>
      <c r="AA47" s="273">
        <f>(((VLOOKUP(TableTERanks[[#This Row],[Player]],'OVR &amp; VORP Ranks'!$W:$AA,5,FALSE)))/('OVR &amp; VORP Ranks'!$BM$6))*(Settings!$E$10*TEAMS)</f>
        <v>-37.585036378474605</v>
      </c>
    </row>
    <row r="48" spans="1:33" x14ac:dyDescent="0.3">
      <c r="A48" s="22">
        <v>47</v>
      </c>
      <c r="B48" s="22" t="str">
        <f>IFERROR(INDEX(TableQBCalcPts[PLAYER],MATCH(TableQBRanks[[#This Row],[RK]],TableQBCalcPts[RK],0)),"")</f>
        <v>Teddy Bridgewater</v>
      </c>
      <c r="C48" s="22" t="str">
        <f>IFERROR(INDEX(TableQBCalcPts[TM],MATCH(TableQBRanks[[#This Row],[RK]],TableQBCalcPts[RK],0)),"")</f>
        <v>MIA</v>
      </c>
      <c r="D48" s="22">
        <f>IFERROR(INDEX(TableQBCalcPts[BYE],MATCH(TableQBRanks[[#This Row],[RK]],TableQBCalcPts[RK],0)),"")</f>
        <v>11</v>
      </c>
      <c r="E48" s="272">
        <f>IFERROR(INDEX(TableQBCalcPts[Custom],MATCH(TableQBRanks[[#This Row],[RK]],TableQBCalcPts[RK],0)),"")</f>
        <v>10.277736823611601</v>
      </c>
      <c r="F48" s="273">
        <f>(((VLOOKUP(TableQBRanks[[#This Row],[Player]],'OVR &amp; VORP Ranks'!$B:$F,5,FALSE)))/('OVR &amp; VORP Ranks'!$BM$6))*(Settings!$E$10*TEAMS)</f>
        <v>-51.101305800837807</v>
      </c>
      <c r="H48" s="22">
        <v>47</v>
      </c>
      <c r="I48" s="22" t="str">
        <f>IFERROR(INDEX(TableRBCalcPts[PLAYER],MATCH(TableRBRanks[[#This Row],[RK]],TableRBCalcPts[RK],0)),"")</f>
        <v>Nyheim Hines</v>
      </c>
      <c r="J48" s="22" t="str">
        <f>IFERROR(INDEX(TableRBCalcPts[TM],MATCH(TableRBRanks[[#This Row],[RK]],TableRBCalcPts[RK],0)),"")</f>
        <v>IND</v>
      </c>
      <c r="K48" s="22">
        <f>IFERROR(INDEX(TableRBCalcPts[BYE],MATCH(TableRBRanks[[#This Row],[RK]],TableRBCalcPts[RK],0)),"")</f>
        <v>14</v>
      </c>
      <c r="L48" s="272">
        <f>IFERROR(INDEX(TableRBCalcPts[Custom],MATCH(TableRBRanks[[#This Row],[RK]],TableRBCalcPts[RK],0)),"")</f>
        <v>96.306893168664445</v>
      </c>
      <c r="M48" s="273">
        <f>(((VLOOKUP(TableRBRanks[[#This Row],[Player]],'OVR &amp; VORP Ranks'!$I:$M,5,FALSE)))/('OVR &amp; VORP Ranks'!$BM$6))*(Settings!$E$10*TEAMS)</f>
        <v>-2.5392880524106847</v>
      </c>
      <c r="O48" s="274">
        <v>47</v>
      </c>
      <c r="P48" s="274" t="str">
        <f>IFERROR(INDEX(TableWRCalcPts[PLAYER],MATCH(TableWRRanks[[#This Row],[RK]],TableWRCalcPts[RK],0)),"")</f>
        <v>Tim Patrick</v>
      </c>
      <c r="Q48" s="22" t="str">
        <f>IFERROR(INDEX(TableWRCalcPts[TM],MATCH(TableWRRanks[[#This Row],[RK]],TableWRCalcPts[RK],0)),"")</f>
        <v>DEN</v>
      </c>
      <c r="R48" s="22">
        <f>IFERROR(INDEX(TableWRCalcPts[BYE],MATCH(TableWRRanks[[#This Row],[RK]],TableWRCalcPts[RK],0)),"")</f>
        <v>9</v>
      </c>
      <c r="S48" s="272">
        <f>IFERROR(INDEX(TableWRCalcPts[Custom],MATCH(TableWRRanks[[#This Row],[RK]],TableWRCalcPts[RK],0)),"")</f>
        <v>110.0027840268209</v>
      </c>
      <c r="T48" s="273">
        <f>(((VLOOKUP(TableWRRanks[[#This Row],[Player]],'OVR &amp; VORP Ranks'!$P:$T,5,FALSE)))/('OVR &amp; VORP Ranks'!$BM$6))*(Settings!$E$10*TEAMS)</f>
        <v>0.48530154517410867</v>
      </c>
      <c r="V48" s="274">
        <v>47</v>
      </c>
      <c r="W48" s="274" t="str">
        <f>IFERROR(INDEX(TableTECalcPts[PLAYER],MATCH(TableTERanks[[#This Row],[RK]],TableTECalcPts[RK],0)),"")</f>
        <v>Ian Thomas</v>
      </c>
      <c r="X48" s="22" t="str">
        <f>IFERROR(INDEX(TableTECalcPts[TM],MATCH(TableTERanks[[#This Row],[RK]],TableTECalcPts[RK],0)),"")</f>
        <v>CAR</v>
      </c>
      <c r="Y48" s="22">
        <f>IFERROR(INDEX(TableTECalcPts[BYE],MATCH(TableTERanks[[#This Row],[RK]],TableTECalcPts[RK],0)),"")</f>
        <v>13</v>
      </c>
      <c r="Z48" s="272">
        <f>IFERROR(INDEX(TableTECalcPts[Custom],MATCH(TableTERanks[[#This Row],[RK]],TableTECalcPts[RK],0)),"")</f>
        <v>25.113022945980973</v>
      </c>
      <c r="AA48" s="273">
        <f>(((VLOOKUP(TableTERanks[[#This Row],[Player]],'OVR &amp; VORP Ranks'!$W:$AA,5,FALSE)))/('OVR &amp; VORP Ranks'!$BM$6))*(Settings!$E$10*TEAMS)</f>
        <v>-38.74780024851006</v>
      </c>
    </row>
    <row r="49" spans="1:27" x14ac:dyDescent="0.3">
      <c r="A49" s="22">
        <v>48</v>
      </c>
      <c r="B49" s="22" t="str">
        <f>IFERROR(INDEX(TableQBCalcPts[PLAYER],MATCH(TableQBRanks[[#This Row],[RK]],TableQBCalcPts[RK],0)),"")</f>
        <v>Malik Willis</v>
      </c>
      <c r="C49" s="22" t="str">
        <f>IFERROR(INDEX(TableQBCalcPts[TM],MATCH(TableQBRanks[[#This Row],[RK]],TableQBCalcPts[RK],0)),"")</f>
        <v>TEN</v>
      </c>
      <c r="D49" s="22">
        <f>IFERROR(INDEX(TableQBCalcPts[BYE],MATCH(TableQBRanks[[#This Row],[RK]],TableQBCalcPts[RK],0)),"")</f>
        <v>6</v>
      </c>
      <c r="E49" s="272">
        <f>IFERROR(INDEX(TableQBCalcPts[Custom],MATCH(TableQBRanks[[#This Row],[RK]],TableQBCalcPts[RK],0)),"")</f>
        <v>10.140001790573582</v>
      </c>
      <c r="F49" s="273">
        <f>(((VLOOKUP(TableQBRanks[[#This Row],[Player]],'OVR &amp; VORP Ranks'!$B:$F,5,FALSE)))/('OVR &amp; VORP Ranks'!$BM$6))*(Settings!$E$10*TEAMS)</f>
        <v>-51.176547825657678</v>
      </c>
      <c r="H49" s="22">
        <v>48</v>
      </c>
      <c r="I49" s="22" t="str">
        <f>IFERROR(INDEX(TableRBCalcPts[PLAYER],MATCH(TableRBRanks[[#This Row],[RK]],TableRBCalcPts[RK],0)),"")</f>
        <v>James Robinson</v>
      </c>
      <c r="J49" s="22" t="str">
        <f>IFERROR(INDEX(TableRBCalcPts[TM],MATCH(TableRBRanks[[#This Row],[RK]],TableRBCalcPts[RK],0)),"")</f>
        <v>JAX</v>
      </c>
      <c r="K49" s="22">
        <f>IFERROR(INDEX(TableRBCalcPts[BYE],MATCH(TableRBRanks[[#This Row],[RK]],TableRBCalcPts[RK],0)),"")</f>
        <v>11</v>
      </c>
      <c r="L49" s="272">
        <f>IFERROR(INDEX(TableRBCalcPts[Custom],MATCH(TableRBRanks[[#This Row],[RK]],TableRBCalcPts[RK],0)),"")</f>
        <v>96.05744529511027</v>
      </c>
      <c r="M49" s="273">
        <f>(((VLOOKUP(TableRBRanks[[#This Row],[Player]],'OVR &amp; VORP Ranks'!$I:$M,5,FALSE)))/('OVR &amp; VORP Ranks'!$BM$6))*(Settings!$E$10*TEAMS)</f>
        <v>-2.6656617551310378</v>
      </c>
      <c r="O49" s="22">
        <v>48</v>
      </c>
      <c r="P49" s="22" t="str">
        <f>IFERROR(INDEX(TableWRCalcPts[PLAYER],MATCH(TableWRRanks[[#This Row],[RK]],TableWRCalcPts[RK],0)),"")</f>
        <v>Jameson Williams</v>
      </c>
      <c r="Q49" s="22" t="str">
        <f>IFERROR(INDEX(TableWRCalcPts[TM],MATCH(TableWRRanks[[#This Row],[RK]],TableWRCalcPts[RK],0)),"")</f>
        <v>DET</v>
      </c>
      <c r="R49" s="22">
        <f>IFERROR(INDEX(TableWRCalcPts[BYE],MATCH(TableWRRanks[[#This Row],[RK]],TableWRCalcPts[RK],0)),"")</f>
        <v>6</v>
      </c>
      <c r="S49" s="272">
        <f>IFERROR(INDEX(TableWRCalcPts[Custom],MATCH(TableWRRanks[[#This Row],[RK]],TableWRCalcPts[RK],0)),"")</f>
        <v>109.96837220993626</v>
      </c>
      <c r="T49" s="273">
        <f>(((VLOOKUP(TableWRRanks[[#This Row],[Player]],'OVR &amp; VORP Ranks'!$P:$T,5,FALSE)))/('OVR &amp; VORP Ranks'!$BM$6))*(Settings!$E$10*TEAMS)</f>
        <v>0.46909243230902609</v>
      </c>
      <c r="V49" s="22">
        <v>48</v>
      </c>
      <c r="W49" s="274" t="str">
        <f>IFERROR(INDEX(TableTECalcPts[PLAYER],MATCH(TableTERanks[[#This Row],[RK]],TableTECalcPts[RK],0)),"")</f>
        <v>Will Dissly</v>
      </c>
      <c r="X49" s="22" t="str">
        <f>IFERROR(INDEX(TableTECalcPts[TM],MATCH(TableTERanks[[#This Row],[RK]],TableTECalcPts[RK],0)),"")</f>
        <v>SEA</v>
      </c>
      <c r="Y49" s="22">
        <f>IFERROR(INDEX(TableTECalcPts[BYE],MATCH(TableTERanks[[#This Row],[RK]],TableTECalcPts[RK],0)),"")</f>
        <v>11</v>
      </c>
      <c r="Z49" s="272">
        <f>IFERROR(INDEX(TableTECalcPts[Custom],MATCH(TableTERanks[[#This Row],[RK]],TableTECalcPts[RK],0)),"")</f>
        <v>24.755236021338916</v>
      </c>
      <c r="AA49" s="273">
        <f>(((VLOOKUP(TableTERanks[[#This Row],[Player]],'OVR &amp; VORP Ranks'!$W:$AA,5,FALSE)))/('OVR &amp; VORP Ranks'!$BM$6))*(Settings!$E$10*TEAMS)</f>
        <v>-38.927055086766288</v>
      </c>
    </row>
    <row r="50" spans="1:27" x14ac:dyDescent="0.3">
      <c r="A50" s="22">
        <v>49</v>
      </c>
      <c r="B50" s="22" t="str">
        <f>IFERROR(INDEX(TableQBCalcPts[PLAYER],MATCH(TableQBRanks[[#This Row],[RK]],TableQBCalcPts[RK],0)),"")</f>
        <v>Mike White</v>
      </c>
      <c r="C50" s="22" t="str">
        <f>IFERROR(INDEX(TableQBCalcPts[TM],MATCH(TableQBRanks[[#This Row],[RK]],TableQBCalcPts[RK],0)),"")</f>
        <v>NYJ</v>
      </c>
      <c r="D50" s="22">
        <f>IFERROR(INDEX(TableQBCalcPts[BYE],MATCH(TableQBRanks[[#This Row],[RK]],TableQBCalcPts[RK],0)),"")</f>
        <v>10</v>
      </c>
      <c r="E50" s="272">
        <f>IFERROR(INDEX(TableQBCalcPts[Custom],MATCH(TableQBRanks[[#This Row],[RK]],TableQBCalcPts[RK],0)),"")</f>
        <v>9.9754175845668644</v>
      </c>
      <c r="F50" s="273">
        <f>(((VLOOKUP(TableQBRanks[[#This Row],[Player]],'OVR &amp; VORP Ranks'!$B:$F,5,FALSE)))/('OVR &amp; VORP Ranks'!$BM$6))*(Settings!$E$10*TEAMS)</f>
        <v>-51.679972170058598</v>
      </c>
      <c r="H50" s="22">
        <v>49</v>
      </c>
      <c r="I50" s="22" t="str">
        <f>IFERROR(INDEX(TableRBCalcPts[PLAYER],MATCH(TableRBRanks[[#This Row],[RK]],TableRBCalcPts[RK],0)),"")</f>
        <v>Tyler Allgeier</v>
      </c>
      <c r="J50" s="22" t="str">
        <f>IFERROR(INDEX(TableRBCalcPts[TM],MATCH(TableRBRanks[[#This Row],[RK]],TableRBCalcPts[RK],0)),"")</f>
        <v>ATL</v>
      </c>
      <c r="K50" s="22">
        <f>IFERROR(INDEX(TableRBCalcPts[BYE],MATCH(TableRBRanks[[#This Row],[RK]],TableRBCalcPts[RK],0)),"")</f>
        <v>14</v>
      </c>
      <c r="L50" s="272">
        <f>IFERROR(INDEX(TableRBCalcPts[Custom],MATCH(TableRBRanks[[#This Row],[RK]],TableRBCalcPts[RK],0)),"")</f>
        <v>93.945519105220711</v>
      </c>
      <c r="M50" s="273">
        <f>(((VLOOKUP(TableRBRanks[[#This Row],[Player]],'OVR &amp; VORP Ranks'!$I:$M,5,FALSE)))/('OVR &amp; VORP Ranks'!$BM$6))*(Settings!$E$10*TEAMS)</f>
        <v>-3.7355924331749568</v>
      </c>
      <c r="O50" s="22">
        <v>49</v>
      </c>
      <c r="P50" s="274" t="str">
        <f>IFERROR(INDEX(TableWRCalcPts[PLAYER],MATCH(TableWRRanks[[#This Row],[RK]],TableWRCalcPts[RK],0)),"")</f>
        <v>Michael Thomas</v>
      </c>
      <c r="Q50" s="22" t="str">
        <f>IFERROR(INDEX(TableWRCalcPts[TM],MATCH(TableWRRanks[[#This Row],[RK]],TableWRCalcPts[RK],0)),"")</f>
        <v>NO</v>
      </c>
      <c r="R50" s="22">
        <f>IFERROR(INDEX(TableWRCalcPts[BYE],MATCH(TableWRRanks[[#This Row],[RK]],TableWRCalcPts[RK],0)),"")</f>
        <v>14</v>
      </c>
      <c r="S50" s="272">
        <f>IFERROR(INDEX(TableWRCalcPts[Custom],MATCH(TableWRRanks[[#This Row],[RK]],TableWRCalcPts[RK],0)),"")</f>
        <v>109.96520155385335</v>
      </c>
      <c r="T50" s="273">
        <f>(((VLOOKUP(TableWRRanks[[#This Row],[Player]],'OVR &amp; VORP Ranks'!$P:$T,5,FALSE)))/('OVR &amp; VORP Ranks'!$BM$6))*(Settings!$E$10*TEAMS)</f>
        <v>0.46759894760065934</v>
      </c>
      <c r="V50" s="22">
        <v>49</v>
      </c>
      <c r="W50" s="22" t="str">
        <f>IFERROR(INDEX(TableTECalcPts[PLAYER],MATCH(TableTERanks[[#This Row],[RK]],TableTECalcPts[RK],0)),"")</f>
        <v>Greg Dulcich</v>
      </c>
      <c r="X50" s="22" t="str">
        <f>IFERROR(INDEX(TableTECalcPts[TM],MATCH(TableTERanks[[#This Row],[RK]],TableTECalcPts[RK],0)),"")</f>
        <v>DEN</v>
      </c>
      <c r="Y50" s="22">
        <f>IFERROR(INDEX(TableTECalcPts[BYE],MATCH(TableTERanks[[#This Row],[RK]],TableTECalcPts[RK],0)),"")</f>
        <v>9</v>
      </c>
      <c r="Z50" s="272">
        <f>IFERROR(INDEX(TableTECalcPts[Custom],MATCH(TableTERanks[[#This Row],[RK]],TableTECalcPts[RK],0)),"")</f>
        <v>22.454485484473569</v>
      </c>
      <c r="AA50" s="273">
        <f>(((VLOOKUP(TableTERanks[[#This Row],[Player]],'OVR &amp; VORP Ranks'!$W:$AA,5,FALSE)))/('OVR &amp; VORP Ranks'!$BM$6))*(Settings!$E$10*TEAMS)</f>
        <v>-40.079754184885459</v>
      </c>
    </row>
    <row r="51" spans="1:27" x14ac:dyDescent="0.3">
      <c r="A51" s="22">
        <v>50</v>
      </c>
      <c r="B51" s="22" t="str">
        <f>IFERROR(INDEX(TableQBCalcPts[PLAYER],MATCH(TableQBRanks[[#This Row],[RK]],TableQBCalcPts[RK],0)),"")</f>
        <v>Taylor Heinicke</v>
      </c>
      <c r="C51" s="22" t="str">
        <f>IFERROR(INDEX(TableQBCalcPts[TM],MATCH(TableQBRanks[[#This Row],[RK]],TableQBCalcPts[RK],0)),"")</f>
        <v>WSH</v>
      </c>
      <c r="D51" s="22">
        <f>IFERROR(INDEX(TableQBCalcPts[BYE],MATCH(TableQBRanks[[#This Row],[RK]],TableQBCalcPts[RK],0)),"")</f>
        <v>14</v>
      </c>
      <c r="E51" s="272">
        <f>IFERROR(INDEX(TableQBCalcPts[Custom],MATCH(TableQBRanks[[#This Row],[RK]],TableQBCalcPts[RK],0)),"")</f>
        <v>9.1282457462990063</v>
      </c>
      <c r="F51" s="273">
        <f>(((VLOOKUP(TableQBRanks[[#This Row],[Player]],'OVR &amp; VORP Ranks'!$B:$F,5,FALSE)))/('OVR &amp; VORP Ranks'!$BM$6))*(Settings!$E$10*TEAMS)</f>
        <v>-52.007757172581904</v>
      </c>
      <c r="H51" s="22">
        <v>50</v>
      </c>
      <c r="I51" s="22" t="str">
        <f>IFERROR(INDEX(TableRBCalcPts[PLAYER],MATCH(TableRBRanks[[#This Row],[RK]],TableRBCalcPts[RK],0)),"")</f>
        <v>Marlon Mack</v>
      </c>
      <c r="J51" s="22" t="str">
        <f>IFERROR(INDEX(TableRBCalcPts[TM],MATCH(TableRBRanks[[#This Row],[RK]],TableRBCalcPts[RK],0)),"")</f>
        <v>HOU</v>
      </c>
      <c r="K51" s="22">
        <f>IFERROR(INDEX(TableRBCalcPts[BYE],MATCH(TableRBRanks[[#This Row],[RK]],TableRBCalcPts[RK],0)),"")</f>
        <v>6</v>
      </c>
      <c r="L51" s="272">
        <f>IFERROR(INDEX(TableRBCalcPts[Custom],MATCH(TableRBRanks[[#This Row],[RK]],TableRBCalcPts[RK],0)),"")</f>
        <v>93.003437023698993</v>
      </c>
      <c r="M51" s="273">
        <f>(((VLOOKUP(TableRBRanks[[#This Row],[Player]],'OVR &amp; VORP Ranks'!$I:$M,5,FALSE)))/('OVR &amp; VORP Ranks'!$BM$6))*(Settings!$E$10*TEAMS)</f>
        <v>-4.2128640940317545</v>
      </c>
      <c r="O51" s="274">
        <v>50</v>
      </c>
      <c r="P51" s="274" t="str">
        <f>IFERROR(INDEX(TableWRCalcPts[PLAYER],MATCH(TableWRRanks[[#This Row],[RK]],TableWRCalcPts[RK],0)),"")</f>
        <v>Chris Olave</v>
      </c>
      <c r="Q51" s="22" t="str">
        <f>IFERROR(INDEX(TableWRCalcPts[TM],MATCH(TableWRRanks[[#This Row],[RK]],TableWRCalcPts[RK],0)),"")</f>
        <v>NO</v>
      </c>
      <c r="R51" s="22">
        <f>IFERROR(INDEX(TableWRCalcPts[BYE],MATCH(TableWRRanks[[#This Row],[RK]],TableWRCalcPts[RK],0)),"")</f>
        <v>14</v>
      </c>
      <c r="S51" s="272">
        <f>IFERROR(INDEX(TableWRCalcPts[Custom],MATCH(TableWRRanks[[#This Row],[RK]],TableWRCalcPts[RK],0)),"")</f>
        <v>108.97249273047609</v>
      </c>
      <c r="T51" s="273">
        <f>(((VLOOKUP(TableWRRanks[[#This Row],[Player]],'OVR &amp; VORP Ranks'!$P:$T,5,FALSE)))/('OVR &amp; VORP Ranks'!$BM$6))*(Settings!$E$10*TEAMS)</f>
        <v>0</v>
      </c>
      <c r="V51" s="274">
        <v>50</v>
      </c>
      <c r="W51" s="22" t="str">
        <f>IFERROR(INDEX(TableTECalcPts[PLAYER],MATCH(TableTERanks[[#This Row],[RK]],TableTECalcPts[RK],0)),"")</f>
        <v>Trey McBride</v>
      </c>
      <c r="X51" s="22" t="str">
        <f>IFERROR(INDEX(TableTECalcPts[TM],MATCH(TableTERanks[[#This Row],[RK]],TableTECalcPts[RK],0)),"")</f>
        <v>ARI</v>
      </c>
      <c r="Y51" s="22">
        <f>IFERROR(INDEX(TableTECalcPts[BYE],MATCH(TableTERanks[[#This Row],[RK]],TableTECalcPts[RK],0)),"")</f>
        <v>13</v>
      </c>
      <c r="Z51" s="272">
        <f>IFERROR(INDEX(TableTECalcPts[Custom],MATCH(TableTERanks[[#This Row],[RK]],TableTECalcPts[RK],0)),"")</f>
        <v>22.020922347162873</v>
      </c>
      <c r="AA51" s="273">
        <f>(((VLOOKUP(TableTERanks[[#This Row],[Player]],'OVR &amp; VORP Ranks'!$W:$AA,5,FALSE)))/('OVR &amp; VORP Ranks'!$BM$6))*(Settings!$E$10*TEAMS)</f>
        <v>-40.296973665810434</v>
      </c>
    </row>
    <row r="52" spans="1:27" x14ac:dyDescent="0.3">
      <c r="A52" s="22">
        <v>51</v>
      </c>
      <c r="B52" s="22" t="str">
        <f>IFERROR(INDEX(TableQBCalcPts[PLAYER],MATCH(TableQBRanks[[#This Row],[RK]],TableQBCalcPts[RK],0)),"")</f>
        <v>Andy Dalton</v>
      </c>
      <c r="C52" s="22" t="str">
        <f>IFERROR(INDEX(TableQBCalcPts[TM],MATCH(TableQBRanks[[#This Row],[RK]],TableQBCalcPts[RK],0)),"")</f>
        <v>NO</v>
      </c>
      <c r="D52" s="22">
        <f>IFERROR(INDEX(TableQBCalcPts[BYE],MATCH(TableQBRanks[[#This Row],[RK]],TableQBCalcPts[RK],0)),"")</f>
        <v>14</v>
      </c>
      <c r="E52" s="272">
        <f>IFERROR(INDEX(TableQBCalcPts[Custom],MATCH(TableQBRanks[[#This Row],[RK]],TableQBCalcPts[RK],0)),"")</f>
        <v>9.0371765433830493</v>
      </c>
      <c r="F52" s="273">
        <f>(((VLOOKUP(TableQBRanks[[#This Row],[Player]],'OVR &amp; VORP Ranks'!$B:$F,5,FALSE)))/('OVR &amp; VORP Ranks'!$BM$6))*(Settings!$E$10*TEAMS)</f>
        <v>-52.064675281488462</v>
      </c>
      <c r="H52" s="22">
        <v>51</v>
      </c>
      <c r="I52" s="22" t="str">
        <f>IFERROR(INDEX(TableRBCalcPts[PLAYER],MATCH(TableRBRanks[[#This Row],[RK]],TableRBCalcPts[RK],0)),"")</f>
        <v>Raheem Mostert</v>
      </c>
      <c r="J52" s="22" t="str">
        <f>IFERROR(INDEX(TableRBCalcPts[TM],MATCH(TableRBRanks[[#This Row],[RK]],TableRBCalcPts[RK],0)),"")</f>
        <v>MIA</v>
      </c>
      <c r="K52" s="22">
        <f>IFERROR(INDEX(TableRBCalcPts[BYE],MATCH(TableRBRanks[[#This Row],[RK]],TableRBCalcPts[RK],0)),"")</f>
        <v>11</v>
      </c>
      <c r="L52" s="272">
        <f>IFERROR(INDEX(TableRBCalcPts[Custom],MATCH(TableRBRanks[[#This Row],[RK]],TableRBCalcPts[RK],0)),"")</f>
        <v>92.80705914161156</v>
      </c>
      <c r="M52" s="273">
        <f>(((VLOOKUP(TableRBRanks[[#This Row],[Player]],'OVR &amp; VORP Ranks'!$I:$M,5,FALSE)))/('OVR &amp; VORP Ranks'!$BM$6))*(Settings!$E$10*TEAMS)</f>
        <v>-4.3123518136028745</v>
      </c>
      <c r="O52" s="22">
        <v>51</v>
      </c>
      <c r="P52" s="274" t="str">
        <f>IFERROR(INDEX(TableWRCalcPts[PLAYER],MATCH(TableWRRanks[[#This Row],[RK]],TableWRCalcPts[RK],0)),"")</f>
        <v>Chase Claypool</v>
      </c>
      <c r="Q52" s="22" t="str">
        <f>IFERROR(INDEX(TableWRCalcPts[TM],MATCH(TableWRRanks[[#This Row],[RK]],TableWRCalcPts[RK],0)),"")</f>
        <v>PIT</v>
      </c>
      <c r="R52" s="22">
        <f>IFERROR(INDEX(TableWRCalcPts[BYE],MATCH(TableWRRanks[[#This Row],[RK]],TableWRCalcPts[RK],0)),"")</f>
        <v>9</v>
      </c>
      <c r="S52" s="272">
        <f>IFERROR(INDEX(TableWRCalcPts[Custom],MATCH(TableWRRanks[[#This Row],[RK]],TableWRCalcPts[RK],0)),"")</f>
        <v>106.93345533928145</v>
      </c>
      <c r="T52" s="273">
        <f>(((VLOOKUP(TableWRRanks[[#This Row],[Player]],'OVR &amp; VORP Ranks'!$P:$T,5,FALSE)))/('OVR &amp; VORP Ranks'!$BM$6))*(Settings!$E$10*TEAMS)</f>
        <v>-0.96045458223822966</v>
      </c>
      <c r="V52" s="22">
        <v>51</v>
      </c>
      <c r="W52" s="274" t="str">
        <f>IFERROR(INDEX(TableTECalcPts[PLAYER],MATCH(TableTERanks[[#This Row],[RK]],TableTECalcPts[RK],0)),"")</f>
        <v>Daniel Bellinger</v>
      </c>
      <c r="X52" s="22" t="str">
        <f>IFERROR(INDEX(TableTECalcPts[TM],MATCH(TableTERanks[[#This Row],[RK]],TableTECalcPts[RK],0)),"")</f>
        <v>NYG</v>
      </c>
      <c r="Y52" s="22">
        <f>IFERROR(INDEX(TableTECalcPts[BYE],MATCH(TableTERanks[[#This Row],[RK]],TableTECalcPts[RK],0)),"")</f>
        <v>9</v>
      </c>
      <c r="Z52" s="272">
        <f>IFERROR(INDEX(TableTECalcPts[Custom],MATCH(TableTERanks[[#This Row],[RK]],TableTECalcPts[RK],0)),"")</f>
        <v>21.689387265231311</v>
      </c>
      <c r="AA52" s="273">
        <f>(((VLOOKUP(TableTERanks[[#This Row],[Player]],'OVR &amp; VORP Ranks'!$W:$AA,5,FALSE)))/('OVR &amp; VORP Ranks'!$BM$6))*(Settings!$E$10*TEAMS)</f>
        <v>-40.463076067532796</v>
      </c>
    </row>
    <row r="53" spans="1:27" x14ac:dyDescent="0.3">
      <c r="A53" s="22">
        <v>52</v>
      </c>
      <c r="B53" s="22" t="str">
        <f>IFERROR(INDEX(TableQBCalcPts[PLAYER],MATCH(TableQBRanks[[#This Row],[RK]],TableQBCalcPts[RK],0)),"")</f>
        <v>Colt McCoy</v>
      </c>
      <c r="C53" s="22" t="str">
        <f>IFERROR(INDEX(TableQBCalcPts[TM],MATCH(TableQBRanks[[#This Row],[RK]],TableQBCalcPts[RK],0)),"")</f>
        <v>ARI</v>
      </c>
      <c r="D53" s="22">
        <f>IFERROR(INDEX(TableQBCalcPts[BYE],MATCH(TableQBRanks[[#This Row],[RK]],TableQBCalcPts[RK],0)),"")</f>
        <v>13</v>
      </c>
      <c r="E53" s="272">
        <f>IFERROR(INDEX(TableQBCalcPts[Custom],MATCH(TableQBRanks[[#This Row],[RK]],TableQBCalcPts[RK],0)),"")</f>
        <v>7.8973327406755809</v>
      </c>
      <c r="F53" s="273">
        <f>(((VLOOKUP(TableQBRanks[[#This Row],[Player]],'OVR &amp; VORP Ranks'!$B:$F,5,FALSE)))/('OVR &amp; VORP Ranks'!$BM$6))*(Settings!$E$10*TEAMS)</f>
        <v>-52.357958139801788</v>
      </c>
      <c r="H53" s="22">
        <v>52</v>
      </c>
      <c r="I53" s="22" t="str">
        <f>IFERROR(INDEX(TableRBCalcPts[PLAYER],MATCH(TableRBRanks[[#This Row],[RK]],TableRBCalcPts[RK],0)),"")</f>
        <v>Dameon Pierce</v>
      </c>
      <c r="J53" s="22" t="str">
        <f>IFERROR(INDEX(TableRBCalcPts[TM],MATCH(TableRBRanks[[#This Row],[RK]],TableRBCalcPts[RK],0)),"")</f>
        <v>HOU</v>
      </c>
      <c r="K53" s="22">
        <f>IFERROR(INDEX(TableRBCalcPts[BYE],MATCH(TableRBRanks[[#This Row],[RK]],TableRBCalcPts[RK],0)),"")</f>
        <v>6</v>
      </c>
      <c r="L53" s="272">
        <f>IFERROR(INDEX(TableRBCalcPts[Custom],MATCH(TableRBRanks[[#This Row],[RK]],TableRBCalcPts[RK],0)),"")</f>
        <v>92.187574817760776</v>
      </c>
      <c r="M53" s="273">
        <f>(((VLOOKUP(TableRBRanks[[#This Row],[Player]],'OVR &amp; VORP Ranks'!$I:$M,5,FALSE)))/('OVR &amp; VORP Ranks'!$BM$6))*(Settings!$E$10*TEAMS)</f>
        <v>-4.6261910404794113</v>
      </c>
      <c r="O53" s="22">
        <v>52</v>
      </c>
      <c r="P53" s="274" t="str">
        <f>IFERROR(INDEX(TableWRCalcPts[PLAYER],MATCH(TableWRRanks[[#This Row],[RK]],TableWRCalcPts[RK],0)),"")</f>
        <v>Van Jefferson</v>
      </c>
      <c r="Q53" s="22" t="str">
        <f>IFERROR(INDEX(TableWRCalcPts[TM],MATCH(TableWRRanks[[#This Row],[RK]],TableWRCalcPts[RK],0)),"")</f>
        <v>LAR</v>
      </c>
      <c r="R53" s="22">
        <f>IFERROR(INDEX(TableWRCalcPts[BYE],MATCH(TableWRRanks[[#This Row],[RK]],TableWRCalcPts[RK],0)),"")</f>
        <v>7</v>
      </c>
      <c r="S53" s="272">
        <f>IFERROR(INDEX(TableWRCalcPts[Custom],MATCH(TableWRRanks[[#This Row],[RK]],TableWRCalcPts[RK],0)),"")</f>
        <v>106.76394680560256</v>
      </c>
      <c r="T53" s="273">
        <f>(((VLOOKUP(TableWRRanks[[#This Row],[Player]],'OVR &amp; VORP Ranks'!$P:$T,5,FALSE)))/('OVR &amp; VORP Ranks'!$BM$6))*(Settings!$E$10*TEAMS)</f>
        <v>-1.0402987521408678</v>
      </c>
      <c r="V53" s="22">
        <v>52</v>
      </c>
      <c r="W53" s="274" t="str">
        <f>IFERROR(INDEX(TableTECalcPts[PLAYER],MATCH(TableTERanks[[#This Row],[RK]],TableTECalcPts[RK],0)),"")</f>
        <v>Nick Boyle</v>
      </c>
      <c r="X53" s="22" t="str">
        <f>IFERROR(INDEX(TableTECalcPts[TM],MATCH(TableTERanks[[#This Row],[RK]],TableTECalcPts[RK],0)),"")</f>
        <v>BAL</v>
      </c>
      <c r="Y53" s="22">
        <f>IFERROR(INDEX(TableTECalcPts[BYE],MATCH(TableTERanks[[#This Row],[RK]],TableTECalcPts[RK],0)),"")</f>
        <v>10</v>
      </c>
      <c r="Z53" s="272">
        <f>IFERROR(INDEX(TableTECalcPts[Custom],MATCH(TableTERanks[[#This Row],[RK]],TableTECalcPts[RK],0)),"")</f>
        <v>21.097558218881776</v>
      </c>
      <c r="AA53" s="273">
        <f>(((VLOOKUP(TableTERanks[[#This Row],[Player]],'OVR &amp; VORP Ranks'!$W:$AA,5,FALSE)))/('OVR &amp; VORP Ranks'!$BM$6))*(Settings!$E$10*TEAMS)</f>
        <v>-40.75958835647365</v>
      </c>
    </row>
    <row r="54" spans="1:27" x14ac:dyDescent="0.3">
      <c r="A54" s="22">
        <v>53</v>
      </c>
      <c r="B54" s="22" t="str">
        <f>IFERROR(INDEX(TableQBCalcPts[PLAYER],MATCH(TableQBRanks[[#This Row],[RK]],TableQBCalcPts[RK],0)),"")</f>
        <v>Tim Boyle</v>
      </c>
      <c r="C54" s="22" t="str">
        <f>IFERROR(INDEX(TableQBCalcPts[TM],MATCH(TableQBRanks[[#This Row],[RK]],TableQBCalcPts[RK],0)),"")</f>
        <v>DET</v>
      </c>
      <c r="D54" s="22">
        <f>IFERROR(INDEX(TableQBCalcPts[BYE],MATCH(TableQBRanks[[#This Row],[RK]],TableQBCalcPts[RK],0)),"")</f>
        <v>6</v>
      </c>
      <c r="E54" s="272">
        <f>IFERROR(INDEX(TableQBCalcPts[Custom],MATCH(TableQBRanks[[#This Row],[RK]],TableQBCalcPts[RK],0)),"")</f>
        <v>7.4856047546786204</v>
      </c>
      <c r="F54" s="273">
        <f>(((VLOOKUP(TableQBRanks[[#This Row],[Player]],'OVR &amp; VORP Ranks'!$B:$F,5,FALSE)))/('OVR &amp; VORP Ranks'!$BM$6))*(Settings!$E$10*TEAMS)</f>
        <v>-52.932031543506568</v>
      </c>
      <c r="H54" s="22">
        <v>53</v>
      </c>
      <c r="I54" s="22" t="str">
        <f>IFERROR(INDEX(TableRBCalcPts[PLAYER],MATCH(TableRBRanks[[#This Row],[RK]],TableRBCalcPts[RK],0)),"")</f>
        <v>Michael Carter</v>
      </c>
      <c r="J54" s="22" t="str">
        <f>IFERROR(INDEX(TableRBCalcPts[TM],MATCH(TableRBRanks[[#This Row],[RK]],TableRBCalcPts[RK],0)),"")</f>
        <v>NYJ</v>
      </c>
      <c r="K54" s="22">
        <f>IFERROR(INDEX(TableRBCalcPts[BYE],MATCH(TableRBRanks[[#This Row],[RK]],TableRBCalcPts[RK],0)),"")</f>
        <v>10</v>
      </c>
      <c r="L54" s="272">
        <f>IFERROR(INDEX(TableRBCalcPts[Custom],MATCH(TableRBRanks[[#This Row],[RK]],TableRBCalcPts[RK],0)),"")</f>
        <v>89.910367875968873</v>
      </c>
      <c r="M54" s="273">
        <f>(((VLOOKUP(TableRBRanks[[#This Row],[Player]],'OVR &amp; VORP Ranks'!$I:$M,5,FALSE)))/('OVR &amp; VORP Ranks'!$BM$6))*(Settings!$E$10*TEAMS)</f>
        <v>-5.7798552068417504</v>
      </c>
      <c r="O54" s="274">
        <v>53</v>
      </c>
      <c r="P54" s="274" t="str">
        <f>IFERROR(INDEX(TableWRCalcPts[PLAYER],MATCH(TableWRRanks[[#This Row],[RK]],TableWRCalcPts[RK],0)),"")</f>
        <v>Mecole Hardman</v>
      </c>
      <c r="Q54" s="22" t="str">
        <f>IFERROR(INDEX(TableWRCalcPts[TM],MATCH(TableWRRanks[[#This Row],[RK]],TableWRCalcPts[RK],0)),"")</f>
        <v>KC</v>
      </c>
      <c r="R54" s="22">
        <f>IFERROR(INDEX(TableWRCalcPts[BYE],MATCH(TableWRRanks[[#This Row],[RK]],TableWRCalcPts[RK],0)),"")</f>
        <v>8</v>
      </c>
      <c r="S54" s="272">
        <f>IFERROR(INDEX(TableWRCalcPts[Custom],MATCH(TableWRRanks[[#This Row],[RK]],TableWRCalcPts[RK],0)),"")</f>
        <v>106.4869180452002</v>
      </c>
      <c r="T54" s="273">
        <f>(((VLOOKUP(TableWRRanks[[#This Row],[Player]],'OVR &amp; VORP Ranks'!$P:$T,5,FALSE)))/('OVR &amp; VORP Ranks'!$BM$6))*(Settings!$E$10*TEAMS)</f>
        <v>-1.170788532999832</v>
      </c>
      <c r="V54" s="274">
        <v>53</v>
      </c>
      <c r="W54" s="274" t="str">
        <f>IFERROR(INDEX(TableTECalcPts[PLAYER],MATCH(TableTERanks[[#This Row],[RK]],TableTECalcPts[RK],0)),"")</f>
        <v>Josiah Deguara</v>
      </c>
      <c r="X54" s="22" t="str">
        <f>IFERROR(INDEX(TableTECalcPts[TM],MATCH(TableTERanks[[#This Row],[RK]],TableTECalcPts[RK],0)),"")</f>
        <v>GB</v>
      </c>
      <c r="Y54" s="22">
        <f>IFERROR(INDEX(TableTECalcPts[BYE],MATCH(TableTERanks[[#This Row],[RK]],TableTECalcPts[RK],0)),"")</f>
        <v>14</v>
      </c>
      <c r="Z54" s="272">
        <f>IFERROR(INDEX(TableTECalcPts[Custom],MATCH(TableTERanks[[#This Row],[RK]],TableTECalcPts[RK],0)),"")</f>
        <v>20.352829325983684</v>
      </c>
      <c r="AA54" s="273">
        <f>(((VLOOKUP(TableTERanks[[#This Row],[Player]],'OVR &amp; VORP Ranks'!$W:$AA,5,FALSE)))/('OVR &amp; VORP Ranks'!$BM$6))*(Settings!$E$10*TEAMS)</f>
        <v>-41.132705002295012</v>
      </c>
    </row>
    <row r="55" spans="1:27" x14ac:dyDescent="0.3">
      <c r="A55" s="22">
        <v>54</v>
      </c>
      <c r="B55" s="22" t="str">
        <f>IFERROR(INDEX(TableQBCalcPts[PLAYER],MATCH(TableQBRanks[[#This Row],[RK]],TableQBCalcPts[RK],0)),"")</f>
        <v>Brett Rypien</v>
      </c>
      <c r="C55" s="22" t="str">
        <f>IFERROR(INDEX(TableQBCalcPts[TM],MATCH(TableQBRanks[[#This Row],[RK]],TableQBCalcPts[RK],0)),"")</f>
        <v>DEN</v>
      </c>
      <c r="D55" s="22">
        <f>IFERROR(INDEX(TableQBCalcPts[BYE],MATCH(TableQBRanks[[#This Row],[RK]],TableQBCalcPts[RK],0)),"")</f>
        <v>9</v>
      </c>
      <c r="E55" s="272">
        <f>IFERROR(INDEX(TableQBCalcPts[Custom],MATCH(TableQBRanks[[#This Row],[RK]],TableQBCalcPts[RK],0)),"")</f>
        <v>5.5620737105150848</v>
      </c>
      <c r="F55" s="273">
        <f>(((VLOOKUP(TableQBRanks[[#This Row],[Player]],'OVR &amp; VORP Ranks'!$B:$F,5,FALSE)))/('OVR &amp; VORP Ranks'!$BM$6))*(Settings!$E$10*TEAMS)</f>
        <v>-53.446389160976032</v>
      </c>
      <c r="H55" s="22">
        <v>54</v>
      </c>
      <c r="I55" s="22" t="str">
        <f>IFERROR(INDEX(TableRBCalcPts[PLAYER],MATCH(TableRBRanks[[#This Row],[RK]],TableRBCalcPts[RK],0)),"")</f>
        <v>Darrell Henderson</v>
      </c>
      <c r="J55" s="22" t="str">
        <f>IFERROR(INDEX(TableRBCalcPts[TM],MATCH(TableRBRanks[[#This Row],[RK]],TableRBCalcPts[RK],0)),"")</f>
        <v>LAR</v>
      </c>
      <c r="K55" s="22">
        <f>IFERROR(INDEX(TableRBCalcPts[BYE],MATCH(TableRBRanks[[#This Row],[RK]],TableRBCalcPts[RK],0)),"")</f>
        <v>7</v>
      </c>
      <c r="L55" s="272">
        <f>IFERROR(INDEX(TableRBCalcPts[Custom],MATCH(TableRBRanks[[#This Row],[RK]],TableRBCalcPts[RK],0)),"")</f>
        <v>88.779729859793633</v>
      </c>
      <c r="M55" s="273">
        <f>(((VLOOKUP(TableRBRanks[[#This Row],[Player]],'OVR &amp; VORP Ranks'!$I:$M,5,FALSE)))/('OVR &amp; VORP Ranks'!$BM$6))*(Settings!$E$10*TEAMS)</f>
        <v>-6.3526518817728315</v>
      </c>
      <c r="O55" s="22">
        <v>54</v>
      </c>
      <c r="P55" s="22" t="str">
        <f>IFERROR(INDEX(TableWRCalcPts[PLAYER],MATCH(TableWRRanks[[#This Row],[RK]],TableWRCalcPts[RK],0)),"")</f>
        <v>Marvin Jones</v>
      </c>
      <c r="Q55" s="22" t="str">
        <f>IFERROR(INDEX(TableWRCalcPts[TM],MATCH(TableWRRanks[[#This Row],[RK]],TableWRCalcPts[RK],0)),"")</f>
        <v>JAX</v>
      </c>
      <c r="R55" s="22">
        <f>IFERROR(INDEX(TableWRCalcPts[BYE],MATCH(TableWRRanks[[#This Row],[RK]],TableWRCalcPts[RK],0)),"")</f>
        <v>11</v>
      </c>
      <c r="S55" s="272">
        <f>IFERROR(INDEX(TableWRCalcPts[Custom],MATCH(TableWRRanks[[#This Row],[RK]],TableWRCalcPts[RK],0)),"")</f>
        <v>105.82007116870886</v>
      </c>
      <c r="T55" s="273">
        <f>(((VLOOKUP(TableWRRanks[[#This Row],[Player]],'OVR &amp; VORP Ranks'!$P:$T,5,FALSE)))/('OVR &amp; VORP Ranks'!$BM$6))*(Settings!$E$10*TEAMS)</f>
        <v>-1.4848956410613019</v>
      </c>
      <c r="V55" s="22">
        <v>54</v>
      </c>
      <c r="W55" s="22" t="str">
        <f>IFERROR(INDEX(TableTECalcPts[PLAYER],MATCH(TableTERanks[[#This Row],[RK]],TableTECalcPts[RK],0)),"")</f>
        <v>James O'Shaughnessy</v>
      </c>
      <c r="X55" s="22" t="str">
        <f>IFERROR(INDEX(TableTECalcPts[TM],MATCH(TableTERanks[[#This Row],[RK]],TableTECalcPts[RK],0)),"")</f>
        <v>CHI</v>
      </c>
      <c r="Y55" s="22">
        <f>IFERROR(INDEX(TableTECalcPts[BYE],MATCH(TableTERanks[[#This Row],[RK]],TableTECalcPts[RK],0)),"")</f>
        <v>14</v>
      </c>
      <c r="Z55" s="272">
        <f>IFERROR(INDEX(TableTECalcPts[Custom],MATCH(TableTERanks[[#This Row],[RK]],TableTECalcPts[RK],0)),"")</f>
        <v>19.853140492818323</v>
      </c>
      <c r="AA55" s="273">
        <f>(((VLOOKUP(TableTERanks[[#This Row],[Player]],'OVR &amp; VORP Ranks'!$W:$AA,5,FALSE)))/('OVR &amp; VORP Ranks'!$BM$6))*(Settings!$E$10*TEAMS)</f>
        <v>-41.383054120159265</v>
      </c>
    </row>
    <row r="56" spans="1:27" x14ac:dyDescent="0.3">
      <c r="A56" s="22">
        <v>55</v>
      </c>
      <c r="B56" s="22" t="str">
        <f>IFERROR(INDEX(TableQBCalcPts[PLAYER],MATCH(TableQBRanks[[#This Row],[RK]],TableQBCalcPts[RK],0)),"")</f>
        <v>Nick Mullens</v>
      </c>
      <c r="C56" s="22" t="str">
        <f>IFERROR(INDEX(TableQBCalcPts[TM],MATCH(TableQBRanks[[#This Row],[RK]],TableQBCalcPts[RK],0)),"")</f>
        <v>LV</v>
      </c>
      <c r="D56" s="22">
        <f>IFERROR(INDEX(TableQBCalcPts[BYE],MATCH(TableQBRanks[[#This Row],[RK]],TableQBCalcPts[RK],0)),"")</f>
        <v>6</v>
      </c>
      <c r="E56" s="272">
        <f>IFERROR(INDEX(TableQBCalcPts[Custom],MATCH(TableQBRanks[[#This Row],[RK]],TableQBCalcPts[RK],0)),"")</f>
        <v>5.0197634879066095</v>
      </c>
      <c r="F56" s="273">
        <f>(((VLOOKUP(TableQBRanks[[#This Row],[Player]],'OVR &amp; VORP Ranks'!$B:$F,5,FALSE)))/('OVR &amp; VORP Ranks'!$BM$6))*(Settings!$E$10*TEAMS)</f>
        <v>-53.833115146263722</v>
      </c>
      <c r="H56" s="22">
        <v>55</v>
      </c>
      <c r="I56" s="22" t="str">
        <f>IFERROR(INDEX(TableRBCalcPts[PLAYER],MATCH(TableRBRanks[[#This Row],[RK]],TableRBCalcPts[RK],0)),"")</f>
        <v>J.D. McKissic</v>
      </c>
      <c r="J56" s="22" t="str">
        <f>IFERROR(INDEX(TableRBCalcPts[TM],MATCH(TableRBRanks[[#This Row],[RK]],TableRBCalcPts[RK],0)),"")</f>
        <v>WSH</v>
      </c>
      <c r="K56" s="22">
        <f>IFERROR(INDEX(TableRBCalcPts[BYE],MATCH(TableRBRanks[[#This Row],[RK]],TableRBCalcPts[RK],0)),"")</f>
        <v>14</v>
      </c>
      <c r="L56" s="272">
        <f>IFERROR(INDEX(TableRBCalcPts[Custom],MATCH(TableRBRanks[[#This Row],[RK]],TableRBCalcPts[RK],0)),"")</f>
        <v>87.400718156019607</v>
      </c>
      <c r="M56" s="273">
        <f>(((VLOOKUP(TableRBRanks[[#This Row],[Player]],'OVR &amp; VORP Ranks'!$I:$M,5,FALSE)))/('OVR &amp; VORP Ranks'!$BM$6))*(Settings!$E$10*TEAMS)</f>
        <v>-7.0512780621350339</v>
      </c>
      <c r="O56" s="22">
        <v>55</v>
      </c>
      <c r="P56" s="22" t="str">
        <f>IFERROR(INDEX(TableWRCalcPts[PLAYER],MATCH(TableWRRanks[[#This Row],[RK]],TableWRCalcPts[RK],0)),"")</f>
        <v>Kenny Golladay</v>
      </c>
      <c r="Q56" s="22" t="str">
        <f>IFERROR(INDEX(TableWRCalcPts[TM],MATCH(TableWRRanks[[#This Row],[RK]],TableWRCalcPts[RK],0)),"")</f>
        <v>NYG</v>
      </c>
      <c r="R56" s="22">
        <f>IFERROR(INDEX(TableWRCalcPts[BYE],MATCH(TableWRRanks[[#This Row],[RK]],TableWRCalcPts[RK],0)),"")</f>
        <v>9</v>
      </c>
      <c r="S56" s="272">
        <f>IFERROR(INDEX(TableWRCalcPts[Custom],MATCH(TableWRRanks[[#This Row],[RK]],TableWRCalcPts[RK],0)),"")</f>
        <v>104.4107223692055</v>
      </c>
      <c r="T56" s="273">
        <f>(((VLOOKUP(TableWRRanks[[#This Row],[Player]],'OVR &amp; VORP Ranks'!$P:$T,5,FALSE)))/('OVR &amp; VORP Ranks'!$BM$6))*(Settings!$E$10*TEAMS)</f>
        <v>-2.1487459060443737</v>
      </c>
      <c r="V56" s="22">
        <v>55</v>
      </c>
      <c r="W56" s="274" t="str">
        <f>IFERROR(INDEX(TableTECalcPts[PLAYER],MATCH(TableTERanks[[#This Row],[RK]],TableTECalcPts[RK],0)),"")</f>
        <v>Brock Wright</v>
      </c>
      <c r="X56" s="22" t="str">
        <f>IFERROR(INDEX(TableTECalcPts[TM],MATCH(TableTERanks[[#This Row],[RK]],TableTECalcPts[RK],0)),"")</f>
        <v>DET</v>
      </c>
      <c r="Y56" s="22">
        <f>IFERROR(INDEX(TableTECalcPts[BYE],MATCH(TableTERanks[[#This Row],[RK]],TableTECalcPts[RK],0)),"")</f>
        <v>6</v>
      </c>
      <c r="Z56" s="272">
        <f>IFERROR(INDEX(TableTECalcPts[Custom],MATCH(TableTERanks[[#This Row],[RK]],TableTECalcPts[RK],0)),"")</f>
        <v>19.603513944914454</v>
      </c>
      <c r="AA56" s="273">
        <f>(((VLOOKUP(TableTERanks[[#This Row],[Player]],'OVR &amp; VORP Ranks'!$W:$AA,5,FALSE)))/('OVR &amp; VORP Ranks'!$BM$6))*(Settings!$E$10*TEAMS)</f>
        <v>-41.508119524697833</v>
      </c>
    </row>
    <row r="57" spans="1:27" x14ac:dyDescent="0.3">
      <c r="A57" s="22">
        <v>56</v>
      </c>
      <c r="B57" s="22" t="str">
        <f>IFERROR(INDEX(TableQBCalcPts[PLAYER],MATCH(TableQBRanks[[#This Row],[RK]],TableQBCalcPts[RK],0)),"")</f>
        <v>Brian Hoyer</v>
      </c>
      <c r="C57" s="22" t="str">
        <f>IFERROR(INDEX(TableQBCalcPts[TM],MATCH(TableQBRanks[[#This Row],[RK]],TableQBCalcPts[RK],0)),"")</f>
        <v>NE</v>
      </c>
      <c r="D57" s="22">
        <f>IFERROR(INDEX(TableQBCalcPts[BYE],MATCH(TableQBRanks[[#This Row],[RK]],TableQBCalcPts[RK],0)),"")</f>
        <v>10</v>
      </c>
      <c r="E57" s="272">
        <f>IFERROR(INDEX(TableQBCalcPts[Custom],MATCH(TableQBRanks[[#This Row],[RK]],TableQBCalcPts[RK],0)),"")</f>
        <v>4.6489180604410008</v>
      </c>
      <c r="F57" s="273">
        <f>(((VLOOKUP(TableQBRanks[[#This Row],[Player]],'OVR &amp; VORP Ranks'!$B:$F,5,FALSE)))/('OVR &amp; VORP Ranks'!$BM$6))*(Settings!$E$10*TEAMS)</f>
        <v>-54.414679124148726</v>
      </c>
      <c r="H57" s="22">
        <v>56</v>
      </c>
      <c r="I57" s="22" t="str">
        <f>IFERROR(INDEX(TableRBCalcPts[PLAYER],MATCH(TableRBRanks[[#This Row],[RK]],TableRBCalcPts[RK],0)),"")</f>
        <v>Rachaad White</v>
      </c>
      <c r="J57" s="22" t="str">
        <f>IFERROR(INDEX(TableRBCalcPts[TM],MATCH(TableRBRanks[[#This Row],[RK]],TableRBCalcPts[RK],0)),"")</f>
        <v>TB</v>
      </c>
      <c r="K57" s="22">
        <f>IFERROR(INDEX(TableRBCalcPts[BYE],MATCH(TableRBRanks[[#This Row],[RK]],TableRBCalcPts[RK],0)),"")</f>
        <v>11</v>
      </c>
      <c r="L57" s="272">
        <f>IFERROR(INDEX(TableRBCalcPts[Custom],MATCH(TableRBRanks[[#This Row],[RK]],TableRBCalcPts[RK],0)),"")</f>
        <v>85.06673198999485</v>
      </c>
      <c r="M57" s="273">
        <f>(((VLOOKUP(TableRBRanks[[#This Row],[Player]],'OVR &amp; VORP Ranks'!$I:$M,5,FALSE)))/('OVR &amp; VORP Ranks'!$BM$6))*(Settings!$E$10*TEAMS)</f>
        <v>-8.2337073596715111</v>
      </c>
      <c r="O57" s="274">
        <v>56</v>
      </c>
      <c r="P57" s="274" t="str">
        <f>IFERROR(INDEX(TableWRCalcPts[PLAYER],MATCH(TableWRRanks[[#This Row],[RK]],TableWRCalcPts[RK],0)),"")</f>
        <v>DeAndre Hopkins</v>
      </c>
      <c r="Q57" s="22" t="str">
        <f>IFERROR(INDEX(TableWRCalcPts[TM],MATCH(TableWRRanks[[#This Row],[RK]],TableWRCalcPts[RK],0)),"")</f>
        <v>ARI</v>
      </c>
      <c r="R57" s="22">
        <f>IFERROR(INDEX(TableWRCalcPts[BYE],MATCH(TableWRRanks[[#This Row],[RK]],TableWRCalcPts[RK],0)),"")</f>
        <v>13</v>
      </c>
      <c r="S57" s="272">
        <f>IFERROR(INDEX(TableWRCalcPts[Custom],MATCH(TableWRRanks[[#This Row],[RK]],TableWRCalcPts[RK],0)),"")</f>
        <v>101.49414320839625</v>
      </c>
      <c r="T57" s="273">
        <f>(((VLOOKUP(TableWRRanks[[#This Row],[Player]],'OVR &amp; VORP Ranks'!$P:$T,5,FALSE)))/('OVR &amp; VORP Ranks'!$BM$6))*(Settings!$E$10*TEAMS)</f>
        <v>-3.5225519144857245</v>
      </c>
      <c r="V57" s="274">
        <v>56</v>
      </c>
      <c r="W57" s="274" t="str">
        <f>IFERROR(INDEX(TableTECalcPts[PLAYER],MATCH(TableTERanks[[#This Row],[RK]],TableTECalcPts[RK],0)),"")</f>
        <v>Hunter Long</v>
      </c>
      <c r="X57" s="22" t="str">
        <f>IFERROR(INDEX(TableTECalcPts[TM],MATCH(TableTERanks[[#This Row],[RK]],TableTECalcPts[RK],0)),"")</f>
        <v>MIA</v>
      </c>
      <c r="Y57" s="22">
        <f>IFERROR(INDEX(TableTECalcPts[BYE],MATCH(TableTERanks[[#This Row],[RK]],TableTECalcPts[RK],0)),"")</f>
        <v>11</v>
      </c>
      <c r="Z57" s="272">
        <f>IFERROR(INDEX(TableTECalcPts[Custom],MATCH(TableTERanks[[#This Row],[RK]],TableTECalcPts[RK],0)),"")</f>
        <v>19.12708902696637</v>
      </c>
      <c r="AA57" s="273">
        <f>(((VLOOKUP(TableTERanks[[#This Row],[Player]],'OVR &amp; VORP Ranks'!$W:$AA,5,FALSE)))/('OVR &amp; VORP Ranks'!$BM$6))*(Settings!$E$10*TEAMS)</f>
        <v>-41.74681318767464</v>
      </c>
    </row>
    <row r="58" spans="1:27" x14ac:dyDescent="0.3">
      <c r="A58" s="22">
        <v>57</v>
      </c>
      <c r="B58" s="22" t="str">
        <f>IFERROR(INDEX(TableQBCalcPts[PLAYER],MATCH(TableQBRanks[[#This Row],[RK]],TableQBCalcPts[RK],0)),"")</f>
        <v>Nick Foles</v>
      </c>
      <c r="C58" s="22" t="str">
        <f>IFERROR(INDEX(TableQBCalcPts[TM],MATCH(TableQBRanks[[#This Row],[RK]],TableQBCalcPts[RK],0)),"")</f>
        <v>IND</v>
      </c>
      <c r="D58" s="22">
        <f>IFERROR(INDEX(TableQBCalcPts[BYE],MATCH(TableQBRanks[[#This Row],[RK]],TableQBCalcPts[RK],0)),"")</f>
        <v>14</v>
      </c>
      <c r="E58" s="272">
        <f>IFERROR(INDEX(TableQBCalcPts[Custom],MATCH(TableQBRanks[[#This Row],[RK]],TableQBCalcPts[RK],0)),"")</f>
        <v>4.449325627104403</v>
      </c>
      <c r="F58" s="273">
        <f>(((VLOOKUP(TableQBRanks[[#This Row],[Player]],'OVR &amp; VORP Ranks'!$B:$F,5,FALSE)))/('OVR &amp; VORP Ranks'!$BM$6))*(Settings!$E$10*TEAMS)</f>
        <v>-54.668352127553888</v>
      </c>
      <c r="H58" s="22">
        <v>57</v>
      </c>
      <c r="I58" s="22" t="str">
        <f>IFERROR(INDEX(TableRBCalcPts[PLAYER],MATCH(TableRBRanks[[#This Row],[RK]],TableRBCalcPts[RK],0)),"")</f>
        <v>Darrel Williams</v>
      </c>
      <c r="J58" s="22" t="str">
        <f>IFERROR(INDEX(TableRBCalcPts[TM],MATCH(TableRBRanks[[#This Row],[RK]],TableRBCalcPts[RK],0)),"")</f>
        <v>ARI</v>
      </c>
      <c r="K58" s="22">
        <f>IFERROR(INDEX(TableRBCalcPts[BYE],MATCH(TableRBRanks[[#This Row],[RK]],TableRBCalcPts[RK],0)),"")</f>
        <v>13</v>
      </c>
      <c r="L58" s="272">
        <f>IFERROR(INDEX(TableRBCalcPts[Custom],MATCH(TableRBRanks[[#This Row],[RK]],TableRBCalcPts[RK],0)),"")</f>
        <v>84.070806040109474</v>
      </c>
      <c r="M58" s="273">
        <f>(((VLOOKUP(TableRBRanks[[#This Row],[Player]],'OVR &amp; VORP Ranks'!$I:$M,5,FALSE)))/('OVR &amp; VORP Ranks'!$BM$6))*(Settings!$E$10*TEAMS)</f>
        <v>-8.7382570602924972</v>
      </c>
      <c r="O58" s="22">
        <v>57</v>
      </c>
      <c r="P58" s="22" t="str">
        <f>IFERROR(INDEX(TableWRCalcPts[PLAYER],MATCH(TableWRRanks[[#This Row],[RK]],TableWRCalcPts[RK],0)),"")</f>
        <v>Alec Pierce</v>
      </c>
      <c r="Q58" s="22" t="str">
        <f>IFERROR(INDEX(TableWRCalcPts[TM],MATCH(TableWRRanks[[#This Row],[RK]],TableWRCalcPts[RK],0)),"")</f>
        <v>IND</v>
      </c>
      <c r="R58" s="22">
        <f>IFERROR(INDEX(TableWRCalcPts[BYE],MATCH(TableWRRanks[[#This Row],[RK]],TableWRCalcPts[RK],0)),"")</f>
        <v>14</v>
      </c>
      <c r="S58" s="272">
        <f>IFERROR(INDEX(TableWRCalcPts[Custom],MATCH(TableWRRanks[[#This Row],[RK]],TableWRCalcPts[RK],0)),"")</f>
        <v>101.41919743167956</v>
      </c>
      <c r="T58" s="273">
        <f>(((VLOOKUP(TableWRRanks[[#This Row],[Player]],'OVR &amp; VORP Ranks'!$P:$T,5,FALSE)))/('OVR &amp; VORP Ranks'!$BM$6))*(Settings!$E$10*TEAMS)</f>
        <v>-3.5578538736247745</v>
      </c>
      <c r="V58" s="22">
        <v>57</v>
      </c>
      <c r="W58" s="274" t="str">
        <f>IFERROR(INDEX(TableTECalcPts[PLAYER],MATCH(TableTERanks[[#This Row],[RK]],TableTECalcPts[RK],0)),"")</f>
        <v>Drew Sample</v>
      </c>
      <c r="X58" s="22" t="str">
        <f>IFERROR(INDEX(TableTECalcPts[TM],MATCH(TableTERanks[[#This Row],[RK]],TableTECalcPts[RK],0)),"")</f>
        <v>CIN</v>
      </c>
      <c r="Y58" s="22">
        <f>IFERROR(INDEX(TableTECalcPts[BYE],MATCH(TableTERanks[[#This Row],[RK]],TableTECalcPts[RK],0)),"")</f>
        <v>10</v>
      </c>
      <c r="Z58" s="272">
        <f>IFERROR(INDEX(TableTECalcPts[Custom],MATCH(TableTERanks[[#This Row],[RK]],TableTECalcPts[RK],0)),"")</f>
        <v>18.28922772536642</v>
      </c>
      <c r="AA58" s="273">
        <f>(((VLOOKUP(TableTERanks[[#This Row],[Player]],'OVR &amp; VORP Ranks'!$W:$AA,5,FALSE)))/('OVR &amp; VORP Ranks'!$BM$6))*(Settings!$E$10*TEAMS)</f>
        <v>-42.166590104479823</v>
      </c>
    </row>
    <row r="59" spans="1:27" x14ac:dyDescent="0.3">
      <c r="A59" s="22">
        <v>58</v>
      </c>
      <c r="B59" s="22" t="str">
        <f>IFERROR(INDEX(TableQBCalcPts[PLAYER],MATCH(TableQBRanks[[#This Row],[RK]],TableQBCalcPts[RK],0)),"")</f>
        <v>Jordan Love</v>
      </c>
      <c r="C59" s="22" t="str">
        <f>IFERROR(INDEX(TableQBCalcPts[TM],MATCH(TableQBRanks[[#This Row],[RK]],TableQBCalcPts[RK],0)),"")</f>
        <v>GB</v>
      </c>
      <c r="D59" s="22">
        <f>IFERROR(INDEX(TableQBCalcPts[BYE],MATCH(TableQBRanks[[#This Row],[RK]],TableQBCalcPts[RK],0)),"")</f>
        <v>14</v>
      </c>
      <c r="E59" s="272">
        <f>IFERROR(INDEX(TableQBCalcPts[Custom],MATCH(TableQBRanks[[#This Row],[RK]],TableQBCalcPts[RK],0)),"")</f>
        <v>4.1197163358902698</v>
      </c>
      <c r="F59" s="273">
        <f>(((VLOOKUP(TableQBRanks[[#This Row],[Player]],'OVR &amp; VORP Ranks'!$B:$F,5,FALSE)))/('OVR &amp; VORP Ranks'!$BM$6))*(Settings!$E$10*TEAMS)</f>
        <v>-56.305982551991193</v>
      </c>
      <c r="H59" s="22">
        <v>58</v>
      </c>
      <c r="I59" s="22" t="str">
        <f>IFERROR(INDEX(TableRBCalcPts[PLAYER],MATCH(TableRBRanks[[#This Row],[RK]],TableRBCalcPts[RK],0)),"")</f>
        <v>James White</v>
      </c>
      <c r="J59" s="22" t="str">
        <f>IFERROR(INDEX(TableRBCalcPts[TM],MATCH(TableRBRanks[[#This Row],[RK]],TableRBCalcPts[RK],0)),"")</f>
        <v>NE</v>
      </c>
      <c r="K59" s="22">
        <f>IFERROR(INDEX(TableRBCalcPts[BYE],MATCH(TableRBRanks[[#This Row],[RK]],TableRBCalcPts[RK],0)),"")</f>
        <v>10</v>
      </c>
      <c r="L59" s="272">
        <f>IFERROR(INDEX(TableRBCalcPts[Custom],MATCH(TableRBRanks[[#This Row],[RK]],TableRBCalcPts[RK],0)),"")</f>
        <v>77.080335669558565</v>
      </c>
      <c r="M59" s="273">
        <f>(((VLOOKUP(TableRBRanks[[#This Row],[Player]],'OVR &amp; VORP Ranks'!$I:$M,5,FALSE)))/('OVR &amp; VORP Ranks'!$BM$6))*(Settings!$E$10*TEAMS)</f>
        <v>-12.279724910454714</v>
      </c>
      <c r="O59" s="22">
        <v>58</v>
      </c>
      <c r="P59" s="274" t="str">
        <f>IFERROR(INDEX(TableWRCalcPts[PLAYER],MATCH(TableWRRanks[[#This Row],[RK]],TableWRCalcPts[RK],0)),"")</f>
        <v>Jarvis Landry</v>
      </c>
      <c r="Q59" s="22" t="str">
        <f>IFERROR(INDEX(TableWRCalcPts[TM],MATCH(TableWRRanks[[#This Row],[RK]],TableWRCalcPts[RK],0)),"")</f>
        <v>NO</v>
      </c>
      <c r="R59" s="22">
        <f>IFERROR(INDEX(TableWRCalcPts[BYE],MATCH(TableWRRanks[[#This Row],[RK]],TableWRCalcPts[RK],0)),"")</f>
        <v>14</v>
      </c>
      <c r="S59" s="272">
        <f>IFERROR(INDEX(TableWRCalcPts[Custom],MATCH(TableWRRanks[[#This Row],[RK]],TableWRCalcPts[RK],0)),"")</f>
        <v>100.36232784392826</v>
      </c>
      <c r="T59" s="273">
        <f>(((VLOOKUP(TableWRRanks[[#This Row],[Player]],'OVR &amp; VORP Ranks'!$P:$T,5,FALSE)))/('OVR &amp; VORP Ranks'!$BM$6))*(Settings!$E$10*TEAMS)</f>
        <v>-4.0556746800344374</v>
      </c>
      <c r="V59" s="22">
        <v>58</v>
      </c>
      <c r="W59" s="22" t="str">
        <f>IFERROR(INDEX(TableTECalcPts[PLAYER],MATCH(TableTERanks[[#This Row],[RK]],TableTECalcPts[RK],0)),"")</f>
        <v>Maxx Williams</v>
      </c>
      <c r="X59" s="22" t="str">
        <f>IFERROR(INDEX(TableTECalcPts[TM],MATCH(TableTERanks[[#This Row],[RK]],TableTECalcPts[RK],0)),"")</f>
        <v>ARI</v>
      </c>
      <c r="Y59" s="22">
        <f>IFERROR(INDEX(TableTECalcPts[BYE],MATCH(TableTERanks[[#This Row],[RK]],TableTECalcPts[RK],0)),"")</f>
        <v>13</v>
      </c>
      <c r="Z59" s="272">
        <f>IFERROR(INDEX(TableTECalcPts[Custom],MATCH(TableTERanks[[#This Row],[RK]],TableTECalcPts[RK],0)),"")</f>
        <v>17.246651607505306</v>
      </c>
      <c r="AA59" s="273">
        <f>(((VLOOKUP(TableTERanks[[#This Row],[Player]],'OVR &amp; VORP Ranks'!$W:$AA,5,FALSE)))/('OVR &amp; VORP Ranks'!$BM$6))*(Settings!$E$10*TEAMS)</f>
        <v>-42.688931197754741</v>
      </c>
    </row>
    <row r="60" spans="1:27" x14ac:dyDescent="0.3">
      <c r="A60" s="22">
        <v>59</v>
      </c>
      <c r="B60" s="22" t="str">
        <f>IFERROR(INDEX(TableQBCalcPts[PLAYER],MATCH(TableQBRanks[[#This Row],[RK]],TableQBCalcPts[RK],0)),"")</f>
        <v>Case Keenum</v>
      </c>
      <c r="C60" s="22" t="str">
        <f>IFERROR(INDEX(TableQBCalcPts[TM],MATCH(TableQBRanks[[#This Row],[RK]],TableQBCalcPts[RK],0)),"")</f>
        <v>BUF</v>
      </c>
      <c r="D60" s="22">
        <f>IFERROR(INDEX(TableQBCalcPts[BYE],MATCH(TableQBRanks[[#This Row],[RK]],TableQBCalcPts[RK],0)),"")</f>
        <v>7</v>
      </c>
      <c r="E60" s="272">
        <f>IFERROR(INDEX(TableQBCalcPts[Custom],MATCH(TableQBRanks[[#This Row],[RK]],TableQBCalcPts[RK],0)),"")</f>
        <v>3.446918512326516</v>
      </c>
      <c r="F60" s="273">
        <f>(((VLOOKUP(TableQBRanks[[#This Row],[Player]],'OVR &amp; VORP Ranks'!$B:$F,5,FALSE)))/('OVR &amp; VORP Ranks'!$BM$6))*(Settings!$E$10*TEAMS)</f>
        <v>-56.652888109208853</v>
      </c>
      <c r="H60" s="22">
        <v>59</v>
      </c>
      <c r="I60" s="22" t="str">
        <f>IFERROR(INDEX(TableRBCalcPts[PLAYER],MATCH(TableRBRanks[[#This Row],[RK]],TableRBCalcPts[RK],0)),"")</f>
        <v>Rex Burkhead</v>
      </c>
      <c r="J60" s="22" t="str">
        <f>IFERROR(INDEX(TableRBCalcPts[TM],MATCH(TableRBRanks[[#This Row],[RK]],TableRBCalcPts[RK],0)),"")</f>
        <v>HOU</v>
      </c>
      <c r="K60" s="22">
        <f>IFERROR(INDEX(TableRBCalcPts[BYE],MATCH(TableRBRanks[[#This Row],[RK]],TableRBCalcPts[RK],0)),"")</f>
        <v>6</v>
      </c>
      <c r="L60" s="272">
        <f>IFERROR(INDEX(TableRBCalcPts[Custom],MATCH(TableRBRanks[[#This Row],[RK]],TableRBCalcPts[RK],0)),"")</f>
        <v>75.952347937216942</v>
      </c>
      <c r="M60" s="273">
        <f>(((VLOOKUP(TableRBRanks[[#This Row],[Player]],'OVR &amp; VORP Ranks'!$I:$M,5,FALSE)))/('OVR &amp; VORP Ranks'!$BM$6))*(Settings!$E$10*TEAMS)</f>
        <v>-12.851178915366033</v>
      </c>
      <c r="O60" s="274">
        <v>59</v>
      </c>
      <c r="P60" s="274" t="str">
        <f>IFERROR(INDEX(TableWRCalcPts[PLAYER],MATCH(TableWRRanks[[#This Row],[RK]],TableWRCalcPts[RK],0)),"")</f>
        <v>Robbie Anderson</v>
      </c>
      <c r="Q60" s="22" t="str">
        <f>IFERROR(INDEX(TableWRCalcPts[TM],MATCH(TableWRRanks[[#This Row],[RK]],TableWRCalcPts[RK],0)),"")</f>
        <v>CAR</v>
      </c>
      <c r="R60" s="22">
        <f>IFERROR(INDEX(TableWRCalcPts[BYE],MATCH(TableWRRanks[[#This Row],[RK]],TableWRCalcPts[RK],0)),"")</f>
        <v>13</v>
      </c>
      <c r="S60" s="272">
        <f>IFERROR(INDEX(TableWRCalcPts[Custom],MATCH(TableWRRanks[[#This Row],[RK]],TableWRCalcPts[RK],0)),"")</f>
        <v>99.022998253309396</v>
      </c>
      <c r="T60" s="273">
        <f>(((VLOOKUP(TableWRRanks[[#This Row],[Player]],'OVR &amp; VORP Ranks'!$P:$T,5,FALSE)))/('OVR &amp; VORP Ranks'!$BM$6))*(Settings!$E$10*TEAMS)</f>
        <v>-4.6865435635537702</v>
      </c>
      <c r="V60" s="274">
        <v>59</v>
      </c>
      <c r="W60" s="274" t="str">
        <f>IFERROR(INDEX(TableTECalcPts[PLAYER],MATCH(TableTERanks[[#This Row],[RK]],TableTECalcPts[RK],0)),"")</f>
        <v>Jelani Woods</v>
      </c>
      <c r="X60" s="22" t="str">
        <f>IFERROR(INDEX(TableTECalcPts[TM],MATCH(TableTERanks[[#This Row],[RK]],TableTECalcPts[RK],0)),"")</f>
        <v>IND</v>
      </c>
      <c r="Y60" s="22">
        <f>IFERROR(INDEX(TableTECalcPts[BYE],MATCH(TableTERanks[[#This Row],[RK]],TableTECalcPts[RK],0)),"")</f>
        <v>14</v>
      </c>
      <c r="Z60" s="272">
        <f>IFERROR(INDEX(TableTECalcPts[Custom],MATCH(TableTERanks[[#This Row],[RK]],TableTECalcPts[RK],0)),"")</f>
        <v>17.171626089126345</v>
      </c>
      <c r="AA60" s="273">
        <f>(((VLOOKUP(TableTERanks[[#This Row],[Player]],'OVR &amp; VORP Ranks'!$W:$AA,5,FALSE)))/('OVR &amp; VORP Ranks'!$BM$6))*(Settings!$E$10*TEAMS)</f>
        <v>-42.726519735054033</v>
      </c>
    </row>
    <row r="61" spans="1:27" x14ac:dyDescent="0.3">
      <c r="A61" s="22">
        <v>60</v>
      </c>
      <c r="B61" s="22" t="str">
        <f>IFERROR(INDEX(TableQBCalcPts[PLAYER],MATCH(TableQBRanks[[#This Row],[RK]],TableQBCalcPts[RK],0)),"")</f>
        <v>Mason Rudolph</v>
      </c>
      <c r="C61" s="22" t="str">
        <f>IFERROR(INDEX(TableQBCalcPts[TM],MATCH(TableQBRanks[[#This Row],[RK]],TableQBCalcPts[RK],0)),"")</f>
        <v>PIT</v>
      </c>
      <c r="D61" s="22">
        <f>IFERROR(INDEX(TableQBCalcPts[BYE],MATCH(TableQBRanks[[#This Row],[RK]],TableQBCalcPts[RK],0)),"")</f>
        <v>9</v>
      </c>
      <c r="E61" s="272">
        <f>IFERROR(INDEX(TableQBCalcPts[Custom],MATCH(TableQBRanks[[#This Row],[RK]],TableQBCalcPts[RK],0)),"")</f>
        <v>3.4144949110272025</v>
      </c>
      <c r="F61" s="273">
        <f>(((VLOOKUP(TableQBRanks[[#This Row],[Player]],'OVR &amp; VORP Ranks'!$B:$F,5,FALSE)))/('OVR &amp; VORP Ranks'!$BM$6))*(Settings!$E$10*TEAMS)</f>
        <v>-56.703112515833823</v>
      </c>
      <c r="H61" s="22">
        <v>60</v>
      </c>
      <c r="I61" s="22" t="str">
        <f>IFERROR(INDEX(TableRBCalcPts[PLAYER],MATCH(TableRBRanks[[#This Row],[RK]],TableRBCalcPts[RK],0)),"")</f>
        <v>Damien Williams</v>
      </c>
      <c r="J61" s="22" t="str">
        <f>IFERROR(INDEX(TableRBCalcPts[TM],MATCH(TableRBRanks[[#This Row],[RK]],TableRBCalcPts[RK],0)),"")</f>
        <v>ATL</v>
      </c>
      <c r="K61" s="22">
        <f>IFERROR(INDEX(TableRBCalcPts[BYE],MATCH(TableRBRanks[[#This Row],[RK]],TableRBCalcPts[RK],0)),"")</f>
        <v>14</v>
      </c>
      <c r="L61" s="272">
        <f>IFERROR(INDEX(TableRBCalcPts[Custom],MATCH(TableRBRanks[[#This Row],[RK]],TableRBCalcPts[RK],0)),"")</f>
        <v>75.751015049197633</v>
      </c>
      <c r="M61" s="273">
        <f>(((VLOOKUP(TableRBRanks[[#This Row],[Player]],'OVR &amp; VORP Ranks'!$I:$M,5,FALSE)))/('OVR &amp; VORP Ranks'!$BM$6))*(Settings!$E$10*TEAMS)</f>
        <v>-12.953176908677678</v>
      </c>
      <c r="O61" s="22">
        <v>60</v>
      </c>
      <c r="P61" s="22" t="str">
        <f>IFERROR(INDEX(TableWRCalcPts[PLAYER],MATCH(TableWRRanks[[#This Row],[RK]],TableWRCalcPts[RK],0)),"")</f>
        <v>Jahan Dotson</v>
      </c>
      <c r="Q61" s="22" t="str">
        <f>IFERROR(INDEX(TableWRCalcPts[TM],MATCH(TableWRRanks[[#This Row],[RK]],TableWRCalcPts[RK],0)),"")</f>
        <v>WSH</v>
      </c>
      <c r="R61" s="22">
        <f>IFERROR(INDEX(TableWRCalcPts[BYE],MATCH(TableWRRanks[[#This Row],[RK]],TableWRCalcPts[RK],0)),"")</f>
        <v>14</v>
      </c>
      <c r="S61" s="272">
        <f>IFERROR(INDEX(TableWRCalcPts[Custom],MATCH(TableWRRanks[[#This Row],[RK]],TableWRCalcPts[RK],0)),"")</f>
        <v>97.971643167931461</v>
      </c>
      <c r="T61" s="273">
        <f>(((VLOOKUP(TableWRRanks[[#This Row],[Player]],'OVR &amp; VORP Ranks'!$P:$T,5,FALSE)))/('OVR &amp; VORP Ranks'!$BM$6))*(Settings!$E$10*TEAMS)</f>
        <v>-5.1817668555205207</v>
      </c>
      <c r="V61" s="22">
        <v>60</v>
      </c>
      <c r="W61" s="274" t="str">
        <f>IFERROR(INDEX(TableTECalcPts[PLAYER],MATCH(TableTERanks[[#This Row],[RK]],TableTECalcPts[RK],0)),"")</f>
        <v>Ryan Griffin</v>
      </c>
      <c r="X61" s="22" t="str">
        <f>IFERROR(INDEX(TableTECalcPts[TM],MATCH(TableTERanks[[#This Row],[RK]],TableTECalcPts[RK],0)),"")</f>
        <v>CHI</v>
      </c>
      <c r="Y61" s="22">
        <f>IFERROR(INDEX(TableTECalcPts[BYE],MATCH(TableTERanks[[#This Row],[RK]],TableTECalcPts[RK],0)),"")</f>
        <v>14</v>
      </c>
      <c r="Z61" s="272">
        <f>IFERROR(INDEX(TableTECalcPts[Custom],MATCH(TableTERanks[[#This Row],[RK]],TableTECalcPts[RK],0)),"")</f>
        <v>16.703697622663206</v>
      </c>
      <c r="AA61" s="273">
        <f>(((VLOOKUP(TableTERanks[[#This Row],[Player]],'OVR &amp; VORP Ranks'!$W:$AA,5,FALSE)))/('OVR &amp; VORP Ranks'!$BM$6))*(Settings!$E$10*TEAMS)</f>
        <v>-42.9609565906078</v>
      </c>
    </row>
    <row r="62" spans="1:27" x14ac:dyDescent="0.3">
      <c r="A62" s="22">
        <v>61</v>
      </c>
      <c r="B62" s="22" t="str">
        <f>IFERROR(INDEX(TableQBCalcPts[PLAYER],MATCH(TableQBRanks[[#This Row],[RK]],TableQBCalcPts[RK],0)),"")</f>
        <v>Kyle Trask</v>
      </c>
      <c r="C62" s="22" t="str">
        <f>IFERROR(INDEX(TableQBCalcPts[TM],MATCH(TableQBRanks[[#This Row],[RK]],TableQBCalcPts[RK],0)),"")</f>
        <v>TB</v>
      </c>
      <c r="D62" s="22">
        <f>IFERROR(INDEX(TableQBCalcPts[BYE],MATCH(TableQBRanks[[#This Row],[RK]],TableQBCalcPts[RK],0)),"")</f>
        <v>11</v>
      </c>
      <c r="E62" s="272">
        <f>IFERROR(INDEX(TableQBCalcPts[Custom],MATCH(TableQBRanks[[#This Row],[RK]],TableQBCalcPts[RK],0)),"")</f>
        <v>2.9468850686177452</v>
      </c>
      <c r="F62" s="273">
        <f>(((VLOOKUP(TableQBRanks[[#This Row],[Player]],'OVR &amp; VORP Ranks'!$B:$F,5,FALSE)))/('OVR &amp; VORP Ranks'!$BM$6))*(Settings!$E$10*TEAMS)</f>
        <v>-59.634619523098863</v>
      </c>
      <c r="H62" s="22">
        <v>61</v>
      </c>
      <c r="I62" s="22" t="str">
        <f>IFERROR(INDEX(TableRBCalcPts[PLAYER],MATCH(TableRBRanks[[#This Row],[RK]],TableRBCalcPts[RK],0)),"")</f>
        <v>Chris Evans</v>
      </c>
      <c r="J62" s="22" t="str">
        <f>IFERROR(INDEX(TableRBCalcPts[TM],MATCH(TableRBRanks[[#This Row],[RK]],TableRBCalcPts[RK],0)),"")</f>
        <v>CIN</v>
      </c>
      <c r="K62" s="22">
        <f>IFERROR(INDEX(TableRBCalcPts[BYE],MATCH(TableRBRanks[[#This Row],[RK]],TableRBCalcPts[RK],0)),"")</f>
        <v>10</v>
      </c>
      <c r="L62" s="272">
        <f>IFERROR(INDEX(TableRBCalcPts[Custom],MATCH(TableRBRanks[[#This Row],[RK]],TableRBCalcPts[RK],0)),"")</f>
        <v>63.165804634779782</v>
      </c>
      <c r="M62" s="273">
        <f>(((VLOOKUP(TableRBRanks[[#This Row],[Player]],'OVR &amp; VORP Ranks'!$I:$M,5,FALSE)))/('OVR &amp; VORP Ranks'!$BM$6))*(Settings!$E$10*TEAMS)</f>
        <v>-19.329016545728457</v>
      </c>
      <c r="O62" s="22">
        <v>61</v>
      </c>
      <c r="P62" s="274" t="str">
        <f>IFERROR(INDEX(TableWRCalcPts[PLAYER],MATCH(TableWRRanks[[#This Row],[RK]],TableWRCalcPts[RK],0)),"")</f>
        <v>Kadarius Toney</v>
      </c>
      <c r="Q62" s="22" t="str">
        <f>IFERROR(INDEX(TableWRCalcPts[TM],MATCH(TableWRRanks[[#This Row],[RK]],TableWRCalcPts[RK],0)),"")</f>
        <v>NYG</v>
      </c>
      <c r="R62" s="22">
        <f>IFERROR(INDEX(TableWRCalcPts[BYE],MATCH(TableWRRanks[[#This Row],[RK]],TableWRCalcPts[RK],0)),"")</f>
        <v>9</v>
      </c>
      <c r="S62" s="272">
        <f>IFERROR(INDEX(TableWRCalcPts[Custom],MATCH(TableWRRanks[[#This Row],[RK]],TableWRCalcPts[RK],0)),"")</f>
        <v>97.721870227738862</v>
      </c>
      <c r="T62" s="273">
        <f>(((VLOOKUP(TableWRRanks[[#This Row],[Player]],'OVR &amp; VORP Ranks'!$P:$T,5,FALSE)))/('OVR &amp; VORP Ranks'!$BM$6))*(Settings!$E$10*TEAMS)</f>
        <v>-5.2994182364922775</v>
      </c>
      <c r="V62" s="22">
        <v>61</v>
      </c>
      <c r="W62" s="274" t="str">
        <f>IFERROR(INDEX(TableTECalcPts[PLAYER],MATCH(TableTERanks[[#This Row],[RK]],TableTECalcPts[RK],0)),"")</f>
        <v>Marcedes Lewis</v>
      </c>
      <c r="X62" s="22" t="str">
        <f>IFERROR(INDEX(TableTECalcPts[TM],MATCH(TableTERanks[[#This Row],[RK]],TableTECalcPts[RK],0)),"")</f>
        <v>GB</v>
      </c>
      <c r="Y62" s="22">
        <f>IFERROR(INDEX(TableTECalcPts[BYE],MATCH(TableTERanks[[#This Row],[RK]],TableTECalcPts[RK],0)),"")</f>
        <v>14</v>
      </c>
      <c r="Z62" s="272">
        <f>IFERROR(INDEX(TableTECalcPts[Custom],MATCH(TableTERanks[[#This Row],[RK]],TableTECalcPts[RK],0)),"")</f>
        <v>16.650207266330391</v>
      </c>
      <c r="AA62" s="273">
        <f>(((VLOOKUP(TableTERanks[[#This Row],[Player]],'OVR &amp; VORP Ranks'!$W:$AA,5,FALSE)))/('OVR &amp; VORP Ranks'!$BM$6))*(Settings!$E$10*TEAMS)</f>
        <v>-42.987755795699762</v>
      </c>
    </row>
    <row r="63" spans="1:27" x14ac:dyDescent="0.3">
      <c r="A63" s="22">
        <v>62</v>
      </c>
      <c r="B63" s="22" t="str">
        <f>IFERROR(INDEX(TableQBCalcPts[PLAYER],MATCH(TableQBRanks[[#This Row],[RK]],TableQBCalcPts[RK],0)),"")</f>
        <v>Chase Daniel</v>
      </c>
      <c r="C63" s="22" t="str">
        <f>IFERROR(INDEX(TableQBCalcPts[TM],MATCH(TableQBRanks[[#This Row],[RK]],TableQBCalcPts[RK],0)),"")</f>
        <v>LAC</v>
      </c>
      <c r="D63" s="22">
        <f>IFERROR(INDEX(TableQBCalcPts[BYE],MATCH(TableQBRanks[[#This Row],[RK]],TableQBCalcPts[RK],0)),"")</f>
        <v>8</v>
      </c>
      <c r="E63" s="272">
        <f>IFERROR(INDEX(TableQBCalcPts[Custom],MATCH(TableQBRanks[[#This Row],[RK]],TableQBCalcPts[RK],0)),"")</f>
        <v>2.9261791987692596</v>
      </c>
      <c r="F63" s="273">
        <f>(((VLOOKUP(TableQBRanks[[#This Row],[Player]],'OVR &amp; VORP Ranks'!$B:$F,5,FALSE)))/('OVR &amp; VORP Ranks'!$BM$6))*(Settings!$E$10*TEAMS)</f>
        <v>-60.323974101503758</v>
      </c>
      <c r="H63" s="22">
        <v>62</v>
      </c>
      <c r="I63" s="22" t="str">
        <f>IFERROR(INDEX(TableRBCalcPts[PLAYER],MATCH(TableRBRanks[[#This Row],[RK]],TableRBCalcPts[RK],0)),"")</f>
        <v>Kenyan Drake</v>
      </c>
      <c r="J63" s="22" t="str">
        <f>IFERROR(INDEX(TableRBCalcPts[TM],MATCH(TableRBRanks[[#This Row],[RK]],TableRBCalcPts[RK],0)),"")</f>
        <v>LV</v>
      </c>
      <c r="K63" s="22">
        <f>IFERROR(INDEX(TableRBCalcPts[BYE],MATCH(TableRBRanks[[#This Row],[RK]],TableRBCalcPts[RK],0)),"")</f>
        <v>6</v>
      </c>
      <c r="L63" s="272">
        <f>IFERROR(INDEX(TableRBCalcPts[Custom],MATCH(TableRBRanks[[#This Row],[RK]],TableRBCalcPts[RK],0)),"")</f>
        <v>60.154119377652194</v>
      </c>
      <c r="M63" s="273">
        <f>(((VLOOKUP(TableRBRanks[[#This Row],[Player]],'OVR &amp; VORP Ranks'!$I:$M,5,FALSE)))/('OVR &amp; VORP Ranks'!$BM$6))*(Settings!$E$10*TEAMS)</f>
        <v>-20.854777467033148</v>
      </c>
      <c r="O63" s="274">
        <v>62</v>
      </c>
      <c r="P63" s="22" t="str">
        <f>IFERROR(INDEX(TableWRCalcPts[PLAYER],MATCH(TableWRRanks[[#This Row],[RK]],TableWRCalcPts[RK],0)),"")</f>
        <v>George Pickens</v>
      </c>
      <c r="Q63" s="22" t="str">
        <f>IFERROR(INDEX(TableWRCalcPts[TM],MATCH(TableWRRanks[[#This Row],[RK]],TableWRCalcPts[RK],0)),"")</f>
        <v>PIT</v>
      </c>
      <c r="R63" s="22">
        <f>IFERROR(INDEX(TableWRCalcPts[BYE],MATCH(TableWRRanks[[#This Row],[RK]],TableWRCalcPts[RK],0)),"")</f>
        <v>9</v>
      </c>
      <c r="S63" s="272">
        <f>IFERROR(INDEX(TableWRCalcPts[Custom],MATCH(TableWRRanks[[#This Row],[RK]],TableWRCalcPts[RK],0)),"")</f>
        <v>96.635223734682157</v>
      </c>
      <c r="T63" s="273">
        <f>(((VLOOKUP(TableWRRanks[[#This Row],[Player]],'OVR &amp; VORP Ranks'!$P:$T,5,FALSE)))/('OVR &amp; VORP Ranks'!$BM$6))*(Settings!$E$10*TEAMS)</f>
        <v>-5.8112649579091622</v>
      </c>
      <c r="V63" s="274">
        <v>62</v>
      </c>
      <c r="W63" s="274" t="str">
        <f>IFERROR(INDEX(TableTECalcPts[PLAYER],MATCH(TableTERanks[[#This Row],[RK]],TableTECalcPts[RK],0)),"")</f>
        <v>Brycen Hopkins</v>
      </c>
      <c r="X63" s="22" t="str">
        <f>IFERROR(INDEX(TableTECalcPts[TM],MATCH(TableTERanks[[#This Row],[RK]],TableTECalcPts[RK],0)),"")</f>
        <v>LAR</v>
      </c>
      <c r="Y63" s="22">
        <f>IFERROR(INDEX(TableTECalcPts[BYE],MATCH(TableTERanks[[#This Row],[RK]],TableTECalcPts[RK],0)),"")</f>
        <v>7</v>
      </c>
      <c r="Z63" s="272">
        <f>IFERROR(INDEX(TableTECalcPts[Custom],MATCH(TableTERanks[[#This Row],[RK]],TableTECalcPts[RK],0)),"")</f>
        <v>15.042983008922885</v>
      </c>
      <c r="AA63" s="273">
        <f>(((VLOOKUP(TableTERanks[[#This Row],[Player]],'OVR &amp; VORP Ranks'!$W:$AA,5,FALSE)))/('OVR &amp; VORP Ranks'!$BM$6))*(Settings!$E$10*TEAMS)</f>
        <v>-43.792991270951674</v>
      </c>
    </row>
    <row r="64" spans="1:27" x14ac:dyDescent="0.3">
      <c r="A64" s="22">
        <v>63</v>
      </c>
      <c r="B64" s="22" t="str">
        <f>IFERROR(INDEX(TableQBCalcPts[PLAYER],MATCH(TableQBRanks[[#This Row],[RK]],TableQBCalcPts[RK],0)),"")</f>
        <v>Brandon Allen</v>
      </c>
      <c r="C64" s="22" t="str">
        <f>IFERROR(INDEX(TableQBCalcPts[TM],MATCH(TableQBRanks[[#This Row],[RK]],TableQBCalcPts[RK],0)),"")</f>
        <v>CIN</v>
      </c>
      <c r="D64" s="22">
        <f>IFERROR(INDEX(TableQBCalcPts[BYE],MATCH(TableQBRanks[[#This Row],[RK]],TableQBCalcPts[RK],0)),"")</f>
        <v>10</v>
      </c>
      <c r="E64" s="272">
        <f>IFERROR(INDEX(TableQBCalcPts[Custom],MATCH(TableQBRanks[[#This Row],[RK]],TableQBCalcPts[RK],0)),"")</f>
        <v>2.8531185766886535</v>
      </c>
      <c r="F64" s="273">
        <f>(((VLOOKUP(TableQBRanks[[#This Row],[Player]],'OVR &amp; VORP Ranks'!$B:$F,5,FALSE)))/('OVR &amp; VORP Ranks'!$BM$6))*(Settings!$E$10*TEAMS)</f>
        <v>-60.532332854669043</v>
      </c>
      <c r="H64" s="22">
        <v>63</v>
      </c>
      <c r="I64" s="22" t="str">
        <f>IFERROR(INDEX(TableRBCalcPts[PLAYER],MATCH(TableRBRanks[[#This Row],[RK]],TableRBCalcPts[RK],0)),"")</f>
        <v>Boston Scott</v>
      </c>
      <c r="J64" s="22" t="str">
        <f>IFERROR(INDEX(TableRBCalcPts[TM],MATCH(TableRBRanks[[#This Row],[RK]],TableRBCalcPts[RK],0)),"")</f>
        <v>PHI</v>
      </c>
      <c r="K64" s="22">
        <f>IFERROR(INDEX(TableRBCalcPts[BYE],MATCH(TableRBRanks[[#This Row],[RK]],TableRBCalcPts[RK],0)),"")</f>
        <v>7</v>
      </c>
      <c r="L64" s="272">
        <f>IFERROR(INDEX(TableRBCalcPts[Custom],MATCH(TableRBRanks[[#This Row],[RK]],TableRBCalcPts[RK],0)),"")</f>
        <v>59.282920955883633</v>
      </c>
      <c r="M64" s="273">
        <f>(((VLOOKUP(TableRBRanks[[#This Row],[Player]],'OVR &amp; VORP Ranks'!$I:$M,5,FALSE)))/('OVR &amp; VORP Ranks'!$BM$6))*(Settings!$E$10*TEAMS)</f>
        <v>-21.296138496872157</v>
      </c>
      <c r="O64" s="22">
        <v>63</v>
      </c>
      <c r="P64" s="22" t="str">
        <f>IFERROR(INDEX(TableWRCalcPts[PLAYER],MATCH(TableWRRanks[[#This Row],[RK]],TableWRCalcPts[RK],0)),"")</f>
        <v>Christian Watson</v>
      </c>
      <c r="Q64" s="22" t="str">
        <f>IFERROR(INDEX(TableWRCalcPts[TM],MATCH(TableWRRanks[[#This Row],[RK]],TableWRCalcPts[RK],0)),"")</f>
        <v>GB</v>
      </c>
      <c r="R64" s="22">
        <f>IFERROR(INDEX(TableWRCalcPts[BYE],MATCH(TableWRRanks[[#This Row],[RK]],TableWRCalcPts[RK],0)),"")</f>
        <v>14</v>
      </c>
      <c r="S64" s="272">
        <f>IFERROR(INDEX(TableWRCalcPts[Custom],MATCH(TableWRRanks[[#This Row],[RK]],TableWRCalcPts[RK],0)),"")</f>
        <v>96.138985959044319</v>
      </c>
      <c r="T64" s="273">
        <f>(((VLOOKUP(TableWRRanks[[#This Row],[Player]],'OVR &amp; VORP Ranks'!$P:$T,5,FALSE)))/('OVR &amp; VORP Ranks'!$BM$6))*(Settings!$E$10*TEAMS)</f>
        <v>-6.0450094922415252</v>
      </c>
      <c r="V64" s="22">
        <v>63</v>
      </c>
      <c r="W64" s="22" t="str">
        <f>IFERROR(INDEX(TableTECalcPts[PLAYER],MATCH(TableTERanks[[#This Row],[RK]],TableTECalcPts[RK],0)),"")</f>
        <v>Nick Vannett</v>
      </c>
      <c r="X64" s="22" t="str">
        <f>IFERROR(INDEX(TableTECalcPts[TM],MATCH(TableTERanks[[#This Row],[RK]],TableTECalcPts[RK],0)),"")</f>
        <v>NO</v>
      </c>
      <c r="Y64" s="22">
        <f>IFERROR(INDEX(TableTECalcPts[BYE],MATCH(TableTERanks[[#This Row],[RK]],TableTECalcPts[RK],0)),"")</f>
        <v>14</v>
      </c>
      <c r="Z64" s="272">
        <f>IFERROR(INDEX(TableTECalcPts[Custom],MATCH(TableTERanks[[#This Row],[RK]],TableTECalcPts[RK],0)),"")</f>
        <v>14.882710410612825</v>
      </c>
      <c r="AA64" s="273">
        <f>(((VLOOKUP(TableTERanks[[#This Row],[Player]],'OVR &amp; VORP Ranks'!$W:$AA,5,FALSE)))/('OVR &amp; VORP Ranks'!$BM$6))*(Settings!$E$10*TEAMS)</f>
        <v>-43.873289450421815</v>
      </c>
    </row>
    <row r="65" spans="1:27" x14ac:dyDescent="0.3">
      <c r="A65" s="22">
        <v>64</v>
      </c>
      <c r="B65" s="22" t="str">
        <f>IFERROR(INDEX(TableQBCalcPts[PLAYER],MATCH(TableQBRanks[[#This Row],[RK]],TableQBCalcPts[RK],0)),"")</f>
        <v>Chad Henne</v>
      </c>
      <c r="C65" s="22" t="str">
        <f>IFERROR(INDEX(TableQBCalcPts[TM],MATCH(TableQBRanks[[#This Row],[RK]],TableQBCalcPts[RK],0)),"")</f>
        <v>KC</v>
      </c>
      <c r="D65" s="22">
        <f>IFERROR(INDEX(TableQBCalcPts[BYE],MATCH(TableQBRanks[[#This Row],[RK]],TableQBCalcPts[RK],0)),"")</f>
        <v>8</v>
      </c>
      <c r="E65" s="272">
        <f>IFERROR(INDEX(TableQBCalcPts[Custom],MATCH(TableQBRanks[[#This Row],[RK]],TableQBCalcPts[RK],0)),"")</f>
        <v>2.8219708856031982</v>
      </c>
      <c r="F65" s="273">
        <f>(((VLOOKUP(TableQBRanks[[#This Row],[Player]],'OVR &amp; VORP Ranks'!$B:$F,5,FALSE)))/('OVR &amp; VORP Ranks'!$BM$6))*(Settings!$E$10*TEAMS)</f>
        <v>-61.160995243997377</v>
      </c>
      <c r="H65" s="22">
        <v>64</v>
      </c>
      <c r="I65" s="22" t="str">
        <f>IFERROR(INDEX(TableRBCalcPts[PLAYER],MATCH(TableRBRanks[[#This Row],[RK]],TableRBCalcPts[RK],0)),"")</f>
        <v>Matt Breida</v>
      </c>
      <c r="J65" s="22" t="str">
        <f>IFERROR(INDEX(TableRBCalcPts[TM],MATCH(TableRBRanks[[#This Row],[RK]],TableRBCalcPts[RK],0)),"")</f>
        <v>NYG</v>
      </c>
      <c r="K65" s="22">
        <f>IFERROR(INDEX(TableRBCalcPts[BYE],MATCH(TableRBRanks[[#This Row],[RK]],TableRBCalcPts[RK],0)),"")</f>
        <v>9</v>
      </c>
      <c r="L65" s="272">
        <f>IFERROR(INDEX(TableRBCalcPts[Custom],MATCH(TableRBRanks[[#This Row],[RK]],TableRBCalcPts[RK],0)),"")</f>
        <v>56.543567379074069</v>
      </c>
      <c r="M65" s="273">
        <f>(((VLOOKUP(TableRBRanks[[#This Row],[Player]],'OVR &amp; VORP Ranks'!$I:$M,5,FALSE)))/('OVR &amp; VORP Ranks'!$BM$6))*(Settings!$E$10*TEAMS)</f>
        <v>-22.68393246612596</v>
      </c>
      <c r="O65" s="22">
        <v>64</v>
      </c>
      <c r="P65" s="22" t="str">
        <f>IFERROR(INDEX(TableWRCalcPts[PLAYER],MATCH(TableWRRanks[[#This Row],[RK]],TableWRCalcPts[RK],0)),"")</f>
        <v>Skyy Moore</v>
      </c>
      <c r="Q65" s="22" t="str">
        <f>IFERROR(INDEX(TableWRCalcPts[TM],MATCH(TableWRRanks[[#This Row],[RK]],TableWRCalcPts[RK],0)),"")</f>
        <v>KC</v>
      </c>
      <c r="R65" s="22">
        <f>IFERROR(INDEX(TableWRCalcPts[BYE],MATCH(TableWRRanks[[#This Row],[RK]],TableWRCalcPts[RK],0)),"")</f>
        <v>8</v>
      </c>
      <c r="S65" s="272">
        <f>IFERROR(INDEX(TableWRCalcPts[Custom],MATCH(TableWRRanks[[#This Row],[RK]],TableWRCalcPts[RK],0)),"")</f>
        <v>95.335174796868472</v>
      </c>
      <c r="T65" s="273">
        <f>(((VLOOKUP(TableWRRanks[[#This Row],[Player]],'OVR &amp; VORP Ranks'!$P:$T,5,FALSE)))/('OVR &amp; VORP Ranks'!$BM$6))*(Settings!$E$10*TEAMS)</f>
        <v>-6.4236313445429749</v>
      </c>
      <c r="V65" s="22">
        <v>64</v>
      </c>
      <c r="W65" s="22" t="str">
        <f>IFERROR(INDEX(TableTECalcPts[PLAYER],MATCH(TableTERanks[[#This Row],[RK]],TableTECalcPts[RK],0)),"")</f>
        <v>Noah Gray</v>
      </c>
      <c r="X65" s="22" t="str">
        <f>IFERROR(INDEX(TableTECalcPts[TM],MATCH(TableTERanks[[#This Row],[RK]],TableTECalcPts[RK],0)),"")</f>
        <v>KC</v>
      </c>
      <c r="Y65" s="22">
        <f>IFERROR(INDEX(TableTECalcPts[BYE],MATCH(TableTERanks[[#This Row],[RK]],TableTECalcPts[RK],0)),"")</f>
        <v>8</v>
      </c>
      <c r="Z65" s="272">
        <f>IFERROR(INDEX(TableTECalcPts[Custom],MATCH(TableTERanks[[#This Row],[RK]],TableTECalcPts[RK],0)),"")</f>
        <v>13.871069075680589</v>
      </c>
      <c r="AA65" s="273">
        <f>(((VLOOKUP(TableTERanks[[#This Row],[Player]],'OVR &amp; VORP Ranks'!$W:$AA,5,FALSE)))/('OVR &amp; VORP Ranks'!$BM$6))*(Settings!$E$10*TEAMS)</f>
        <v>-44.380131907138235</v>
      </c>
    </row>
    <row r="66" spans="1:27" x14ac:dyDescent="0.3">
      <c r="A66" s="22">
        <v>65</v>
      </c>
      <c r="B66" s="22" t="str">
        <f>IFERROR(INDEX(TableQBCalcPts[PLAYER],MATCH(TableQBRanks[[#This Row],[RK]],TableQBCalcPts[RK],0)),"")</f>
        <v>C.J. Beathard</v>
      </c>
      <c r="C66" s="22" t="str">
        <f>IFERROR(INDEX(TableQBCalcPts[TM],MATCH(TableQBRanks[[#This Row],[RK]],TableQBCalcPts[RK],0)),"")</f>
        <v>JAX</v>
      </c>
      <c r="D66" s="22">
        <f>IFERROR(INDEX(TableQBCalcPts[BYE],MATCH(TableQBRanks[[#This Row],[RK]],TableQBCalcPts[RK],0)),"")</f>
        <v>11</v>
      </c>
      <c r="E66" s="272">
        <f>IFERROR(INDEX(TableQBCalcPts[Custom],MATCH(TableQBRanks[[#This Row],[RK]],TableQBCalcPts[RK],0)),"")</f>
        <v>2.544242137896862</v>
      </c>
      <c r="F66" s="273">
        <f>(((VLOOKUP(TableQBRanks[[#This Row],[Player]],'OVR &amp; VORP Ranks'!$B:$F,5,FALSE)))/('OVR &amp; VORP Ranks'!$BM$6))*(Settings!$E$10*TEAMS)</f>
        <v>-61.541785877368234</v>
      </c>
      <c r="H66" s="22">
        <v>65</v>
      </c>
      <c r="I66" s="22" t="str">
        <f>IFERROR(INDEX(TableRBCalcPts[PLAYER],MATCH(TableRBRanks[[#This Row],[RK]],TableRBCalcPts[RK],0)),"")</f>
        <v>Zamir White</v>
      </c>
      <c r="J66" s="22" t="str">
        <f>IFERROR(INDEX(TableRBCalcPts[TM],MATCH(TableRBRanks[[#This Row],[RK]],TableRBCalcPts[RK],0)),"")</f>
        <v>LV</v>
      </c>
      <c r="K66" s="22">
        <f>IFERROR(INDEX(TableRBCalcPts[BYE],MATCH(TableRBRanks[[#This Row],[RK]],TableRBCalcPts[RK],0)),"")</f>
        <v>6</v>
      </c>
      <c r="L66" s="272">
        <f>IFERROR(INDEX(TableRBCalcPts[Custom],MATCH(TableRBRanks[[#This Row],[RK]],TableRBCalcPts[RK],0)),"")</f>
        <v>55.035771034438397</v>
      </c>
      <c r="M66" s="273">
        <f>(((VLOOKUP(TableRBRanks[[#This Row],[Player]],'OVR &amp; VORP Ranks'!$I:$M,5,FALSE)))/('OVR &amp; VORP Ranks'!$BM$6))*(Settings!$E$10*TEAMS)</f>
        <v>-23.447802706047813</v>
      </c>
      <c r="O66" s="274">
        <v>65</v>
      </c>
      <c r="P66" s="22" t="str">
        <f>IFERROR(INDEX(TableWRCalcPts[PLAYER],MATCH(TableWRRanks[[#This Row],[RK]],TableWRCalcPts[RK],0)),"")</f>
        <v>Rondale Moore</v>
      </c>
      <c r="Q66" s="22" t="str">
        <f>IFERROR(INDEX(TableWRCalcPts[TM],MATCH(TableWRRanks[[#This Row],[RK]],TableWRCalcPts[RK],0)),"")</f>
        <v>ARI</v>
      </c>
      <c r="R66" s="22">
        <f>IFERROR(INDEX(TableWRCalcPts[BYE],MATCH(TableWRRanks[[#This Row],[RK]],TableWRCalcPts[RK],0)),"")</f>
        <v>13</v>
      </c>
      <c r="S66" s="272">
        <f>IFERROR(INDEX(TableWRCalcPts[Custom],MATCH(TableWRRanks[[#This Row],[RK]],TableWRCalcPts[RK],0)),"")</f>
        <v>92.583937690627096</v>
      </c>
      <c r="T66" s="273">
        <f>(((VLOOKUP(TableWRRanks[[#This Row],[Player]],'OVR &amp; VORP Ranks'!$P:$T,5,FALSE)))/('OVR &amp; VORP Ranks'!$BM$6))*(Settings!$E$10*TEAMS)</f>
        <v>-7.7195557336318945</v>
      </c>
      <c r="V66" s="274">
        <v>65</v>
      </c>
      <c r="W66" s="22" t="str">
        <f>IFERROR(INDEX(TableTECalcPts[PLAYER],MATCH(TableTERanks[[#This Row],[RK]],TableTECalcPts[RK],0)),"")</f>
        <v>Tre' McKitty</v>
      </c>
      <c r="X66" s="22" t="str">
        <f>IFERROR(INDEX(TableTECalcPts[TM],MATCH(TableTERanks[[#This Row],[RK]],TableTECalcPts[RK],0)),"")</f>
        <v>LAC</v>
      </c>
      <c r="Y66" s="22">
        <f>IFERROR(INDEX(TableTECalcPts[BYE],MATCH(TableTERanks[[#This Row],[RK]],TableTECalcPts[RK],0)),"")</f>
        <v>8</v>
      </c>
      <c r="Z66" s="272">
        <f>IFERROR(INDEX(TableTECalcPts[Custom],MATCH(TableTERanks[[#This Row],[RK]],TableTECalcPts[RK],0)),"")</f>
        <v>13.755391915959006</v>
      </c>
      <c r="AA66" s="273">
        <f>(((VLOOKUP(TableTERanks[[#This Row],[Player]],'OVR &amp; VORP Ranks'!$W:$AA,5,FALSE)))/('OVR &amp; VORP Ranks'!$BM$6))*(Settings!$E$10*TEAMS)</f>
        <v>-44.438087324532475</v>
      </c>
    </row>
    <row r="67" spans="1:27" x14ac:dyDescent="0.3">
      <c r="A67" s="22">
        <v>66</v>
      </c>
      <c r="B67" s="22" t="str">
        <f>IFERROR(INDEX(TableQBCalcPts[PLAYER],MATCH(TableQBRanks[[#This Row],[RK]],TableQBCalcPts[RK],0)),"")</f>
        <v>Kellen Mond</v>
      </c>
      <c r="C67" s="22" t="str">
        <f>IFERROR(INDEX(TableQBCalcPts[TM],MATCH(TableQBRanks[[#This Row],[RK]],TableQBCalcPts[RK],0)),"")</f>
        <v>MIN</v>
      </c>
      <c r="D67" s="22">
        <f>IFERROR(INDEX(TableQBCalcPts[BYE],MATCH(TableQBRanks[[#This Row],[RK]],TableQBCalcPts[RK],0)),"")</f>
        <v>7</v>
      </c>
      <c r="E67" s="272">
        <f>IFERROR(INDEX(TableQBCalcPts[Custom],MATCH(TableQBRanks[[#This Row],[RK]],TableQBCalcPts[RK],0)),"")</f>
        <v>2.1864285817745461</v>
      </c>
      <c r="F67" s="273">
        <f>(((VLOOKUP(TableQBRanks[[#This Row],[Player]],'OVR &amp; VORP Ranks'!$B:$F,5,FALSE)))/('OVR &amp; VORP Ranks'!$BM$6))*(Settings!$E$10*TEAMS)</f>
        <v>-62.182037523074484</v>
      </c>
      <c r="H67" s="22">
        <v>66</v>
      </c>
      <c r="I67" s="22" t="str">
        <f>IFERROR(INDEX(TableRBCalcPts[PLAYER],MATCH(TableRBRanks[[#This Row],[RK]],TableRBCalcPts[RK],0)),"")</f>
        <v>Brian Robinson</v>
      </c>
      <c r="J67" s="22" t="str">
        <f>IFERROR(INDEX(TableRBCalcPts[TM],MATCH(TableRBRanks[[#This Row],[RK]],TableRBCalcPts[RK],0)),"")</f>
        <v>WSH</v>
      </c>
      <c r="K67" s="22">
        <f>IFERROR(INDEX(TableRBCalcPts[BYE],MATCH(TableRBRanks[[#This Row],[RK]],TableRBCalcPts[RK],0)),"")</f>
        <v>14</v>
      </c>
      <c r="L67" s="272">
        <f>IFERROR(INDEX(TableRBCalcPts[Custom],MATCH(TableRBRanks[[#This Row],[RK]],TableRBCalcPts[RK],0)),"")</f>
        <v>52.436730302224909</v>
      </c>
      <c r="M67" s="273">
        <f>(((VLOOKUP(TableRBRanks[[#This Row],[Player]],'OVR &amp; VORP Ranks'!$I:$M,5,FALSE)))/('OVR &amp; VORP Ranks'!$BM$6))*(Settings!$E$10*TEAMS)</f>
        <v>-24.76451227013839</v>
      </c>
      <c r="O67" s="22">
        <v>66</v>
      </c>
      <c r="P67" s="274" t="str">
        <f>IFERROR(INDEX(TableWRCalcPts[PLAYER],MATCH(TableWRRanks[[#This Row],[RK]],TableWRCalcPts[RK],0)),"")</f>
        <v>Jakobi Meyers</v>
      </c>
      <c r="Q67" s="22" t="str">
        <f>IFERROR(INDEX(TableWRCalcPts[TM],MATCH(TableWRRanks[[#This Row],[RK]],TableWRCalcPts[RK],0)),"")</f>
        <v>NE</v>
      </c>
      <c r="R67" s="22">
        <f>IFERROR(INDEX(TableWRCalcPts[BYE],MATCH(TableWRRanks[[#This Row],[RK]],TableWRCalcPts[RK],0)),"")</f>
        <v>10</v>
      </c>
      <c r="S67" s="272">
        <f>IFERROR(INDEX(TableWRCalcPts[Custom],MATCH(TableWRRanks[[#This Row],[RK]],TableWRCalcPts[RK],0)),"")</f>
        <v>90.896112461128411</v>
      </c>
      <c r="T67" s="273">
        <f>(((VLOOKUP(TableWRRanks[[#This Row],[Player]],'OVR &amp; VORP Ranks'!$P:$T,5,FALSE)))/('OVR &amp; VORP Ranks'!$BM$6))*(Settings!$E$10*TEAMS)</f>
        <v>-8.5145776801100492</v>
      </c>
      <c r="V67" s="22">
        <v>66</v>
      </c>
      <c r="W67" s="22" t="str">
        <f>IFERROR(INDEX(TableTECalcPts[PLAYER],MATCH(TableTERanks[[#This Row],[RK]],TableTECalcPts[RK],0)),"")</f>
        <v>Jacob Harris</v>
      </c>
      <c r="X67" s="22" t="str">
        <f>IFERROR(INDEX(TableTECalcPts[TM],MATCH(TableTERanks[[#This Row],[RK]],TableTECalcPts[RK],0)),"")</f>
        <v>LAR</v>
      </c>
      <c r="Y67" s="22">
        <f>IFERROR(INDEX(TableTECalcPts[BYE],MATCH(TableTERanks[[#This Row],[RK]],TableTECalcPts[RK],0)),"")</f>
        <v>7</v>
      </c>
      <c r="Z67" s="272">
        <f>IFERROR(INDEX(TableTECalcPts[Custom],MATCH(TableTERanks[[#This Row],[RK]],TableTECalcPts[RK],0)),"")</f>
        <v>13.679370776556084</v>
      </c>
      <c r="AA67" s="273">
        <f>(((VLOOKUP(TableTERanks[[#This Row],[Player]],'OVR &amp; VORP Ranks'!$W:$AA,5,FALSE)))/('OVR &amp; VORP Ranks'!$BM$6))*(Settings!$E$10*TEAMS)</f>
        <v>-44.476174677951988</v>
      </c>
    </row>
    <row r="68" spans="1:27" x14ac:dyDescent="0.3">
      <c r="A68" s="22">
        <v>67</v>
      </c>
      <c r="B68" s="22" t="str">
        <f>IFERROR(INDEX(TableQBCalcPts[PLAYER],MATCH(TableQBRanks[[#This Row],[RK]],TableQBCalcPts[RK],0)),"")</f>
        <v/>
      </c>
      <c r="C68" s="22" t="str">
        <f>IFERROR(INDEX(TableQBCalcPts[TM],MATCH(TableQBRanks[[#This Row],[RK]],TableQBCalcPts[RK],0)),"")</f>
        <v/>
      </c>
      <c r="D68" s="22" t="str">
        <f>IFERROR(INDEX(TableQBCalcPts[BYE],MATCH(TableQBRanks[[#This Row],[RK]],TableQBCalcPts[RK],0)),"")</f>
        <v/>
      </c>
      <c r="E68" s="272" t="str">
        <f>IFERROR(INDEX(TableQBCalcPts[Custom],MATCH(TableQBRanks[[#This Row],[RK]],TableQBCalcPts[RK],0)),"")</f>
        <v/>
      </c>
      <c r="F68" s="273" t="e">
        <f>(((VLOOKUP(TableQBRanks[[#This Row],[Player]],'OVR &amp; VORP Ranks'!$B:$F,5,FALSE)))/('OVR &amp; VORP Ranks'!$BM$6))*(Settings!$E$10*TEAMS)</f>
        <v>#VALUE!</v>
      </c>
      <c r="H68" s="22">
        <v>67</v>
      </c>
      <c r="I68" s="22" t="str">
        <f>IFERROR(INDEX(TableRBCalcPts[PLAYER],MATCH(TableRBRanks[[#This Row],[RK]],TableRBCalcPts[RK],0)),"")</f>
        <v>Sony Michel</v>
      </c>
      <c r="J68" s="22" t="str">
        <f>IFERROR(INDEX(TableRBCalcPts[TM],MATCH(TableRBRanks[[#This Row],[RK]],TableRBCalcPts[RK],0)),"")</f>
        <v>MIA</v>
      </c>
      <c r="K68" s="22">
        <f>IFERROR(INDEX(TableRBCalcPts[BYE],MATCH(TableRBRanks[[#This Row],[RK]],TableRBCalcPts[RK],0)),"")</f>
        <v>11</v>
      </c>
      <c r="L68" s="272">
        <f>IFERROR(INDEX(TableRBCalcPts[Custom],MATCH(TableRBRanks[[#This Row],[RK]],TableRBCalcPts[RK],0)),"")</f>
        <v>48.094947777259016</v>
      </c>
      <c r="M68" s="273">
        <f>(((VLOOKUP(TableRBRanks[[#This Row],[Player]],'OVR &amp; VORP Ranks'!$I:$M,5,FALSE)))/('OVR &amp; VORP Ranks'!$BM$6))*(Settings!$E$10*TEAMS)</f>
        <v>-26.964118649894928</v>
      </c>
      <c r="O68" s="22">
        <v>67</v>
      </c>
      <c r="P68" s="22" t="str">
        <f>IFERROR(INDEX(TableWRCalcPts[PLAYER],MATCH(TableWRRanks[[#This Row],[RK]],TableWRCalcPts[RK],0)),"")</f>
        <v>John Metchie</v>
      </c>
      <c r="Q68" s="22" t="str">
        <f>IFERROR(INDEX(TableWRCalcPts[TM],MATCH(TableWRRanks[[#This Row],[RK]],TableWRCalcPts[RK],0)),"")</f>
        <v>HOU</v>
      </c>
      <c r="R68" s="22">
        <f>IFERROR(INDEX(TableWRCalcPts[BYE],MATCH(TableWRRanks[[#This Row],[RK]],TableWRCalcPts[RK],0)),"")</f>
        <v>6</v>
      </c>
      <c r="S68" s="272">
        <f>IFERROR(INDEX(TableWRCalcPts[Custom],MATCH(TableWRRanks[[#This Row],[RK]],TableWRCalcPts[RK],0)),"")</f>
        <v>89.873250374261502</v>
      </c>
      <c r="T68" s="273">
        <f>(((VLOOKUP(TableWRRanks[[#This Row],[Player]],'OVR &amp; VORP Ranks'!$P:$T,5,FALSE)))/('OVR &amp; VORP Ranks'!$BM$6))*(Settings!$E$10*TEAMS)</f>
        <v>-8.9963798199685545</v>
      </c>
      <c r="V68" s="22">
        <v>67</v>
      </c>
      <c r="W68" s="22" t="str">
        <f>IFERROR(INDEX(TableTECalcPts[PLAYER],MATCH(TableTERanks[[#This Row],[RK]],TableTECalcPts[RK],0)),"")</f>
        <v>Tyree Jackson</v>
      </c>
      <c r="X68" s="22" t="str">
        <f>IFERROR(INDEX(TableTECalcPts[TM],MATCH(TableTERanks[[#This Row],[RK]],TableTECalcPts[RK],0)),"")</f>
        <v>PHI</v>
      </c>
      <c r="Y68" s="22">
        <f>IFERROR(INDEX(TableTECalcPts[BYE],MATCH(TableTERanks[[#This Row],[RK]],TableTECalcPts[RK],0)),"")</f>
        <v>7</v>
      </c>
      <c r="Z68" s="272">
        <f>IFERROR(INDEX(TableTECalcPts[Custom],MATCH(TableTERanks[[#This Row],[RK]],TableTECalcPts[RK],0)),"")</f>
        <v>12.58346719098485</v>
      </c>
      <c r="AA68" s="273">
        <f>(((VLOOKUP(TableTERanks[[#This Row],[Player]],'OVR &amp; VORP Ranks'!$W:$AA,5,FALSE)))/('OVR &amp; VORP Ranks'!$BM$6))*(Settings!$E$10*TEAMS)</f>
        <v>-45.025233367484944</v>
      </c>
    </row>
    <row r="69" spans="1:27" x14ac:dyDescent="0.3">
      <c r="A69" s="22">
        <v>68</v>
      </c>
      <c r="B69" s="274" t="str">
        <f>IFERROR(INDEX(TableQBCalcPts[PLAYER],MATCH(TableQBRanks[[#This Row],[RK]],TableQBCalcPts[RK],0)),"")</f>
        <v/>
      </c>
      <c r="C69" s="274" t="str">
        <f>IFERROR(INDEX(TableQBCalcPts[TM],MATCH(TableQBRanks[[#This Row],[RK]],TableQBCalcPts[RK],0)),"")</f>
        <v/>
      </c>
      <c r="D69" s="274" t="str">
        <f>IFERROR(INDEX(TableQBCalcPts[BYE],MATCH(TableQBRanks[[#This Row],[RK]],TableQBCalcPts[RK],0)),"")</f>
        <v/>
      </c>
      <c r="E69" s="272" t="str">
        <f>IFERROR(INDEX(TableQBCalcPts[Custom],MATCH(TableQBRanks[[#This Row],[RK]],TableQBCalcPts[RK],0)),"")</f>
        <v/>
      </c>
      <c r="F69" s="273" t="e">
        <f>(((VLOOKUP(TableQBRanks[[#This Row],[Player]],'OVR &amp; VORP Ranks'!$B:$F,5,FALSE)))/('OVR &amp; VORP Ranks'!$BM$6))*(Settings!$E$10*TEAMS)</f>
        <v>#VALUE!</v>
      </c>
      <c r="H69" s="22">
        <v>68</v>
      </c>
      <c r="I69" s="22" t="str">
        <f>IFERROR(INDEX(TableRBCalcPts[PLAYER],MATCH(TableRBRanks[[#This Row],[RK]],TableRBCalcPts[RK],0)),"")</f>
        <v>D'Onta Foreman</v>
      </c>
      <c r="J69" s="22" t="str">
        <f>IFERROR(INDEX(TableRBCalcPts[TM],MATCH(TableRBRanks[[#This Row],[RK]],TableRBCalcPts[RK],0)),"")</f>
        <v>CAR</v>
      </c>
      <c r="K69" s="22">
        <f>IFERROR(INDEX(TableRBCalcPts[BYE],MATCH(TableRBRanks[[#This Row],[RK]],TableRBCalcPts[RK],0)),"")</f>
        <v>13</v>
      </c>
      <c r="L69" s="272">
        <f>IFERROR(INDEX(TableRBCalcPts[Custom],MATCH(TableRBRanks[[#This Row],[RK]],TableRBCalcPts[RK],0)),"")</f>
        <v>44.950911550462322</v>
      </c>
      <c r="M69" s="273">
        <f>(((VLOOKUP(TableRBRanks[[#This Row],[Player]],'OVR &amp; VORP Ranks'!$I:$M,5,FALSE)))/('OVR &amp; VORP Ranks'!$BM$6))*(Settings!$E$10*TEAMS)</f>
        <v>-28.556930381685202</v>
      </c>
      <c r="O69" s="274">
        <v>68</v>
      </c>
      <c r="P69" s="274" t="str">
        <f>IFERROR(INDEX(TableWRCalcPts[PLAYER],MATCH(TableWRRanks[[#This Row],[RK]],TableWRCalcPts[RK],0)),"")</f>
        <v>DeVante Parker</v>
      </c>
      <c r="Q69" s="22" t="str">
        <f>IFERROR(INDEX(TableWRCalcPts[TM],MATCH(TableWRRanks[[#This Row],[RK]],TableWRCalcPts[RK],0)),"")</f>
        <v>NE</v>
      </c>
      <c r="R69" s="22">
        <f>IFERROR(INDEX(TableWRCalcPts[BYE],MATCH(TableWRRanks[[#This Row],[RK]],TableWRCalcPts[RK],0)),"")</f>
        <v>10</v>
      </c>
      <c r="S69" s="272">
        <f>IFERROR(INDEX(TableWRCalcPts[Custom],MATCH(TableWRRanks[[#This Row],[RK]],TableWRCalcPts[RK],0)),"")</f>
        <v>87.406039713146185</v>
      </c>
      <c r="T69" s="273">
        <f>(((VLOOKUP(TableWRRanks[[#This Row],[Player]],'OVR &amp; VORP Ranks'!$P:$T,5,FALSE)))/('OVR &amp; VORP Ranks'!$BM$6))*(Settings!$E$10*TEAMS)</f>
        <v>-10.158518285426945</v>
      </c>
      <c r="V69" s="274">
        <v>68</v>
      </c>
      <c r="W69" s="274" t="str">
        <f>IFERROR(INDEX(TableTECalcPts[PLAYER],MATCH(TableTERanks[[#This Row],[RK]],TableTECalcPts[RK],0)),"")</f>
        <v>Chris Manhertz</v>
      </c>
      <c r="X69" s="22" t="str">
        <f>IFERROR(INDEX(TableTECalcPts[TM],MATCH(TableTERanks[[#This Row],[RK]],TableTECalcPts[RK],0)),"")</f>
        <v>JAX</v>
      </c>
      <c r="Y69" s="22">
        <f>IFERROR(INDEX(TableTECalcPts[BYE],MATCH(TableTERanks[[#This Row],[RK]],TableTECalcPts[RK],0)),"")</f>
        <v>11</v>
      </c>
      <c r="Z69" s="272">
        <f>IFERROR(INDEX(TableTECalcPts[Custom],MATCH(TableTERanks[[#This Row],[RK]],TableTECalcPts[RK],0)),"")</f>
        <v>11.678836361164802</v>
      </c>
      <c r="AA69" s="273">
        <f>(((VLOOKUP(TableTERanks[[#This Row],[Player]],'OVR &amp; VORP Ranks'!$W:$AA,5,FALSE)))/('OVR &amp; VORP Ranks'!$BM$6))*(Settings!$E$10*TEAMS)</f>
        <v>-45.478462487702849</v>
      </c>
    </row>
    <row r="70" spans="1:27" x14ac:dyDescent="0.3">
      <c r="A70" s="22">
        <v>69</v>
      </c>
      <c r="B70" s="274" t="str">
        <f>IFERROR(INDEX(TableQBCalcPts[PLAYER],MATCH(TableQBRanks[[#This Row],[RK]],TableQBCalcPts[RK],0)),"")</f>
        <v/>
      </c>
      <c r="C70" s="274" t="str">
        <f>IFERROR(INDEX(TableQBCalcPts[TM],MATCH(TableQBRanks[[#This Row],[RK]],TableQBCalcPts[RK],0)),"")</f>
        <v/>
      </c>
      <c r="D70" s="274" t="str">
        <f>IFERROR(INDEX(TableQBCalcPts[BYE],MATCH(TableQBRanks[[#This Row],[RK]],TableQBCalcPts[RK],0)),"")</f>
        <v/>
      </c>
      <c r="E70" s="272" t="str">
        <f>IFERROR(INDEX(TableQBCalcPts[Custom],MATCH(TableQBRanks[[#This Row],[RK]],TableQBCalcPts[RK],0)),"")</f>
        <v/>
      </c>
      <c r="F70" s="273" t="e">
        <f>(((VLOOKUP(TableQBRanks[[#This Row],[Player]],'OVR &amp; VORP Ranks'!$B:$F,5,FALSE)))/('OVR &amp; VORP Ranks'!$BM$6))*(Settings!$E$10*TEAMS)</f>
        <v>#VALUE!</v>
      </c>
      <c r="H70" s="22">
        <v>69</v>
      </c>
      <c r="I70" s="22" t="str">
        <f>IFERROR(INDEX(TableRBCalcPts[PLAYER],MATCH(TableRBRanks[[#This Row],[RK]],TableRBCalcPts[RK],0)),"")</f>
        <v>Brandon Bolden</v>
      </c>
      <c r="J70" s="22" t="str">
        <f>IFERROR(INDEX(TableRBCalcPts[TM],MATCH(TableRBRanks[[#This Row],[RK]],TableRBCalcPts[RK],0)),"")</f>
        <v>LV</v>
      </c>
      <c r="K70" s="22">
        <f>IFERROR(INDEX(TableRBCalcPts[BYE],MATCH(TableRBRanks[[#This Row],[RK]],TableRBCalcPts[RK],0)),"")</f>
        <v>6</v>
      </c>
      <c r="L70" s="272">
        <f>IFERROR(INDEX(TableRBCalcPts[Custom],MATCH(TableRBRanks[[#This Row],[RK]],TableRBCalcPts[RK],0)),"")</f>
        <v>43.365317129300699</v>
      </c>
      <c r="M70" s="273">
        <f>(((VLOOKUP(TableRBRanks[[#This Row],[Player]],'OVR &amp; VORP Ranks'!$I:$M,5,FALSE)))/('OVR &amp; VORP Ranks'!$BM$6))*(Settings!$E$10*TEAMS)</f>
        <v>-29.360214190682726</v>
      </c>
      <c r="O70" s="22">
        <v>69</v>
      </c>
      <c r="P70" s="22" t="str">
        <f>IFERROR(INDEX(TableWRCalcPts[PLAYER],MATCH(TableWRRanks[[#This Row],[RK]],TableWRCalcPts[RK],0)),"")</f>
        <v>Curtis Samuel</v>
      </c>
      <c r="Q70" s="22" t="str">
        <f>IFERROR(INDEX(TableWRCalcPts[TM],MATCH(TableWRRanks[[#This Row],[RK]],TableWRCalcPts[RK],0)),"")</f>
        <v>WSH</v>
      </c>
      <c r="R70" s="22">
        <f>IFERROR(INDEX(TableWRCalcPts[BYE],MATCH(TableWRRanks[[#This Row],[RK]],TableWRCalcPts[RK],0)),"")</f>
        <v>14</v>
      </c>
      <c r="S70" s="272">
        <f>IFERROR(INDEX(TableWRCalcPts[Custom],MATCH(TableWRRanks[[#This Row],[RK]],TableWRCalcPts[RK],0)),"")</f>
        <v>87.266912262059535</v>
      </c>
      <c r="T70" s="273">
        <f>(((VLOOKUP(TableWRRanks[[#This Row],[Player]],'OVR &amp; VORP Ranks'!$P:$T,5,FALSE)))/('OVR &amp; VORP Ranks'!$BM$6))*(Settings!$E$10*TEAMS)</f>
        <v>-10.224051952680103</v>
      </c>
      <c r="V70" s="22">
        <v>69</v>
      </c>
      <c r="W70" s="22" t="str">
        <f>IFERROR(INDEX(TableTECalcPts[PLAYER],MATCH(TableTERanks[[#This Row],[RK]],TableTECalcPts[RK],0)),"")</f>
        <v>Nick Eubanks</v>
      </c>
      <c r="X70" s="22" t="str">
        <f>IFERROR(INDEX(TableTECalcPts[TM],MATCH(TableTERanks[[#This Row],[RK]],TableTECalcPts[RK],0)),"")</f>
        <v>CIN</v>
      </c>
      <c r="Y70" s="22">
        <f>IFERROR(INDEX(TableTECalcPts[BYE],MATCH(TableTERanks[[#This Row],[RK]],TableTECalcPts[RK],0)),"")</f>
        <v>10</v>
      </c>
      <c r="Z70" s="272">
        <f>IFERROR(INDEX(TableTECalcPts[Custom],MATCH(TableTERanks[[#This Row],[RK]],TableTECalcPts[RK],0)),"")</f>
        <v>11.358717136259679</v>
      </c>
      <c r="AA70" s="273">
        <f>(((VLOOKUP(TableTERanks[[#This Row],[Player]],'OVR &amp; VORP Ranks'!$W:$AA,5,FALSE)))/('OVR &amp; VORP Ranks'!$BM$6))*(Settings!$E$10*TEAMS)</f>
        <v>-45.638845430540918</v>
      </c>
    </row>
    <row r="71" spans="1:27" x14ac:dyDescent="0.3">
      <c r="A71" s="22">
        <v>70</v>
      </c>
      <c r="B71" s="274" t="str">
        <f>IFERROR(INDEX(TableQBCalcPts[PLAYER],MATCH(TableQBRanks[[#This Row],[RK]],TableQBCalcPts[RK],0)),"")</f>
        <v/>
      </c>
      <c r="C71" s="274" t="str">
        <f>IFERROR(INDEX(TableQBCalcPts[TM],MATCH(TableQBRanks[[#This Row],[RK]],TableQBCalcPts[RK],0)),"")</f>
        <v/>
      </c>
      <c r="D71" s="274" t="str">
        <f>IFERROR(INDEX(TableQBCalcPts[BYE],MATCH(TableQBRanks[[#This Row],[RK]],TableQBCalcPts[RK],0)),"")</f>
        <v/>
      </c>
      <c r="E71" s="272" t="str">
        <f>IFERROR(INDEX(TableQBCalcPts[Custom],MATCH(TableQBRanks[[#This Row],[RK]],TableQBCalcPts[RK],0)),"")</f>
        <v/>
      </c>
      <c r="F71" s="273" t="e">
        <f>(((VLOOKUP(TableQBRanks[[#This Row],[Player]],'OVR &amp; VORP Ranks'!$B:$F,5,FALSE)))/('OVR &amp; VORP Ranks'!$BM$6))*(Settings!$E$10*TEAMS)</f>
        <v>#VALUE!</v>
      </c>
      <c r="H71" s="22">
        <v>70</v>
      </c>
      <c r="I71" s="22" t="str">
        <f>IFERROR(INDEX(TableRBCalcPts[PLAYER],MATCH(TableRBRanks[[#This Row],[RK]],TableRBCalcPts[RK],0)),"")</f>
        <v>Giovani Bernard</v>
      </c>
      <c r="J71" s="22" t="str">
        <f>IFERROR(INDEX(TableRBCalcPts[TM],MATCH(TableRBRanks[[#This Row],[RK]],TableRBCalcPts[RK],0)),"")</f>
        <v>TB</v>
      </c>
      <c r="K71" s="22">
        <f>IFERROR(INDEX(TableRBCalcPts[BYE],MATCH(TableRBRanks[[#This Row],[RK]],TableRBCalcPts[RK],0)),"")</f>
        <v>11</v>
      </c>
      <c r="L71" s="272">
        <f>IFERROR(INDEX(TableRBCalcPts[Custom],MATCH(TableRBRanks[[#This Row],[RK]],TableRBCalcPts[RK],0)),"")</f>
        <v>41.758958386492125</v>
      </c>
      <c r="M71" s="273">
        <f>(((VLOOKUP(TableRBRanks[[#This Row],[Player]],'OVR &amp; VORP Ranks'!$I:$M,5,FALSE)))/('OVR &amp; VORP Ranks'!$BM$6))*(Settings!$E$10*TEAMS)</f>
        <v>-30.174017488876984</v>
      </c>
      <c r="O71" s="22">
        <v>70</v>
      </c>
      <c r="P71" s="274" t="str">
        <f>IFERROR(INDEX(TableWRCalcPts[PLAYER],MATCH(TableWRRanks[[#This Row],[RK]],TableWRCalcPts[RK],0)),"")</f>
        <v>Byron Pringle</v>
      </c>
      <c r="Q71" s="22" t="str">
        <f>IFERROR(INDEX(TableWRCalcPts[TM],MATCH(TableWRRanks[[#This Row],[RK]],TableWRCalcPts[RK],0)),"")</f>
        <v>CHI</v>
      </c>
      <c r="R71" s="22">
        <f>IFERROR(INDEX(TableWRCalcPts[BYE],MATCH(TableWRRanks[[#This Row],[RK]],TableWRCalcPts[RK],0)),"")</f>
        <v>14</v>
      </c>
      <c r="S71" s="272">
        <f>IFERROR(INDEX(TableWRCalcPts[Custom],MATCH(TableWRRanks[[#This Row],[RK]],TableWRCalcPts[RK],0)),"")</f>
        <v>86.965222387666444</v>
      </c>
      <c r="T71" s="273">
        <f>(((VLOOKUP(TableWRRanks[[#This Row],[Player]],'OVR &amp; VORP Ranks'!$P:$T,5,FALSE)))/('OVR &amp; VORP Ranks'!$BM$6))*(Settings!$E$10*TEAMS)</f>
        <v>-10.366157940302996</v>
      </c>
      <c r="V71" s="22">
        <v>70</v>
      </c>
      <c r="W71" s="22" t="str">
        <f>IFERROR(INDEX(TableTECalcPts[PLAYER],MATCH(TableTERanks[[#This Row],[RK]],TableTECalcPts[RK],0)),"")</f>
        <v>Zach Gentry</v>
      </c>
      <c r="X71" s="22" t="str">
        <f>IFERROR(INDEX(TableTECalcPts[TM],MATCH(TableTERanks[[#This Row],[RK]],TableTECalcPts[RK],0)),"")</f>
        <v>PIT</v>
      </c>
      <c r="Y71" s="22">
        <f>IFERROR(INDEX(TableTECalcPts[BYE],MATCH(TableTERanks[[#This Row],[RK]],TableTECalcPts[RK],0)),"")</f>
        <v>9</v>
      </c>
      <c r="Z71" s="272">
        <f>IFERROR(INDEX(TableTECalcPts[Custom],MATCH(TableTERanks[[#This Row],[RK]],TableTECalcPts[RK],0)),"")</f>
        <v>10.814157745203755</v>
      </c>
      <c r="AA71" s="273">
        <f>(((VLOOKUP(TableTERanks[[#This Row],[Player]],'OVR &amp; VORP Ranks'!$W:$AA,5,FALSE)))/('OVR &amp; VORP Ranks'!$BM$6))*(Settings!$E$10*TEAMS)</f>
        <v>-45.911675148011163</v>
      </c>
    </row>
    <row r="72" spans="1:27" x14ac:dyDescent="0.3">
      <c r="A72" s="22">
        <v>71</v>
      </c>
      <c r="B72" s="274" t="str">
        <f>IFERROR(INDEX(TableQBCalcPts[PLAYER],MATCH(TableQBRanks[[#This Row],[RK]],TableQBCalcPts[RK],0)),"")</f>
        <v/>
      </c>
      <c r="C72" s="274" t="str">
        <f>IFERROR(INDEX(TableQBCalcPts[TM],MATCH(TableQBRanks[[#This Row],[RK]],TableQBCalcPts[RK],0)),"")</f>
        <v/>
      </c>
      <c r="D72" s="274" t="str">
        <f>IFERROR(INDEX(TableQBCalcPts[BYE],MATCH(TableQBRanks[[#This Row],[RK]],TableQBCalcPts[RK],0)),"")</f>
        <v/>
      </c>
      <c r="E72" s="272" t="str">
        <f>IFERROR(INDEX(TableQBCalcPts[Custom],MATCH(TableQBRanks[[#This Row],[RK]],TableQBCalcPts[RK],0)),"")</f>
        <v/>
      </c>
      <c r="F72" s="273" t="e">
        <f>(((VLOOKUP(TableQBRanks[[#This Row],[Player]],'OVR &amp; VORP Ranks'!$B:$F,5,FALSE)))/('OVR &amp; VORP Ranks'!$BM$6))*(Settings!$E$10*TEAMS)</f>
        <v>#VALUE!</v>
      </c>
      <c r="H72" s="22">
        <v>71</v>
      </c>
      <c r="I72" s="22" t="str">
        <f>IFERROR(INDEX(TableRBCalcPts[PLAYER],MATCH(TableRBRanks[[#This Row],[RK]],TableRBCalcPts[RK],0)),"")</f>
        <v>Dontrell Hilliard</v>
      </c>
      <c r="J72" s="22" t="str">
        <f>IFERROR(INDEX(TableRBCalcPts[TM],MATCH(TableRBRanks[[#This Row],[RK]],TableRBCalcPts[RK],0)),"")</f>
        <v>TEN</v>
      </c>
      <c r="K72" s="22">
        <f>IFERROR(INDEX(TableRBCalcPts[BYE],MATCH(TableRBRanks[[#This Row],[RK]],TableRBCalcPts[RK],0)),"")</f>
        <v>6</v>
      </c>
      <c r="L72" s="272">
        <f>IFERROR(INDEX(TableRBCalcPts[Custom],MATCH(TableRBRanks[[#This Row],[RK]],TableRBCalcPts[RK],0)),"")</f>
        <v>40.937847165105438</v>
      </c>
      <c r="M72" s="273">
        <f>(((VLOOKUP(TableRBRanks[[#This Row],[Player]],'OVR &amp; VORP Ranks'!$I:$M,5,FALSE)))/('OVR &amp; VORP Ranks'!$BM$6))*(Settings!$E$10*TEAMS)</f>
        <v>-30.590003658305413</v>
      </c>
      <c r="O72" s="274">
        <v>71</v>
      </c>
      <c r="P72" s="22" t="str">
        <f>IFERROR(INDEX(TableWRCalcPts[PLAYER],MATCH(TableWRRanks[[#This Row],[RK]],TableWRCalcPts[RK],0)),"")</f>
        <v>Joshua Palmer</v>
      </c>
      <c r="Q72" s="22" t="str">
        <f>IFERROR(INDEX(TableWRCalcPts[TM],MATCH(TableWRRanks[[#This Row],[RK]],TableWRCalcPts[RK],0)),"")</f>
        <v>LAC</v>
      </c>
      <c r="R72" s="22">
        <f>IFERROR(INDEX(TableWRCalcPts[BYE],MATCH(TableWRRanks[[#This Row],[RK]],TableWRCalcPts[RK],0)),"")</f>
        <v>8</v>
      </c>
      <c r="S72" s="272">
        <f>IFERROR(INDEX(TableWRCalcPts[Custom],MATCH(TableWRRanks[[#This Row],[RK]],TableWRCalcPts[RK],0)),"")</f>
        <v>86.180512483488769</v>
      </c>
      <c r="T72" s="273">
        <f>(((VLOOKUP(TableWRRanks[[#This Row],[Player]],'OVR &amp; VORP Ranks'!$P:$T,5,FALSE)))/('OVR &amp; VORP Ranks'!$BM$6))*(Settings!$E$10*TEAMS)</f>
        <v>-10.735782463349922</v>
      </c>
      <c r="V72" s="274">
        <v>71</v>
      </c>
      <c r="W72" s="22" t="str">
        <f>IFERROR(INDEX(TableTECalcPts[PLAYER],MATCH(TableTERanks[[#This Row],[RK]],TableTECalcPts[RK],0)),"")</f>
        <v>Charlie Kolar</v>
      </c>
      <c r="X72" s="22" t="str">
        <f>IFERROR(INDEX(TableTECalcPts[TM],MATCH(TableTERanks[[#This Row],[RK]],TableTECalcPts[RK],0)),"")</f>
        <v>BAL</v>
      </c>
      <c r="Y72" s="22">
        <f>IFERROR(INDEX(TableTECalcPts[BYE],MATCH(TableTERanks[[#This Row],[RK]],TableTECalcPts[RK],0)),"")</f>
        <v>10</v>
      </c>
      <c r="Z72" s="272">
        <f>IFERROR(INDEX(TableTECalcPts[Custom],MATCH(TableTERanks[[#This Row],[RK]],TableTECalcPts[RK],0)),"")</f>
        <v>10.31898266790072</v>
      </c>
      <c r="AA72" s="273">
        <f>(((VLOOKUP(TableTERanks[[#This Row],[Player]],'OVR &amp; VORP Ranks'!$W:$AA,5,FALSE)))/('OVR &amp; VORP Ranks'!$BM$6))*(Settings!$E$10*TEAMS)</f>
        <v>-46.159762828910274</v>
      </c>
    </row>
    <row r="73" spans="1:27" x14ac:dyDescent="0.3">
      <c r="A73" s="22">
        <v>72</v>
      </c>
      <c r="B73" s="274" t="str">
        <f>IFERROR(INDEX(TableQBCalcPts[PLAYER],MATCH(TableQBRanks[[#This Row],[RK]],TableQBCalcPts[RK],0)),"")</f>
        <v/>
      </c>
      <c r="C73" s="274" t="str">
        <f>IFERROR(INDEX(TableQBCalcPts[TM],MATCH(TableQBRanks[[#This Row],[RK]],TableQBCalcPts[RK],0)),"")</f>
        <v/>
      </c>
      <c r="D73" s="274" t="str">
        <f>IFERROR(INDEX(TableQBCalcPts[BYE],MATCH(TableQBRanks[[#This Row],[RK]],TableQBCalcPts[RK],0)),"")</f>
        <v/>
      </c>
      <c r="E73" s="272" t="str">
        <f>IFERROR(INDEX(TableQBCalcPts[Custom],MATCH(TableQBRanks[[#This Row],[RK]],TableQBCalcPts[RK],0)),"")</f>
        <v/>
      </c>
      <c r="F73" s="273" t="e">
        <f>(((VLOOKUP(TableQBRanks[[#This Row],[Player]],'OVR &amp; VORP Ranks'!$B:$F,5,FALSE)))/('OVR &amp; VORP Ranks'!$BM$6))*(Settings!$E$10*TEAMS)</f>
        <v>#VALUE!</v>
      </c>
      <c r="H73" s="22">
        <v>72</v>
      </c>
      <c r="I73" s="22" t="str">
        <f>IFERROR(INDEX(TableRBCalcPts[PLAYER],MATCH(TableRBRanks[[#This Row],[RK]],TableRBCalcPts[RK],0)),"")</f>
        <v>Hassan Haskins</v>
      </c>
      <c r="J73" s="22" t="str">
        <f>IFERROR(INDEX(TableRBCalcPts[TM],MATCH(TableRBRanks[[#This Row],[RK]],TableRBCalcPts[RK],0)),"")</f>
        <v>TEN</v>
      </c>
      <c r="K73" s="22">
        <f>IFERROR(INDEX(TableRBCalcPts[BYE],MATCH(TableRBRanks[[#This Row],[RK]],TableRBCalcPts[RK],0)),"")</f>
        <v>6</v>
      </c>
      <c r="L73" s="272">
        <f>IFERROR(INDEX(TableRBCalcPts[Custom],MATCH(TableRBRanks[[#This Row],[RK]],TableRBCalcPts[RK],0)),"")</f>
        <v>40.841685253732471</v>
      </c>
      <c r="M73" s="273">
        <f>(((VLOOKUP(TableRBRanks[[#This Row],[Player]],'OVR &amp; VORP Ranks'!$I:$M,5,FALSE)))/('OVR &amp; VORP Ranks'!$BM$6))*(Settings!$E$10*TEAMS)</f>
        <v>-30.638720597150069</v>
      </c>
      <c r="O73" s="22">
        <v>72</v>
      </c>
      <c r="P73" s="22" t="str">
        <f>IFERROR(INDEX(TableWRCalcPts[PLAYER],MATCH(TableWRRanks[[#This Row],[RK]],TableWRCalcPts[RK],0)),"")</f>
        <v>Marquez Valdes-Scantling</v>
      </c>
      <c r="Q73" s="22" t="str">
        <f>IFERROR(INDEX(TableWRCalcPts[TM],MATCH(TableWRRanks[[#This Row],[RK]],TableWRCalcPts[RK],0)),"")</f>
        <v>KC</v>
      </c>
      <c r="R73" s="22">
        <f>IFERROR(INDEX(TableWRCalcPts[BYE],MATCH(TableWRRanks[[#This Row],[RK]],TableWRCalcPts[RK],0)),"")</f>
        <v>8</v>
      </c>
      <c r="S73" s="272">
        <f>IFERROR(INDEX(TableWRCalcPts[Custom],MATCH(TableWRRanks[[#This Row],[RK]],TableWRCalcPts[RK],0)),"")</f>
        <v>85.989633923707842</v>
      </c>
      <c r="T73" s="273">
        <f>(((VLOOKUP(TableWRRanks[[#This Row],[Player]],'OVR &amp; VORP Ranks'!$P:$T,5,FALSE)))/('OVR &amp; VORP Ranks'!$BM$6))*(Settings!$E$10*TEAMS)</f>
        <v>-10.825692627913023</v>
      </c>
      <c r="V73" s="22">
        <v>72</v>
      </c>
      <c r="W73" s="22" t="str">
        <f>IFERROR(INDEX(TableTECalcPts[PLAYER],MATCH(TableTERanks[[#This Row],[RK]],TableTECalcPts[RK],0)),"")</f>
        <v>Blake Bell</v>
      </c>
      <c r="X73" s="22" t="str">
        <f>IFERROR(INDEX(TableTECalcPts[TM],MATCH(TableTERanks[[#This Row],[RK]],TableTECalcPts[RK],0)),"")</f>
        <v>KC</v>
      </c>
      <c r="Y73" s="22">
        <f>IFERROR(INDEX(TableTECalcPts[BYE],MATCH(TableTERanks[[#This Row],[RK]],TableTECalcPts[RK],0)),"")</f>
        <v>8</v>
      </c>
      <c r="Z73" s="272">
        <f>IFERROR(INDEX(TableTECalcPts[Custom],MATCH(TableTERanks[[#This Row],[RK]],TableTECalcPts[RK],0)),"")</f>
        <v>10.307958659393259</v>
      </c>
      <c r="AA73" s="273">
        <f>(((VLOOKUP(TableTERanks[[#This Row],[Player]],'OVR &amp; VORP Ranks'!$W:$AA,5,FALSE)))/('OVR &amp; VORP Ranks'!$BM$6))*(Settings!$E$10*TEAMS)</f>
        <v>-46.165285967755871</v>
      </c>
    </row>
    <row r="74" spans="1:27" x14ac:dyDescent="0.3">
      <c r="A74" s="22">
        <v>73</v>
      </c>
      <c r="B74" s="274" t="str">
        <f>IFERROR(INDEX(TableQBCalcPts[PLAYER],MATCH(TableQBRanks[[#This Row],[RK]],TableQBCalcPts[RK],0)),"")</f>
        <v/>
      </c>
      <c r="C74" s="274" t="str">
        <f>IFERROR(INDEX(TableQBCalcPts[TM],MATCH(TableQBRanks[[#This Row],[RK]],TableQBCalcPts[RK],0)),"")</f>
        <v/>
      </c>
      <c r="D74" s="274" t="str">
        <f>IFERROR(INDEX(TableQBCalcPts[BYE],MATCH(TableQBRanks[[#This Row],[RK]],TableQBCalcPts[RK],0)),"")</f>
        <v/>
      </c>
      <c r="E74" s="272" t="str">
        <f>IFERROR(INDEX(TableQBCalcPts[Custom],MATCH(TableQBRanks[[#This Row],[RK]],TableQBCalcPts[RK],0)),"")</f>
        <v/>
      </c>
      <c r="F74" s="273" t="e">
        <f>(((VLOOKUP(TableQBRanks[[#This Row],[Player]],'OVR &amp; VORP Ranks'!$B:$F,5,FALSE)))/('OVR &amp; VORP Ranks'!$BM$6))*(Settings!$E$10*TEAMS)</f>
        <v>#VALUE!</v>
      </c>
      <c r="H74" s="22">
        <v>73</v>
      </c>
      <c r="I74" s="22" t="str">
        <f>IFERROR(INDEX(TableRBCalcPts[PLAYER],MATCH(TableRBRanks[[#This Row],[RK]],TableRBCalcPts[RK],0)),"")</f>
        <v>Samaje Perine</v>
      </c>
      <c r="J74" s="22" t="str">
        <f>IFERROR(INDEX(TableRBCalcPts[TM],MATCH(TableRBRanks[[#This Row],[RK]],TableRBCalcPts[RK],0)),"")</f>
        <v>CIN</v>
      </c>
      <c r="K74" s="22">
        <f>IFERROR(INDEX(TableRBCalcPts[BYE],MATCH(TableRBRanks[[#This Row],[RK]],TableRBCalcPts[RK],0)),"")</f>
        <v>10</v>
      </c>
      <c r="L74" s="272">
        <f>IFERROR(INDEX(TableRBCalcPts[Custom],MATCH(TableRBRanks[[#This Row],[RK]],TableRBCalcPts[RK],0)),"")</f>
        <v>37.390647163356761</v>
      </c>
      <c r="M74" s="273">
        <f>(((VLOOKUP(TableRBRanks[[#This Row],[Player]],'OVR &amp; VORP Ranks'!$I:$M,5,FALSE)))/('OVR &amp; VORP Ranks'!$BM$6))*(Settings!$E$10*TEAMS)</f>
        <v>-32.387063669776182</v>
      </c>
      <c r="O74" s="22">
        <v>73</v>
      </c>
      <c r="P74" s="274" t="str">
        <f>IFERROR(INDEX(TableWRCalcPts[PLAYER],MATCH(TableWRRanks[[#This Row],[RK]],TableWRCalcPts[RK],0)),"")</f>
        <v>Donovan Peoples-Jones</v>
      </c>
      <c r="Q74" s="22" t="str">
        <f>IFERROR(INDEX(TableWRCalcPts[TM],MATCH(TableWRRanks[[#This Row],[RK]],TableWRCalcPts[RK],0)),"")</f>
        <v>CLE</v>
      </c>
      <c r="R74" s="22">
        <f>IFERROR(INDEX(TableWRCalcPts[BYE],MATCH(TableWRRanks[[#This Row],[RK]],TableWRCalcPts[RK],0)),"")</f>
        <v>9</v>
      </c>
      <c r="S74" s="272">
        <f>IFERROR(INDEX(TableWRCalcPts[Custom],MATCH(TableWRRanks[[#This Row],[RK]],TableWRCalcPts[RK],0)),"")</f>
        <v>85.670822503733376</v>
      </c>
      <c r="T74" s="273">
        <f>(((VLOOKUP(TableWRRanks[[#This Row],[Player]],'OVR &amp; VORP Ranks'!$P:$T,5,FALSE)))/('OVR &amp; VORP Ranks'!$BM$6))*(Settings!$E$10*TEAMS)</f>
        <v>-10.97586343424873</v>
      </c>
      <c r="V74" s="22">
        <v>73</v>
      </c>
      <c r="W74" s="274" t="str">
        <f>IFERROR(INDEX(TableTECalcPts[PLAYER],MATCH(TableTERanks[[#This Row],[RK]],TableTECalcPts[RK],0)),"")</f>
        <v>Jeremy Ruckert</v>
      </c>
      <c r="X74" s="22" t="str">
        <f>IFERROR(INDEX(TableTECalcPts[TM],MATCH(TableTERanks[[#This Row],[RK]],TableTECalcPts[RK],0)),"")</f>
        <v>NYJ</v>
      </c>
      <c r="Y74" s="22">
        <f>IFERROR(INDEX(TableTECalcPts[BYE],MATCH(TableTERanks[[#This Row],[RK]],TableTECalcPts[RK],0)),"")</f>
        <v>10</v>
      </c>
      <c r="Z74" s="272">
        <f>IFERROR(INDEX(TableTECalcPts[Custom],MATCH(TableTERanks[[#This Row],[RK]],TableTECalcPts[RK],0)),"")</f>
        <v>9.9825376579927561</v>
      </c>
      <c r="AA74" s="273">
        <f>(((VLOOKUP(TableTERanks[[#This Row],[Player]],'OVR &amp; VORP Ranks'!$W:$AA,5,FALSE)))/('OVR &amp; VORP Ranks'!$BM$6))*(Settings!$E$10*TEAMS)</f>
        <v>-46.328325153800996</v>
      </c>
    </row>
    <row r="75" spans="1:27" x14ac:dyDescent="0.3">
      <c r="A75" s="22">
        <v>74</v>
      </c>
      <c r="B75" s="274" t="str">
        <f>IFERROR(INDEX(TableQBCalcPts[PLAYER],MATCH(TableQBRanks[[#This Row],[RK]],TableQBCalcPts[RK],0)),"")</f>
        <v/>
      </c>
      <c r="C75" s="274" t="str">
        <f>IFERROR(INDEX(TableQBCalcPts[TM],MATCH(TableQBRanks[[#This Row],[RK]],TableQBCalcPts[RK],0)),"")</f>
        <v/>
      </c>
      <c r="D75" s="274" t="str">
        <f>IFERROR(INDEX(TableQBCalcPts[BYE],MATCH(TableQBRanks[[#This Row],[RK]],TableQBCalcPts[RK],0)),"")</f>
        <v/>
      </c>
      <c r="E75" s="272" t="str">
        <f>IFERROR(INDEX(TableQBCalcPts[Custom],MATCH(TableQBRanks[[#This Row],[RK]],TableQBCalcPts[RK],0)),"")</f>
        <v/>
      </c>
      <c r="F75" s="273" t="e">
        <f>(((VLOOKUP(TableQBRanks[[#This Row],[Player]],'OVR &amp; VORP Ranks'!$B:$F,5,FALSE)))/('OVR &amp; VORP Ranks'!$BM$6))*(Settings!$E$10*TEAMS)</f>
        <v>#VALUE!</v>
      </c>
      <c r="H75" s="22">
        <v>74</v>
      </c>
      <c r="I75" s="22" t="str">
        <f>IFERROR(INDEX(TableRBCalcPts[PLAYER],MATCH(TableRBRanks[[#This Row],[RK]],TableRBCalcPts[RK],0)),"")</f>
        <v>Tyrion Davis-Price</v>
      </c>
      <c r="J75" s="22" t="str">
        <f>IFERROR(INDEX(TableRBCalcPts[TM],MATCH(TableRBRanks[[#This Row],[RK]],TableRBCalcPts[RK],0)),"")</f>
        <v>SF</v>
      </c>
      <c r="K75" s="22">
        <f>IFERROR(INDEX(TableRBCalcPts[BYE],MATCH(TableRBRanks[[#This Row],[RK]],TableRBCalcPts[RK],0)),"")</f>
        <v>9</v>
      </c>
      <c r="L75" s="272">
        <f>IFERROR(INDEX(TableRBCalcPts[Custom],MATCH(TableRBRanks[[#This Row],[RK]],TableRBCalcPts[RK],0)),"")</f>
        <v>36.149053134488504</v>
      </c>
      <c r="M75" s="273">
        <f>(((VLOOKUP(TableRBRanks[[#This Row],[Player]],'OVR &amp; VORP Ranks'!$I:$M,5,FALSE)))/('OVR &amp; VORP Ranks'!$BM$6))*(Settings!$E$10*TEAMS)</f>
        <v>-33.016072177517522</v>
      </c>
      <c r="O75" s="274">
        <v>74</v>
      </c>
      <c r="P75" s="274" t="str">
        <f>IFERROR(INDEX(TableWRCalcPts[PLAYER],MATCH(TableWRRanks[[#This Row],[RK]],TableWRCalcPts[RK],0)),"")</f>
        <v>Cedrick Wilson</v>
      </c>
      <c r="Q75" s="22" t="str">
        <f>IFERROR(INDEX(TableWRCalcPts[TM],MATCH(TableWRRanks[[#This Row],[RK]],TableWRCalcPts[RK],0)),"")</f>
        <v>MIA</v>
      </c>
      <c r="R75" s="22">
        <f>IFERROR(INDEX(TableWRCalcPts[BYE],MATCH(TableWRRanks[[#This Row],[RK]],TableWRCalcPts[RK],0)),"")</f>
        <v>11</v>
      </c>
      <c r="S75" s="272">
        <f>IFERROR(INDEX(TableWRCalcPts[Custom],MATCH(TableWRRanks[[#This Row],[RK]],TableWRCalcPts[RK],0)),"")</f>
        <v>83.805271165984095</v>
      </c>
      <c r="T75" s="273">
        <f>(((VLOOKUP(TableWRRanks[[#This Row],[Player]],'OVR &amp; VORP Ranks'!$P:$T,5,FALSE)))/('OVR &amp; VORP Ranks'!$BM$6))*(Settings!$E$10*TEAMS)</f>
        <v>-11.854600302184329</v>
      </c>
      <c r="V75" s="274">
        <v>74</v>
      </c>
      <c r="W75" s="274" t="str">
        <f>IFERROR(INDEX(TableTECalcPts[PLAYER],MATCH(TableTERanks[[#This Row],[RK]],TableTECalcPts[RK],0)),"")</f>
        <v>Sean McKeon</v>
      </c>
      <c r="X75" s="22" t="str">
        <f>IFERROR(INDEX(TableTECalcPts[TM],MATCH(TableTERanks[[#This Row],[RK]],TableTECalcPts[RK],0)),"")</f>
        <v>DAL</v>
      </c>
      <c r="Y75" s="22">
        <f>IFERROR(INDEX(TableTECalcPts[BYE],MATCH(TableTERanks[[#This Row],[RK]],TableTECalcPts[RK],0)),"")</f>
        <v>9</v>
      </c>
      <c r="Z75" s="272">
        <f>IFERROR(INDEX(TableTECalcPts[Custom],MATCH(TableTERanks[[#This Row],[RK]],TableTECalcPts[RK],0)),"")</f>
        <v>9.6478881416634454</v>
      </c>
      <c r="AA75" s="273">
        <f>(((VLOOKUP(TableTERanks[[#This Row],[Player]],'OVR &amp; VORP Ranks'!$W:$AA,5,FALSE)))/('OVR &amp; VORP Ranks'!$BM$6))*(Settings!$E$10*TEAMS)</f>
        <v>-46.495987918397958</v>
      </c>
    </row>
    <row r="76" spans="1:27" x14ac:dyDescent="0.3">
      <c r="A76" s="22">
        <v>75</v>
      </c>
      <c r="B76" s="274" t="str">
        <f>IFERROR(INDEX(TableQBCalcPts[PLAYER],MATCH(TableQBRanks[[#This Row],[RK]],TableQBCalcPts[RK],0)),"")</f>
        <v/>
      </c>
      <c r="C76" s="274" t="str">
        <f>IFERROR(INDEX(TableQBCalcPts[TM],MATCH(TableQBRanks[[#This Row],[RK]],TableQBCalcPts[RK],0)),"")</f>
        <v/>
      </c>
      <c r="D76" s="274" t="str">
        <f>IFERROR(INDEX(TableQBCalcPts[BYE],MATCH(TableQBRanks[[#This Row],[RK]],TableQBCalcPts[RK],0)),"")</f>
        <v/>
      </c>
      <c r="E76" s="272" t="str">
        <f>IFERROR(INDEX(TableQBCalcPts[Custom],MATCH(TableQBRanks[[#This Row],[RK]],TableQBCalcPts[RK],0)),"")</f>
        <v/>
      </c>
      <c r="F76" s="273" t="e">
        <f>(((VLOOKUP(TableQBRanks[[#This Row],[Player]],'OVR &amp; VORP Ranks'!$B:$F,5,FALSE)))/('OVR &amp; VORP Ranks'!$BM$6))*(Settings!$E$10*TEAMS)</f>
        <v>#VALUE!</v>
      </c>
      <c r="H76" s="22">
        <v>75</v>
      </c>
      <c r="I76" s="22" t="str">
        <f>IFERROR(INDEX(TableRBCalcPts[PLAYER],MATCH(TableRBRanks[[#This Row],[RK]],TableRBCalcPts[RK],0)),"")</f>
        <v>Tony Jones</v>
      </c>
      <c r="J76" s="22" t="str">
        <f>IFERROR(INDEX(TableRBCalcPts[TM],MATCH(TableRBRanks[[#This Row],[RK]],TableRBCalcPts[RK],0)),"")</f>
        <v>NO</v>
      </c>
      <c r="K76" s="22">
        <f>IFERROR(INDEX(TableRBCalcPts[BYE],MATCH(TableRBRanks[[#This Row],[RK]],TableRBCalcPts[RK],0)),"")</f>
        <v>14</v>
      </c>
      <c r="L76" s="272">
        <f>IFERROR(INDEX(TableRBCalcPts[Custom],MATCH(TableRBRanks[[#This Row],[RK]],TableRBCalcPts[RK],0)),"")</f>
        <v>35.395921736950839</v>
      </c>
      <c r="M76" s="273">
        <f>(((VLOOKUP(TableRBRanks[[#This Row],[Player]],'OVR &amp; VORP Ranks'!$I:$M,5,FALSE)))/('OVR &amp; VORP Ranks'!$BM$6))*(Settings!$E$10*TEAMS)</f>
        <v>-33.397618838892932</v>
      </c>
      <c r="O76" s="22">
        <v>75</v>
      </c>
      <c r="P76" s="22" t="str">
        <f>IFERROR(INDEX(TableWRCalcPts[PLAYER],MATCH(TableWRRanks[[#This Row],[RK]],TableWRCalcPts[RK],0)),"")</f>
        <v>K.J. Osborn</v>
      </c>
      <c r="Q76" s="22" t="str">
        <f>IFERROR(INDEX(TableWRCalcPts[TM],MATCH(TableWRRanks[[#This Row],[RK]],TableWRCalcPts[RK],0)),"")</f>
        <v>MIN</v>
      </c>
      <c r="R76" s="22">
        <f>IFERROR(INDEX(TableWRCalcPts[BYE],MATCH(TableWRRanks[[#This Row],[RK]],TableWRCalcPts[RK],0)),"")</f>
        <v>7</v>
      </c>
      <c r="S76" s="272">
        <f>IFERROR(INDEX(TableWRCalcPts[Custom],MATCH(TableWRRanks[[#This Row],[RK]],TableWRCalcPts[RK],0)),"")</f>
        <v>80.302367519801066</v>
      </c>
      <c r="T76" s="273">
        <f>(((VLOOKUP(TableWRRanks[[#This Row],[Player]],'OVR &amp; VORP Ranks'!$P:$T,5,FALSE)))/('OVR &amp; VORP Ranks'!$BM$6))*(Settings!$E$10*TEAMS)</f>
        <v>-13.504584688269745</v>
      </c>
      <c r="V76" s="22">
        <v>75</v>
      </c>
      <c r="W76" s="22" t="str">
        <f>IFERROR(INDEX(TableTECalcPts[PLAYER],MATCH(TableTERanks[[#This Row],[RK]],TableTECalcPts[RK],0)),"")</f>
        <v>Johnny Mundt</v>
      </c>
      <c r="X76" s="22" t="str">
        <f>IFERROR(INDEX(TableTECalcPts[TM],MATCH(TableTERanks[[#This Row],[RK]],TableTECalcPts[RK],0)),"")</f>
        <v>MIN</v>
      </c>
      <c r="Y76" s="22">
        <f>IFERROR(INDEX(TableTECalcPts[BYE],MATCH(TableTERanks[[#This Row],[RK]],TableTECalcPts[RK],0)),"")</f>
        <v>7</v>
      </c>
      <c r="Z76" s="272">
        <f>IFERROR(INDEX(TableTECalcPts[Custom],MATCH(TableTERanks[[#This Row],[RK]],TableTECalcPts[RK],0)),"")</f>
        <v>8.2190190845786351</v>
      </c>
      <c r="AA76" s="273">
        <f>(((VLOOKUP(TableTERanks[[#This Row],[Player]],'OVR &amp; VORP Ranks'!$W:$AA,5,FALSE)))/('OVR &amp; VORP Ranks'!$BM$6))*(Settings!$E$10*TEAMS)</f>
        <v>-47.211865649182315</v>
      </c>
    </row>
    <row r="77" spans="1:27" x14ac:dyDescent="0.3">
      <c r="A77" s="22">
        <v>76</v>
      </c>
      <c r="B77" s="274" t="str">
        <f>IFERROR(INDEX(TableQBCalcPts[PLAYER],MATCH(TableQBRanks[[#This Row],[RK]],TableQBCalcPts[RK],0)),"")</f>
        <v/>
      </c>
      <c r="C77" s="274" t="str">
        <f>IFERROR(INDEX(TableQBCalcPts[TM],MATCH(TableQBRanks[[#This Row],[RK]],TableQBCalcPts[RK],0)),"")</f>
        <v/>
      </c>
      <c r="D77" s="274" t="str">
        <f>IFERROR(INDEX(TableQBCalcPts[BYE],MATCH(TableQBRanks[[#This Row],[RK]],TableQBCalcPts[RK],0)),"")</f>
        <v/>
      </c>
      <c r="E77" s="272" t="str">
        <f>IFERROR(INDEX(TableQBCalcPts[Custom],MATCH(TableQBRanks[[#This Row],[RK]],TableQBCalcPts[RK],0)),"")</f>
        <v/>
      </c>
      <c r="F77" s="273" t="e">
        <f>(((VLOOKUP(TableQBRanks[[#This Row],[Player]],'OVR &amp; VORP Ranks'!$B:$F,5,FALSE)))/('OVR &amp; VORP Ranks'!$BM$6))*(Settings!$E$10*TEAMS)</f>
        <v>#VALUE!</v>
      </c>
      <c r="H77" s="22">
        <v>76</v>
      </c>
      <c r="I77" s="22" t="str">
        <f>IFERROR(INDEX(TableRBCalcPts[PLAYER],MATCH(TableRBRanks[[#This Row],[RK]],TableRBCalcPts[RK],0)),"")</f>
        <v>Chuba Hubbard</v>
      </c>
      <c r="J77" s="22" t="str">
        <f>IFERROR(INDEX(TableRBCalcPts[TM],MATCH(TableRBRanks[[#This Row],[RK]],TableRBCalcPts[RK],0)),"")</f>
        <v>CAR</v>
      </c>
      <c r="K77" s="22">
        <f>IFERROR(INDEX(TableRBCalcPts[BYE],MATCH(TableRBRanks[[#This Row],[RK]],TableRBCalcPts[RK],0)),"")</f>
        <v>13</v>
      </c>
      <c r="L77" s="272">
        <f>IFERROR(INDEX(TableRBCalcPts[Custom],MATCH(TableRBRanks[[#This Row],[RK]],TableRBCalcPts[RK],0)),"")</f>
        <v>35.014982512176438</v>
      </c>
      <c r="M77" s="273">
        <f>(((VLOOKUP(TableRBRanks[[#This Row],[Player]],'OVR &amp; VORP Ranks'!$I:$M,5,FALSE)))/('OVR &amp; VORP Ranks'!$BM$6))*(Settings!$E$10*TEAMS)</f>
        <v>-33.590607857641601</v>
      </c>
      <c r="O77" s="22">
        <v>76</v>
      </c>
      <c r="P77" s="22" t="str">
        <f>IFERROR(INDEX(TableWRCalcPts[PLAYER],MATCH(TableWRRanks[[#This Row],[RK]],TableWRCalcPts[RK],0)),"")</f>
        <v>Jalen Tolbert</v>
      </c>
      <c r="Q77" s="22" t="str">
        <f>IFERROR(INDEX(TableWRCalcPts[TM],MATCH(TableWRRanks[[#This Row],[RK]],TableWRCalcPts[RK],0)),"")</f>
        <v>DAL</v>
      </c>
      <c r="R77" s="22">
        <f>IFERROR(INDEX(TableWRCalcPts[BYE],MATCH(TableWRRanks[[#This Row],[RK]],TableWRCalcPts[RK],0)),"")</f>
        <v>9</v>
      </c>
      <c r="S77" s="272">
        <f>IFERROR(INDEX(TableWRCalcPts[Custom],MATCH(TableWRRanks[[#This Row],[RK]],TableWRCalcPts[RK],0)),"")</f>
        <v>77.913830424519318</v>
      </c>
      <c r="T77" s="273">
        <f>(((VLOOKUP(TableWRRanks[[#This Row],[Player]],'OVR &amp; VORP Ranks'!$P:$T,5,FALSE)))/('OVR &amp; VORP Ranks'!$BM$6))*(Settings!$E$10*TEAMS)</f>
        <v>-14.62966528164978</v>
      </c>
      <c r="V77" s="22">
        <v>76</v>
      </c>
      <c r="W77" s="274" t="str">
        <f>IFERROR(INDEX(TableTECalcPts[PLAYER],MATCH(TableTERanks[[#This Row],[RK]],TableTECalcPts[RK],0)),"")</f>
        <v>Ross Dwelley</v>
      </c>
      <c r="X77" s="22" t="str">
        <f>IFERROR(INDEX(TableTECalcPts[TM],MATCH(TableTERanks[[#This Row],[RK]],TableTECalcPts[RK],0)),"")</f>
        <v>SF</v>
      </c>
      <c r="Y77" s="22">
        <f>IFERROR(INDEX(TableTECalcPts[BYE],MATCH(TableTERanks[[#This Row],[RK]],TableTECalcPts[RK],0)),"")</f>
        <v>9</v>
      </c>
      <c r="Z77" s="272">
        <f>IFERROR(INDEX(TableTECalcPts[Custom],MATCH(TableTERanks[[#This Row],[RK]],TableTECalcPts[RK],0)),"")</f>
        <v>8.0552134352965439</v>
      </c>
      <c r="AA77" s="273">
        <f>(((VLOOKUP(TableTERanks[[#This Row],[Player]],'OVR &amp; VORP Ranks'!$W:$AA,5,FALSE)))/('OVR &amp; VORP Ranks'!$BM$6))*(Settings!$E$10*TEAMS)</f>
        <v>-47.293933922629968</v>
      </c>
    </row>
    <row r="78" spans="1:27" x14ac:dyDescent="0.3">
      <c r="A78" s="22">
        <v>77</v>
      </c>
      <c r="B78" s="274" t="str">
        <f>IFERROR(INDEX(TableQBCalcPts[PLAYER],MATCH(TableQBRanks[[#This Row],[RK]],TableQBCalcPts[RK],0)),"")</f>
        <v/>
      </c>
      <c r="C78" s="274" t="str">
        <f>IFERROR(INDEX(TableQBCalcPts[TM],MATCH(TableQBRanks[[#This Row],[RK]],TableQBCalcPts[RK],0)),"")</f>
        <v/>
      </c>
      <c r="D78" s="274" t="str">
        <f>IFERROR(INDEX(TableQBCalcPts[BYE],MATCH(TableQBRanks[[#This Row],[RK]],TableQBCalcPts[RK],0)),"")</f>
        <v/>
      </c>
      <c r="E78" s="272" t="str">
        <f>IFERROR(INDEX(TableQBCalcPts[Custom],MATCH(TableQBRanks[[#This Row],[RK]],TableQBCalcPts[RK],0)),"")</f>
        <v/>
      </c>
      <c r="F78" s="273" t="e">
        <f>(((VLOOKUP(TableQBRanks[[#This Row],[Player]],'OVR &amp; VORP Ranks'!$B:$F,5,FALSE)))/('OVR &amp; VORP Ranks'!$BM$6))*(Settings!$E$10*TEAMS)</f>
        <v>#VALUE!</v>
      </c>
      <c r="H78" s="22">
        <v>77</v>
      </c>
      <c r="I78" s="22" t="str">
        <f>IFERROR(INDEX(TableRBCalcPts[PLAYER],MATCH(TableRBRanks[[#This Row],[RK]],TableRBCalcPts[RK],0)),"")</f>
        <v>Kyle Juszczyk</v>
      </c>
      <c r="J78" s="22" t="str">
        <f>IFERROR(INDEX(TableRBCalcPts[TM],MATCH(TableRBRanks[[#This Row],[RK]],TableRBCalcPts[RK],0)),"")</f>
        <v>SF</v>
      </c>
      <c r="K78" s="22">
        <f>IFERROR(INDEX(TableRBCalcPts[BYE],MATCH(TableRBRanks[[#This Row],[RK]],TableRBCalcPts[RK],0)),"")</f>
        <v>9</v>
      </c>
      <c r="L78" s="272">
        <f>IFERROR(INDEX(TableRBCalcPts[Custom],MATCH(TableRBRanks[[#This Row],[RK]],TableRBCalcPts[RK],0)),"")</f>
        <v>28.443327184365195</v>
      </c>
      <c r="M78" s="273">
        <f>(((VLOOKUP(TableRBRanks[[#This Row],[Player]],'OVR &amp; VORP Ranks'!$I:$M,5,FALSE)))/('OVR &amp; VORP Ranks'!$BM$6))*(Settings!$E$10*TEAMS)</f>
        <v>-36.919898281907656</v>
      </c>
      <c r="O78" s="274">
        <v>77</v>
      </c>
      <c r="P78" s="274" t="str">
        <f>IFERROR(INDEX(TableWRCalcPts[PLAYER],MATCH(TableWRRanks[[#This Row],[RK]],TableWRCalcPts[RK],0)),"")</f>
        <v>DJ Chark</v>
      </c>
      <c r="Q78" s="22" t="str">
        <f>IFERROR(INDEX(TableWRCalcPts[TM],MATCH(TableWRRanks[[#This Row],[RK]],TableWRCalcPts[RK],0)),"")</f>
        <v>DET</v>
      </c>
      <c r="R78" s="22">
        <f>IFERROR(INDEX(TableWRCalcPts[BYE],MATCH(TableWRRanks[[#This Row],[RK]],TableWRCalcPts[RK],0)),"")</f>
        <v>6</v>
      </c>
      <c r="S78" s="272">
        <f>IFERROR(INDEX(TableWRCalcPts[Custom],MATCH(TableWRRanks[[#This Row],[RK]],TableWRCalcPts[RK],0)),"")</f>
        <v>76.972782029526599</v>
      </c>
      <c r="T78" s="273">
        <f>(((VLOOKUP(TableWRRanks[[#This Row],[Player]],'OVR &amp; VORP Ranks'!$P:$T,5,FALSE)))/('OVR &amp; VORP Ranks'!$BM$6))*(Settings!$E$10*TEAMS)</f>
        <v>-15.072930445389199</v>
      </c>
      <c r="V78" s="274">
        <v>77</v>
      </c>
      <c r="W78" s="22" t="str">
        <f>IFERROR(INDEX(TableTECalcPts[PLAYER],MATCH(TableTERanks[[#This Row],[RK]],TableTECalcPts[RK],0)),"")</f>
        <v>Juwan Johnson</v>
      </c>
      <c r="X78" s="22" t="str">
        <f>IFERROR(INDEX(TableTECalcPts[TM],MATCH(TableTERanks[[#This Row],[RK]],TableTECalcPts[RK],0)),"")</f>
        <v>NO</v>
      </c>
      <c r="Y78" s="22">
        <f>IFERROR(INDEX(TableTECalcPts[BYE],MATCH(TableTERanks[[#This Row],[RK]],TableTECalcPts[RK],0)),"")</f>
        <v>14</v>
      </c>
      <c r="Z78" s="272">
        <f>IFERROR(INDEX(TableTECalcPts[Custom],MATCH(TableTERanks[[#This Row],[RK]],TableTECalcPts[RK],0)),"")</f>
        <v>7.9065147190705183</v>
      </c>
      <c r="AA78" s="273">
        <f>(((VLOOKUP(TableTERanks[[#This Row],[Player]],'OVR &amp; VORP Ranks'!$W:$AA,5,FALSE)))/('OVR &amp; VORP Ranks'!$BM$6))*(Settings!$E$10*TEAMS)</f>
        <v>-47.36843347107677</v>
      </c>
    </row>
    <row r="79" spans="1:27" x14ac:dyDescent="0.3">
      <c r="A79" s="22">
        <v>78</v>
      </c>
      <c r="B79" s="274" t="str">
        <f>IFERROR(INDEX(TableQBCalcPts[PLAYER],MATCH(TableQBRanks[[#This Row],[RK]],TableQBCalcPts[RK],0)),"")</f>
        <v/>
      </c>
      <c r="C79" s="274" t="str">
        <f>IFERROR(INDEX(TableQBCalcPts[TM],MATCH(TableQBRanks[[#This Row],[RK]],TableQBCalcPts[RK],0)),"")</f>
        <v/>
      </c>
      <c r="D79" s="274" t="str">
        <f>IFERROR(INDEX(TableQBCalcPts[BYE],MATCH(TableQBRanks[[#This Row],[RK]],TableQBCalcPts[RK],0)),"")</f>
        <v/>
      </c>
      <c r="E79" s="272" t="str">
        <f>IFERROR(INDEX(TableQBCalcPts[Custom],MATCH(TableQBRanks[[#This Row],[RK]],TableQBCalcPts[RK],0)),"")</f>
        <v/>
      </c>
      <c r="F79" s="273" t="e">
        <f>(((VLOOKUP(TableQBRanks[[#This Row],[Player]],'OVR &amp; VORP Ranks'!$B:$F,5,FALSE)))/('OVR &amp; VORP Ranks'!$BM$6))*(Settings!$E$10*TEAMS)</f>
        <v>#VALUE!</v>
      </c>
      <c r="H79" s="22">
        <v>78</v>
      </c>
      <c r="I79" s="22" t="str">
        <f>IFERROR(INDEX(TableRBCalcPts[PLAYER],MATCH(TableRBRanks[[#This Row],[RK]],TableRBCalcPts[RK],0)),"")</f>
        <v>Kyren Williams</v>
      </c>
      <c r="J79" s="22" t="str">
        <f>IFERROR(INDEX(TableRBCalcPts[TM],MATCH(TableRBRanks[[#This Row],[RK]],TableRBCalcPts[RK],0)),"")</f>
        <v>LAR</v>
      </c>
      <c r="K79" s="22">
        <f>IFERROR(INDEX(TableRBCalcPts[BYE],MATCH(TableRBRanks[[#This Row],[RK]],TableRBCalcPts[RK],0)),"")</f>
        <v>7</v>
      </c>
      <c r="L79" s="272">
        <f>IFERROR(INDEX(TableRBCalcPts[Custom],MATCH(TableRBRanks[[#This Row],[RK]],TableRBCalcPts[RK],0)),"")</f>
        <v>28.393753218575068</v>
      </c>
      <c r="M79" s="273">
        <f>(((VLOOKUP(TableRBRanks[[#This Row],[Player]],'OVR &amp; VORP Ranks'!$I:$M,5,FALSE)))/('OVR &amp; VORP Ranks'!$BM$6))*(Settings!$E$10*TEAMS)</f>
        <v>-36.945013130658097</v>
      </c>
      <c r="O79" s="22">
        <v>78</v>
      </c>
      <c r="P79" s="274" t="str">
        <f>IFERROR(INDEX(TableWRCalcPts[PLAYER],MATCH(TableWRRanks[[#This Row],[RK]],TableWRCalcPts[RK],0)),"")</f>
        <v>Nick Westbrook-Ikhine</v>
      </c>
      <c r="Q79" s="22" t="str">
        <f>IFERROR(INDEX(TableWRCalcPts[TM],MATCH(TableWRRanks[[#This Row],[RK]],TableWRCalcPts[RK],0)),"")</f>
        <v>TEN</v>
      </c>
      <c r="R79" s="22">
        <f>IFERROR(INDEX(TableWRCalcPts[BYE],MATCH(TableWRRanks[[#This Row],[RK]],TableWRCalcPts[RK],0)),"")</f>
        <v>6</v>
      </c>
      <c r="S79" s="272">
        <f>IFERROR(INDEX(TableWRCalcPts[Custom],MATCH(TableWRRanks[[#This Row],[RK]],TableWRCalcPts[RK],0)),"")</f>
        <v>75.820601020051214</v>
      </c>
      <c r="T79" s="273">
        <f>(((VLOOKUP(TableWRRanks[[#This Row],[Player]],'OVR &amp; VORP Ranks'!$P:$T,5,FALSE)))/('OVR &amp; VORP Ranks'!$BM$6))*(Settings!$E$10*TEAMS)</f>
        <v>-15.615646108621915</v>
      </c>
      <c r="V79" s="22">
        <v>78</v>
      </c>
      <c r="W79" s="22" t="str">
        <f>IFERROR(INDEX(TableTECalcPts[PLAYER],MATCH(TableTERanks[[#This Row],[RK]],TableTECalcPts[RK],0)),"")</f>
        <v>Chigoziem Okonkwo</v>
      </c>
      <c r="X79" s="22" t="str">
        <f>IFERROR(INDEX(TableTECalcPts[TM],MATCH(TableTERanks[[#This Row],[RK]],TableTECalcPts[RK],0)),"")</f>
        <v>TEN</v>
      </c>
      <c r="Y79" s="22">
        <f>IFERROR(INDEX(TableTECalcPts[BYE],MATCH(TableTERanks[[#This Row],[RK]],TableTECalcPts[RK],0)),"")</f>
        <v>6</v>
      </c>
      <c r="Z79" s="272">
        <f>IFERROR(INDEX(TableTECalcPts[Custom],MATCH(TableTERanks[[#This Row],[RK]],TableTECalcPts[RK],0)),"")</f>
        <v>7.3622479869012727</v>
      </c>
      <c r="AA79" s="273">
        <f>(((VLOOKUP(TableTERanks[[#This Row],[Player]],'OVR &amp; VORP Ranks'!$W:$AA,5,FALSE)))/('OVR &amp; VORP Ranks'!$BM$6))*(Settings!$E$10*TEAMS)</f>
        <v>-47.641116563509087</v>
      </c>
    </row>
    <row r="80" spans="1:27" x14ac:dyDescent="0.3">
      <c r="A80" s="22">
        <v>79</v>
      </c>
      <c r="B80" s="274" t="str">
        <f>IFERROR(INDEX(TableQBCalcPts[PLAYER],MATCH(TableQBRanks[[#This Row],[RK]],TableQBCalcPts[RK],0)),"")</f>
        <v/>
      </c>
      <c r="C80" s="274" t="str">
        <f>IFERROR(INDEX(TableQBCalcPts[TM],MATCH(TableQBRanks[[#This Row],[RK]],TableQBCalcPts[RK],0)),"")</f>
        <v/>
      </c>
      <c r="D80" s="274" t="str">
        <f>IFERROR(INDEX(TableQBCalcPts[BYE],MATCH(TableQBRanks[[#This Row],[RK]],TableQBCalcPts[RK],0)),"")</f>
        <v/>
      </c>
      <c r="E80" s="272" t="str">
        <f>IFERROR(INDEX(TableQBCalcPts[Custom],MATCH(TableQBRanks[[#This Row],[RK]],TableQBCalcPts[RK],0)),"")</f>
        <v/>
      </c>
      <c r="F80" s="273" t="e">
        <f>(((VLOOKUP(TableQBRanks[[#This Row],[Player]],'OVR &amp; VORP Ranks'!$B:$F,5,FALSE)))/('OVR &amp; VORP Ranks'!$BM$6))*(Settings!$E$10*TEAMS)</f>
        <v>#VALUE!</v>
      </c>
      <c r="H80" s="22">
        <v>79</v>
      </c>
      <c r="I80" s="22" t="str">
        <f>IFERROR(INDEX(TableRBCalcPts[PLAYER],MATCH(TableRBRanks[[#This Row],[RK]],TableRBCalcPts[RK],0)),"")</f>
        <v>Eno Benjamin</v>
      </c>
      <c r="J80" s="22" t="str">
        <f>IFERROR(INDEX(TableRBCalcPts[TM],MATCH(TableRBRanks[[#This Row],[RK]],TableRBCalcPts[RK],0)),"")</f>
        <v>ARI</v>
      </c>
      <c r="K80" s="22">
        <f>IFERROR(INDEX(TableRBCalcPts[BYE],MATCH(TableRBRanks[[#This Row],[RK]],TableRBCalcPts[RK],0)),"")</f>
        <v>13</v>
      </c>
      <c r="L80" s="272">
        <f>IFERROR(INDEX(TableRBCalcPts[Custom],MATCH(TableRBRanks[[#This Row],[RK]],TableRBCalcPts[RK],0)),"")</f>
        <v>27.91771576544798</v>
      </c>
      <c r="M80" s="273">
        <f>(((VLOOKUP(TableRBRanks[[#This Row],[Player]],'OVR &amp; VORP Ranks'!$I:$M,5,FALSE)))/('OVR &amp; VORP Ranks'!$BM$6))*(Settings!$E$10*TEAMS)</f>
        <v>-37.18618021189269</v>
      </c>
      <c r="O80" s="22">
        <v>79</v>
      </c>
      <c r="P80" s="274" t="str">
        <f>IFERROR(INDEX(TableWRCalcPts[PLAYER],MATCH(TableWRRanks[[#This Row],[RK]],TableWRCalcPts[RK],0)),"")</f>
        <v>Devin Duvernay</v>
      </c>
      <c r="Q80" s="22" t="str">
        <f>IFERROR(INDEX(TableWRCalcPts[TM],MATCH(TableWRRanks[[#This Row],[RK]],TableWRCalcPts[RK],0)),"")</f>
        <v>BAL</v>
      </c>
      <c r="R80" s="22">
        <f>IFERROR(INDEX(TableWRCalcPts[BYE],MATCH(TableWRRanks[[#This Row],[RK]],TableWRCalcPts[RK],0)),"")</f>
        <v>10</v>
      </c>
      <c r="S80" s="272">
        <f>IFERROR(INDEX(TableWRCalcPts[Custom],MATCH(TableWRRanks[[#This Row],[RK]],TableWRCalcPts[RK],0)),"")</f>
        <v>74.782966884277229</v>
      </c>
      <c r="T80" s="273">
        <f>(((VLOOKUP(TableWRRanks[[#This Row],[Player]],'OVR &amp; VORP Ranks'!$P:$T,5,FALSE)))/('OVR &amp; VORP Ranks'!$BM$6))*(Settings!$E$10*TEAMS)</f>
        <v>-16.10440637593954</v>
      </c>
      <c r="V80" s="22">
        <v>79</v>
      </c>
      <c r="W80" s="22" t="str">
        <f>IFERROR(INDEX(TableTECalcPts[PLAYER],MATCH(TableTERanks[[#This Row],[RK]],TableTECalcPts[RK],0)),"")</f>
        <v>Grant Calcaterra</v>
      </c>
      <c r="X80" s="22" t="str">
        <f>IFERROR(INDEX(TableTECalcPts[TM],MATCH(TableTERanks[[#This Row],[RK]],TableTECalcPts[RK],0)),"")</f>
        <v>PHI</v>
      </c>
      <c r="Y80" s="22">
        <f>IFERROR(INDEX(TableTECalcPts[BYE],MATCH(TableTERanks[[#This Row],[RK]],TableTECalcPts[RK],0)),"")</f>
        <v>7</v>
      </c>
      <c r="Z80" s="272">
        <f>IFERROR(INDEX(TableTECalcPts[Custom],MATCH(TableTERanks[[#This Row],[RK]],TableTECalcPts[RK],0)),"")</f>
        <v>7.3031380385457298</v>
      </c>
      <c r="AA80" s="273">
        <f>(((VLOOKUP(TableTERanks[[#This Row],[Player]],'OVR &amp; VORP Ranks'!$W:$AA,5,FALSE)))/('OVR &amp; VORP Ranks'!$BM$6))*(Settings!$E$10*TEAMS)</f>
        <v>-47.670731240575357</v>
      </c>
    </row>
    <row r="81" spans="8:27" x14ac:dyDescent="0.3">
      <c r="H81" s="22">
        <v>80</v>
      </c>
      <c r="I81" s="22" t="str">
        <f>IFERROR(INDEX(TableRBCalcPts[PLAYER],MATCH(TableRBRanks[[#This Row],[RK]],TableRBCalcPts[RK],0)),"")</f>
        <v>D'Ernest Johnson</v>
      </c>
      <c r="J81" s="22" t="str">
        <f>IFERROR(INDEX(TableRBCalcPts[TM],MATCH(TableRBRanks[[#This Row],[RK]],TableRBCalcPts[RK],0)),"")</f>
        <v>CLE</v>
      </c>
      <c r="K81" s="22">
        <f>IFERROR(INDEX(TableRBCalcPts[BYE],MATCH(TableRBRanks[[#This Row],[RK]],TableRBCalcPts[RK],0)),"")</f>
        <v>9</v>
      </c>
      <c r="L81" s="272">
        <f>IFERROR(INDEX(TableRBCalcPts[Custom],MATCH(TableRBRanks[[#This Row],[RK]],TableRBCalcPts[RK],0)),"")</f>
        <v>25.953807734595877</v>
      </c>
      <c r="M81" s="273">
        <f>(((VLOOKUP(TableRBRanks[[#This Row],[Player]],'OVR &amp; VORP Ranks'!$I:$M,5,FALSE)))/('OVR &amp; VORP Ranks'!$BM$6))*(Settings!$E$10*TEAMS)</f>
        <v>-38.181122867144943</v>
      </c>
      <c r="O81" s="274">
        <v>80</v>
      </c>
      <c r="P81" s="274" t="str">
        <f>IFERROR(INDEX(TableWRCalcPts[PLAYER],MATCH(TableWRRanks[[#This Row],[RK]],TableWRCalcPts[RK],0)),"")</f>
        <v>Randall Cobb</v>
      </c>
      <c r="Q81" s="22" t="str">
        <f>IFERROR(INDEX(TableWRCalcPts[TM],MATCH(TableWRRanks[[#This Row],[RK]],TableWRCalcPts[RK],0)),"")</f>
        <v>GB</v>
      </c>
      <c r="R81" s="22">
        <f>IFERROR(INDEX(TableWRCalcPts[BYE],MATCH(TableWRRanks[[#This Row],[RK]],TableWRCalcPts[RK],0)),"")</f>
        <v>14</v>
      </c>
      <c r="S81" s="272">
        <f>IFERROR(INDEX(TableWRCalcPts[Custom],MATCH(TableWRRanks[[#This Row],[RK]],TableWRCalcPts[RK],0)),"")</f>
        <v>74.517476593494493</v>
      </c>
      <c r="T81" s="273">
        <f>(((VLOOKUP(TableWRRanks[[#This Row],[Player]],'OVR &amp; VORP Ranks'!$P:$T,5,FALSE)))/('OVR &amp; VORP Ranks'!$BM$6))*(Settings!$E$10*TEAMS)</f>
        <v>-16.229461152974622</v>
      </c>
      <c r="V81" s="274">
        <v>80</v>
      </c>
      <c r="W81" s="274" t="str">
        <f>IFERROR(INDEX(TableTECalcPts[PLAYER],MATCH(TableTERanks[[#This Row],[RK]],TableTECalcPts[RK],0)),"")</f>
        <v>Ben Ellefson</v>
      </c>
      <c r="X81" s="22" t="str">
        <f>IFERROR(INDEX(TableTECalcPts[TM],MATCH(TableTERanks[[#This Row],[RK]],TableTECalcPts[RK],0)),"")</f>
        <v>MIN</v>
      </c>
      <c r="Y81" s="22">
        <f>IFERROR(INDEX(TableTECalcPts[BYE],MATCH(TableTERanks[[#This Row],[RK]],TableTECalcPts[RK],0)),"")</f>
        <v>7</v>
      </c>
      <c r="Z81" s="272">
        <f>IFERROR(INDEX(TableTECalcPts[Custom],MATCH(TableTERanks[[#This Row],[RK]],TableTECalcPts[RK],0)),"")</f>
        <v>7.1504475317791831</v>
      </c>
      <c r="AA81" s="273">
        <f>(((VLOOKUP(TableTERanks[[#This Row],[Player]],'OVR &amp; VORP Ranks'!$W:$AA,5,FALSE)))/('OVR &amp; VORP Ranks'!$BM$6))*(Settings!$E$10*TEAMS)</f>
        <v>-47.747230716125166</v>
      </c>
    </row>
    <row r="82" spans="8:27" x14ac:dyDescent="0.3">
      <c r="H82" s="22">
        <v>81</v>
      </c>
      <c r="I82" s="22" t="str">
        <f>IFERROR(INDEX(TableRBCalcPts[PLAYER],MATCH(TableRBRanks[[#This Row],[RK]],TableRBCalcPts[RK],0)),"")</f>
        <v>Phillip Lindsay</v>
      </c>
      <c r="J82" s="22" t="str">
        <f>IFERROR(INDEX(TableRBCalcPts[TM],MATCH(TableRBRanks[[#This Row],[RK]],TableRBCalcPts[RK],0)),"")</f>
        <v>IND</v>
      </c>
      <c r="K82" s="22">
        <f>IFERROR(INDEX(TableRBCalcPts[BYE],MATCH(TableRBRanks[[#This Row],[RK]],TableRBCalcPts[RK],0)),"")</f>
        <v>14</v>
      </c>
      <c r="L82" s="272">
        <f>IFERROR(INDEX(TableRBCalcPts[Custom],MATCH(TableRBRanks[[#This Row],[RK]],TableRBCalcPts[RK],0)),"")</f>
        <v>25.892326524405973</v>
      </c>
      <c r="M82" s="273">
        <f>(((VLOOKUP(TableRBRanks[[#This Row],[Player]],'OVR &amp; VORP Ranks'!$I:$M,5,FALSE)))/('OVR &amp; VORP Ranks'!$BM$6))*(Settings!$E$10*TEAMS)</f>
        <v>-38.212270088681542</v>
      </c>
      <c r="O82" s="22">
        <v>81</v>
      </c>
      <c r="P82" s="274" t="str">
        <f>IFERROR(INDEX(TableWRCalcPts[PLAYER],MATCH(TableWRRanks[[#This Row],[RK]],TableWRCalcPts[RK],0)),"")</f>
        <v>Jamison Crowder</v>
      </c>
      <c r="Q82" s="22" t="str">
        <f>IFERROR(INDEX(TableWRCalcPts[TM],MATCH(TableWRRanks[[#This Row],[RK]],TableWRCalcPts[RK],0)),"")</f>
        <v>BUF</v>
      </c>
      <c r="R82" s="22">
        <f>IFERROR(INDEX(TableWRCalcPts[BYE],MATCH(TableWRRanks[[#This Row],[RK]],TableWRCalcPts[RK],0)),"")</f>
        <v>7</v>
      </c>
      <c r="S82" s="272">
        <f>IFERROR(INDEX(TableWRCalcPts[Custom],MATCH(TableWRRanks[[#This Row],[RK]],TableWRCalcPts[RK],0)),"")</f>
        <v>74.485484004772331</v>
      </c>
      <c r="T82" s="273">
        <f>(((VLOOKUP(TableWRRanks[[#This Row],[Player]],'OVR &amp; VORP Ranks'!$P:$T,5,FALSE)))/('OVR &amp; VORP Ranks'!$BM$6))*(Settings!$E$10*TEAMS)</f>
        <v>-16.244530728730592</v>
      </c>
      <c r="V82" s="22">
        <v>81</v>
      </c>
      <c r="W82" s="274" t="str">
        <f>IFERROR(INDEX(TableTECalcPts[PLAYER],MATCH(TableTERanks[[#This Row],[RK]],TableTECalcPts[RK],0)),"")</f>
        <v>Jeremy Sprinkle</v>
      </c>
      <c r="X82" s="22" t="str">
        <f>IFERROR(INDEX(TableTECalcPts[TM],MATCH(TableTERanks[[#This Row],[RK]],TableTECalcPts[RK],0)),"")</f>
        <v>DAL</v>
      </c>
      <c r="Y82" s="22">
        <f>IFERROR(INDEX(TableTECalcPts[BYE],MATCH(TableTERanks[[#This Row],[RK]],TableTECalcPts[RK],0)),"")</f>
        <v>9</v>
      </c>
      <c r="Z82" s="272">
        <f>IFERROR(INDEX(TableTECalcPts[Custom],MATCH(TableTERanks[[#This Row],[RK]],TableTECalcPts[RK],0)),"")</f>
        <v>7.0531397331118484</v>
      </c>
      <c r="AA82" s="273">
        <f>(((VLOOKUP(TableTERanks[[#This Row],[Player]],'OVR &amp; VORP Ranks'!$W:$AA,5,FALSE)))/('OVR &amp; VORP Ranks'!$BM$6))*(Settings!$E$10*TEAMS)</f>
        <v>-47.795982899365605</v>
      </c>
    </row>
    <row r="83" spans="8:27" x14ac:dyDescent="0.3">
      <c r="H83" s="22">
        <v>82</v>
      </c>
      <c r="I83" s="22" t="str">
        <f>IFERROR(INDEX(TableRBCalcPts[PLAYER],MATCH(TableRBRanks[[#This Row],[RK]],TableRBCalcPts[RK],0)),"")</f>
        <v>Derrick Gore</v>
      </c>
      <c r="J83" s="22" t="str">
        <f>IFERROR(INDEX(TableRBCalcPts[TM],MATCH(TableRBRanks[[#This Row],[RK]],TableRBCalcPts[RK],0)),"")</f>
        <v>KC</v>
      </c>
      <c r="K83" s="22">
        <f>IFERROR(INDEX(TableRBCalcPts[BYE],MATCH(TableRBRanks[[#This Row],[RK]],TableRBCalcPts[RK],0)),"")</f>
        <v>8</v>
      </c>
      <c r="L83" s="272">
        <f>IFERROR(INDEX(TableRBCalcPts[Custom],MATCH(TableRBRanks[[#This Row],[RK]],TableRBCalcPts[RK],0)),"")</f>
        <v>25.814833604161549</v>
      </c>
      <c r="M83" s="273">
        <f>(((VLOOKUP(TableRBRanks[[#This Row],[Player]],'OVR &amp; VORP Ranks'!$I:$M,5,FALSE)))/('OVR &amp; VORP Ranks'!$BM$6))*(Settings!$E$10*TEAMS)</f>
        <v>-38.251529061413471</v>
      </c>
      <c r="O83" s="22">
        <v>82</v>
      </c>
      <c r="P83" s="274" t="str">
        <f>IFERROR(INDEX(TableWRCalcPts[PLAYER],MATCH(TableWRRanks[[#This Row],[RK]],TableWRCalcPts[RK],0)),"")</f>
        <v>Sammy Watkins</v>
      </c>
      <c r="Q83" s="22" t="str">
        <f>IFERROR(INDEX(TableWRCalcPts[TM],MATCH(TableWRRanks[[#This Row],[RK]],TableWRCalcPts[RK],0)),"")</f>
        <v>GB</v>
      </c>
      <c r="R83" s="22">
        <f>IFERROR(INDEX(TableWRCalcPts[BYE],MATCH(TableWRRanks[[#This Row],[RK]],TableWRCalcPts[RK],0)),"")</f>
        <v>14</v>
      </c>
      <c r="S83" s="272">
        <f>IFERROR(INDEX(TableWRCalcPts[Custom],MATCH(TableWRRanks[[#This Row],[RK]],TableWRCalcPts[RK],0)),"")</f>
        <v>72.688142484359275</v>
      </c>
      <c r="T83" s="273">
        <f>(((VLOOKUP(TableWRRanks[[#This Row],[Player]],'OVR &amp; VORP Ranks'!$P:$T,5,FALSE)))/('OVR &amp; VORP Ranks'!$BM$6))*(Settings!$E$10*TEAMS)</f>
        <v>-17.091138498937468</v>
      </c>
      <c r="V83" s="22">
        <v>82</v>
      </c>
      <c r="W83" s="274" t="str">
        <f>IFERROR(INDEX(TableTECalcPts[PLAYER],MATCH(TableTERanks[[#This Row],[RK]],TableTECalcPts[RK],0)),"")</f>
        <v>Jacob Hollister</v>
      </c>
      <c r="X83" s="22" t="str">
        <f>IFERROR(INDEX(TableTECalcPts[TM],MATCH(TableTERanks[[#This Row],[RK]],TableTECalcPts[RK],0)),"")</f>
        <v>LV</v>
      </c>
      <c r="Y83" s="22">
        <f>IFERROR(INDEX(TableTECalcPts[BYE],MATCH(TableTERanks[[#This Row],[RK]],TableTECalcPts[RK],0)),"")</f>
        <v>6</v>
      </c>
      <c r="Z83" s="272">
        <f>IFERROR(INDEX(TableTECalcPts[Custom],MATCH(TableTERanks[[#This Row],[RK]],TableTECalcPts[RK],0)),"")</f>
        <v>6.6649667723753367</v>
      </c>
      <c r="AA83" s="273">
        <f>(((VLOOKUP(TableTERanks[[#This Row],[Player]],'OVR &amp; VORP Ranks'!$W:$AA,5,FALSE)))/('OVR &amp; VORP Ranks'!$BM$6))*(Settings!$E$10*TEAMS)</f>
        <v>-47.990461446511716</v>
      </c>
    </row>
    <row r="84" spans="8:27" x14ac:dyDescent="0.3">
      <c r="H84" s="22">
        <v>83</v>
      </c>
      <c r="I84" s="22" t="str">
        <f>IFERROR(INDEX(TableRBCalcPts[PLAYER],MATCH(TableRBRanks[[#This Row],[RK]],TableRBCalcPts[RK],0)),"")</f>
        <v>Keaontay Ingram</v>
      </c>
      <c r="J84" s="22" t="str">
        <f>IFERROR(INDEX(TableRBCalcPts[TM],MATCH(TableRBRanks[[#This Row],[RK]],TableRBCalcPts[RK],0)),"")</f>
        <v>ARI</v>
      </c>
      <c r="K84" s="22">
        <f>IFERROR(INDEX(TableRBCalcPts[BYE],MATCH(TableRBRanks[[#This Row],[RK]],TableRBCalcPts[RK],0)),"")</f>
        <v>13</v>
      </c>
      <c r="L84" s="272">
        <f>IFERROR(INDEX(TableRBCalcPts[Custom],MATCH(TableRBRanks[[#This Row],[RK]],TableRBCalcPts[RK],0)),"")</f>
        <v>24.057012080374395</v>
      </c>
      <c r="M84" s="273">
        <f>(((VLOOKUP(TableRBRanks[[#This Row],[Player]],'OVR &amp; VORP Ranks'!$I:$M,5,FALSE)))/('OVR &amp; VORP Ranks'!$BM$6))*(Settings!$E$10*TEAMS)</f>
        <v>-39.142065474963111</v>
      </c>
      <c r="O84" s="274">
        <v>83</v>
      </c>
      <c r="P84" s="22" t="str">
        <f>IFERROR(INDEX(TableWRCalcPts[PLAYER],MATCH(TableWRRanks[[#This Row],[RK]],TableWRCalcPts[RK],0)),"")</f>
        <v>Kendrick Bourne</v>
      </c>
      <c r="Q84" s="22" t="str">
        <f>IFERROR(INDEX(TableWRCalcPts[TM],MATCH(TableWRRanks[[#This Row],[RK]],TableWRCalcPts[RK],0)),"")</f>
        <v>NE</v>
      </c>
      <c r="R84" s="22">
        <f>IFERROR(INDEX(TableWRCalcPts[BYE],MATCH(TableWRRanks[[#This Row],[RK]],TableWRCalcPts[RK],0)),"")</f>
        <v>10</v>
      </c>
      <c r="S84" s="272">
        <f>IFERROR(INDEX(TableWRCalcPts[Custom],MATCH(TableWRRanks[[#This Row],[RK]],TableWRCalcPts[RK],0)),"")</f>
        <v>72.660276936222047</v>
      </c>
      <c r="T84" s="273">
        <f>(((VLOOKUP(TableWRRanks[[#This Row],[Player]],'OVR &amp; VORP Ranks'!$P:$T,5,FALSE)))/('OVR &amp; VORP Ranks'!$BM$6))*(Settings!$E$10*TEAMS)</f>
        <v>-17.104264101003697</v>
      </c>
      <c r="V84" s="274">
        <v>83</v>
      </c>
      <c r="W84" s="22" t="str">
        <f>IFERROR(INDEX(TableTECalcPts[PLAYER],MATCH(TableTERanks[[#This Row],[RK]],TableTECalcPts[RK],0)),"")</f>
        <v>Adam Shaheen</v>
      </c>
      <c r="X84" s="22" t="str">
        <f>IFERROR(INDEX(TableTECalcPts[TM],MATCH(TableTERanks[[#This Row],[RK]],TableTECalcPts[RK],0)),"")</f>
        <v>MIA</v>
      </c>
      <c r="Y84" s="22">
        <f>IFERROR(INDEX(TableTECalcPts[BYE],MATCH(TableTERanks[[#This Row],[RK]],TableTECalcPts[RK],0)),"")</f>
        <v>11</v>
      </c>
      <c r="Z84" s="272">
        <f>IFERROR(INDEX(TableTECalcPts[Custom],MATCH(TableTERanks[[#This Row],[RK]],TableTECalcPts[RK],0)),"")</f>
        <v>6.6432153022993292</v>
      </c>
      <c r="AA84" s="273">
        <f>(((VLOOKUP(TableTERanks[[#This Row],[Player]],'OVR &amp; VORP Ranks'!$W:$AA,5,FALSE)))/('OVR &amp; VORP Ranks'!$BM$6))*(Settings!$E$10*TEAMS)</f>
        <v>-48.00135915121183</v>
      </c>
    </row>
    <row r="85" spans="8:27" x14ac:dyDescent="0.3">
      <c r="H85" s="22">
        <v>84</v>
      </c>
      <c r="I85" s="22" t="str">
        <f>IFERROR(INDEX(TableRBCalcPts[PLAYER],MATCH(TableRBRanks[[#This Row],[RK]],TableRBCalcPts[RK],0)),"")</f>
        <v>Duke Johnson</v>
      </c>
      <c r="J85" s="22" t="str">
        <f>IFERROR(INDEX(TableRBCalcPts[TM],MATCH(TableRBRanks[[#This Row],[RK]],TableRBCalcPts[RK],0)),"")</f>
        <v>BUF</v>
      </c>
      <c r="K85" s="22">
        <f>IFERROR(INDEX(TableRBCalcPts[BYE],MATCH(TableRBRanks[[#This Row],[RK]],TableRBCalcPts[RK],0)),"")</f>
        <v>7</v>
      </c>
      <c r="L85" s="272">
        <f>IFERROR(INDEX(TableRBCalcPts[Custom],MATCH(TableRBRanks[[#This Row],[RK]],TableRBCalcPts[RK],0)),"")</f>
        <v>23.791529259382088</v>
      </c>
      <c r="M85" s="273">
        <f>(((VLOOKUP(TableRBRanks[[#This Row],[Player]],'OVR &amp; VORP Ranks'!$I:$M,5,FALSE)))/('OVR &amp; VORP Ranks'!$BM$6))*(Settings!$E$10*TEAMS)</f>
        <v>-39.276562701254981</v>
      </c>
      <c r="O85" s="22">
        <v>84</v>
      </c>
      <c r="P85" s="22" t="str">
        <f>IFERROR(INDEX(TableWRCalcPts[PLAYER],MATCH(TableWRRanks[[#This Row],[RK]],TableWRCalcPts[RK],0)),"")</f>
        <v>Nico Collins</v>
      </c>
      <c r="Q85" s="22" t="str">
        <f>IFERROR(INDEX(TableWRCalcPts[TM],MATCH(TableWRRanks[[#This Row],[RK]],TableWRCalcPts[RK],0)),"")</f>
        <v>HOU</v>
      </c>
      <c r="R85" s="22">
        <f>IFERROR(INDEX(TableWRCalcPts[BYE],MATCH(TableWRRanks[[#This Row],[RK]],TableWRCalcPts[RK],0)),"")</f>
        <v>6</v>
      </c>
      <c r="S85" s="272">
        <f>IFERROR(INDEX(TableWRCalcPts[Custom],MATCH(TableWRRanks[[#This Row],[RK]],TableWRCalcPts[RK],0)),"")</f>
        <v>72.512646152315625</v>
      </c>
      <c r="T85" s="273">
        <f>(((VLOOKUP(TableWRRanks[[#This Row],[Player]],'OVR &amp; VORP Ranks'!$P:$T,5,FALSE)))/('OVR &amp; VORP Ranks'!$BM$6))*(Settings!$E$10*TEAMS)</f>
        <v>-17.173803121472211</v>
      </c>
      <c r="V85" s="22">
        <v>84</v>
      </c>
      <c r="W85" s="22" t="str">
        <f>IFERROR(INDEX(TableTECalcPts[PLAYER],MATCH(TableTERanks[[#This Row],[RK]],TableTECalcPts[RK],0)),"")</f>
        <v>Charlie Woerner</v>
      </c>
      <c r="X85" s="22" t="str">
        <f>IFERROR(INDEX(TableTECalcPts[TM],MATCH(TableTERanks[[#This Row],[RK]],TableTECalcPts[RK],0)),"")</f>
        <v>SF</v>
      </c>
      <c r="Y85" s="22">
        <f>IFERROR(INDEX(TableTECalcPts[BYE],MATCH(TableTERanks[[#This Row],[RK]],TableTECalcPts[RK],0)),"")</f>
        <v>9</v>
      </c>
      <c r="Z85" s="272">
        <f>IFERROR(INDEX(TableTECalcPts[Custom],MATCH(TableTERanks[[#This Row],[RK]],TableTECalcPts[RK],0)),"")</f>
        <v>6.2327979156029176</v>
      </c>
      <c r="AA85" s="273">
        <f>(((VLOOKUP(TableTERanks[[#This Row],[Player]],'OVR &amp; VORP Ranks'!$W:$AA,5,FALSE)))/('OVR &amp; VORP Ranks'!$BM$6))*(Settings!$E$10*TEAMS)</f>
        <v>-48.206982378900797</v>
      </c>
    </row>
    <row r="86" spans="8:27" x14ac:dyDescent="0.3">
      <c r="H86" s="22">
        <v>85</v>
      </c>
      <c r="I86" s="22" t="str">
        <f>IFERROR(INDEX(TableRBCalcPts[PLAYER],MATCH(TableRBRanks[[#This Row],[RK]],TableRBCalcPts[RK],0)),"")</f>
        <v>Joshua Kelley</v>
      </c>
      <c r="J86" s="22" t="str">
        <f>IFERROR(INDEX(TableRBCalcPts[TM],MATCH(TableRBRanks[[#This Row],[RK]],TableRBCalcPts[RK],0)),"")</f>
        <v>LAC</v>
      </c>
      <c r="K86" s="22">
        <f>IFERROR(INDEX(TableRBCalcPts[BYE],MATCH(TableRBRanks[[#This Row],[RK]],TableRBCalcPts[RK],0)),"")</f>
        <v>8</v>
      </c>
      <c r="L86" s="272">
        <f>IFERROR(INDEX(TableRBCalcPts[Custom],MATCH(TableRBRanks[[#This Row],[RK]],TableRBCalcPts[RK],0)),"")</f>
        <v>22.922049210206108</v>
      </c>
      <c r="M86" s="273">
        <f>(((VLOOKUP(TableRBRanks[[#This Row],[Player]],'OVR &amp; VORP Ranks'!$I:$M,5,FALSE)))/('OVR &amp; VORP Ranks'!$BM$6))*(Settings!$E$10*TEAMS)</f>
        <v>-39.717053180048261</v>
      </c>
      <c r="O86" s="22">
        <v>85</v>
      </c>
      <c r="P86" s="274" t="str">
        <f>IFERROR(INDEX(TableWRCalcPts[PLAYER],MATCH(TableWRRanks[[#This Row],[RK]],TableWRCalcPts[RK],0)),"")</f>
        <v>Sterling Shepard</v>
      </c>
      <c r="Q86" s="22" t="str">
        <f>IFERROR(INDEX(TableWRCalcPts[TM],MATCH(TableWRRanks[[#This Row],[RK]],TableWRCalcPts[RK],0)),"")</f>
        <v>NYG</v>
      </c>
      <c r="R86" s="22">
        <f>IFERROR(INDEX(TableWRCalcPts[BYE],MATCH(TableWRRanks[[#This Row],[RK]],TableWRCalcPts[RK],0)),"")</f>
        <v>9</v>
      </c>
      <c r="S86" s="272">
        <f>IFERROR(INDEX(TableWRCalcPts[Custom],MATCH(TableWRRanks[[#This Row],[RK]],TableWRCalcPts[RK],0)),"")</f>
        <v>69.979573413176695</v>
      </c>
      <c r="T86" s="273">
        <f>(((VLOOKUP(TableWRRanks[[#This Row],[Player]],'OVR &amp; VORP Ranks'!$P:$T,5,FALSE)))/('OVR &amp; VORP Ranks'!$BM$6))*(Settings!$E$10*TEAMS)</f>
        <v>-18.366964821181568</v>
      </c>
      <c r="V86" s="22">
        <v>85</v>
      </c>
      <c r="W86" s="274" t="str">
        <f>IFERROR(INDEX(TableTECalcPts[PLAYER],MATCH(TableTERanks[[#This Row],[RK]],TableTECalcPts[RK],0)),"")</f>
        <v>Ko Kieft</v>
      </c>
      <c r="X86" s="22" t="str">
        <f>IFERROR(INDEX(TableTECalcPts[TM],MATCH(TableTERanks[[#This Row],[RK]],TableTECalcPts[RK],0)),"")</f>
        <v>TB</v>
      </c>
      <c r="Y86" s="22">
        <f>IFERROR(INDEX(TableTECalcPts[BYE],MATCH(TableTERanks[[#This Row],[RK]],TableTECalcPts[RK],0)),"")</f>
        <v>11</v>
      </c>
      <c r="Z86" s="272">
        <f>IFERROR(INDEX(TableTECalcPts[Custom],MATCH(TableTERanks[[#This Row],[RK]],TableTECalcPts[RK],0)),"")</f>
        <v>6.0774354386616594</v>
      </c>
      <c r="AA86" s="273">
        <f>(((VLOOKUP(TableTERanks[[#This Row],[Player]],'OVR &amp; VORP Ranks'!$W:$AA,5,FALSE)))/('OVR &amp; VORP Ranks'!$BM$6))*(Settings!$E$10*TEAMS)</f>
        <v>-48.284820538311038</v>
      </c>
    </row>
    <row r="87" spans="8:27" x14ac:dyDescent="0.3">
      <c r="H87" s="22">
        <v>86</v>
      </c>
      <c r="I87" s="22" t="str">
        <f>IFERROR(INDEX(TableRBCalcPts[PLAYER],MATCH(TableRBRanks[[#This Row],[RK]],TableRBCalcPts[RK],0)),"")</f>
        <v>ZaQuandre White</v>
      </c>
      <c r="J87" s="22" t="str">
        <f>IFERROR(INDEX(TableRBCalcPts[TM],MATCH(TableRBRanks[[#This Row],[RK]],TableRBCalcPts[RK],0)),"")</f>
        <v>MIA</v>
      </c>
      <c r="K87" s="22">
        <f>IFERROR(INDEX(TableRBCalcPts[BYE],MATCH(TableRBRanks[[#This Row],[RK]],TableRBCalcPts[RK],0)),"")</f>
        <v>11</v>
      </c>
      <c r="L87" s="272">
        <f>IFERROR(INDEX(TableRBCalcPts[Custom],MATCH(TableRBRanks[[#This Row],[RK]],TableRBCalcPts[RK],0)),"")</f>
        <v>22.249247349411675</v>
      </c>
      <c r="M87" s="273">
        <f>(((VLOOKUP(TableRBRanks[[#This Row],[Player]],'OVR &amp; VORP Ranks'!$I:$M,5,FALSE)))/('OVR &amp; VORP Ranks'!$BM$6))*(Settings!$E$10*TEAMS)</f>
        <v>-40.057903799996602</v>
      </c>
      <c r="O87" s="274">
        <v>86</v>
      </c>
      <c r="P87" s="274" t="str">
        <f>IFERROR(INDEX(TableWRCalcPts[PLAYER],MATCH(TableWRRanks[[#This Row],[RK]],TableWRCalcPts[RK],0)),"")</f>
        <v>Jalen Guyton</v>
      </c>
      <c r="Q87" s="22" t="str">
        <f>IFERROR(INDEX(TableWRCalcPts[TM],MATCH(TableWRRanks[[#This Row],[RK]],TableWRCalcPts[RK],0)),"")</f>
        <v>LAC</v>
      </c>
      <c r="R87" s="22">
        <f>IFERROR(INDEX(TableWRCalcPts[BYE],MATCH(TableWRRanks[[#This Row],[RK]],TableWRCalcPts[RK],0)),"")</f>
        <v>8</v>
      </c>
      <c r="S87" s="272">
        <f>IFERROR(INDEX(TableWRCalcPts[Custom],MATCH(TableWRRanks[[#This Row],[RK]],TableWRCalcPts[RK],0)),"")</f>
        <v>69.095204526235136</v>
      </c>
      <c r="T87" s="273">
        <f>(((VLOOKUP(TableWRRanks[[#This Row],[Player]],'OVR &amp; VORP Ranks'!$P:$T,5,FALSE)))/('OVR &amp; VORP Ranks'!$BM$6))*(Settings!$E$10*TEAMS)</f>
        <v>-18.783532047226547</v>
      </c>
      <c r="V87" s="274">
        <v>86</v>
      </c>
      <c r="W87" s="22" t="str">
        <f>IFERROR(INDEX(TableTECalcPts[PLAYER],MATCH(TableTERanks[[#This Row],[RK]],TableTECalcPts[RK],0)),"")</f>
        <v>Colby Parkinson</v>
      </c>
      <c r="X87" s="22" t="str">
        <f>IFERROR(INDEX(TableTECalcPts[TM],MATCH(TableTERanks[[#This Row],[RK]],TableTECalcPts[RK],0)),"")</f>
        <v>SEA</v>
      </c>
      <c r="Y87" s="22">
        <f>IFERROR(INDEX(TableTECalcPts[BYE],MATCH(TableTERanks[[#This Row],[RK]],TableTECalcPts[RK],0)),"")</f>
        <v>11</v>
      </c>
      <c r="Z87" s="272">
        <f>IFERROR(INDEX(TableTECalcPts[Custom],MATCH(TableTERanks[[#This Row],[RK]],TableTECalcPts[RK],0)),"")</f>
        <v>5.7870698924154205</v>
      </c>
      <c r="AA87" s="273">
        <f>(((VLOOKUP(TableTERanks[[#This Row],[Player]],'OVR &amp; VORP Ranks'!$W:$AA,5,FALSE)))/('OVR &amp; VORP Ranks'!$BM$6))*(Settings!$E$10*TEAMS)</f>
        <v>-48.430296589677724</v>
      </c>
    </row>
    <row r="88" spans="8:27" x14ac:dyDescent="0.3">
      <c r="H88" s="22">
        <v>87</v>
      </c>
      <c r="I88" s="22" t="str">
        <f>IFERROR(INDEX(TableRBCalcPts[PLAYER],MATCH(TableRBRanks[[#This Row],[RK]],TableRBCalcPts[RK],0)),"")</f>
        <v>Jeff Wilson</v>
      </c>
      <c r="J88" s="22" t="str">
        <f>IFERROR(INDEX(TableRBCalcPts[TM],MATCH(TableRBRanks[[#This Row],[RK]],TableRBCalcPts[RK],0)),"")</f>
        <v>SF</v>
      </c>
      <c r="K88" s="22">
        <f>IFERROR(INDEX(TableRBCalcPts[BYE],MATCH(TableRBRanks[[#This Row],[RK]],TableRBCalcPts[RK],0)),"")</f>
        <v>9</v>
      </c>
      <c r="L88" s="272">
        <f>IFERROR(INDEX(TableRBCalcPts[Custom],MATCH(TableRBRanks[[#This Row],[RK]],TableRBCalcPts[RK],0)),"")</f>
        <v>22.176805142525897</v>
      </c>
      <c r="M88" s="273">
        <f>(((VLOOKUP(TableRBRanks[[#This Row],[Player]],'OVR &amp; VORP Ranks'!$I:$M,5,FALSE)))/('OVR &amp; VORP Ranks'!$BM$6))*(Settings!$E$10*TEAMS)</f>
        <v>-40.094604012297282</v>
      </c>
      <c r="O88" s="22">
        <v>87</v>
      </c>
      <c r="P88" s="274" t="str">
        <f>IFERROR(INDEX(TableWRCalcPts[PLAYER],MATCH(TableWRRanks[[#This Row],[RK]],TableWRCalcPts[RK],0)),"")</f>
        <v>Corey Davis</v>
      </c>
      <c r="Q88" s="22" t="str">
        <f>IFERROR(INDEX(TableWRCalcPts[TM],MATCH(TableWRRanks[[#This Row],[RK]],TableWRCalcPts[RK],0)),"")</f>
        <v>NYJ</v>
      </c>
      <c r="R88" s="22">
        <f>IFERROR(INDEX(TableWRCalcPts[BYE],MATCH(TableWRRanks[[#This Row],[RK]],TableWRCalcPts[RK],0)),"")</f>
        <v>10</v>
      </c>
      <c r="S88" s="272">
        <f>IFERROR(INDEX(TableWRCalcPts[Custom],MATCH(TableWRRanks[[#This Row],[RK]],TableWRCalcPts[RK],0)),"")</f>
        <v>65.288503663814794</v>
      </c>
      <c r="T88" s="273">
        <f>(((VLOOKUP(TableWRRanks[[#This Row],[Player]],'OVR &amp; VORP Ranks'!$P:$T,5,FALSE)))/('OVR &amp; VORP Ranks'!$BM$6))*(Settings!$E$10*TEAMS)</f>
        <v>-20.576615049191386</v>
      </c>
      <c r="V88" s="22">
        <v>87</v>
      </c>
      <c r="W88" s="274" t="str">
        <f>IFERROR(INDEX(TableTECalcPts[PLAYER],MATCH(TableTERanks[[#This Row],[RK]],TableTECalcPts[RK],0)),"")</f>
        <v>Jalen Wydermyer</v>
      </c>
      <c r="X88" s="22" t="str">
        <f>IFERROR(INDEX(TableTECalcPts[TM],MATCH(TableTERanks[[#This Row],[RK]],TableTECalcPts[RK],0)),"")</f>
        <v>BUF</v>
      </c>
      <c r="Y88" s="22">
        <f>IFERROR(INDEX(TableTECalcPts[BYE],MATCH(TableTERanks[[#This Row],[RK]],TableTECalcPts[RK],0)),"")</f>
        <v>7</v>
      </c>
      <c r="Z88" s="272">
        <f>IFERROR(INDEX(TableTECalcPts[Custom],MATCH(TableTERanks[[#This Row],[RK]],TableTECalcPts[RK],0)),"")</f>
        <v>5.2497172267481558</v>
      </c>
      <c r="AA88" s="273">
        <f>(((VLOOKUP(TableTERanks[[#This Row],[Player]],'OVR &amp; VORP Ranks'!$W:$AA,5,FALSE)))/('OVR &amp; VORP Ranks'!$BM$6))*(Settings!$E$10*TEAMS)</f>
        <v>-48.699515665436572</v>
      </c>
    </row>
    <row r="89" spans="8:27" x14ac:dyDescent="0.3">
      <c r="H89" s="22">
        <v>88</v>
      </c>
      <c r="I89" s="22" t="str">
        <f>IFERROR(INDEX(TableRBCalcPts[PLAYER],MATCH(TableRBRanks[[#This Row],[RK]],TableRBCalcPts[RK],0)),"")</f>
        <v>Ke'Shawn Vaughn</v>
      </c>
      <c r="J89" s="22" t="str">
        <f>IFERROR(INDEX(TableRBCalcPts[TM],MATCH(TableRBRanks[[#This Row],[RK]],TableRBCalcPts[RK],0)),"")</f>
        <v>TB</v>
      </c>
      <c r="K89" s="22">
        <f>IFERROR(INDEX(TableRBCalcPts[BYE],MATCH(TableRBRanks[[#This Row],[RK]],TableRBCalcPts[RK],0)),"")</f>
        <v>11</v>
      </c>
      <c r="L89" s="272">
        <f>IFERROR(INDEX(TableRBCalcPts[Custom],MATCH(TableRBRanks[[#This Row],[RK]],TableRBCalcPts[RK],0)),"")</f>
        <v>21.745369875224792</v>
      </c>
      <c r="M89" s="273">
        <f>(((VLOOKUP(TableRBRanks[[#This Row],[Player]],'OVR &amp; VORP Ranks'!$I:$M,5,FALSE)))/('OVR &amp; VORP Ranks'!$BM$6))*(Settings!$E$10*TEAMS)</f>
        <v>-40.313175016476009</v>
      </c>
      <c r="O89" s="22">
        <v>88</v>
      </c>
      <c r="P89" s="274" t="str">
        <f>IFERROR(INDEX(TableWRCalcPts[PLAYER],MATCH(TableWRRanks[[#This Row],[RK]],TableWRCalcPts[RK],0)),"")</f>
        <v>Zay Jones</v>
      </c>
      <c r="Q89" s="22" t="str">
        <f>IFERROR(INDEX(TableWRCalcPts[TM],MATCH(TableWRRanks[[#This Row],[RK]],TableWRCalcPts[RK],0)),"")</f>
        <v>JAX</v>
      </c>
      <c r="R89" s="22">
        <f>IFERROR(INDEX(TableWRCalcPts[BYE],MATCH(TableWRRanks[[#This Row],[RK]],TableWRCalcPts[RK],0)),"")</f>
        <v>11</v>
      </c>
      <c r="S89" s="272">
        <f>IFERROR(INDEX(TableWRCalcPts[Custom],MATCH(TableWRRanks[[#This Row],[RK]],TableWRCalcPts[RK],0)),"")</f>
        <v>63.571604507371703</v>
      </c>
      <c r="T89" s="273">
        <f>(((VLOOKUP(TableWRRanks[[#This Row],[Player]],'OVR &amp; VORP Ranks'!$P:$T,5,FALSE)))/('OVR &amp; VORP Ranks'!$BM$6))*(Settings!$E$10*TEAMS)</f>
        <v>-21.385331784435067</v>
      </c>
      <c r="V89" s="22">
        <v>88</v>
      </c>
      <c r="W89" s="22" t="str">
        <f>IFERROR(INDEX(TableTECalcPts[PLAYER],MATCH(TableTERanks[[#This Row],[RK]],TableTECalcPts[RK],0)),"")</f>
        <v>Devin Asiasi</v>
      </c>
      <c r="X89" s="22" t="str">
        <f>IFERROR(INDEX(TableTECalcPts[TM],MATCH(TableTERanks[[#This Row],[RK]],TableTECalcPts[RK],0)),"")</f>
        <v>NE</v>
      </c>
      <c r="Y89" s="22">
        <f>IFERROR(INDEX(TableTECalcPts[BYE],MATCH(TableTERanks[[#This Row],[RK]],TableTECalcPts[RK],0)),"")</f>
        <v>10</v>
      </c>
      <c r="Z89" s="272">
        <f>IFERROR(INDEX(TableTECalcPts[Custom],MATCH(TableTERanks[[#This Row],[RK]],TableTECalcPts[RK],0)),"")</f>
        <v>5.165323273131186</v>
      </c>
      <c r="AA89" s="273">
        <f>(((VLOOKUP(TableTERanks[[#This Row],[Player]],'OVR &amp; VORP Ranks'!$W:$AA,5,FALSE)))/('OVR &amp; VORP Ranks'!$BM$6))*(Settings!$E$10*TEAMS)</f>
        <v>-48.741797882766207</v>
      </c>
    </row>
    <row r="90" spans="8:27" x14ac:dyDescent="0.3">
      <c r="H90" s="22">
        <v>89</v>
      </c>
      <c r="I90" s="22" t="str">
        <f>IFERROR(INDEX(TableRBCalcPts[PLAYER],MATCH(TableRBRanks[[#This Row],[RK]],TableRBCalcPts[RK],0)),"")</f>
        <v>Jashaun Corbin</v>
      </c>
      <c r="J90" s="22" t="str">
        <f>IFERROR(INDEX(TableRBCalcPts[TM],MATCH(TableRBRanks[[#This Row],[RK]],TableRBCalcPts[RK],0)),"")</f>
        <v>NYG</v>
      </c>
      <c r="K90" s="22">
        <f>IFERROR(INDEX(TableRBCalcPts[BYE],MATCH(TableRBRanks[[#This Row],[RK]],TableRBCalcPts[RK],0)),"")</f>
        <v>9</v>
      </c>
      <c r="L90" s="272">
        <f>IFERROR(INDEX(TableRBCalcPts[Custom],MATCH(TableRBRanks[[#This Row],[RK]],TableRBCalcPts[RK],0)),"")</f>
        <v>21.05921723337142</v>
      </c>
      <c r="M90" s="273">
        <f>(((VLOOKUP(TableRBRanks[[#This Row],[Player]],'OVR &amp; VORP Ranks'!$I:$M,5,FALSE)))/('OVR &amp; VORP Ranks'!$BM$6))*(Settings!$E$10*TEAMS)</f>
        <v>-40.660789324615344</v>
      </c>
      <c r="O90" s="274">
        <v>89</v>
      </c>
      <c r="P90" s="22" t="str">
        <f>IFERROR(INDEX(TableWRCalcPts[PLAYER],MATCH(TableWRRanks[[#This Row],[RK]],TableWRCalcPts[RK],0)),"")</f>
        <v>Terrace Marshall</v>
      </c>
      <c r="Q90" s="22" t="str">
        <f>IFERROR(INDEX(TableWRCalcPts[TM],MATCH(TableWRRanks[[#This Row],[RK]],TableWRCalcPts[RK],0)),"")</f>
        <v>CAR</v>
      </c>
      <c r="R90" s="22">
        <f>IFERROR(INDEX(TableWRCalcPts[BYE],MATCH(TableWRRanks[[#This Row],[RK]],TableWRCalcPts[RK],0)),"")</f>
        <v>13</v>
      </c>
      <c r="S90" s="272">
        <f>IFERROR(INDEX(TableWRCalcPts[Custom],MATCH(TableWRRanks[[#This Row],[RK]],TableWRCalcPts[RK],0)),"")</f>
        <v>59.809797928534088</v>
      </c>
      <c r="T90" s="273">
        <f>(((VLOOKUP(TableWRRanks[[#This Row],[Player]],'OVR &amp; VORP Ranks'!$P:$T,5,FALSE)))/('OVR &amp; VORP Ranks'!$BM$6))*(Settings!$E$10*TEAMS)</f>
        <v>-23.15726808228867</v>
      </c>
      <c r="V90" s="274">
        <v>89</v>
      </c>
      <c r="W90" s="274" t="str">
        <f>IFERROR(INDEX(TableTECalcPts[PLAYER],MATCH(TableTERanks[[#This Row],[RK]],TableTECalcPts[RK],0)),"")</f>
        <v>Teagan Quitoriano</v>
      </c>
      <c r="X90" s="22" t="str">
        <f>IFERROR(INDEX(TableTECalcPts[TM],MATCH(TableTERanks[[#This Row],[RK]],TableTECalcPts[RK],0)),"")</f>
        <v>HOU</v>
      </c>
      <c r="Y90" s="22">
        <f>IFERROR(INDEX(TableTECalcPts[BYE],MATCH(TableTERanks[[#This Row],[RK]],TableTECalcPts[RK],0)),"")</f>
        <v>6</v>
      </c>
      <c r="Z90" s="272">
        <f>IFERROR(INDEX(TableTECalcPts[Custom],MATCH(TableTERanks[[#This Row],[RK]],TableTECalcPts[RK],0)),"")</f>
        <v>5.1320091913968939</v>
      </c>
      <c r="AA90" s="273">
        <f>(((VLOOKUP(TableTERanks[[#This Row],[Player]],'OVR &amp; VORP Ranks'!$W:$AA,5,FALSE)))/('OVR &amp; VORP Ranks'!$BM$6))*(Settings!$E$10*TEAMS)</f>
        <v>-48.758488571893281</v>
      </c>
    </row>
    <row r="91" spans="8:27" x14ac:dyDescent="0.3">
      <c r="H91" s="22">
        <v>90</v>
      </c>
      <c r="I91" s="22" t="str">
        <f>IFERROR(INDEX(TableRBCalcPts[PLAYER],MATCH(TableRBRanks[[#This Row],[RK]],TableRBCalcPts[RK],0)),"")</f>
        <v>Rico Dowdle</v>
      </c>
      <c r="J91" s="22" t="str">
        <f>IFERROR(INDEX(TableRBCalcPts[TM],MATCH(TableRBRanks[[#This Row],[RK]],TableRBCalcPts[RK],0)),"")</f>
        <v>DAL</v>
      </c>
      <c r="K91" s="22">
        <f>IFERROR(INDEX(TableRBCalcPts[BYE],MATCH(TableRBRanks[[#This Row],[RK]],TableRBCalcPts[RK],0)),"")</f>
        <v>9</v>
      </c>
      <c r="L91" s="272">
        <f>IFERROR(INDEX(TableRBCalcPts[Custom],MATCH(TableRBRanks[[#This Row],[RK]],TableRBCalcPts[RK],0)),"")</f>
        <v>20.267624726719617</v>
      </c>
      <c r="M91" s="273">
        <f>(((VLOOKUP(TableRBRanks[[#This Row],[Player]],'OVR &amp; VORP Ranks'!$I:$M,5,FALSE)))/('OVR &amp; VORP Ranks'!$BM$6))*(Settings!$E$10*TEAMS)</f>
        <v>-41.061820909635244</v>
      </c>
      <c r="O91" s="22">
        <v>90</v>
      </c>
      <c r="P91" s="22" t="str">
        <f>IFERROR(INDEX(TableWRCalcPts[PLAYER],MATCH(TableWRRanks[[#This Row],[RK]],TableWRCalcPts[RK],0)),"")</f>
        <v>David Bell</v>
      </c>
      <c r="Q91" s="22" t="str">
        <f>IFERROR(INDEX(TableWRCalcPts[TM],MATCH(TableWRRanks[[#This Row],[RK]],TableWRCalcPts[RK],0)),"")</f>
        <v>CLE</v>
      </c>
      <c r="R91" s="22">
        <f>IFERROR(INDEX(TableWRCalcPts[BYE],MATCH(TableWRRanks[[#This Row],[RK]],TableWRCalcPts[RK],0)),"")</f>
        <v>9</v>
      </c>
      <c r="S91" s="272">
        <f>IFERROR(INDEX(TableWRCalcPts[Custom],MATCH(TableWRRanks[[#This Row],[RK]],TableWRCalcPts[RK],0)),"")</f>
        <v>57.726772683944851</v>
      </c>
      <c r="T91" s="273">
        <f>(((VLOOKUP(TableWRRanks[[#This Row],[Player]],'OVR &amp; VORP Ranks'!$P:$T,5,FALSE)))/('OVR &amp; VORP Ranks'!$BM$6))*(Settings!$E$10*TEAMS)</f>
        <v>-24.138442409803822</v>
      </c>
      <c r="V91" s="22">
        <v>90</v>
      </c>
      <c r="W91" s="274" t="str">
        <f>IFERROR(INDEX(TableTECalcPts[PLAYER],MATCH(TableTERanks[[#This Row],[RK]],TableTECalcPts[RK],0)),"")</f>
        <v>Cole Turner</v>
      </c>
      <c r="X91" s="22" t="str">
        <f>IFERROR(INDEX(TableTECalcPts[TM],MATCH(TableTERanks[[#This Row],[RK]],TableTECalcPts[RK],0)),"")</f>
        <v>WSH</v>
      </c>
      <c r="Y91" s="22">
        <f>IFERROR(INDEX(TableTECalcPts[BYE],MATCH(TableTERanks[[#This Row],[RK]],TableTECalcPts[RK],0)),"")</f>
        <v>14</v>
      </c>
      <c r="Z91" s="272">
        <f>IFERROR(INDEX(TableTECalcPts[Custom],MATCH(TableTERanks[[#This Row],[RK]],TableTECalcPts[RK],0)),"")</f>
        <v>4.9365385445064334</v>
      </c>
      <c r="AA91" s="273">
        <f>(((VLOOKUP(TableTERanks[[#This Row],[Player]],'OVR &amp; VORP Ranks'!$W:$AA,5,FALSE)))/('OVR &amp; VORP Ranks'!$BM$6))*(Settings!$E$10*TEAMS)</f>
        <v>-48.856421326778737</v>
      </c>
    </row>
    <row r="92" spans="8:27" x14ac:dyDescent="0.3">
      <c r="H92" s="22">
        <v>91</v>
      </c>
      <c r="I92" s="22" t="str">
        <f>IFERROR(INDEX(TableRBCalcPts[PLAYER],MATCH(TableRBRanks[[#This Row],[RK]],TableRBCalcPts[RK],0)),"")</f>
        <v>Demetric Felton</v>
      </c>
      <c r="J92" s="22" t="str">
        <f>IFERROR(INDEX(TableRBCalcPts[TM],MATCH(TableRBRanks[[#This Row],[RK]],TableRBCalcPts[RK],0)),"")</f>
        <v>CLE</v>
      </c>
      <c r="K92" s="22">
        <f>IFERROR(INDEX(TableRBCalcPts[BYE],MATCH(TableRBRanks[[#This Row],[RK]],TableRBCalcPts[RK],0)),"")</f>
        <v>9</v>
      </c>
      <c r="L92" s="272">
        <f>IFERROR(INDEX(TableRBCalcPts[Custom],MATCH(TableRBRanks[[#This Row],[RK]],TableRBCalcPts[RK],0)),"")</f>
        <v>19.479398619282502</v>
      </c>
      <c r="M92" s="273">
        <f>(((VLOOKUP(TableRBRanks[[#This Row],[Player]],'OVR &amp; VORP Ranks'!$I:$M,5,FALSE)))/('OVR &amp; VORP Ranks'!$BM$6))*(Settings!$E$10*TEAMS)</f>
        <v>-41.461147030793967</v>
      </c>
      <c r="O92" s="22">
        <v>91</v>
      </c>
      <c r="P92" s="274" t="str">
        <f>IFERROR(INDEX(TableWRCalcPts[PLAYER],MATCH(TableWRRanks[[#This Row],[RK]],TableWRCalcPts[RK],0)),"")</f>
        <v>Wan'Dale Robinson</v>
      </c>
      <c r="Q92" s="22" t="str">
        <f>IFERROR(INDEX(TableWRCalcPts[TM],MATCH(TableWRRanks[[#This Row],[RK]],TableWRCalcPts[RK],0)),"")</f>
        <v>NYG</v>
      </c>
      <c r="R92" s="22">
        <f>IFERROR(INDEX(TableWRCalcPts[BYE],MATCH(TableWRRanks[[#This Row],[RK]],TableWRCalcPts[RK],0)),"")</f>
        <v>9</v>
      </c>
      <c r="S92" s="272">
        <f>IFERROR(INDEX(TableWRCalcPts[Custom],MATCH(TableWRRanks[[#This Row],[RK]],TableWRCalcPts[RK],0)),"")</f>
        <v>56.120534643103298</v>
      </c>
      <c r="T92" s="273">
        <f>(((VLOOKUP(TableWRRanks[[#This Row],[Player]],'OVR &amp; VORP Ranks'!$P:$T,5,FALSE)))/('OVR &amp; VORP Ranks'!$BM$6))*(Settings!$E$10*TEAMS)</f>
        <v>-24.89503407072857</v>
      </c>
      <c r="V92" s="22">
        <v>91</v>
      </c>
      <c r="W92" s="274" t="str">
        <f>IFERROR(INDEX(TableTECalcPts[PLAYER],MATCH(TableTERanks[[#This Row],[RK]],TableTECalcPts[RK],0)),"")</f>
        <v>Eric Tomlinson</v>
      </c>
      <c r="X92" s="22" t="str">
        <f>IFERROR(INDEX(TableTECalcPts[TM],MATCH(TableTERanks[[#This Row],[RK]],TableTECalcPts[RK],0)),"")</f>
        <v>DEN</v>
      </c>
      <c r="Y92" s="22">
        <f>IFERROR(INDEX(TableTECalcPts[BYE],MATCH(TableTERanks[[#This Row],[RK]],TableTECalcPts[RK],0)),"")</f>
        <v>9</v>
      </c>
      <c r="Z92" s="272">
        <f>IFERROR(INDEX(TableTECalcPts[Custom],MATCH(TableTERanks[[#This Row],[RK]],TableTECalcPts[RK],0)),"")</f>
        <v>4.8198354725770045</v>
      </c>
      <c r="AA92" s="273">
        <f>(((VLOOKUP(TableTERanks[[#This Row],[Player]],'OVR &amp; VORP Ranks'!$W:$AA,5,FALSE)))/('OVR &amp; VORP Ranks'!$BM$6))*(Settings!$E$10*TEAMS)</f>
        <v>-48.914890736480174</v>
      </c>
    </row>
    <row r="93" spans="8:27" x14ac:dyDescent="0.3">
      <c r="H93" s="22">
        <v>92</v>
      </c>
      <c r="I93" s="22" t="str">
        <f>IFERROR(INDEX(TableRBCalcPts[PLAYER],MATCH(TableRBRanks[[#This Row],[RK]],TableRBCalcPts[RK],0)),"")</f>
        <v>Abram Smith</v>
      </c>
      <c r="J93" s="22" t="str">
        <f>IFERROR(INDEX(TableRBCalcPts[TM],MATCH(TableRBRanks[[#This Row],[RK]],TableRBCalcPts[RK],0)),"")</f>
        <v>NO</v>
      </c>
      <c r="K93" s="22">
        <f>IFERROR(INDEX(TableRBCalcPts[BYE],MATCH(TableRBRanks[[#This Row],[RK]],TableRBCalcPts[RK],0)),"")</f>
        <v>14</v>
      </c>
      <c r="L93" s="272">
        <f>IFERROR(INDEX(TableRBCalcPts[Custom],MATCH(TableRBRanks[[#This Row],[RK]],TableRBCalcPts[RK],0)),"")</f>
        <v>19.140250585141398</v>
      </c>
      <c r="M93" s="273">
        <f>(((VLOOKUP(TableRBRanks[[#This Row],[Player]],'OVR &amp; VORP Ranks'!$I:$M,5,FALSE)))/('OVR &amp; VORP Ranks'!$BM$6))*(Settings!$E$10*TEAMS)</f>
        <v>-41.632964061077978</v>
      </c>
      <c r="O93" s="274">
        <v>92</v>
      </c>
      <c r="P93" s="22" t="str">
        <f>IFERROR(INDEX(TableWRCalcPts[PLAYER],MATCH(TableWRRanks[[#This Row],[RK]],TableWRCalcPts[RK],0)),"")</f>
        <v>Velus Jones</v>
      </c>
      <c r="Q93" s="22" t="str">
        <f>IFERROR(INDEX(TableWRCalcPts[TM],MATCH(TableWRRanks[[#This Row],[RK]],TableWRCalcPts[RK],0)),"")</f>
        <v>CHI</v>
      </c>
      <c r="R93" s="22">
        <f>IFERROR(INDEX(TableWRCalcPts[BYE],MATCH(TableWRRanks[[#This Row],[RK]],TableWRCalcPts[RK],0)),"")</f>
        <v>14</v>
      </c>
      <c r="S93" s="272">
        <f>IFERROR(INDEX(TableWRCalcPts[Custom],MATCH(TableWRRanks[[#This Row],[RK]],TableWRCalcPts[RK],0)),"")</f>
        <v>56.106932884563086</v>
      </c>
      <c r="T93" s="273">
        <f>(((VLOOKUP(TableWRRanks[[#This Row],[Player]],'OVR &amp; VORP Ranks'!$P:$T,5,FALSE)))/('OVR &amp; VORP Ranks'!$BM$6))*(Settings!$E$10*TEAMS)</f>
        <v>-24.901440952413459</v>
      </c>
      <c r="V93" s="274">
        <v>92</v>
      </c>
      <c r="W93" s="22" t="str">
        <f>IFERROR(INDEX(TableTECalcPts[PLAYER],MATCH(TableTERanks[[#This Row],[RK]],TableTECalcPts[RK],0)),"")</f>
        <v>James Mitchell</v>
      </c>
      <c r="X93" s="22" t="str">
        <f>IFERROR(INDEX(TableTECalcPts[TM],MATCH(TableTERanks[[#This Row],[RK]],TableTECalcPts[RK],0)),"")</f>
        <v>DET</v>
      </c>
      <c r="Y93" s="22">
        <f>IFERROR(INDEX(TableTECalcPts[BYE],MATCH(TableTERanks[[#This Row],[RK]],TableTECalcPts[RK],0)),"")</f>
        <v>6</v>
      </c>
      <c r="Z93" s="272">
        <f>IFERROR(INDEX(TableTECalcPts[Custom],MATCH(TableTERanks[[#This Row],[RK]],TableTECalcPts[RK],0)),"")</f>
        <v>4.2015634641319686</v>
      </c>
      <c r="AA93" s="273">
        <f>(((VLOOKUP(TableTERanks[[#This Row],[Player]],'OVR &amp; VORP Ranks'!$W:$AA,5,FALSE)))/('OVR &amp; VORP Ranks'!$BM$6))*(Settings!$E$10*TEAMS)</f>
        <v>-49.224651214683917</v>
      </c>
    </row>
    <row r="94" spans="8:27" x14ac:dyDescent="0.3">
      <c r="H94" s="22">
        <v>93</v>
      </c>
      <c r="I94" s="22" t="str">
        <f>IFERROR(INDEX(TableRBCalcPts[PLAYER],MATCH(TableRBRanks[[#This Row],[RK]],TableRBCalcPts[RK],0)),"")</f>
        <v>Pierre Strong</v>
      </c>
      <c r="J94" s="22" t="str">
        <f>IFERROR(INDEX(TableRBCalcPts[TM],MATCH(TableRBRanks[[#This Row],[RK]],TableRBCalcPts[RK],0)),"")</f>
        <v>NE</v>
      </c>
      <c r="K94" s="22">
        <f>IFERROR(INDEX(TableRBCalcPts[BYE],MATCH(TableRBRanks[[#This Row],[RK]],TableRBCalcPts[RK],0)),"")</f>
        <v>10</v>
      </c>
      <c r="L94" s="272">
        <f>IFERROR(INDEX(TableRBCalcPts[Custom],MATCH(TableRBRanks[[#This Row],[RK]],TableRBCalcPts[RK],0)),"")</f>
        <v>17.933487942625828</v>
      </c>
      <c r="M94" s="273">
        <f>(((VLOOKUP(TableRBRanks[[#This Row],[Player]],'OVR &amp; VORP Ranks'!$I:$M,5,FALSE)))/('OVR &amp; VORP Ranks'!$BM$6))*(Settings!$E$10*TEAMS)</f>
        <v>-42.244326512344458</v>
      </c>
      <c r="O94" s="22">
        <v>93</v>
      </c>
      <c r="P94" s="22" t="str">
        <f>IFERROR(INDEX(TableWRCalcPts[PLAYER],MATCH(TableWRRanks[[#This Row],[RK]],TableWRCalcPts[RK],0)),"")</f>
        <v>A.J. Green</v>
      </c>
      <c r="Q94" s="22" t="str">
        <f>IFERROR(INDEX(TableWRCalcPts[TM],MATCH(TableWRRanks[[#This Row],[RK]],TableWRCalcPts[RK],0)),"")</f>
        <v>ARI</v>
      </c>
      <c r="R94" s="22">
        <f>IFERROR(INDEX(TableWRCalcPts[BYE],MATCH(TableWRRanks[[#This Row],[RK]],TableWRCalcPts[RK],0)),"")</f>
        <v>13</v>
      </c>
      <c r="S94" s="272">
        <f>IFERROR(INDEX(TableWRCalcPts[Custom],MATCH(TableWRRanks[[#This Row],[RK]],TableWRCalcPts[RK],0)),"")</f>
        <v>54.6611752499904</v>
      </c>
      <c r="T94" s="273">
        <f>(((VLOOKUP(TableWRRanks[[#This Row],[Player]],'OVR &amp; VORP Ranks'!$P:$T,5,FALSE)))/('OVR &amp; VORP Ranks'!$BM$6))*(Settings!$E$10*TEAMS)</f>
        <v>-25.582440992396879</v>
      </c>
      <c r="V94" s="22">
        <v>93</v>
      </c>
      <c r="W94" s="274" t="str">
        <f>IFERROR(INDEX(TableTECalcPts[PLAYER],MATCH(TableTERanks[[#This Row],[RK]],TableTECalcPts[RK],0)),"")</f>
        <v/>
      </c>
      <c r="X94" s="22" t="str">
        <f>IFERROR(INDEX(TableTECalcPts[TM],MATCH(TableTERanks[[#This Row],[RK]],TableTECalcPts[RK],0)),"")</f>
        <v/>
      </c>
      <c r="Y94" s="22" t="str">
        <f>IFERROR(INDEX(TableTECalcPts[BYE],MATCH(TableTERanks[[#This Row],[RK]],TableTECalcPts[RK],0)),"")</f>
        <v/>
      </c>
      <c r="Z94" s="272" t="str">
        <f>IFERROR(INDEX(TableTECalcPts[Custom],MATCH(TableTERanks[[#This Row],[RK]],TableTECalcPts[RK],0)),"")</f>
        <v/>
      </c>
      <c r="AA94" s="273" t="e">
        <f>(((VLOOKUP(TableTERanks[[#This Row],[Player]],'OVR &amp; VORP Ranks'!$W:$AA,5,FALSE)))/('OVR &amp; VORP Ranks'!$BM$6))*(Settings!$E$10*TEAMS)</f>
        <v>#VALUE!</v>
      </c>
    </row>
    <row r="95" spans="8:27" x14ac:dyDescent="0.3">
      <c r="H95" s="22">
        <v>94</v>
      </c>
      <c r="I95" s="22" t="str">
        <f>IFERROR(INDEX(TableRBCalcPts[PLAYER],MATCH(TableRBRanks[[#This Row],[RK]],TableRBCalcPts[RK],0)),"")</f>
        <v>Benny Snell</v>
      </c>
      <c r="J95" s="22" t="str">
        <f>IFERROR(INDEX(TableRBCalcPts[TM],MATCH(TableRBRanks[[#This Row],[RK]],TableRBCalcPts[RK],0)),"")</f>
        <v>PIT</v>
      </c>
      <c r="K95" s="22">
        <f>IFERROR(INDEX(TableRBCalcPts[BYE],MATCH(TableRBRanks[[#This Row],[RK]],TableRBCalcPts[RK],0)),"")</f>
        <v>9</v>
      </c>
      <c r="L95" s="272">
        <f>IFERROR(INDEX(TableRBCalcPts[Custom],MATCH(TableRBRanks[[#This Row],[RK]],TableRBCalcPts[RK],0)),"")</f>
        <v>17.493678221063099</v>
      </c>
      <c r="M95" s="273">
        <f>(((VLOOKUP(TableRBRanks[[#This Row],[Player]],'OVR &amp; VORP Ranks'!$I:$M,5,FALSE)))/('OVR &amp; VORP Ranks'!$BM$6))*(Settings!$E$10*TEAMS)</f>
        <v>-42.467140129531778</v>
      </c>
      <c r="O95" s="22">
        <v>94</v>
      </c>
      <c r="P95" s="22" t="str">
        <f>IFERROR(INDEX(TableWRCalcPts[PLAYER],MATCH(TableWRRanks[[#This Row],[RK]],TableWRCalcPts[RK],0)),"")</f>
        <v>Parris Campbell</v>
      </c>
      <c r="Q95" s="22" t="str">
        <f>IFERROR(INDEX(TableWRCalcPts[TM],MATCH(TableWRRanks[[#This Row],[RK]],TableWRCalcPts[RK],0)),"")</f>
        <v>IND</v>
      </c>
      <c r="R95" s="22">
        <f>IFERROR(INDEX(TableWRCalcPts[BYE],MATCH(TableWRRanks[[#This Row],[RK]],TableWRCalcPts[RK],0)),"")</f>
        <v>14</v>
      </c>
      <c r="S95" s="272">
        <f>IFERROR(INDEX(TableWRCalcPts[Custom],MATCH(TableWRRanks[[#This Row],[RK]],TableWRCalcPts[RK],0)),"")</f>
        <v>53.350300430483863</v>
      </c>
      <c r="T95" s="273">
        <f>(((VLOOKUP(TableWRRanks[[#This Row],[Player]],'OVR &amp; VORP Ranks'!$P:$T,5,FALSE)))/('OVR &amp; VORP Ranks'!$BM$6))*(Settings!$E$10*TEAMS)</f>
        <v>-26.199906730187063</v>
      </c>
      <c r="V95" s="22">
        <v>94</v>
      </c>
      <c r="W95" s="22" t="str">
        <f>IFERROR(INDEX(TableTECalcPts[PLAYER],MATCH(TableTERanks[[#This Row],[RK]],TableTECalcPts[RK],0)),"")</f>
        <v/>
      </c>
      <c r="X95" s="22" t="str">
        <f>IFERROR(INDEX(TableTECalcPts[TM],MATCH(TableTERanks[[#This Row],[RK]],TableTECalcPts[RK],0)),"")</f>
        <v/>
      </c>
      <c r="Y95" s="22" t="str">
        <f>IFERROR(INDEX(TableTECalcPts[BYE],MATCH(TableTERanks[[#This Row],[RK]],TableTECalcPts[RK],0)),"")</f>
        <v/>
      </c>
      <c r="Z95" s="272" t="str">
        <f>IFERROR(INDEX(TableTECalcPts[Custom],MATCH(TableTERanks[[#This Row],[RK]],TableTECalcPts[RK],0)),"")</f>
        <v/>
      </c>
      <c r="AA95" s="273" t="e">
        <f>(((VLOOKUP(TableTERanks[[#This Row],[Player]],'OVR &amp; VORP Ranks'!$W:$AA,5,FALSE)))/('OVR &amp; VORP Ranks'!$BM$6))*(Settings!$E$10*TEAMS)</f>
        <v>#VALUE!</v>
      </c>
    </row>
    <row r="96" spans="8:27" x14ac:dyDescent="0.3">
      <c r="H96" s="22">
        <v>95</v>
      </c>
      <c r="I96" s="22" t="str">
        <f>IFERROR(INDEX(TableRBCalcPts[PLAYER],MATCH(TableRBRanks[[#This Row],[RK]],TableRBCalcPts[RK],0)),"")</f>
        <v>Snoop Conner</v>
      </c>
      <c r="J96" s="22" t="str">
        <f>IFERROR(INDEX(TableRBCalcPts[TM],MATCH(TableRBRanks[[#This Row],[RK]],TableRBCalcPts[RK],0)),"")</f>
        <v>JAX</v>
      </c>
      <c r="K96" s="22">
        <f>IFERROR(INDEX(TableRBCalcPts[BYE],MATCH(TableRBRanks[[#This Row],[RK]],TableRBCalcPts[RK],0)),"")</f>
        <v>11</v>
      </c>
      <c r="L96" s="272">
        <f>IFERROR(INDEX(TableRBCalcPts[Custom],MATCH(TableRBRanks[[#This Row],[RK]],TableRBCalcPts[RK],0)),"")</f>
        <v>17.168184838525917</v>
      </c>
      <c r="M96" s="273">
        <f>(((VLOOKUP(TableRBRanks[[#This Row],[Player]],'OVR &amp; VORP Ranks'!$I:$M,5,FALSE)))/('OVR &amp; VORP Ranks'!$BM$6))*(Settings!$E$10*TEAMS)</f>
        <v>-42.632039526652768</v>
      </c>
      <c r="O96" s="274">
        <v>95</v>
      </c>
      <c r="P96" s="274" t="str">
        <f>IFERROR(INDEX(TableWRCalcPts[PLAYER],MATCH(TableWRRanks[[#This Row],[RK]],TableWRCalcPts[RK],0)),"")</f>
        <v>James Washington</v>
      </c>
      <c r="Q96" s="22" t="str">
        <f>IFERROR(INDEX(TableWRCalcPts[TM],MATCH(TableWRRanks[[#This Row],[RK]],TableWRCalcPts[RK],0)),"")</f>
        <v>DAL</v>
      </c>
      <c r="R96" s="22">
        <f>IFERROR(INDEX(TableWRCalcPts[BYE],MATCH(TableWRRanks[[#This Row],[RK]],TableWRCalcPts[RK],0)),"")</f>
        <v>9</v>
      </c>
      <c r="S96" s="272">
        <f>IFERROR(INDEX(TableWRCalcPts[Custom],MATCH(TableWRRanks[[#This Row],[RK]],TableWRCalcPts[RK],0)),"")</f>
        <v>51.375545577633844</v>
      </c>
      <c r="T96" s="273">
        <f>(((VLOOKUP(TableWRRanks[[#This Row],[Player]],'OVR &amp; VORP Ranks'!$P:$T,5,FALSE)))/('OVR &amp; VORP Ranks'!$BM$6))*(Settings!$E$10*TEAMS)</f>
        <v>-27.130082094016835</v>
      </c>
      <c r="V96" s="274">
        <v>95</v>
      </c>
      <c r="W96" s="22" t="str">
        <f>IFERROR(INDEX(TableTECalcPts[PLAYER],MATCH(TableTERanks[[#This Row],[RK]],TableTECalcPts[RK],0)),"")</f>
        <v/>
      </c>
      <c r="X96" s="22" t="str">
        <f>IFERROR(INDEX(TableTECalcPts[TM],MATCH(TableTERanks[[#This Row],[RK]],TableTECalcPts[RK],0)),"")</f>
        <v/>
      </c>
      <c r="Y96" s="22" t="str">
        <f>IFERROR(INDEX(TableTECalcPts[BYE],MATCH(TableTERanks[[#This Row],[RK]],TableTECalcPts[RK],0)),"")</f>
        <v/>
      </c>
      <c r="Z96" s="272" t="str">
        <f>IFERROR(INDEX(TableTECalcPts[Custom],MATCH(TableTERanks[[#This Row],[RK]],TableTECalcPts[RK],0)),"")</f>
        <v/>
      </c>
      <c r="AA96" s="273" t="e">
        <f>(((VLOOKUP(TableTERanks[[#This Row],[Player]],'OVR &amp; VORP Ranks'!$W:$AA,5,FALSE)))/('OVR &amp; VORP Ranks'!$BM$6))*(Settings!$E$10*TEAMS)</f>
        <v>#VALUE!</v>
      </c>
    </row>
    <row r="97" spans="8:27" x14ac:dyDescent="0.3">
      <c r="H97" s="22">
        <v>96</v>
      </c>
      <c r="I97" s="22" t="str">
        <f>IFERROR(INDEX(TableRBCalcPts[PLAYER],MATCH(TableRBRanks[[#This Row],[RK]],TableRBCalcPts[RK],0)),"")</f>
        <v>Jermar Jefferson</v>
      </c>
      <c r="J97" s="22" t="str">
        <f>IFERROR(INDEX(TableRBCalcPts[TM],MATCH(TableRBRanks[[#This Row],[RK]],TableRBCalcPts[RK],0)),"")</f>
        <v>DET</v>
      </c>
      <c r="K97" s="22">
        <f>IFERROR(INDEX(TableRBCalcPts[BYE],MATCH(TableRBRanks[[#This Row],[RK]],TableRBCalcPts[RK],0)),"")</f>
        <v>6</v>
      </c>
      <c r="L97" s="272">
        <f>IFERROR(INDEX(TableRBCalcPts[Custom],MATCH(TableRBRanks[[#This Row],[RK]],TableRBCalcPts[RK],0)),"")</f>
        <v>16.461601927920299</v>
      </c>
      <c r="M97" s="273">
        <f>(((VLOOKUP(TableRBRanks[[#This Row],[Player]],'OVR &amp; VORP Ranks'!$I:$M,5,FALSE)))/('OVR &amp; VORP Ranks'!$BM$6))*(Settings!$E$10*TEAMS)</f>
        <v>-42.990004088225838</v>
      </c>
      <c r="O97" s="22">
        <v>96</v>
      </c>
      <c r="P97" s="274" t="str">
        <f>IFERROR(INDEX(TableWRCalcPts[PLAYER],MATCH(TableWRRanks[[#This Row],[RK]],TableWRCalcPts[RK],0)),"")</f>
        <v>Olamide Zaccheaus</v>
      </c>
      <c r="Q97" s="22" t="str">
        <f>IFERROR(INDEX(TableWRCalcPts[TM],MATCH(TableWRRanks[[#This Row],[RK]],TableWRCalcPts[RK],0)),"")</f>
        <v>ATL</v>
      </c>
      <c r="R97" s="22">
        <f>IFERROR(INDEX(TableWRCalcPts[BYE],MATCH(TableWRRanks[[#This Row],[RK]],TableWRCalcPts[RK],0)),"")</f>
        <v>14</v>
      </c>
      <c r="S97" s="272">
        <f>IFERROR(INDEX(TableWRCalcPts[Custom],MATCH(TableWRRanks[[#This Row],[RK]],TableWRCalcPts[RK],0)),"")</f>
        <v>51.177073421678053</v>
      </c>
      <c r="T97" s="273">
        <f>(((VLOOKUP(TableWRRanks[[#This Row],[Player]],'OVR &amp; VORP Ranks'!$P:$T,5,FALSE)))/('OVR &amp; VORP Ranks'!$BM$6))*(Settings!$E$10*TEAMS)</f>
        <v>-27.223569095509607</v>
      </c>
      <c r="V97" s="22">
        <v>96</v>
      </c>
      <c r="W97" s="274" t="str">
        <f>IFERROR(INDEX(TableTECalcPts[PLAYER],MATCH(TableTERanks[[#This Row],[RK]],TableTECalcPts[RK],0)),"")</f>
        <v/>
      </c>
      <c r="X97" s="22" t="str">
        <f>IFERROR(INDEX(TableTECalcPts[TM],MATCH(TableTERanks[[#This Row],[RK]],TableTECalcPts[RK],0)),"")</f>
        <v/>
      </c>
      <c r="Y97" s="22" t="str">
        <f>IFERROR(INDEX(TableTECalcPts[BYE],MATCH(TableTERanks[[#This Row],[RK]],TableTECalcPts[RK],0)),"")</f>
        <v/>
      </c>
      <c r="Z97" s="272" t="str">
        <f>IFERROR(INDEX(TableTECalcPts[Custom],MATCH(TableTERanks[[#This Row],[RK]],TableTECalcPts[RK],0)),"")</f>
        <v/>
      </c>
      <c r="AA97" s="273" t="e">
        <f>(((VLOOKUP(TableTERanks[[#This Row],[Player]],'OVR &amp; VORP Ranks'!$W:$AA,5,FALSE)))/('OVR &amp; VORP Ranks'!$BM$6))*(Settings!$E$10*TEAMS)</f>
        <v>#VALUE!</v>
      </c>
    </row>
    <row r="98" spans="8:27" x14ac:dyDescent="0.3">
      <c r="H98" s="22">
        <v>97</v>
      </c>
      <c r="I98" s="22" t="str">
        <f>IFERROR(INDEX(TableRBCalcPts[PLAYER],MATCH(TableRBRanks[[#This Row],[RK]],TableRBCalcPts[RK],0)),"")</f>
        <v>Dare Ogunbowale</v>
      </c>
      <c r="J98" s="22" t="str">
        <f>IFERROR(INDEX(TableRBCalcPts[TM],MATCH(TableRBRanks[[#This Row],[RK]],TableRBCalcPts[RK],0)),"")</f>
        <v>HOU</v>
      </c>
      <c r="K98" s="22">
        <f>IFERROR(INDEX(TableRBCalcPts[BYE],MATCH(TableRBRanks[[#This Row],[RK]],TableRBCalcPts[RK],0)),"")</f>
        <v>6</v>
      </c>
      <c r="L98" s="272">
        <f>IFERROR(INDEX(TableRBCalcPts[Custom],MATCH(TableRBRanks[[#This Row],[RK]],TableRBCalcPts[RK],0)),"")</f>
        <v>16.348073894509326</v>
      </c>
      <c r="M98" s="273">
        <f>(((VLOOKUP(TableRBRanks[[#This Row],[Player]],'OVR &amp; VORP Ranks'!$I:$M,5,FALSE)))/('OVR &amp; VORP Ranks'!$BM$6))*(Settings!$E$10*TEAMS)</f>
        <v>-43.047518941891603</v>
      </c>
      <c r="O98" s="22">
        <v>97</v>
      </c>
      <c r="P98" s="22" t="str">
        <f>IFERROR(INDEX(TableWRCalcPts[PLAYER],MATCH(TableWRRanks[[#This Row],[RK]],TableWRCalcPts[RK],0)),"")</f>
        <v>Dee Eskridge</v>
      </c>
      <c r="Q98" s="22" t="str">
        <f>IFERROR(INDEX(TableWRCalcPts[TM],MATCH(TableWRRanks[[#This Row],[RK]],TableWRCalcPts[RK],0)),"")</f>
        <v>SEA</v>
      </c>
      <c r="R98" s="22">
        <f>IFERROR(INDEX(TableWRCalcPts[BYE],MATCH(TableWRRanks[[#This Row],[RK]],TableWRCalcPts[RK],0)),"")</f>
        <v>11</v>
      </c>
      <c r="S98" s="272">
        <f>IFERROR(INDEX(TableWRCalcPts[Custom],MATCH(TableWRRanks[[#This Row],[RK]],TableWRCalcPts[RK],0)),"")</f>
        <v>49.28641646878944</v>
      </c>
      <c r="T98" s="273">
        <f>(((VLOOKUP(TableWRRanks[[#This Row],[Player]],'OVR &amp; VORP Ranks'!$P:$T,5,FALSE)))/('OVR &amp; VORP Ranks'!$BM$6))*(Settings!$E$10*TEAMS)</f>
        <v>-28.114131545067501</v>
      </c>
      <c r="V98" s="22">
        <v>97</v>
      </c>
      <c r="W98" s="274" t="str">
        <f>IFERROR(INDEX(TableTECalcPts[PLAYER],MATCH(TableTERanks[[#This Row],[RK]],TableTECalcPts[RK],0)),"")</f>
        <v/>
      </c>
      <c r="X98" s="274" t="str">
        <f>IFERROR(INDEX(TableTECalcPts[TM],MATCH(TableTERanks[[#This Row],[RK]],TableTECalcPts[RK],0)),"")</f>
        <v/>
      </c>
      <c r="Y98" s="274" t="str">
        <f>IFERROR(INDEX(TableTECalcPts[BYE],MATCH(TableTERanks[[#This Row],[RK]],TableTECalcPts[RK],0)),"")</f>
        <v/>
      </c>
      <c r="Z98" s="272" t="str">
        <f>IFERROR(INDEX(TableTECalcPts[Custom],MATCH(TableTERanks[[#This Row],[RK]],TableTECalcPts[RK],0)),"")</f>
        <v/>
      </c>
      <c r="AA98" s="273" t="e">
        <f>(((VLOOKUP(TableTERanks[[#This Row],[Player]],'OVR &amp; VORP Ranks'!$W:$AA,5,FALSE)))/('OVR &amp; VORP Ranks'!$BM$6))*(Settings!$E$10*TEAMS)</f>
        <v>#VALUE!</v>
      </c>
    </row>
    <row r="99" spans="8:27" x14ac:dyDescent="0.3">
      <c r="H99" s="22">
        <v>98</v>
      </c>
      <c r="I99" s="22" t="str">
        <f>IFERROR(INDEX(TableRBCalcPts[PLAYER],MATCH(TableRBRanks[[#This Row],[RK]],TableRBCalcPts[RK],0)),"")</f>
        <v>Mike Davis</v>
      </c>
      <c r="J99" s="22" t="str">
        <f>IFERROR(INDEX(TableRBCalcPts[TM],MATCH(TableRBRanks[[#This Row],[RK]],TableRBCalcPts[RK],0)),"")</f>
        <v>BAL</v>
      </c>
      <c r="K99" s="22">
        <f>IFERROR(INDEX(TableRBCalcPts[BYE],MATCH(TableRBRanks[[#This Row],[RK]],TableRBCalcPts[RK],0)),"")</f>
        <v>10</v>
      </c>
      <c r="L99" s="272">
        <f>IFERROR(INDEX(TableRBCalcPts[Custom],MATCH(TableRBRanks[[#This Row],[RK]],TableRBCalcPts[RK],0)),"")</f>
        <v>15.706408260384052</v>
      </c>
      <c r="M99" s="273">
        <f>(((VLOOKUP(TableRBRanks[[#This Row],[Player]],'OVR &amp; VORP Ranks'!$I:$M,5,FALSE)))/('OVR &amp; VORP Ranks'!$BM$6))*(Settings!$E$10*TEAMS)</f>
        <v>-43.372595523773967</v>
      </c>
      <c r="O99" s="274">
        <v>98</v>
      </c>
      <c r="P99" s="22" t="str">
        <f>IFERROR(INDEX(TableWRCalcPts[PLAYER],MATCH(TableWRRanks[[#This Row],[RK]],TableWRCalcPts[RK],0)),"")</f>
        <v>KJ Hamler</v>
      </c>
      <c r="Q99" s="22" t="str">
        <f>IFERROR(INDEX(TableWRCalcPts[TM],MATCH(TableWRRanks[[#This Row],[RK]],TableWRCalcPts[RK],0)),"")</f>
        <v>DEN</v>
      </c>
      <c r="R99" s="22">
        <f>IFERROR(INDEX(TableWRCalcPts[BYE],MATCH(TableWRRanks[[#This Row],[RK]],TableWRCalcPts[RK],0)),"")</f>
        <v>9</v>
      </c>
      <c r="S99" s="272">
        <f>IFERROR(INDEX(TableWRCalcPts[Custom],MATCH(TableWRRanks[[#This Row],[RK]],TableWRCalcPts[RK],0)),"")</f>
        <v>47.9270366316658</v>
      </c>
      <c r="T99" s="273">
        <f>(((VLOOKUP(TableWRRanks[[#This Row],[Player]],'OVR &amp; VORP Ranks'!$P:$T,5,FALSE)))/('OVR &amp; VORP Ranks'!$BM$6))*(Settings!$E$10*TEAMS)</f>
        <v>-28.754444763062352</v>
      </c>
      <c r="V99" s="274">
        <v>98</v>
      </c>
      <c r="W99" s="274" t="str">
        <f>IFERROR(INDEX(TableTECalcPts[PLAYER],MATCH(TableTERanks[[#This Row],[RK]],TableTECalcPts[RK],0)),"")</f>
        <v/>
      </c>
      <c r="X99" s="274" t="str">
        <f>IFERROR(INDEX(TableTECalcPts[TM],MATCH(TableTERanks[[#This Row],[RK]],TableTECalcPts[RK],0)),"")</f>
        <v/>
      </c>
      <c r="Y99" s="274" t="str">
        <f>IFERROR(INDEX(TableTECalcPts[BYE],MATCH(TableTERanks[[#This Row],[RK]],TableTECalcPts[RK],0)),"")</f>
        <v/>
      </c>
      <c r="Z99" s="272" t="str">
        <f>IFERROR(INDEX(TableTECalcPts[Custom],MATCH(TableTERanks[[#This Row],[RK]],TableTECalcPts[RK],0)),"")</f>
        <v/>
      </c>
      <c r="AA99" s="273" t="e">
        <f>(((VLOOKUP(TableTERanks[[#This Row],[Player]],'OVR &amp; VORP Ranks'!$W:$AA,5,FALSE)))/('OVR &amp; VORP Ranks'!$BM$6))*(Settings!$E$10*TEAMS)</f>
        <v>#VALUE!</v>
      </c>
    </row>
    <row r="100" spans="8:27" x14ac:dyDescent="0.3">
      <c r="H100" s="22">
        <v>99</v>
      </c>
      <c r="I100" s="22" t="str">
        <f>IFERROR(INDEX(TableRBCalcPts[PLAYER],MATCH(TableRBRanks[[#This Row],[RK]],TableRBCalcPts[RK],0)),"")</f>
        <v>Darrynton Evans</v>
      </c>
      <c r="J100" s="22" t="str">
        <f>IFERROR(INDEX(TableRBCalcPts[TM],MATCH(TableRBRanks[[#This Row],[RK]],TableRBCalcPts[RK],0)),"")</f>
        <v>CHI</v>
      </c>
      <c r="K100" s="22">
        <f>IFERROR(INDEX(TableRBCalcPts[BYE],MATCH(TableRBRanks[[#This Row],[RK]],TableRBCalcPts[RK],0)),"")</f>
        <v>14</v>
      </c>
      <c r="L100" s="272">
        <f>IFERROR(INDEX(TableRBCalcPts[Custom],MATCH(TableRBRanks[[#This Row],[RK]],TableRBCalcPts[RK],0)),"")</f>
        <v>15.339572196945394</v>
      </c>
      <c r="M100" s="273">
        <f>(((VLOOKUP(TableRBRanks[[#This Row],[Player]],'OVR &amp; VORP Ranks'!$I:$M,5,FALSE)))/('OVR &amp; VORP Ranks'!$BM$6))*(Settings!$E$10*TEAMS)</f>
        <v>-43.558439688198291</v>
      </c>
      <c r="O100" s="22">
        <v>99</v>
      </c>
      <c r="P100" s="274" t="str">
        <f>IFERROR(INDEX(TableWRCalcPts[PLAYER],MATCH(TableWRRanks[[#This Row],[RK]],TableWRCalcPts[RK],0)),"")</f>
        <v>Bryan Edwards</v>
      </c>
      <c r="Q100" s="22" t="str">
        <f>IFERROR(INDEX(TableWRCalcPts[TM],MATCH(TableWRRanks[[#This Row],[RK]],TableWRCalcPts[RK],0)),"")</f>
        <v>ATL</v>
      </c>
      <c r="R100" s="22">
        <f>IFERROR(INDEX(TableWRCalcPts[BYE],MATCH(TableWRRanks[[#This Row],[RK]],TableWRCalcPts[RK],0)),"")</f>
        <v>14</v>
      </c>
      <c r="S100" s="272">
        <f>IFERROR(INDEX(TableWRCalcPts[Custom],MATCH(TableWRRanks[[#This Row],[RK]],TableWRCalcPts[RK],0)),"")</f>
        <v>47.814013950587054</v>
      </c>
      <c r="T100" s="273">
        <f>(((VLOOKUP(TableWRRanks[[#This Row],[Player]],'OVR &amp; VORP Ranks'!$P:$T,5,FALSE)))/('OVR &amp; VORP Ranks'!$BM$6))*(Settings!$E$10*TEAMS)</f>
        <v>-28.807682213443453</v>
      </c>
      <c r="V100" s="22">
        <v>99</v>
      </c>
      <c r="W100" s="274" t="str">
        <f>IFERROR(INDEX(TableTECalcPts[PLAYER],MATCH(TableTERanks[[#This Row],[RK]],TableTECalcPts[RK],0)),"")</f>
        <v/>
      </c>
      <c r="X100" s="274" t="str">
        <f>IFERROR(INDEX(TableTECalcPts[TM],MATCH(TableTERanks[[#This Row],[RK]],TableTECalcPts[RK],0)),"")</f>
        <v/>
      </c>
      <c r="Y100" s="274" t="str">
        <f>IFERROR(INDEX(TableTECalcPts[BYE],MATCH(TableTERanks[[#This Row],[RK]],TableTECalcPts[RK],0)),"")</f>
        <v/>
      </c>
      <c r="Z100" s="272" t="str">
        <f>IFERROR(INDEX(TableTECalcPts[Custom],MATCH(TableTERanks[[#This Row],[RK]],TableTECalcPts[RK],0)),"")</f>
        <v/>
      </c>
      <c r="AA100" s="273" t="e">
        <f>(((VLOOKUP(TableTERanks[[#This Row],[Player]],'OVR &amp; VORP Ranks'!$W:$AA,5,FALSE)))/('OVR &amp; VORP Ranks'!$BM$6))*(Settings!$E$10*TEAMS)</f>
        <v>#VALUE!</v>
      </c>
    </row>
    <row r="101" spans="8:27" x14ac:dyDescent="0.3">
      <c r="H101" s="22">
        <v>100</v>
      </c>
      <c r="I101" s="22" t="str">
        <f>IFERROR(INDEX(TableRBCalcPts[PLAYER],MATCH(TableRBRanks[[#This Row],[RK]],TableRBCalcPts[RK],0)),"")</f>
        <v>Zack Moss</v>
      </c>
      <c r="J101" s="22" t="str">
        <f>IFERROR(INDEX(TableRBCalcPts[TM],MATCH(TableRBRanks[[#This Row],[RK]],TableRBCalcPts[RK],0)),"")</f>
        <v>BUF</v>
      </c>
      <c r="K101" s="22">
        <f>IFERROR(INDEX(TableRBCalcPts[BYE],MATCH(TableRBRanks[[#This Row],[RK]],TableRBCalcPts[RK],0)),"")</f>
        <v>7</v>
      </c>
      <c r="L101" s="272">
        <f>IFERROR(INDEX(TableRBCalcPts[Custom],MATCH(TableRBRanks[[#This Row],[RK]],TableRBCalcPts[RK],0)),"")</f>
        <v>14.671193693335264</v>
      </c>
      <c r="M101" s="273">
        <f>(((VLOOKUP(TableRBRanks[[#This Row],[Player]],'OVR &amp; VORP Ranks'!$I:$M,5,FALSE)))/('OVR &amp; VORP Ranks'!$BM$6))*(Settings!$E$10*TEAMS)</f>
        <v>-43.897049374929331</v>
      </c>
      <c r="O101" s="22">
        <v>100</v>
      </c>
      <c r="P101" s="22" t="str">
        <f>IFERROR(INDEX(TableWRCalcPts[PLAYER],MATCH(TableWRRanks[[#This Row],[RK]],TableWRCalcPts[RK],0)),"")</f>
        <v>Laquon Treadwell</v>
      </c>
      <c r="Q101" s="22" t="str">
        <f>IFERROR(INDEX(TableWRCalcPts[TM],MATCH(TableWRRanks[[#This Row],[RK]],TableWRCalcPts[RK],0)),"")</f>
        <v>JAX</v>
      </c>
      <c r="R101" s="22">
        <f>IFERROR(INDEX(TableWRCalcPts[BYE],MATCH(TableWRRanks[[#This Row],[RK]],TableWRCalcPts[RK],0)),"")</f>
        <v>11</v>
      </c>
      <c r="S101" s="272">
        <f>IFERROR(INDEX(TableWRCalcPts[Custom],MATCH(TableWRRanks[[#This Row],[RK]],TableWRCalcPts[RK],0)),"")</f>
        <v>47.277068597833136</v>
      </c>
      <c r="T101" s="273">
        <f>(((VLOOKUP(TableWRRanks[[#This Row],[Player]],'OVR &amp; VORP Ranks'!$P:$T,5,FALSE)))/('OVR &amp; VORP Ranks'!$BM$6))*(Settings!$E$10*TEAMS)</f>
        <v>-29.060601373578063</v>
      </c>
      <c r="V101" s="22">
        <v>100</v>
      </c>
      <c r="W101" s="274" t="str">
        <f>IFERROR(INDEX(TableTECalcPts[PLAYER],MATCH(TableTERanks[[#This Row],[RK]],TableTECalcPts[RK],0)),"")</f>
        <v/>
      </c>
      <c r="X101" s="274" t="str">
        <f>IFERROR(INDEX(TableTECalcPts[TM],MATCH(TableTERanks[[#This Row],[RK]],TableTECalcPts[RK],0)),"")</f>
        <v/>
      </c>
      <c r="Y101" s="274" t="str">
        <f>IFERROR(INDEX(TableTECalcPts[BYE],MATCH(TableTERanks[[#This Row],[RK]],TableTECalcPts[RK],0)),"")</f>
        <v/>
      </c>
      <c r="Z101" s="272" t="str">
        <f>IFERROR(INDEX(TableTECalcPts[Custom],MATCH(TableTERanks[[#This Row],[RK]],TableTECalcPts[RK],0)),"")</f>
        <v/>
      </c>
      <c r="AA101" s="273" t="e">
        <f>(((VLOOKUP(TableTERanks[[#This Row],[Player]],'OVR &amp; VORP Ranks'!$W:$AA,5,FALSE)))/('OVR &amp; VORP Ranks'!$BM$6))*(Settings!$E$10*TEAMS)</f>
        <v>#VALUE!</v>
      </c>
    </row>
    <row r="102" spans="8:27" x14ac:dyDescent="0.3">
      <c r="H102" s="22">
        <v>101</v>
      </c>
      <c r="I102" s="22" t="str">
        <f>IFERROR(INDEX(TableRBCalcPts[PLAYER],MATCH(TableRBRanks[[#This Row],[RK]],TableRBCalcPts[RK],0)),"")</f>
        <v>Isaih Pacheco</v>
      </c>
      <c r="J102" s="22" t="str">
        <f>IFERROR(INDEX(TableRBCalcPts[TM],MATCH(TableRBRanks[[#This Row],[RK]],TableRBCalcPts[RK],0)),"")</f>
        <v>KC</v>
      </c>
      <c r="K102" s="22">
        <f>IFERROR(INDEX(TableRBCalcPts[BYE],MATCH(TableRBRanks[[#This Row],[RK]],TableRBCalcPts[RK],0)),"")</f>
        <v>8</v>
      </c>
      <c r="L102" s="272">
        <f>IFERROR(INDEX(TableRBCalcPts[Custom],MATCH(TableRBRanks[[#This Row],[RK]],TableRBCalcPts[RK],0)),"")</f>
        <v>13.926512654369075</v>
      </c>
      <c r="M102" s="273">
        <f>(((VLOOKUP(TableRBRanks[[#This Row],[Player]],'OVR &amp; VORP Ranks'!$I:$M,5,FALSE)))/('OVR &amp; VORP Ranks'!$BM$6))*(Settings!$E$10*TEAMS)</f>
        <v>-44.274314969135162</v>
      </c>
      <c r="O102" s="274">
        <v>101</v>
      </c>
      <c r="P102" s="22" t="str">
        <f>IFERROR(INDEX(TableWRCalcPts[PLAYER],MATCH(TableWRRanks[[#This Row],[RK]],TableWRCalcPts[RK],0)),"")</f>
        <v>Isaiah McKenzie</v>
      </c>
      <c r="Q102" s="22" t="str">
        <f>IFERROR(INDEX(TableWRCalcPts[TM],MATCH(TableWRRanks[[#This Row],[RK]],TableWRCalcPts[RK],0)),"")</f>
        <v>BUF</v>
      </c>
      <c r="R102" s="22">
        <f>IFERROR(INDEX(TableWRCalcPts[BYE],MATCH(TableWRRanks[[#This Row],[RK]],TableWRCalcPts[RK],0)),"")</f>
        <v>7</v>
      </c>
      <c r="S102" s="272">
        <f>IFERROR(INDEX(TableWRCalcPts[Custom],MATCH(TableWRRanks[[#This Row],[RK]],TableWRCalcPts[RK],0)),"")</f>
        <v>46.563602815971421</v>
      </c>
      <c r="T102" s="273">
        <f>(((VLOOKUP(TableWRRanks[[#This Row],[Player]],'OVR &amp; VORP Ranks'!$P:$T,5,FALSE)))/('OVR &amp; VORP Ranks'!$BM$6))*(Settings!$E$10*TEAMS)</f>
        <v>-29.396667540102744</v>
      </c>
    </row>
    <row r="103" spans="8:27" x14ac:dyDescent="0.3">
      <c r="H103" s="22">
        <v>102</v>
      </c>
      <c r="I103" s="22" t="str">
        <f>IFERROR(INDEX(TableRBCalcPts[PLAYER],MATCH(TableRBRanks[[#This Row],[RK]],TableRBCalcPts[RK],0)),"")</f>
        <v>Tevin Coleman</v>
      </c>
      <c r="J103" s="22" t="str">
        <f>IFERROR(INDEX(TableRBCalcPts[TM],MATCH(TableRBRanks[[#This Row],[RK]],TableRBCalcPts[RK],0)),"")</f>
        <v>NYJ</v>
      </c>
      <c r="K103" s="22">
        <f>IFERROR(INDEX(TableRBCalcPts[BYE],MATCH(TableRBRanks[[#This Row],[RK]],TableRBCalcPts[RK],0)),"")</f>
        <v>10</v>
      </c>
      <c r="L103" s="272">
        <f>IFERROR(INDEX(TableRBCalcPts[Custom],MATCH(TableRBRanks[[#This Row],[RK]],TableRBCalcPts[RK],0)),"")</f>
        <v>13.394921257962649</v>
      </c>
      <c r="M103" s="273">
        <f>(((VLOOKUP(TableRBRanks[[#This Row],[Player]],'OVR &amp; VORP Ranks'!$I:$M,5,FALSE)))/('OVR &amp; VORP Ranks'!$BM$6))*(Settings!$E$10*TEAMS)</f>
        <v>-44.543626437463125</v>
      </c>
      <c r="O103" s="22">
        <v>102</v>
      </c>
      <c r="P103" s="22" t="str">
        <f>IFERROR(INDEX(TableWRCalcPts[PLAYER],MATCH(TableWRRanks[[#This Row],[RK]],TableWRCalcPts[RK],0)),"")</f>
        <v>James Proche</v>
      </c>
      <c r="Q103" s="22" t="str">
        <f>IFERROR(INDEX(TableWRCalcPts[TM],MATCH(TableWRRanks[[#This Row],[RK]],TableWRCalcPts[RK],0)),"")</f>
        <v>BAL</v>
      </c>
      <c r="R103" s="22">
        <f>IFERROR(INDEX(TableWRCalcPts[BYE],MATCH(TableWRRanks[[#This Row],[RK]],TableWRCalcPts[RK],0)),"")</f>
        <v>10</v>
      </c>
      <c r="S103" s="272">
        <f>IFERROR(INDEX(TableWRCalcPts[Custom],MATCH(TableWRRanks[[#This Row],[RK]],TableWRCalcPts[RK],0)),"")</f>
        <v>46.152657475365487</v>
      </c>
      <c r="T103" s="273">
        <f>(((VLOOKUP(TableWRRanks[[#This Row],[Player]],'OVR &amp; VORP Ranks'!$P:$T,5,FALSE)))/('OVR &amp; VORP Ranks'!$BM$6))*(Settings!$E$10*TEAMS)</f>
        <v>-29.590236494325389</v>
      </c>
    </row>
    <row r="104" spans="8:27" x14ac:dyDescent="0.3">
      <c r="H104" s="22">
        <v>103</v>
      </c>
      <c r="I104" s="22" t="str">
        <f>IFERROR(INDEX(TableRBCalcPts[PLAYER],MATCH(TableRBRanks[[#This Row],[RK]],TableRBCalcPts[RK],0)),"")</f>
        <v>Kevin Harris</v>
      </c>
      <c r="J104" s="22" t="str">
        <f>IFERROR(INDEX(TableRBCalcPts[TM],MATCH(TableRBRanks[[#This Row],[RK]],TableRBCalcPts[RK],0)),"")</f>
        <v>NE</v>
      </c>
      <c r="K104" s="22">
        <f>IFERROR(INDEX(TableRBCalcPts[BYE],MATCH(TableRBRanks[[#This Row],[RK]],TableRBCalcPts[RK],0)),"")</f>
        <v>10</v>
      </c>
      <c r="L104" s="272">
        <f>IFERROR(INDEX(TableRBCalcPts[Custom],MATCH(TableRBRanks[[#This Row],[RK]],TableRBCalcPts[RK],0)),"")</f>
        <v>13.200310678794835</v>
      </c>
      <c r="M104" s="273">
        <f>(((VLOOKUP(TableRBRanks[[#This Row],[Player]],'OVR &amp; VORP Ranks'!$I:$M,5,FALSE)))/('OVR &amp; VORP Ranks'!$BM$6))*(Settings!$E$10*TEAMS)</f>
        <v>-44.642218817215955</v>
      </c>
      <c r="O104" s="22">
        <v>103</v>
      </c>
      <c r="P104" s="274" t="str">
        <f>IFERROR(INDEX(TableWRCalcPts[PLAYER],MATCH(TableWRRanks[[#This Row],[RK]],TableWRCalcPts[RK],0)),"")</f>
        <v>Braxton Berrios</v>
      </c>
      <c r="Q104" s="22" t="str">
        <f>IFERROR(INDEX(TableWRCalcPts[TM],MATCH(TableWRRanks[[#This Row],[RK]],TableWRCalcPts[RK],0)),"")</f>
        <v>NYJ</v>
      </c>
      <c r="R104" s="22">
        <f>IFERROR(INDEX(TableWRCalcPts[BYE],MATCH(TableWRRanks[[#This Row],[RK]],TableWRCalcPts[RK],0)),"")</f>
        <v>10</v>
      </c>
      <c r="S104" s="272">
        <f>IFERROR(INDEX(TableWRCalcPts[Custom],MATCH(TableWRRanks[[#This Row],[RK]],TableWRCalcPts[RK],0)),"")</f>
        <v>45.627287616763233</v>
      </c>
      <c r="T104" s="273">
        <f>(((VLOOKUP(TableWRRanks[[#This Row],[Player]],'OVR &amp; VORP Ranks'!$P:$T,5,FALSE)))/('OVR &amp; VORP Ranks'!$BM$6))*(Settings!$E$10*TEAMS)</f>
        <v>-29.837703210847323</v>
      </c>
    </row>
    <row r="105" spans="8:27" x14ac:dyDescent="0.3">
      <c r="H105" s="22">
        <v>104</v>
      </c>
      <c r="I105" s="22" t="str">
        <f>IFERROR(INDEX(TableRBCalcPts[PLAYER],MATCH(TableRBRanks[[#This Row],[RK]],TableRBCalcPts[RK],0)),"")</f>
        <v>Ty Chandler</v>
      </c>
      <c r="J105" s="22" t="str">
        <f>IFERROR(INDEX(TableRBCalcPts[TM],MATCH(TableRBRanks[[#This Row],[RK]],TableRBCalcPts[RK],0)),"")</f>
        <v>MIN</v>
      </c>
      <c r="K105" s="22">
        <f>IFERROR(INDEX(TableRBCalcPts[BYE],MATCH(TableRBRanks[[#This Row],[RK]],TableRBCalcPts[RK],0)),"")</f>
        <v>7</v>
      </c>
      <c r="L105" s="272">
        <f>IFERROR(INDEX(TableRBCalcPts[Custom],MATCH(TableRBRanks[[#This Row],[RK]],TableRBCalcPts[RK],0)),"")</f>
        <v>13.120960600361327</v>
      </c>
      <c r="M105" s="273">
        <f>(((VLOOKUP(TableRBRanks[[#This Row],[Player]],'OVR &amp; VORP Ranks'!$I:$M,5,FALSE)))/('OVR &amp; VORP Ranks'!$BM$6))*(Settings!$E$10*TEAMS)</f>
        <v>-44.68241865167402</v>
      </c>
      <c r="O105" s="274">
        <v>104</v>
      </c>
      <c r="P105" s="22" t="str">
        <f>IFERROR(INDEX(TableWRCalcPts[PLAYER],MATCH(TableWRRanks[[#This Row],[RK]],TableWRCalcPts[RK],0)),"")</f>
        <v>Jauan Jennings</v>
      </c>
      <c r="Q105" s="22" t="str">
        <f>IFERROR(INDEX(TableWRCalcPts[TM],MATCH(TableWRRanks[[#This Row],[RK]],TableWRCalcPts[RK],0)),"")</f>
        <v>SF</v>
      </c>
      <c r="R105" s="22">
        <f>IFERROR(INDEX(TableWRCalcPts[BYE],MATCH(TableWRRanks[[#This Row],[RK]],TableWRCalcPts[RK],0)),"")</f>
        <v>9</v>
      </c>
      <c r="S105" s="272">
        <f>IFERROR(INDEX(TableWRCalcPts[Custom],MATCH(TableWRRanks[[#This Row],[RK]],TableWRCalcPts[RK],0)),"")</f>
        <v>43.316310817014994</v>
      </c>
      <c r="T105" s="273">
        <f>(((VLOOKUP(TableWRRanks[[#This Row],[Player]],'OVR &amp; VORP Ranks'!$P:$T,5,FALSE)))/('OVR &amp; VORP Ranks'!$BM$6))*(Settings!$E$10*TEAMS)</f>
        <v>-30.926250319571022</v>
      </c>
    </row>
    <row r="106" spans="8:27" x14ac:dyDescent="0.3">
      <c r="H106" s="22">
        <v>105</v>
      </c>
      <c r="I106" s="22" t="str">
        <f>IFERROR(INDEX(TableRBCalcPts[PLAYER],MATCH(TableRBRanks[[#This Row],[RK]],TableRBCalcPts[RK],0)),"")</f>
        <v>Kylin Hill</v>
      </c>
      <c r="J106" s="22" t="str">
        <f>IFERROR(INDEX(TableRBCalcPts[TM],MATCH(TableRBRanks[[#This Row],[RK]],TableRBCalcPts[RK],0)),"")</f>
        <v>GB</v>
      </c>
      <c r="K106" s="22">
        <f>IFERROR(INDEX(TableRBCalcPts[BYE],MATCH(TableRBRanks[[#This Row],[RK]],TableRBCalcPts[RK],0)),"")</f>
        <v>14</v>
      </c>
      <c r="L106" s="272">
        <f>IFERROR(INDEX(TableRBCalcPts[Custom],MATCH(TableRBRanks[[#This Row],[RK]],TableRBCalcPts[RK],0)),"")</f>
        <v>12.788947408403649</v>
      </c>
      <c r="M106" s="273">
        <f>(((VLOOKUP(TableRBRanks[[#This Row],[Player]],'OVR &amp; VORP Ranks'!$I:$M,5,FALSE)))/('OVR &amp; VORP Ranks'!$BM$6))*(Settings!$E$10*TEAMS)</f>
        <v>-44.850621073373894</v>
      </c>
      <c r="O106" s="22">
        <v>105</v>
      </c>
      <c r="P106" s="274" t="str">
        <f>IFERROR(INDEX(TableWRCalcPts[PLAYER],MATCH(TableWRRanks[[#This Row],[RK]],TableWRCalcPts[RK],0)),"")</f>
        <v>Anthony Schwartz</v>
      </c>
      <c r="Q106" s="22" t="str">
        <f>IFERROR(INDEX(TableWRCalcPts[TM],MATCH(TableWRRanks[[#This Row],[RK]],TableWRCalcPts[RK],0)),"")</f>
        <v>CLE</v>
      </c>
      <c r="R106" s="22">
        <f>IFERROR(INDEX(TableWRCalcPts[BYE],MATCH(TableWRRanks[[#This Row],[RK]],TableWRCalcPts[RK],0)),"")</f>
        <v>9</v>
      </c>
      <c r="S106" s="272">
        <f>IFERROR(INDEX(TableWRCalcPts[Custom],MATCH(TableWRRanks[[#This Row],[RK]],TableWRCalcPts[RK],0)),"")</f>
        <v>42.407443228787997</v>
      </c>
      <c r="T106" s="273">
        <f>(((VLOOKUP(TableWRRanks[[#This Row],[Player]],'OVR &amp; VORP Ranks'!$P:$T,5,FALSE)))/('OVR &amp; VORP Ranks'!$BM$6))*(Settings!$E$10*TEAMS)</f>
        <v>-31.354357250581732</v>
      </c>
    </row>
    <row r="107" spans="8:27" x14ac:dyDescent="0.3">
      <c r="H107" s="22">
        <v>106</v>
      </c>
      <c r="I107" s="22" t="str">
        <f>IFERROR(INDEX(TableRBCalcPts[PLAYER],MATCH(TableRBRanks[[#This Row],[RK]],TableRBCalcPts[RK],0)),"")</f>
        <v>Tyler Badie</v>
      </c>
      <c r="J107" s="22" t="str">
        <f>IFERROR(INDEX(TableRBCalcPts[TM],MATCH(TableRBRanks[[#This Row],[RK]],TableRBCalcPts[RK],0)),"")</f>
        <v>BAL</v>
      </c>
      <c r="K107" s="22">
        <f>IFERROR(INDEX(TableRBCalcPts[BYE],MATCH(TableRBRanks[[#This Row],[RK]],TableRBCalcPts[RK],0)),"")</f>
        <v>10</v>
      </c>
      <c r="L107" s="272">
        <f>IFERROR(INDEX(TableRBCalcPts[Custom],MATCH(TableRBRanks[[#This Row],[RK]],TableRBCalcPts[RK],0)),"")</f>
        <v>12.577174465298361</v>
      </c>
      <c r="M107" s="273">
        <f>(((VLOOKUP(TableRBRanks[[#This Row],[Player]],'OVR &amp; VORP Ranks'!$I:$M,5,FALSE)))/('OVR &amp; VORP Ranks'!$BM$6))*(Settings!$E$10*TEAMS)</f>
        <v>-44.957908141308707</v>
      </c>
      <c r="O107" s="22">
        <v>106</v>
      </c>
      <c r="P107" s="274" t="str">
        <f>IFERROR(INDEX(TableWRCalcPts[PLAYER],MATCH(TableWRRanks[[#This Row],[RK]],TableWRCalcPts[RK],0)),"")</f>
        <v>Laviska Shenault</v>
      </c>
      <c r="Q107" s="22" t="str">
        <f>IFERROR(INDEX(TableWRCalcPts[TM],MATCH(TableWRRanks[[#This Row],[RK]],TableWRCalcPts[RK],0)),"")</f>
        <v>JAX</v>
      </c>
      <c r="R107" s="22">
        <f>IFERROR(INDEX(TableWRCalcPts[BYE],MATCH(TableWRRanks[[#This Row],[RK]],TableWRCalcPts[RK],0)),"")</f>
        <v>11</v>
      </c>
      <c r="S107" s="272">
        <f>IFERROR(INDEX(TableWRCalcPts[Custom],MATCH(TableWRRanks[[#This Row],[RK]],TableWRCalcPts[RK],0)),"")</f>
        <v>40.413989999832708</v>
      </c>
      <c r="T107" s="273">
        <f>(((VLOOKUP(TableWRRanks[[#This Row],[Player]],'OVR &amp; VORP Ranks'!$P:$T,5,FALSE)))/('OVR &amp; VORP Ranks'!$BM$6))*(Settings!$E$10*TEAMS)</f>
        <v>-32.293340172864461</v>
      </c>
    </row>
    <row r="108" spans="8:27" x14ac:dyDescent="0.3">
      <c r="H108" s="22">
        <v>107</v>
      </c>
      <c r="I108" s="22" t="str">
        <f>IFERROR(INDEX(TableRBCalcPts[PLAYER],MATCH(TableRBRanks[[#This Row],[RK]],TableRBCalcPts[RK],0)),"")</f>
        <v>Craig Reynolds</v>
      </c>
      <c r="J108" s="22" t="str">
        <f>IFERROR(INDEX(TableRBCalcPts[TM],MATCH(TableRBRanks[[#This Row],[RK]],TableRBCalcPts[RK],0)),"")</f>
        <v>DET</v>
      </c>
      <c r="K108" s="22">
        <f>IFERROR(INDEX(TableRBCalcPts[BYE],MATCH(TableRBRanks[[#This Row],[RK]],TableRBCalcPts[RK],0)),"")</f>
        <v>6</v>
      </c>
      <c r="L108" s="272">
        <f>IFERROR(INDEX(TableRBCalcPts[Custom],MATCH(TableRBRanks[[#This Row],[RK]],TableRBCalcPts[RK],0)),"")</f>
        <v>11.573681464598321</v>
      </c>
      <c r="M108" s="273">
        <f>(((VLOOKUP(TableRBRanks[[#This Row],[Player]],'OVR &amp; VORP Ranks'!$I:$M,5,FALSE)))/('OVR &amp; VORP Ranks'!$BM$6))*(Settings!$E$10*TEAMS)</f>
        <v>-45.46629141331475</v>
      </c>
      <c r="O108" s="274">
        <v>107</v>
      </c>
      <c r="P108" s="274" t="str">
        <f>IFERROR(INDEX(TableWRCalcPts[PLAYER],MATCH(TableWRRanks[[#This Row],[RK]],TableWRCalcPts[RK],0)),"")</f>
        <v>Calvin Austin</v>
      </c>
      <c r="Q108" s="22" t="str">
        <f>IFERROR(INDEX(TableWRCalcPts[TM],MATCH(TableWRRanks[[#This Row],[RK]],TableWRCalcPts[RK],0)),"")</f>
        <v>PIT</v>
      </c>
      <c r="R108" s="22">
        <f>IFERROR(INDEX(TableWRCalcPts[BYE],MATCH(TableWRRanks[[#This Row],[RK]],TableWRCalcPts[RK],0)),"")</f>
        <v>9</v>
      </c>
      <c r="S108" s="272">
        <f>IFERROR(INDEX(TableWRCalcPts[Custom],MATCH(TableWRRanks[[#This Row],[RK]],TableWRCalcPts[RK],0)),"")</f>
        <v>38.631807132828371</v>
      </c>
      <c r="T108" s="273">
        <f>(((VLOOKUP(TableWRRanks[[#This Row],[Player]],'OVR &amp; VORP Ranks'!$P:$T,5,FALSE)))/('OVR &amp; VORP Ranks'!$BM$6))*(Settings!$E$10*TEAMS)</f>
        <v>-33.132807712004549</v>
      </c>
    </row>
    <row r="109" spans="8:27" x14ac:dyDescent="0.3">
      <c r="H109" s="22">
        <v>108</v>
      </c>
      <c r="I109" s="22" t="str">
        <f>IFERROR(INDEX(TableRBCalcPts[PLAYER],MATCH(TableRBRanks[[#This Row],[RK]],TableRBCalcPts[RK],0)),"")</f>
        <v>Travis Homer</v>
      </c>
      <c r="J109" s="22" t="str">
        <f>IFERROR(INDEX(TableRBCalcPts[TM],MATCH(TableRBRanks[[#This Row],[RK]],TableRBCalcPts[RK],0)),"")</f>
        <v>SEA</v>
      </c>
      <c r="K109" s="22">
        <f>IFERROR(INDEX(TableRBCalcPts[BYE],MATCH(TableRBRanks[[#This Row],[RK]],TableRBCalcPts[RK],0)),"")</f>
        <v>11</v>
      </c>
      <c r="L109" s="272">
        <f>IFERROR(INDEX(TableRBCalcPts[Custom],MATCH(TableRBRanks[[#This Row],[RK]],TableRBCalcPts[RK],0)),"")</f>
        <v>11.516901631706066</v>
      </c>
      <c r="M109" s="273">
        <f>(((VLOOKUP(TableRBRanks[[#This Row],[Player]],'OVR &amp; VORP Ranks'!$I:$M,5,FALSE)))/('OVR &amp; VORP Ranks'!$BM$6))*(Settings!$E$10*TEAMS)</f>
        <v>-45.495056852844058</v>
      </c>
      <c r="O109" s="22">
        <v>108</v>
      </c>
      <c r="P109" s="22" t="str">
        <f>IFERROR(INDEX(TableWRCalcPts[PLAYER],MATCH(TableWRRanks[[#This Row],[RK]],TableWRCalcPts[RK],0)),"")</f>
        <v>Demarcus Robinson</v>
      </c>
      <c r="Q109" s="22" t="str">
        <f>IFERROR(INDEX(TableWRCalcPts[TM],MATCH(TableWRRanks[[#This Row],[RK]],TableWRCalcPts[RK],0)),"")</f>
        <v>LV</v>
      </c>
      <c r="R109" s="22">
        <f>IFERROR(INDEX(TableWRCalcPts[BYE],MATCH(TableWRRanks[[#This Row],[RK]],TableWRCalcPts[RK],0)),"")</f>
        <v>6</v>
      </c>
      <c r="S109" s="272">
        <f>IFERROR(INDEX(TableWRCalcPts[Custom],MATCH(TableWRRanks[[#This Row],[RK]],TableWRCalcPts[RK],0)),"")</f>
        <v>35.322918725494581</v>
      </c>
      <c r="T109" s="273">
        <f>(((VLOOKUP(TableWRRanks[[#This Row],[Player]],'OVR &amp; VORP Ranks'!$P:$T,5,FALSE)))/('OVR &amp; VORP Ranks'!$BM$6))*(Settings!$E$10*TEAMS)</f>
        <v>-34.691404453124989</v>
      </c>
    </row>
    <row r="110" spans="8:27" x14ac:dyDescent="0.3">
      <c r="H110" s="22">
        <v>109</v>
      </c>
      <c r="I110" s="22" t="str">
        <f>IFERROR(INDEX(TableRBCalcPts[PLAYER],MATCH(TableRBRanks[[#This Row],[RK]],TableRBCalcPts[RK],0)),"")</f>
        <v>Qadree Ollison</v>
      </c>
      <c r="J110" s="22" t="str">
        <f>IFERROR(INDEX(TableRBCalcPts[TM],MATCH(TableRBRanks[[#This Row],[RK]],TableRBCalcPts[RK],0)),"")</f>
        <v>ATL</v>
      </c>
      <c r="K110" s="22">
        <f>IFERROR(INDEX(TableRBCalcPts[BYE],MATCH(TableRBRanks[[#This Row],[RK]],TableRBCalcPts[RK],0)),"")</f>
        <v>14</v>
      </c>
      <c r="L110" s="272">
        <f>IFERROR(INDEX(TableRBCalcPts[Custom],MATCH(TableRBRanks[[#This Row],[RK]],TableRBCalcPts[RK],0)),"")</f>
        <v>11.487398298172863</v>
      </c>
      <c r="M110" s="273">
        <f>(((VLOOKUP(TableRBRanks[[#This Row],[Player]],'OVR &amp; VORP Ranks'!$I:$M,5,FALSE)))/('OVR &amp; VORP Ranks'!$BM$6))*(Settings!$E$10*TEAMS)</f>
        <v>-45.510003644925554</v>
      </c>
      <c r="O110" s="22">
        <v>109</v>
      </c>
      <c r="P110" s="22" t="str">
        <f>IFERROR(INDEX(TableWRCalcPts[PLAYER],MATCH(TableWRRanks[[#This Row],[RK]],TableWRCalcPts[RK],0)),"")</f>
        <v>Marquez Callaway</v>
      </c>
      <c r="Q110" s="22" t="str">
        <f>IFERROR(INDEX(TableWRCalcPts[TM],MATCH(TableWRRanks[[#This Row],[RK]],TableWRCalcPts[RK],0)),"")</f>
        <v>NO</v>
      </c>
      <c r="R110" s="22">
        <f>IFERROR(INDEX(TableWRCalcPts[BYE],MATCH(TableWRRanks[[#This Row],[RK]],TableWRCalcPts[RK],0)),"")</f>
        <v>14</v>
      </c>
      <c r="S110" s="272">
        <f>IFERROR(INDEX(TableWRCalcPts[Custom],MATCH(TableWRRanks[[#This Row],[RK]],TableWRCalcPts[RK],0)),"")</f>
        <v>35.071330105964549</v>
      </c>
      <c r="T110" s="273">
        <f>(((VLOOKUP(TableWRRanks[[#This Row],[Player]],'OVR &amp; VORP Ranks'!$P:$T,5,FALSE)))/('OVR &amp; VORP Ranks'!$BM$6))*(Settings!$E$10*TEAMS)</f>
        <v>-34.809911079590066</v>
      </c>
    </row>
    <row r="111" spans="8:27" x14ac:dyDescent="0.3">
      <c r="H111" s="22">
        <v>110</v>
      </c>
      <c r="I111" s="22" t="str">
        <f>IFERROR(INDEX(TableRBCalcPts[PLAYER],MATCH(TableRBRanks[[#This Row],[RK]],TableRBCalcPts[RK],0)),"")</f>
        <v>Ty Johnson</v>
      </c>
      <c r="J111" s="22" t="str">
        <f>IFERROR(INDEX(TableRBCalcPts[TM],MATCH(TableRBRanks[[#This Row],[RK]],TableRBCalcPts[RK],0)),"")</f>
        <v>NYJ</v>
      </c>
      <c r="K111" s="22">
        <f>IFERROR(INDEX(TableRBCalcPts[BYE],MATCH(TableRBRanks[[#This Row],[RK]],TableRBCalcPts[RK],0)),"")</f>
        <v>10</v>
      </c>
      <c r="L111" s="272">
        <f>IFERROR(INDEX(TableRBCalcPts[Custom],MATCH(TableRBRanks[[#This Row],[RK]],TableRBCalcPts[RK],0)),"")</f>
        <v>11.452856067334441</v>
      </c>
      <c r="M111" s="273">
        <f>(((VLOOKUP(TableRBRanks[[#This Row],[Player]],'OVR &amp; VORP Ranks'!$I:$M,5,FALSE)))/('OVR &amp; VORP Ranks'!$BM$6))*(Settings!$E$10*TEAMS)</f>
        <v>-45.527503211264104</v>
      </c>
      <c r="O111" s="274">
        <v>110</v>
      </c>
      <c r="P111" s="22" t="str">
        <f>IFERROR(INDEX(TableWRCalcPts[PLAYER],MATCH(TableWRRanks[[#This Row],[RK]],TableWRCalcPts[RK],0)),"")</f>
        <v>Quez Watkins</v>
      </c>
      <c r="Q111" s="22" t="str">
        <f>IFERROR(INDEX(TableWRCalcPts[TM],MATCH(TableWRRanks[[#This Row],[RK]],TableWRCalcPts[RK],0)),"")</f>
        <v>PHI</v>
      </c>
      <c r="R111" s="22">
        <f>IFERROR(INDEX(TableWRCalcPts[BYE],MATCH(TableWRRanks[[#This Row],[RK]],TableWRCalcPts[RK],0)),"")</f>
        <v>7</v>
      </c>
      <c r="S111" s="272">
        <f>IFERROR(INDEX(TableWRCalcPts[Custom],MATCH(TableWRRanks[[#This Row],[RK]],TableWRCalcPts[RK],0)),"")</f>
        <v>34.037529360914419</v>
      </c>
      <c r="T111" s="273">
        <f>(((VLOOKUP(TableWRRanks[[#This Row],[Player]],'OVR &amp; VORP Ranks'!$P:$T,5,FALSE)))/('OVR &amp; VORP Ranks'!$BM$6))*(Settings!$E$10*TEAMS)</f>
        <v>-35.296865692091288</v>
      </c>
    </row>
    <row r="112" spans="8:27" x14ac:dyDescent="0.3">
      <c r="H112" s="22">
        <v>111</v>
      </c>
      <c r="I112" s="22" t="str">
        <f>IFERROR(INDEX(TableRBCalcPts[PLAYER],MATCH(TableRBRanks[[#This Row],[RK]],TableRBCalcPts[RK],0)),"")</f>
        <v>DeeJay Dallas</v>
      </c>
      <c r="J112" s="22" t="str">
        <f>IFERROR(INDEX(TableRBCalcPts[TM],MATCH(TableRBRanks[[#This Row],[RK]],TableRBCalcPts[RK],0)),"")</f>
        <v>SEA</v>
      </c>
      <c r="K112" s="22">
        <f>IFERROR(INDEX(TableRBCalcPts[BYE],MATCH(TableRBRanks[[#This Row],[RK]],TableRBCalcPts[RK],0)),"")</f>
        <v>11</v>
      </c>
      <c r="L112" s="272">
        <f>IFERROR(INDEX(TableRBCalcPts[Custom],MATCH(TableRBRanks[[#This Row],[RK]],TableRBCalcPts[RK],0)),"")</f>
        <v>11.344162867392939</v>
      </c>
      <c r="M112" s="273">
        <f>(((VLOOKUP(TableRBRanks[[#This Row],[Player]],'OVR &amp; VORP Ranks'!$I:$M,5,FALSE)))/('OVR &amp; VORP Ranks'!$BM$6))*(Settings!$E$10*TEAMS)</f>
        <v>-45.582568672201567</v>
      </c>
      <c r="O112" s="22">
        <v>111</v>
      </c>
      <c r="P112" s="22" t="str">
        <f>IFERROR(INDEX(TableWRCalcPts[PLAYER],MATCH(TableWRRanks[[#This Row],[RK]],TableWRCalcPts[RK],0)),"")</f>
        <v>Chris Conley</v>
      </c>
      <c r="Q112" s="22" t="str">
        <f>IFERROR(INDEX(TableWRCalcPts[TM],MATCH(TableWRRanks[[#This Row],[RK]],TableWRCalcPts[RK],0)),"")</f>
        <v>HOU</v>
      </c>
      <c r="R112" s="22">
        <f>IFERROR(INDEX(TableWRCalcPts[BYE],MATCH(TableWRRanks[[#This Row],[RK]],TableWRCalcPts[RK],0)),"")</f>
        <v>6</v>
      </c>
      <c r="S112" s="272">
        <f>IFERROR(INDEX(TableWRCalcPts[Custom],MATCH(TableWRRanks[[#This Row],[RK]],TableWRCalcPts[RK],0)),"")</f>
        <v>32.477047166674978</v>
      </c>
      <c r="T112" s="273">
        <f>(((VLOOKUP(TableWRRanks[[#This Row],[Player]],'OVR &amp; VORP Ranks'!$P:$T,5,FALSE)))/('OVR &amp; VORP Ranks'!$BM$6))*(Settings!$E$10*TEAMS)</f>
        <v>-36.031904824002609</v>
      </c>
    </row>
    <row r="113" spans="8:20" x14ac:dyDescent="0.3">
      <c r="H113" s="22">
        <v>112</v>
      </c>
      <c r="I113" s="22" t="str">
        <f>IFERROR(INDEX(TableRBCalcPts[PLAYER],MATCH(TableRBRanks[[#This Row],[RK]],TableRBCalcPts[RK],0)),"")</f>
        <v>Mike Boone</v>
      </c>
      <c r="J113" s="22" t="str">
        <f>IFERROR(INDEX(TableRBCalcPts[TM],MATCH(TableRBRanks[[#This Row],[RK]],TableRBCalcPts[RK],0)),"")</f>
        <v>DEN</v>
      </c>
      <c r="K113" s="22">
        <f>IFERROR(INDEX(TableRBCalcPts[BYE],MATCH(TableRBRanks[[#This Row],[RK]],TableRBCalcPts[RK],0)),"")</f>
        <v>9</v>
      </c>
      <c r="L113" s="272">
        <f>IFERROR(INDEX(TableRBCalcPts[Custom],MATCH(TableRBRanks[[#This Row],[RK]],TableRBCalcPts[RK],0)),"")</f>
        <v>11.061972738905069</v>
      </c>
      <c r="M113" s="273">
        <f>(((VLOOKUP(TableRBRanks[[#This Row],[Player]],'OVR &amp; VORP Ranks'!$I:$M,5,FALSE)))/('OVR &amp; VORP Ranks'!$BM$6))*(Settings!$E$10*TEAMS)</f>
        <v>-45.725530048861295</v>
      </c>
      <c r="O113" s="22">
        <v>112</v>
      </c>
      <c r="P113" s="22" t="str">
        <f>IFERROR(INDEX(TableWRCalcPts[PLAYER],MATCH(TableWRRanks[[#This Row],[RK]],TableWRCalcPts[RK],0)),"")</f>
        <v>Amari Rodgers</v>
      </c>
      <c r="Q113" s="22" t="str">
        <f>IFERROR(INDEX(TableWRCalcPts[TM],MATCH(TableWRRanks[[#This Row],[RK]],TableWRCalcPts[RK],0)),"")</f>
        <v>GB</v>
      </c>
      <c r="R113" s="22">
        <f>IFERROR(INDEX(TableWRCalcPts[BYE],MATCH(TableWRRanks[[#This Row],[RK]],TableWRCalcPts[RK],0)),"")</f>
        <v>14</v>
      </c>
      <c r="S113" s="272">
        <f>IFERROR(INDEX(TableWRCalcPts[Custom],MATCH(TableWRRanks[[#This Row],[RK]],TableWRCalcPts[RK],0)),"")</f>
        <v>32.268086751033962</v>
      </c>
      <c r="T113" s="273">
        <f>(((VLOOKUP(TableWRRanks[[#This Row],[Player]],'OVR &amp; VORP Ranks'!$P:$T,5,FALSE)))/('OVR &amp; VORP Ranks'!$BM$6))*(Settings!$E$10*TEAMS)</f>
        <v>-36.130332145431588</v>
      </c>
    </row>
    <row r="114" spans="8:20" x14ac:dyDescent="0.3">
      <c r="H114" s="22">
        <v>113</v>
      </c>
      <c r="I114" s="22" t="str">
        <f>IFERROR(INDEX(TableRBCalcPts[PLAYER],MATCH(TableRBRanks[[#This Row],[RK]],TableRBCalcPts[RK],0)),"")</f>
        <v>Kene Nwangwu</v>
      </c>
      <c r="J114" s="22" t="str">
        <f>IFERROR(INDEX(TableRBCalcPts[TM],MATCH(TableRBRanks[[#This Row],[RK]],TableRBCalcPts[RK],0)),"")</f>
        <v>MIN</v>
      </c>
      <c r="K114" s="22">
        <f>IFERROR(INDEX(TableRBCalcPts[BYE],MATCH(TableRBRanks[[#This Row],[RK]],TableRBCalcPts[RK],0)),"")</f>
        <v>7</v>
      </c>
      <c r="L114" s="272">
        <f>IFERROR(INDEX(TableRBCalcPts[Custom],MATCH(TableRBRanks[[#This Row],[RK]],TableRBCalcPts[RK],0)),"")</f>
        <v>9.9852489395806376</v>
      </c>
      <c r="M114" s="273">
        <f>(((VLOOKUP(TableRBRanks[[#This Row],[Player]],'OVR &amp; VORP Ranks'!$I:$M,5,FALSE)))/('OVR &amp; VORP Ranks'!$BM$6))*(Settings!$E$10*TEAMS)</f>
        <v>-46.271013044522924</v>
      </c>
      <c r="O114" s="274">
        <v>113</v>
      </c>
      <c r="P114" s="22" t="str">
        <f>IFERROR(INDEX(TableWRCalcPts[PLAYER],MATCH(TableWRRanks[[#This Row],[RK]],TableWRCalcPts[RK],0)),"")</f>
        <v>Josh Reynolds</v>
      </c>
      <c r="Q114" s="22" t="str">
        <f>IFERROR(INDEX(TableWRCalcPts[TM],MATCH(TableWRRanks[[#This Row],[RK]],TableWRCalcPts[RK],0)),"")</f>
        <v>DET</v>
      </c>
      <c r="R114" s="22">
        <f>IFERROR(INDEX(TableWRCalcPts[BYE],MATCH(TableWRRanks[[#This Row],[RK]],TableWRCalcPts[RK],0)),"")</f>
        <v>6</v>
      </c>
      <c r="S114" s="272">
        <f>IFERROR(INDEX(TableWRCalcPts[Custom],MATCH(TableWRRanks[[#This Row],[RK]],TableWRCalcPts[RK],0)),"")</f>
        <v>29.669607801472058</v>
      </c>
      <c r="T114" s="273">
        <f>(((VLOOKUP(TableWRRanks[[#This Row],[Player]],'OVR &amp; VORP Ranks'!$P:$T,5,FALSE)))/('OVR &amp; VORP Ranks'!$BM$6))*(Settings!$E$10*TEAMS)</f>
        <v>-37.354302350555741</v>
      </c>
    </row>
    <row r="115" spans="8:20" x14ac:dyDescent="0.3">
      <c r="H115" s="22">
        <v>114</v>
      </c>
      <c r="I115" s="22" t="str">
        <f>IFERROR(INDEX(TableRBCalcPts[PLAYER],MATCH(TableRBRanks[[#This Row],[RK]],TableRBCalcPts[RK],0)),"")</f>
        <v>Trestan Ebner</v>
      </c>
      <c r="J115" s="22" t="str">
        <f>IFERROR(INDEX(TableRBCalcPts[TM],MATCH(TableRBRanks[[#This Row],[RK]],TableRBCalcPts[RK],0)),"")</f>
        <v>CHI</v>
      </c>
      <c r="K115" s="22">
        <f>IFERROR(INDEX(TableRBCalcPts[BYE],MATCH(TableRBRanks[[#This Row],[RK]],TableRBCalcPts[RK],0)),"")</f>
        <v>14</v>
      </c>
      <c r="L115" s="272">
        <f>IFERROR(INDEX(TableRBCalcPts[Custom],MATCH(TableRBRanks[[#This Row],[RK]],TableRBCalcPts[RK],0)),"")</f>
        <v>8.6639733459383361</v>
      </c>
      <c r="M115" s="273">
        <f>(((VLOOKUP(TableRBRanks[[#This Row],[Player]],'OVR &amp; VORP Ranks'!$I:$M,5,FALSE)))/('OVR &amp; VORP Ranks'!$BM$6))*(Settings!$E$10*TEAMS)</f>
        <v>-46.940389322233898</v>
      </c>
      <c r="O115" s="22">
        <v>114</v>
      </c>
      <c r="P115" s="274" t="str">
        <f>IFERROR(INDEX(TableWRCalcPts[PLAYER],MATCH(TableWRRanks[[#This Row],[RK]],TableWRCalcPts[RK],0)),"")</f>
        <v>Tyler Johnson</v>
      </c>
      <c r="Q115" s="22" t="str">
        <f>IFERROR(INDEX(TableWRCalcPts[TM],MATCH(TableWRRanks[[#This Row],[RK]],TableWRCalcPts[RK],0)),"")</f>
        <v>TB</v>
      </c>
      <c r="R115" s="22">
        <f>IFERROR(INDEX(TableWRCalcPts[BYE],MATCH(TableWRRanks[[#This Row],[RK]],TableWRCalcPts[RK],0)),"")</f>
        <v>11</v>
      </c>
      <c r="S115" s="272">
        <f>IFERROR(INDEX(TableWRCalcPts[Custom],MATCH(TableWRRanks[[#This Row],[RK]],TableWRCalcPts[RK],0)),"")</f>
        <v>29.439095558228555</v>
      </c>
      <c r="T115" s="273">
        <f>(((VLOOKUP(TableWRRanks[[#This Row],[Player]],'OVR &amp; VORP Ranks'!$P:$T,5,FALSE)))/('OVR &amp; VORP Ranks'!$BM$6))*(Settings!$E$10*TEAMS)</f>
        <v>-37.462881301212207</v>
      </c>
    </row>
    <row r="116" spans="8:20" x14ac:dyDescent="0.3">
      <c r="H116" s="22">
        <v>115</v>
      </c>
      <c r="I116" s="22" t="str">
        <f>IFERROR(INDEX(TableRBCalcPts[PLAYER],MATCH(TableRBRanks[[#This Row],[RK]],TableRBCalcPts[RK],0)),"")</f>
        <v>Mateo Durant</v>
      </c>
      <c r="J116" s="22" t="str">
        <f>IFERROR(INDEX(TableRBCalcPts[TM],MATCH(TableRBRanks[[#This Row],[RK]],TableRBCalcPts[RK],0)),"")</f>
        <v>PIT</v>
      </c>
      <c r="K116" s="22">
        <f>IFERROR(INDEX(TableRBCalcPts[BYE],MATCH(TableRBRanks[[#This Row],[RK]],TableRBCalcPts[RK],0)),"")</f>
        <v>9</v>
      </c>
      <c r="L116" s="272">
        <f>IFERROR(INDEX(TableRBCalcPts[Custom],MATCH(TableRBRanks[[#This Row],[RK]],TableRBCalcPts[RK],0)),"")</f>
        <v>8.5881778728159155</v>
      </c>
      <c r="M116" s="273">
        <f>(((VLOOKUP(TableRBRanks[[#This Row],[Player]],'OVR &amp; VORP Ranks'!$I:$M,5,FALSE)))/('OVR &amp; VORP Ranks'!$BM$6))*(Settings!$E$10*TEAMS)</f>
        <v>-46.978788345049544</v>
      </c>
      <c r="O116" s="22">
        <v>115</v>
      </c>
      <c r="P116" s="274" t="str">
        <f>IFERROR(INDEX(TableWRCalcPts[PLAYER],MATCH(TableWRRanks[[#This Row],[RK]],TableWRCalcPts[RK],0)),"")</f>
        <v>Tyquan Thornton</v>
      </c>
      <c r="Q116" s="22" t="str">
        <f>IFERROR(INDEX(TableWRCalcPts[TM],MATCH(TableWRRanks[[#This Row],[RK]],TableWRCalcPts[RK],0)),"")</f>
        <v>NE</v>
      </c>
      <c r="R116" s="22">
        <f>IFERROR(INDEX(TableWRCalcPts[BYE],MATCH(TableWRRanks[[#This Row],[RK]],TableWRCalcPts[RK],0)),"")</f>
        <v>10</v>
      </c>
      <c r="S116" s="272">
        <f>IFERROR(INDEX(TableWRCalcPts[Custom],MATCH(TableWRRanks[[#This Row],[RK]],TableWRCalcPts[RK],0)),"")</f>
        <v>28.18513651423002</v>
      </c>
      <c r="T116" s="273">
        <f>(((VLOOKUP(TableWRRanks[[#This Row],[Player]],'OVR &amp; VORP Ranks'!$P:$T,5,FALSE)))/('OVR &amp; VORP Ranks'!$BM$6))*(Settings!$E$10*TEAMS)</f>
        <v>-38.05353781145984</v>
      </c>
    </row>
    <row r="117" spans="8:20" x14ac:dyDescent="0.3">
      <c r="H117" s="22">
        <v>116</v>
      </c>
      <c r="I117" s="22" t="str">
        <f>IFERROR(INDEX(TableRBCalcPts[PLAYER],MATCH(TableRBRanks[[#This Row],[RK]],TableRBCalcPts[RK],0)),"")</f>
        <v>Larry Rountree</v>
      </c>
      <c r="J117" s="22" t="str">
        <f>IFERROR(INDEX(TableRBCalcPts[TM],MATCH(TableRBRanks[[#This Row],[RK]],TableRBCalcPts[RK],0)),"")</f>
        <v>LAC</v>
      </c>
      <c r="K117" s="22">
        <f>IFERROR(INDEX(TableRBCalcPts[BYE],MATCH(TableRBRanks[[#This Row],[RK]],TableRBCalcPts[RK],0)),"")</f>
        <v>8</v>
      </c>
      <c r="L117" s="272">
        <f>IFERROR(INDEX(TableRBCalcPts[Custom],MATCH(TableRBRanks[[#This Row],[RK]],TableRBCalcPts[RK],0)),"")</f>
        <v>8.1368825017856814</v>
      </c>
      <c r="M117" s="273">
        <f>(((VLOOKUP(TableRBRanks[[#This Row],[Player]],'OVR &amp; VORP Ranks'!$I:$M,5,FALSE)))/('OVR &amp; VORP Ranks'!$BM$6))*(Settings!$E$10*TEAMS)</f>
        <v>-47.207420749267087</v>
      </c>
      <c r="O117" s="274">
        <v>116</v>
      </c>
      <c r="P117" s="22" t="str">
        <f>IFERROR(INDEX(TableWRCalcPts[PLAYER],MATCH(TableWRRanks[[#This Row],[RK]],TableWRCalcPts[RK],0)),"")</f>
        <v>Damiere Byrd</v>
      </c>
      <c r="Q117" s="22" t="str">
        <f>IFERROR(INDEX(TableWRCalcPts[TM],MATCH(TableWRRanks[[#This Row],[RK]],TableWRCalcPts[RK],0)),"")</f>
        <v>ATL</v>
      </c>
      <c r="R117" s="22">
        <f>IFERROR(INDEX(TableWRCalcPts[BYE],MATCH(TableWRRanks[[#This Row],[RK]],TableWRCalcPts[RK],0)),"")</f>
        <v>14</v>
      </c>
      <c r="S117" s="272">
        <f>IFERROR(INDEX(TableWRCalcPts[Custom],MATCH(TableWRRanks[[#This Row],[RK]],TableWRCalcPts[RK],0)),"")</f>
        <v>26.381639591041044</v>
      </c>
      <c r="T117" s="273">
        <f>(((VLOOKUP(TableWRRanks[[#This Row],[Player]],'OVR &amp; VORP Ranks'!$P:$T,5,FALSE)))/('OVR &amp; VORP Ranks'!$BM$6))*(Settings!$E$10*TEAMS)</f>
        <v>-38.903044981563546</v>
      </c>
    </row>
    <row r="118" spans="8:20" x14ac:dyDescent="0.3">
      <c r="H118" s="22">
        <v>117</v>
      </c>
      <c r="I118" s="22" t="str">
        <f>IFERROR(INDEX(TableRBCalcPts[PLAYER],MATCH(TableRBRanks[[#This Row],[RK]],TableRBCalcPts[RK],0)),"")</f>
        <v>Trey Sermon</v>
      </c>
      <c r="J118" s="22" t="str">
        <f>IFERROR(INDEX(TableRBCalcPts[TM],MATCH(TableRBRanks[[#This Row],[RK]],TableRBCalcPts[RK],0)),"")</f>
        <v>SF</v>
      </c>
      <c r="K118" s="22">
        <f>IFERROR(INDEX(TableRBCalcPts[BYE],MATCH(TableRBRanks[[#This Row],[RK]],TableRBCalcPts[RK],0)),"")</f>
        <v>9</v>
      </c>
      <c r="L118" s="272">
        <f>IFERROR(INDEX(TableRBCalcPts[Custom],MATCH(TableRBRanks[[#This Row],[RK]],TableRBCalcPts[RK],0)),"")</f>
        <v>7.9660245732847432</v>
      </c>
      <c r="M118" s="273">
        <f>(((VLOOKUP(TableRBRanks[[#This Row],[Player]],'OVR &amp; VORP Ranks'!$I:$M,5,FALSE)))/('OVR &amp; VORP Ranks'!$BM$6))*(Settings!$E$10*TEAMS)</f>
        <v>-47.293979711490941</v>
      </c>
      <c r="O118" s="22">
        <v>117</v>
      </c>
      <c r="P118" s="274" t="str">
        <f>IFERROR(INDEX(TableWRCalcPts[PLAYER],MATCH(TableWRRanks[[#This Row],[RK]],TableWRCalcPts[RK],0)),"")</f>
        <v>Freddie Swain</v>
      </c>
      <c r="Q118" s="22" t="str">
        <f>IFERROR(INDEX(TableWRCalcPts[TM],MATCH(TableWRRanks[[#This Row],[RK]],TableWRCalcPts[RK],0)),"")</f>
        <v>SEA</v>
      </c>
      <c r="R118" s="22">
        <f>IFERROR(INDEX(TableWRCalcPts[BYE],MATCH(TableWRRanks[[#This Row],[RK]],TableWRCalcPts[RK],0)),"")</f>
        <v>11</v>
      </c>
      <c r="S118" s="272">
        <f>IFERROR(INDEX(TableWRCalcPts[Custom],MATCH(TableWRRanks[[#This Row],[RK]],TableWRCalcPts[RK],0)),"")</f>
        <v>25.723306522259342</v>
      </c>
      <c r="T118" s="273">
        <f>(((VLOOKUP(TableWRRanks[[#This Row],[Player]],'OVR &amp; VORP Ranks'!$P:$T,5,FALSE)))/('OVR &amp; VORP Ranks'!$BM$6))*(Settings!$E$10*TEAMS)</f>
        <v>-39.213141802387369</v>
      </c>
    </row>
    <row r="119" spans="8:20" x14ac:dyDescent="0.3">
      <c r="H119" s="22">
        <v>118</v>
      </c>
      <c r="I119" s="22" t="str">
        <f>IFERROR(INDEX(TableRBCalcPts[PLAYER],MATCH(TableRBRanks[[#This Row],[RK]],TableRBCalcPts[RK],0)),"")</f>
        <v>Jaret Patterson</v>
      </c>
      <c r="J119" s="22" t="str">
        <f>IFERROR(INDEX(TableRBCalcPts[TM],MATCH(TableRBRanks[[#This Row],[RK]],TableRBCalcPts[RK],0)),"")</f>
        <v>WSH</v>
      </c>
      <c r="K119" s="22">
        <f>IFERROR(INDEX(TableRBCalcPts[BYE],MATCH(TableRBRanks[[#This Row],[RK]],TableRBCalcPts[RK],0)),"")</f>
        <v>14</v>
      </c>
      <c r="L119" s="272">
        <f>IFERROR(INDEX(TableRBCalcPts[Custom],MATCH(TableRBRanks[[#This Row],[RK]],TableRBCalcPts[RK],0)),"")</f>
        <v>6.9914425224020054</v>
      </c>
      <c r="M119" s="273">
        <f>(((VLOOKUP(TableRBRanks[[#This Row],[Player]],'OVR &amp; VORP Ranks'!$I:$M,5,FALSE)))/('OVR &amp; VORP Ranks'!$BM$6))*(Settings!$E$10*TEAMS)</f>
        <v>-47.787716301103906</v>
      </c>
      <c r="O119" s="22">
        <v>118</v>
      </c>
      <c r="P119" s="274" t="str">
        <f>IFERROR(INDEX(TableWRCalcPts[PLAYER],MATCH(TableWRRanks[[#This Row],[RK]],TableWRCalcPts[RK],0)),"")</f>
        <v>Jalen Reagor</v>
      </c>
      <c r="Q119" s="22" t="str">
        <f>IFERROR(INDEX(TableWRCalcPts[TM],MATCH(TableWRRanks[[#This Row],[RK]],TableWRCalcPts[RK],0)),"")</f>
        <v>PHI</v>
      </c>
      <c r="R119" s="22">
        <f>IFERROR(INDEX(TableWRCalcPts[BYE],MATCH(TableWRRanks[[#This Row],[RK]],TableWRCalcPts[RK],0)),"")</f>
        <v>7</v>
      </c>
      <c r="S119" s="272">
        <f>IFERROR(INDEX(TableWRCalcPts[Custom],MATCH(TableWRRanks[[#This Row],[RK]],TableWRCalcPts[RK],0)),"")</f>
        <v>25.418517557427606</v>
      </c>
      <c r="T119" s="273">
        <f>(((VLOOKUP(TableWRRanks[[#This Row],[Player]],'OVR &amp; VORP Ranks'!$P:$T,5,FALSE)))/('OVR &amp; VORP Ranks'!$BM$6))*(Settings!$E$10*TEAMS)</f>
        <v>-39.356707564914544</v>
      </c>
    </row>
    <row r="120" spans="8:20" x14ac:dyDescent="0.3">
      <c r="H120" s="22">
        <v>119</v>
      </c>
      <c r="I120" s="22" t="str">
        <f>IFERROR(INDEX(TableRBCalcPts[PLAYER],MATCH(TableRBRanks[[#This Row],[RK]],TableRBCalcPts[RK],0)),"")</f>
        <v>Jerome Ford</v>
      </c>
      <c r="J120" s="22" t="str">
        <f>IFERROR(INDEX(TableRBCalcPts[TM],MATCH(TableRBRanks[[#This Row],[RK]],TableRBCalcPts[RK],0)),"")</f>
        <v>CLE</v>
      </c>
      <c r="K120" s="22">
        <f>IFERROR(INDEX(TableRBCalcPts[BYE],MATCH(TableRBRanks[[#This Row],[RK]],TableRBCalcPts[RK],0)),"")</f>
        <v>9</v>
      </c>
      <c r="L120" s="272">
        <f>IFERROR(INDEX(TableRBCalcPts[Custom],MATCH(TableRBRanks[[#This Row],[RK]],TableRBCalcPts[RK],0)),"")</f>
        <v>6.8140980805235944</v>
      </c>
      <c r="M120" s="273">
        <f>(((VLOOKUP(TableRBRanks[[#This Row],[Player]],'OVR &amp; VORP Ranks'!$I:$M,5,FALSE)))/('OVR &amp; VORP Ranks'!$BM$6))*(Settings!$E$10*TEAMS)</f>
        <v>-47.877561419676077</v>
      </c>
      <c r="O120" s="274">
        <v>119</v>
      </c>
      <c r="P120" s="22" t="str">
        <f>IFERROR(INDEX(TableWRCalcPts[PLAYER],MATCH(TableWRRanks[[#This Row],[RK]],TableWRCalcPts[RK],0)),"")</f>
        <v>Darius Slayton</v>
      </c>
      <c r="Q120" s="22" t="str">
        <f>IFERROR(INDEX(TableWRCalcPts[TM],MATCH(TableWRRanks[[#This Row],[RK]],TableWRCalcPts[RK],0)),"")</f>
        <v>NYG</v>
      </c>
      <c r="R120" s="22">
        <f>IFERROR(INDEX(TableWRCalcPts[BYE],MATCH(TableWRRanks[[#This Row],[RK]],TableWRCalcPts[RK],0)),"")</f>
        <v>9</v>
      </c>
      <c r="S120" s="272">
        <f>IFERROR(INDEX(TableWRCalcPts[Custom],MATCH(TableWRRanks[[#This Row],[RK]],TableWRCalcPts[RK],0)),"")</f>
        <v>25.280290759337788</v>
      </c>
      <c r="T120" s="273">
        <f>(((VLOOKUP(TableWRRanks[[#This Row],[Player]],'OVR &amp; VORP Ranks'!$P:$T,5,FALSE)))/('OVR &amp; VORP Ranks'!$BM$6))*(Settings!$E$10*TEAMS)</f>
        <v>-39.421816994583068</v>
      </c>
    </row>
    <row r="121" spans="8:20" x14ac:dyDescent="0.3">
      <c r="H121" s="22">
        <v>120</v>
      </c>
      <c r="I121" s="22" t="str">
        <f>IFERROR(INDEX(TableRBCalcPts[PLAYER],MATCH(TableRBRanks[[#This Row],[RK]],TableRBCalcPts[RK],0)),"")</f>
        <v>Kennedy Brooks</v>
      </c>
      <c r="J121" s="22" t="str">
        <f>IFERROR(INDEX(TableRBCalcPts[TM],MATCH(TableRBRanks[[#This Row],[RK]],TableRBCalcPts[RK],0)),"")</f>
        <v>PHI</v>
      </c>
      <c r="K121" s="22">
        <f>IFERROR(INDEX(TableRBCalcPts[BYE],MATCH(TableRBRanks[[#This Row],[RK]],TableRBCalcPts[RK],0)),"")</f>
        <v>7</v>
      </c>
      <c r="L121" s="272">
        <f>IFERROR(INDEX(TableRBCalcPts[Custom],MATCH(TableRBRanks[[#This Row],[RK]],TableRBCalcPts[RK],0)),"")</f>
        <v>6.7061968142944002</v>
      </c>
      <c r="M121" s="273">
        <f>(((VLOOKUP(TableRBRanks[[#This Row],[Player]],'OVR &amp; VORP Ranks'!$I:$M,5,FALSE)))/('OVR &amp; VORP Ranks'!$BM$6))*(Settings!$E$10*TEAMS)</f>
        <v>-47.932225676169075</v>
      </c>
      <c r="O121" s="22">
        <v>120</v>
      </c>
      <c r="P121" s="274" t="str">
        <f>IFERROR(INDEX(TableWRCalcPts[PLAYER],MATCH(TableWRRanks[[#This Row],[RK]],TableWRCalcPts[RK],0)),"")</f>
        <v>Ashton Dulin</v>
      </c>
      <c r="Q121" s="22" t="str">
        <f>IFERROR(INDEX(TableWRCalcPts[TM],MATCH(TableWRRanks[[#This Row],[RK]],TableWRCalcPts[RK],0)),"")</f>
        <v>IND</v>
      </c>
      <c r="R121" s="22">
        <f>IFERROR(INDEX(TableWRCalcPts[BYE],MATCH(TableWRRanks[[#This Row],[RK]],TableWRCalcPts[RK],0)),"")</f>
        <v>14</v>
      </c>
      <c r="S121" s="272">
        <f>IFERROR(INDEX(TableWRCalcPts[Custom],MATCH(TableWRRanks[[#This Row],[RK]],TableWRCalcPts[RK],0)),"")</f>
        <v>24.755205531254589</v>
      </c>
      <c r="T121" s="273">
        <f>(((VLOOKUP(TableWRRanks[[#This Row],[Player]],'OVR &amp; VORP Ranks'!$P:$T,5,FALSE)))/('OVR &amp; VORP Ranks'!$BM$6))*(Settings!$E$10*TEAMS)</f>
        <v>-39.669149640642416</v>
      </c>
    </row>
    <row r="122" spans="8:20" x14ac:dyDescent="0.3">
      <c r="H122" s="22">
        <v>121</v>
      </c>
      <c r="I122" s="22" t="str">
        <f>IFERROR(INDEX(TableRBCalcPts[PLAYER],MATCH(TableRBRanks[[#This Row],[RK]],TableRBCalcPts[RK],0)),"")</f>
        <v>Anthony McFarland</v>
      </c>
      <c r="J122" s="22" t="str">
        <f>IFERROR(INDEX(TableRBCalcPts[TM],MATCH(TableRBRanks[[#This Row],[RK]],TableRBCalcPts[RK],0)),"")</f>
        <v>PIT</v>
      </c>
      <c r="K122" s="22">
        <f>IFERROR(INDEX(TableRBCalcPts[BYE],MATCH(TableRBRanks[[#This Row],[RK]],TableRBCalcPts[RK],0)),"")</f>
        <v>9</v>
      </c>
      <c r="L122" s="272">
        <f>IFERROR(INDEX(TableRBCalcPts[Custom],MATCH(TableRBRanks[[#This Row],[RK]],TableRBCalcPts[RK],0)),"")</f>
        <v>6.3171757321495008</v>
      </c>
      <c r="M122" s="273">
        <f>(((VLOOKUP(TableRBRanks[[#This Row],[Player]],'OVR &amp; VORP Ranks'!$I:$M,5,FALSE)))/('OVR &amp; VORP Ranks'!$BM$6))*(Settings!$E$10*TEAMS)</f>
        <v>-48.12930907434145</v>
      </c>
      <c r="O122" s="22">
        <v>121</v>
      </c>
      <c r="P122" s="22" t="str">
        <f>IFERROR(INDEX(TableWRCalcPts[PLAYER],MATCH(TableWRRanks[[#This Row],[RK]],TableWRCalcPts[RK],0)),"")</f>
        <v>Breshad Perriman</v>
      </c>
      <c r="Q122" s="22" t="str">
        <f>IFERROR(INDEX(TableWRCalcPts[TM],MATCH(TableWRRanks[[#This Row],[RK]],TableWRCalcPts[RK],0)),"")</f>
        <v>TB</v>
      </c>
      <c r="R122" s="22">
        <f>IFERROR(INDEX(TableWRCalcPts[BYE],MATCH(TableWRRanks[[#This Row],[RK]],TableWRCalcPts[RK],0)),"")</f>
        <v>11</v>
      </c>
      <c r="S122" s="272">
        <f>IFERROR(INDEX(TableWRCalcPts[Custom],MATCH(TableWRRanks[[#This Row],[RK]],TableWRCalcPts[RK],0)),"")</f>
        <v>24.455010693231443</v>
      </c>
      <c r="T122" s="273">
        <f>(((VLOOKUP(TableWRRanks[[#This Row],[Player]],'OVR &amp; VORP Ranks'!$P:$T,5,FALSE)))/('OVR &amp; VORP Ranks'!$BM$6))*(Settings!$E$10*TEAMS)</f>
        <v>-39.810551416298267</v>
      </c>
    </row>
    <row r="123" spans="8:20" x14ac:dyDescent="0.3">
      <c r="H123" s="22">
        <v>122</v>
      </c>
      <c r="I123" s="22" t="str">
        <f>IFERROR(INDEX(TableRBCalcPts[PLAYER],MATCH(TableRBRanks[[#This Row],[RK]],TableRBCalcPts[RK],0)),"")</f>
        <v>Gary Brightwell</v>
      </c>
      <c r="J123" s="22" t="str">
        <f>IFERROR(INDEX(TableRBCalcPts[TM],MATCH(TableRBRanks[[#This Row],[RK]],TableRBCalcPts[RK],0)),"")</f>
        <v>NYG</v>
      </c>
      <c r="K123" s="22">
        <f>IFERROR(INDEX(TableRBCalcPts[BYE],MATCH(TableRBRanks[[#This Row],[RK]],TableRBCalcPts[RK],0)),"")</f>
        <v>9</v>
      </c>
      <c r="L123" s="272">
        <f>IFERROR(INDEX(TableRBCalcPts[Custom],MATCH(TableRBRanks[[#This Row],[RK]],TableRBCalcPts[RK],0)),"")</f>
        <v>5.7487981486157302</v>
      </c>
      <c r="M123" s="273">
        <f>(((VLOOKUP(TableRBRanks[[#This Row],[Player]],'OVR &amp; VORP Ranks'!$I:$M,5,FALSE)))/('OVR &amp; VORP Ranks'!$BM$6))*(Settings!$E$10*TEAMS)</f>
        <v>-48.41725692793905</v>
      </c>
      <c r="O123" s="274">
        <v>122</v>
      </c>
      <c r="P123" s="22" t="str">
        <f>IFERROR(INDEX(TableWRCalcPts[PLAYER],MATCH(TableWRRanks[[#This Row],[RK]],TableWRCalcPts[RK],0)),"")</f>
        <v>Zach Pascal</v>
      </c>
      <c r="Q123" s="22" t="str">
        <f>IFERROR(INDEX(TableWRCalcPts[TM],MATCH(TableWRRanks[[#This Row],[RK]],TableWRCalcPts[RK],0)),"")</f>
        <v>PHI</v>
      </c>
      <c r="R123" s="22">
        <f>IFERROR(INDEX(TableWRCalcPts[BYE],MATCH(TableWRRanks[[#This Row],[RK]],TableWRCalcPts[RK],0)),"")</f>
        <v>7</v>
      </c>
      <c r="S123" s="272">
        <f>IFERROR(INDEX(TableWRCalcPts[Custom],MATCH(TableWRRanks[[#This Row],[RK]],TableWRCalcPts[RK],0)),"")</f>
        <v>23.786128114823704</v>
      </c>
      <c r="T123" s="273">
        <f>(((VLOOKUP(TableWRRanks[[#This Row],[Player]],'OVR &amp; VORP Ranks'!$P:$T,5,FALSE)))/('OVR &amp; VORP Ranks'!$BM$6))*(Settings!$E$10*TEAMS)</f>
        <v>-40.125617407822162</v>
      </c>
    </row>
    <row r="124" spans="8:20" x14ac:dyDescent="0.3">
      <c r="H124" s="22">
        <v>123</v>
      </c>
      <c r="I124" s="22" t="str">
        <f>IFERROR(INDEX(TableRBCalcPts[PLAYER],MATCH(TableRBRanks[[#This Row],[RK]],TableRBCalcPts[RK],0)),"")</f>
        <v>Jake Funk</v>
      </c>
      <c r="J124" s="22" t="str">
        <f>IFERROR(INDEX(TableRBCalcPts[TM],MATCH(TableRBRanks[[#This Row],[RK]],TableRBCalcPts[RK],0)),"")</f>
        <v>LAR</v>
      </c>
      <c r="K124" s="22">
        <f>IFERROR(INDEX(TableRBCalcPts[BYE],MATCH(TableRBRanks[[#This Row],[RK]],TableRBCalcPts[RK],0)),"")</f>
        <v>7</v>
      </c>
      <c r="L124" s="272">
        <f>IFERROR(INDEX(TableRBCalcPts[Custom],MATCH(TableRBRanks[[#This Row],[RK]],TableRBCalcPts[RK],0)),"")</f>
        <v>5.6878614075559746</v>
      </c>
      <c r="M124" s="273">
        <f>(((VLOOKUP(TableRBRanks[[#This Row],[Player]],'OVR &amp; VORP Ranks'!$I:$M,5,FALSE)))/('OVR &amp; VORP Ranks'!$BM$6))*(Settings!$E$10*TEAMS)</f>
        <v>-48.448128313971367</v>
      </c>
      <c r="O124" s="22">
        <v>123</v>
      </c>
      <c r="P124" s="22" t="str">
        <f>IFERROR(INDEX(TableWRCalcPts[PLAYER],MATCH(TableWRRanks[[#This Row],[RK]],TableWRCalcPts[RK],0)),"")</f>
        <v>Jaylon Moore</v>
      </c>
      <c r="Q124" s="22" t="str">
        <f>IFERROR(INDEX(TableWRCalcPts[TM],MATCH(TableWRRanks[[#This Row],[RK]],TableWRCalcPts[RK],0)),"")</f>
        <v>BAL</v>
      </c>
      <c r="R124" s="22">
        <f>IFERROR(INDEX(TableWRCalcPts[BYE],MATCH(TableWRRanks[[#This Row],[RK]],TableWRCalcPts[RK],0)),"")</f>
        <v>10</v>
      </c>
      <c r="S124" s="272">
        <f>IFERROR(INDEX(TableWRCalcPts[Custom],MATCH(TableWRRanks[[#This Row],[RK]],TableWRCalcPts[RK],0)),"")</f>
        <v>23.760689221327276</v>
      </c>
      <c r="T124" s="273">
        <f>(((VLOOKUP(TableWRRanks[[#This Row],[Player]],'OVR &amp; VORP Ranks'!$P:$T,5,FALSE)))/('OVR &amp; VORP Ranks'!$BM$6))*(Settings!$E$10*TEAMS)</f>
        <v>-40.137599974660425</v>
      </c>
    </row>
    <row r="125" spans="8:20" x14ac:dyDescent="0.3">
      <c r="H125" s="22">
        <v>124</v>
      </c>
      <c r="I125" s="22" t="str">
        <f>IFERROR(INDEX(TableRBCalcPts[PLAYER],MATCH(TableRBRanks[[#This Row],[RK]],TableRBCalcPts[RK],0)),"")</f>
        <v>Ryquell Armstead</v>
      </c>
      <c r="J125" s="22" t="str">
        <f>IFERROR(INDEX(TableRBCalcPts[TM],MATCH(TableRBRanks[[#This Row],[RK]],TableRBCalcPts[RK],0)),"")</f>
        <v>JAX</v>
      </c>
      <c r="K125" s="22">
        <f>IFERROR(INDEX(TableRBCalcPts[BYE],MATCH(TableRBRanks[[#This Row],[RK]],TableRBCalcPts[RK],0)),"")</f>
        <v>11</v>
      </c>
      <c r="L125" s="272">
        <f>IFERROR(INDEX(TableRBCalcPts[Custom],MATCH(TableRBRanks[[#This Row],[RK]],TableRBCalcPts[RK],0)),"")</f>
        <v>5.2273271528490284</v>
      </c>
      <c r="M125" s="273">
        <f>(((VLOOKUP(TableRBRanks[[#This Row],[Player]],'OVR &amp; VORP Ranks'!$I:$M,5,FALSE)))/('OVR &amp; VORP Ranks'!$BM$6))*(Settings!$E$10*TEAMS)</f>
        <v>-48.681441262956014</v>
      </c>
      <c r="O125" s="22">
        <v>124</v>
      </c>
      <c r="P125" s="274" t="str">
        <f>IFERROR(INDEX(TableWRCalcPts[PLAYER],MATCH(TableWRRanks[[#This Row],[RK]],TableWRCalcPts[RK],0)),"")</f>
        <v>Dyami Brown</v>
      </c>
      <c r="Q125" s="22" t="str">
        <f>IFERROR(INDEX(TableWRCalcPts[TM],MATCH(TableWRRanks[[#This Row],[RK]],TableWRCalcPts[RK],0)),"")</f>
        <v>WSH</v>
      </c>
      <c r="R125" s="22">
        <f>IFERROR(INDEX(TableWRCalcPts[BYE],MATCH(TableWRRanks[[#This Row],[RK]],TableWRCalcPts[RK],0)),"")</f>
        <v>14</v>
      </c>
      <c r="S125" s="272">
        <f>IFERROR(INDEX(TableWRCalcPts[Custom],MATCH(TableWRRanks[[#This Row],[RK]],TableWRCalcPts[RK],0)),"")</f>
        <v>23.658623331692777</v>
      </c>
      <c r="T125" s="273">
        <f>(((VLOOKUP(TableWRRanks[[#This Row],[Player]],'OVR &amp; VORP Ranks'!$P:$T,5,FALSE)))/('OVR &amp; VORP Ranks'!$BM$6))*(Settings!$E$10*TEAMS)</f>
        <v>-40.185676411028396</v>
      </c>
    </row>
    <row r="126" spans="8:20" x14ac:dyDescent="0.3">
      <c r="H126" s="22">
        <v>125</v>
      </c>
      <c r="I126" s="22" t="str">
        <f>IFERROR(INDEX(TableRBCalcPts[PLAYER],MATCH(TableRBRanks[[#This Row],[RK]],TableRBCalcPts[RK],0)),"")</f>
        <v/>
      </c>
      <c r="J126" s="22" t="str">
        <f>IFERROR(INDEX(TableRBCalcPts[TM],MATCH(TableRBRanks[[#This Row],[RK]],TableRBCalcPts[RK],0)),"")</f>
        <v/>
      </c>
      <c r="K126" s="22" t="str">
        <f>IFERROR(INDEX(TableRBCalcPts[BYE],MATCH(TableRBRanks[[#This Row],[RK]],TableRBCalcPts[RK],0)),"")</f>
        <v/>
      </c>
      <c r="L126" s="272" t="str">
        <f>IFERROR(INDEX(TableRBCalcPts[Custom],MATCH(TableRBRanks[[#This Row],[RK]],TableRBCalcPts[RK],0)),"")</f>
        <v/>
      </c>
      <c r="M126" s="273" t="e">
        <f>(((VLOOKUP(TableRBRanks[[#This Row],[Player]],'OVR &amp; VORP Ranks'!$I:$M,5,FALSE)))/('OVR &amp; VORP Ranks'!$BM$6))*(Settings!$E$10*TEAMS)</f>
        <v>#VALUE!</v>
      </c>
      <c r="O126" s="274">
        <v>125</v>
      </c>
      <c r="P126" s="274" t="str">
        <f>IFERROR(INDEX(TableWRCalcPts[PLAYER],MATCH(TableWRRanks[[#This Row],[RK]],TableWRCalcPts[RK],0)),"")</f>
        <v>Rashard Higgins</v>
      </c>
      <c r="Q126" s="22" t="str">
        <f>IFERROR(INDEX(TableWRCalcPts[TM],MATCH(TableWRRanks[[#This Row],[RK]],TableWRCalcPts[RK],0)),"")</f>
        <v>CAR</v>
      </c>
      <c r="R126" s="22">
        <f>IFERROR(INDEX(TableWRCalcPts[BYE],MATCH(TableWRRanks[[#This Row],[RK]],TableWRCalcPts[RK],0)),"")</f>
        <v>13</v>
      </c>
      <c r="S126" s="272">
        <f>IFERROR(INDEX(TableWRCalcPts[Custom],MATCH(TableWRRanks[[#This Row],[RK]],TableWRCalcPts[RK],0)),"")</f>
        <v>23.388939153604547</v>
      </c>
      <c r="T126" s="273">
        <f>(((VLOOKUP(TableWRRanks[[#This Row],[Player]],'OVR &amp; VORP Ranks'!$P:$T,5,FALSE)))/('OVR &amp; VORP Ranks'!$BM$6))*(Settings!$E$10*TEAMS)</f>
        <v>-40.312706648786929</v>
      </c>
    </row>
    <row r="127" spans="8:20" x14ac:dyDescent="0.3">
      <c r="H127" s="22">
        <v>126</v>
      </c>
      <c r="I127" s="22" t="str">
        <f>IFERROR(INDEX(TableRBCalcPts[PLAYER],MATCH(TableRBRanks[[#This Row],[RK]],TableRBCalcPts[RK],0)),"")</f>
        <v/>
      </c>
      <c r="J127" s="22" t="str">
        <f>IFERROR(INDEX(TableRBCalcPts[TM],MATCH(TableRBRanks[[#This Row],[RK]],TableRBCalcPts[RK],0)),"")</f>
        <v/>
      </c>
      <c r="K127" s="22" t="str">
        <f>IFERROR(INDEX(TableRBCalcPts[BYE],MATCH(TableRBRanks[[#This Row],[RK]],TableRBCalcPts[RK],0)),"")</f>
        <v/>
      </c>
      <c r="L127" s="272" t="str">
        <f>IFERROR(INDEX(TableRBCalcPts[Custom],MATCH(TableRBRanks[[#This Row],[RK]],TableRBCalcPts[RK],0)),"")</f>
        <v/>
      </c>
      <c r="M127" s="273" t="e">
        <f>(((VLOOKUP(TableRBRanks[[#This Row],[Player]],'OVR &amp; VORP Ranks'!$I:$M,5,FALSE)))/('OVR &amp; VORP Ranks'!$BM$6))*(Settings!$E$10*TEAMS)</f>
        <v>#VALUE!</v>
      </c>
      <c r="O127" s="22">
        <v>126</v>
      </c>
      <c r="P127" s="22" t="str">
        <f>IFERROR(INDEX(TableWRCalcPts[PLAYER],MATCH(TableWRRanks[[#This Row],[RK]],TableWRCalcPts[RK],0)),"")</f>
        <v>Auden Tate</v>
      </c>
      <c r="Q127" s="22" t="str">
        <f>IFERROR(INDEX(TableWRCalcPts[TM],MATCH(TableWRRanks[[#This Row],[RK]],TableWRCalcPts[RK],0)),"")</f>
        <v>ATL</v>
      </c>
      <c r="R127" s="22">
        <f>IFERROR(INDEX(TableWRCalcPts[BYE],MATCH(TableWRRanks[[#This Row],[RK]],TableWRCalcPts[RK],0)),"")</f>
        <v>14</v>
      </c>
      <c r="S127" s="272">
        <f>IFERROR(INDEX(TableWRCalcPts[Custom],MATCH(TableWRRanks[[#This Row],[RK]],TableWRCalcPts[RK],0)),"")</f>
        <v>22.711400034276718</v>
      </c>
      <c r="T127" s="273">
        <f>(((VLOOKUP(TableWRRanks[[#This Row],[Player]],'OVR &amp; VORP Ranks'!$P:$T,5,FALSE)))/('OVR &amp; VORP Ranks'!$BM$6))*(Settings!$E$10*TEAMS)</f>
        <v>-40.631850159648593</v>
      </c>
    </row>
    <row r="128" spans="8:20" x14ac:dyDescent="0.3">
      <c r="H128" s="22">
        <v>127</v>
      </c>
      <c r="I128" s="22" t="str">
        <f>IFERROR(INDEX(TableRBCalcPts[PLAYER],MATCH(TableRBRanks[[#This Row],[RK]],TableRBCalcPts[RK],0)),"")</f>
        <v/>
      </c>
      <c r="J128" s="22" t="str">
        <f>IFERROR(INDEX(TableRBCalcPts[TM],MATCH(TableRBRanks[[#This Row],[RK]],TableRBCalcPts[RK],0)),"")</f>
        <v/>
      </c>
      <c r="K128" s="22" t="str">
        <f>IFERROR(INDEX(TableRBCalcPts[BYE],MATCH(TableRBRanks[[#This Row],[RK]],TableRBCalcPts[RK],0)),"")</f>
        <v/>
      </c>
      <c r="L128" s="272" t="str">
        <f>IFERROR(INDEX(TableRBCalcPts[Custom],MATCH(TableRBRanks[[#This Row],[RK]],TableRBCalcPts[RK],0)),"")</f>
        <v/>
      </c>
      <c r="M128" s="273" t="e">
        <f>(((VLOOKUP(TableRBRanks[[#This Row],[Player]],'OVR &amp; VORP Ranks'!$I:$M,5,FALSE)))/('OVR &amp; VORP Ranks'!$BM$6))*(Settings!$E$10*TEAMS)</f>
        <v>#VALUE!</v>
      </c>
      <c r="O128" s="22">
        <v>127</v>
      </c>
      <c r="P128" s="22" t="str">
        <f>IFERROR(INDEX(TableWRCalcPts[PLAYER],MATCH(TableWRRanks[[#This Row],[RK]],TableWRCalcPts[RK],0)),"")</f>
        <v>Noah Brown</v>
      </c>
      <c r="Q128" s="22" t="str">
        <f>IFERROR(INDEX(TableWRCalcPts[TM],MATCH(TableWRRanks[[#This Row],[RK]],TableWRCalcPts[RK],0)),"")</f>
        <v>DAL</v>
      </c>
      <c r="R128" s="22">
        <f>IFERROR(INDEX(TableWRCalcPts[BYE],MATCH(TableWRRanks[[#This Row],[RK]],TableWRCalcPts[RK],0)),"")</f>
        <v>9</v>
      </c>
      <c r="S128" s="272">
        <f>IFERROR(INDEX(TableWRCalcPts[Custom],MATCH(TableWRRanks[[#This Row],[RK]],TableWRCalcPts[RK],0)),"")</f>
        <v>22.327059721988597</v>
      </c>
      <c r="T128" s="273">
        <f>(((VLOOKUP(TableWRRanks[[#This Row],[Player]],'OVR &amp; VORP Ranks'!$P:$T,5,FALSE)))/('OVR &amp; VORP Ranks'!$BM$6))*(Settings!$E$10*TEAMS)</f>
        <v>-40.812887258659181</v>
      </c>
    </row>
    <row r="129" spans="8:20" x14ac:dyDescent="0.3">
      <c r="H129" s="22">
        <v>128</v>
      </c>
      <c r="I129" s="22" t="str">
        <f>IFERROR(INDEX(TableRBCalcPts[PLAYER],MATCH(TableRBRanks[[#This Row],[RK]],TableRBCalcPts[RK],0)),"")</f>
        <v/>
      </c>
      <c r="J129" s="22" t="str">
        <f>IFERROR(INDEX(TableRBCalcPts[TM],MATCH(TableRBRanks[[#This Row],[RK]],TableRBCalcPts[RK],0)),"")</f>
        <v/>
      </c>
      <c r="K129" s="22" t="str">
        <f>IFERROR(INDEX(TableRBCalcPts[BYE],MATCH(TableRBRanks[[#This Row],[RK]],TableRBCalcPts[RK],0)),"")</f>
        <v/>
      </c>
      <c r="L129" s="272" t="str">
        <f>IFERROR(INDEX(TableRBCalcPts[Custom],MATCH(TableRBRanks[[#This Row],[RK]],TableRBCalcPts[RK],0)),"")</f>
        <v/>
      </c>
      <c r="M129" s="273" t="e">
        <f>(((VLOOKUP(TableRBRanks[[#This Row],[Player]],'OVR &amp; VORP Ranks'!$I:$M,5,FALSE)))/('OVR &amp; VORP Ranks'!$BM$6))*(Settings!$E$10*TEAMS)</f>
        <v>#VALUE!</v>
      </c>
      <c r="O129" s="274">
        <v>128</v>
      </c>
      <c r="P129" s="274" t="str">
        <f>IFERROR(INDEX(TableWRCalcPts[PLAYER],MATCH(TableWRRanks[[#This Row],[RK]],TableWRCalcPts[RK],0)),"")</f>
        <v>KhaDarel Hodge</v>
      </c>
      <c r="Q129" s="22" t="str">
        <f>IFERROR(INDEX(TableWRCalcPts[TM],MATCH(TableWRRanks[[#This Row],[RK]],TableWRCalcPts[RK],0)),"")</f>
        <v>ATL</v>
      </c>
      <c r="R129" s="22">
        <f>IFERROR(INDEX(TableWRCalcPts[BYE],MATCH(TableWRRanks[[#This Row],[RK]],TableWRCalcPts[RK],0)),"")</f>
        <v>14</v>
      </c>
      <c r="S129" s="272">
        <f>IFERROR(INDEX(TableWRCalcPts[Custom],MATCH(TableWRRanks[[#This Row],[RK]],TableWRCalcPts[RK],0)),"")</f>
        <v>22.265489269749821</v>
      </c>
      <c r="T129" s="273">
        <f>(((VLOOKUP(TableWRRanks[[#This Row],[Player]],'OVR &amp; VORP Ranks'!$P:$T,5,FALSE)))/('OVR &amp; VORP Ranks'!$BM$6))*(Settings!$E$10*TEAMS)</f>
        <v>-40.841888994104828</v>
      </c>
    </row>
    <row r="130" spans="8:20" x14ac:dyDescent="0.3">
      <c r="H130" s="22">
        <v>129</v>
      </c>
      <c r="I130" s="22" t="str">
        <f>IFERROR(INDEX(TableRBCalcPts[PLAYER],MATCH(TableRBRanks[[#This Row],[RK]],TableRBCalcPts[RK],0)),"")</f>
        <v/>
      </c>
      <c r="J130" s="22" t="str">
        <f>IFERROR(INDEX(TableRBCalcPts[TM],MATCH(TableRBRanks[[#This Row],[RK]],TableRBCalcPts[RK],0)),"")</f>
        <v/>
      </c>
      <c r="K130" s="22" t="str">
        <f>IFERROR(INDEX(TableRBCalcPts[BYE],MATCH(TableRBRanks[[#This Row],[RK]],TableRBCalcPts[RK],0)),"")</f>
        <v/>
      </c>
      <c r="L130" s="272" t="str">
        <f>IFERROR(INDEX(TableRBCalcPts[Custom],MATCH(TableRBRanks[[#This Row],[RK]],TableRBCalcPts[RK],0)),"")</f>
        <v/>
      </c>
      <c r="M130" s="273" t="e">
        <f>(((VLOOKUP(TableRBRanks[[#This Row],[Player]],'OVR &amp; VORP Ranks'!$I:$M,5,FALSE)))/('OVR &amp; VORP Ranks'!$BM$6))*(Settings!$E$10*TEAMS)</f>
        <v>#VALUE!</v>
      </c>
      <c r="O130" s="22">
        <v>129</v>
      </c>
      <c r="P130" s="22" t="str">
        <f>IFERROR(INDEX(TableWRCalcPts[PLAYER],MATCH(TableWRRanks[[#This Row],[RK]],TableWRCalcPts[RK],0)),"")</f>
        <v>Ben Skowronek</v>
      </c>
      <c r="Q130" s="22" t="str">
        <f>IFERROR(INDEX(TableWRCalcPts[TM],MATCH(TableWRRanks[[#This Row],[RK]],TableWRCalcPts[RK],0)),"")</f>
        <v>LAR</v>
      </c>
      <c r="R130" s="22">
        <f>IFERROR(INDEX(TableWRCalcPts[BYE],MATCH(TableWRRanks[[#This Row],[RK]],TableWRCalcPts[RK],0)),"")</f>
        <v>7</v>
      </c>
      <c r="S130" s="272">
        <f>IFERROR(INDEX(TableWRCalcPts[Custom],MATCH(TableWRRanks[[#This Row],[RK]],TableWRCalcPts[RK],0)),"")</f>
        <v>22.067779718861189</v>
      </c>
      <c r="T130" s="273">
        <f>(((VLOOKUP(TableWRRanks[[#This Row],[Player]],'OVR &amp; VORP Ranks'!$P:$T,5,FALSE)))/('OVR &amp; VORP Ranks'!$BM$6))*(Settings!$E$10*TEAMS)</f>
        <v>-40.93501678318966</v>
      </c>
    </row>
    <row r="131" spans="8:20" x14ac:dyDescent="0.3">
      <c r="H131" s="22">
        <v>130</v>
      </c>
      <c r="I131" s="22" t="str">
        <f>IFERROR(INDEX(TableRBCalcPts[PLAYER],MATCH(TableRBRanks[[#This Row],[RK]],TableRBCalcPts[RK],0)),"")</f>
        <v/>
      </c>
      <c r="J131" s="22" t="str">
        <f>IFERROR(INDEX(TableRBCalcPts[TM],MATCH(TableRBRanks[[#This Row],[RK]],TableRBCalcPts[RK],0)),"")</f>
        <v/>
      </c>
      <c r="K131" s="22" t="str">
        <f>IFERROR(INDEX(TableRBCalcPts[BYE],MATCH(TableRBRanks[[#This Row],[RK]],TableRBCalcPts[RK],0)),"")</f>
        <v/>
      </c>
      <c r="L131" s="272" t="str">
        <f>IFERROR(INDEX(TableRBCalcPts[Custom],MATCH(TableRBRanks[[#This Row],[RK]],TableRBCalcPts[RK],0)),"")</f>
        <v/>
      </c>
      <c r="M131" s="273" t="e">
        <f>(((VLOOKUP(TableRBRanks[[#This Row],[Player]],'OVR &amp; VORP Ranks'!$I:$M,5,FALSE)))/('OVR &amp; VORP Ranks'!$BM$6))*(Settings!$E$10*TEAMS)</f>
        <v>#VALUE!</v>
      </c>
      <c r="O131" s="22">
        <v>130</v>
      </c>
      <c r="P131" s="274" t="str">
        <f>IFERROR(INDEX(TableWRCalcPts[PLAYER],MATCH(TableWRRanks[[#This Row],[RK]],TableWRCalcPts[RK],0)),"")</f>
        <v>Malik Turner</v>
      </c>
      <c r="Q131" s="22" t="str">
        <f>IFERROR(INDEX(TableWRCalcPts[TM],MATCH(TableWRRanks[[#This Row],[RK]],TableWRCalcPts[RK],0)),"")</f>
        <v>SF</v>
      </c>
      <c r="R131" s="22">
        <f>IFERROR(INDEX(TableWRCalcPts[BYE],MATCH(TableWRRanks[[#This Row],[RK]],TableWRCalcPts[RK],0)),"")</f>
        <v>9</v>
      </c>
      <c r="S131" s="272">
        <f>IFERROR(INDEX(TableWRCalcPts[Custom],MATCH(TableWRRanks[[#This Row],[RK]],TableWRCalcPts[RK],0)),"")</f>
        <v>21.770513630880117</v>
      </c>
      <c r="T131" s="273">
        <f>(((VLOOKUP(TableWRRanks[[#This Row],[Player]],'OVR &amp; VORP Ranks'!$P:$T,5,FALSE)))/('OVR &amp; VORP Ranks'!$BM$6))*(Settings!$E$10*TEAMS)</f>
        <v>-41.075039019946274</v>
      </c>
    </row>
    <row r="132" spans="8:20" x14ac:dyDescent="0.3">
      <c r="H132" s="22">
        <v>131</v>
      </c>
      <c r="I132" s="22" t="str">
        <f>IFERROR(INDEX(TableRBCalcPts[PLAYER],MATCH(TableRBRanks[[#This Row],[RK]],TableRBCalcPts[RK],0)),"")</f>
        <v/>
      </c>
      <c r="J132" s="22" t="str">
        <f>IFERROR(INDEX(TableRBCalcPts[TM],MATCH(TableRBRanks[[#This Row],[RK]],TableRBCalcPts[RK],0)),"")</f>
        <v/>
      </c>
      <c r="K132" s="22" t="str">
        <f>IFERROR(INDEX(TableRBCalcPts[BYE],MATCH(TableRBRanks[[#This Row],[RK]],TableRBCalcPts[RK],0)),"")</f>
        <v/>
      </c>
      <c r="L132" s="272" t="str">
        <f>IFERROR(INDEX(TableRBCalcPts[Custom],MATCH(TableRBRanks[[#This Row],[RK]],TableRBCalcPts[RK],0)),"")</f>
        <v/>
      </c>
      <c r="M132" s="273" t="e">
        <f>(((VLOOKUP(TableRBRanks[[#This Row],[Player]],'OVR &amp; VORP Ranks'!$I:$M,5,FALSE)))/('OVR &amp; VORP Ranks'!$BM$6))*(Settings!$E$10*TEAMS)</f>
        <v>#VALUE!</v>
      </c>
      <c r="O132" s="274">
        <v>131</v>
      </c>
      <c r="P132" s="274" t="str">
        <f>IFERROR(INDEX(TableWRCalcPts[PLAYER],MATCH(TableWRRanks[[#This Row],[RK]],TableWRCalcPts[RK],0)),"")</f>
        <v>Equanimeous St. Brown</v>
      </c>
      <c r="Q132" s="22" t="str">
        <f>IFERROR(INDEX(TableWRCalcPts[TM],MATCH(TableWRRanks[[#This Row],[RK]],TableWRCalcPts[RK],0)),"")</f>
        <v>CHI</v>
      </c>
      <c r="R132" s="22">
        <f>IFERROR(INDEX(TableWRCalcPts[BYE],MATCH(TableWRRanks[[#This Row],[RK]],TableWRCalcPts[RK],0)),"")</f>
        <v>14</v>
      </c>
      <c r="S132" s="272">
        <f>IFERROR(INDEX(TableWRCalcPts[Custom],MATCH(TableWRRanks[[#This Row],[RK]],TableWRCalcPts[RK],0)),"")</f>
        <v>21.07897725115906</v>
      </c>
      <c r="T132" s="273">
        <f>(((VLOOKUP(TableWRRanks[[#This Row],[Player]],'OVR &amp; VORP Ranks'!$P:$T,5,FALSE)))/('OVR &amp; VORP Ranks'!$BM$6))*(Settings!$E$10*TEAMS)</f>
        <v>-41.40077570704959</v>
      </c>
    </row>
    <row r="133" spans="8:20" x14ac:dyDescent="0.3">
      <c r="H133" s="22">
        <v>132</v>
      </c>
      <c r="I133" s="22" t="str">
        <f>IFERROR(INDEX(TableRBCalcPts[PLAYER],MATCH(TableRBRanks[[#This Row],[RK]],TableRBCalcPts[RK],0)),"")</f>
        <v/>
      </c>
      <c r="J133" s="22" t="str">
        <f>IFERROR(INDEX(TableRBCalcPts[TM],MATCH(TableRBRanks[[#This Row],[RK]],TableRBCalcPts[RK],0)),"")</f>
        <v/>
      </c>
      <c r="K133" s="22" t="str">
        <f>IFERROR(INDEX(TableRBCalcPts[BYE],MATCH(TableRBRanks[[#This Row],[RK]],TableRBCalcPts[RK],0)),"")</f>
        <v/>
      </c>
      <c r="L133" s="272" t="str">
        <f>IFERROR(INDEX(TableRBCalcPts[Custom],MATCH(TableRBRanks[[#This Row],[RK]],TableRBCalcPts[RK],0)),"")</f>
        <v/>
      </c>
      <c r="M133" s="273" t="e">
        <f>(((VLOOKUP(TableRBRanks[[#This Row],[Player]],'OVR &amp; VORP Ranks'!$I:$M,5,FALSE)))/('OVR &amp; VORP Ranks'!$BM$6))*(Settings!$E$10*TEAMS)</f>
        <v>#VALUE!</v>
      </c>
      <c r="O133" s="22">
        <v>132</v>
      </c>
      <c r="P133" s="274" t="str">
        <f>IFERROR(INDEX(TableWRCalcPts[PLAYER],MATCH(TableWRRanks[[#This Row],[RK]],TableWRCalcPts[RK],0)),"")</f>
        <v>Tre'Quan Smith</v>
      </c>
      <c r="Q133" s="22" t="str">
        <f>IFERROR(INDEX(TableWRCalcPts[TM],MATCH(TableWRRanks[[#This Row],[RK]],TableWRCalcPts[RK],0)),"")</f>
        <v>NO</v>
      </c>
      <c r="R133" s="22">
        <f>IFERROR(INDEX(TableWRCalcPts[BYE],MATCH(TableWRRanks[[#This Row],[RK]],TableWRCalcPts[RK],0)),"")</f>
        <v>14</v>
      </c>
      <c r="S133" s="272">
        <f>IFERROR(INDEX(TableWRCalcPts[Custom],MATCH(TableWRRanks[[#This Row],[RK]],TableWRCalcPts[RK],0)),"")</f>
        <v>20.717203124655729</v>
      </c>
      <c r="T133" s="273">
        <f>(((VLOOKUP(TableWRRanks[[#This Row],[Player]],'OVR &amp; VORP Ranks'!$P:$T,5,FALSE)))/('OVR &amp; VORP Ranks'!$BM$6))*(Settings!$E$10*TEAMS)</f>
        <v>-41.571183380315347</v>
      </c>
    </row>
    <row r="134" spans="8:20" x14ac:dyDescent="0.3">
      <c r="H134" s="22">
        <v>133</v>
      </c>
      <c r="I134" s="22" t="str">
        <f>IFERROR(INDEX(TableRBCalcPts[PLAYER],MATCH(TableRBRanks[[#This Row],[RK]],TableRBCalcPts[RK],0)),"")</f>
        <v/>
      </c>
      <c r="J134" s="22" t="str">
        <f>IFERROR(INDEX(TableRBCalcPts[TM],MATCH(TableRBRanks[[#This Row],[RK]],TableRBCalcPts[RK],0)),"")</f>
        <v/>
      </c>
      <c r="K134" s="22" t="str">
        <f>IFERROR(INDEX(TableRBCalcPts[BYE],MATCH(TableRBRanks[[#This Row],[RK]],TableRBCalcPts[RK],0)),"")</f>
        <v/>
      </c>
      <c r="L134" s="272" t="str">
        <f>IFERROR(INDEX(TableRBCalcPts[Custom],MATCH(TableRBRanks[[#This Row],[RK]],TableRBCalcPts[RK],0)),"")</f>
        <v/>
      </c>
      <c r="M134" s="273" t="e">
        <f>(((VLOOKUP(TableRBRanks[[#This Row],[Player]],'OVR &amp; VORP Ranks'!$I:$M,5,FALSE)))/('OVR &amp; VORP Ranks'!$BM$6))*(Settings!$E$10*TEAMS)</f>
        <v>#VALUE!</v>
      </c>
      <c r="O134" s="22">
        <v>133</v>
      </c>
      <c r="P134" s="274" t="str">
        <f>IFERROR(INDEX(TableWRCalcPts[PLAYER],MATCH(TableWRRanks[[#This Row],[RK]],TableWRCalcPts[RK],0)),"")</f>
        <v>Miles Boykin</v>
      </c>
      <c r="Q134" s="22" t="str">
        <f>IFERROR(INDEX(TableWRCalcPts[TM],MATCH(TableWRRanks[[#This Row],[RK]],TableWRCalcPts[RK],0)),"")</f>
        <v>PIT</v>
      </c>
      <c r="R134" s="22">
        <f>IFERROR(INDEX(TableWRCalcPts[BYE],MATCH(TableWRRanks[[#This Row],[RK]],TableWRCalcPts[RK],0)),"")</f>
        <v>9</v>
      </c>
      <c r="S134" s="272">
        <f>IFERROR(INDEX(TableWRCalcPts[Custom],MATCH(TableWRRanks[[#This Row],[RK]],TableWRCalcPts[RK],0)),"")</f>
        <v>20.349802281807243</v>
      </c>
      <c r="T134" s="273">
        <f>(((VLOOKUP(TableWRRanks[[#This Row],[Player]],'OVR &amp; VORP Ranks'!$P:$T,5,FALSE)))/('OVR &amp; VORP Ranks'!$BM$6))*(Settings!$E$10*TEAMS)</f>
        <v>-41.744241424545365</v>
      </c>
    </row>
    <row r="135" spans="8:20" x14ac:dyDescent="0.3">
      <c r="H135" s="22">
        <v>134</v>
      </c>
      <c r="I135" s="22" t="str">
        <f>IFERROR(INDEX(TableRBCalcPts[PLAYER],MATCH(TableRBRanks[[#This Row],[RK]],TableRBCalcPts[RK],0)),"")</f>
        <v/>
      </c>
      <c r="J135" s="22" t="str">
        <f>IFERROR(INDEX(TableRBCalcPts[TM],MATCH(TableRBRanks[[#This Row],[RK]],TableRBCalcPts[RK],0)),"")</f>
        <v/>
      </c>
      <c r="K135" s="22" t="str">
        <f>IFERROR(INDEX(TableRBCalcPts[BYE],MATCH(TableRBRanks[[#This Row],[RK]],TableRBCalcPts[RK],0)),"")</f>
        <v/>
      </c>
      <c r="L135" s="272" t="str">
        <f>IFERROR(INDEX(TableRBCalcPts[Custom],MATCH(TableRBRanks[[#This Row],[RK]],TableRBCalcPts[RK],0)),"")</f>
        <v/>
      </c>
      <c r="M135" s="273" t="e">
        <f>(((VLOOKUP(TableRBRanks[[#This Row],[Player]],'OVR &amp; VORP Ranks'!$I:$M,5,FALSE)))/('OVR &amp; VORP Ranks'!$BM$6))*(Settings!$E$10*TEAMS)</f>
        <v>#VALUE!</v>
      </c>
      <c r="O135" s="274">
        <v>134</v>
      </c>
      <c r="P135" s="22" t="str">
        <f>IFERROR(INDEX(TableWRCalcPts[PLAYER],MATCH(TableWRRanks[[#This Row],[RK]],TableWRCalcPts[RK],0)),"")</f>
        <v>Keelan Cole</v>
      </c>
      <c r="Q135" s="22" t="str">
        <f>IFERROR(INDEX(TableWRCalcPts[TM],MATCH(TableWRRanks[[#This Row],[RK]],TableWRCalcPts[RK],0)),"")</f>
        <v>LV</v>
      </c>
      <c r="R135" s="22">
        <f>IFERROR(INDEX(TableWRCalcPts[BYE],MATCH(TableWRRanks[[#This Row],[RK]],TableWRCalcPts[RK],0)),"")</f>
        <v>6</v>
      </c>
      <c r="S135" s="272">
        <f>IFERROR(INDEX(TableWRCalcPts[Custom],MATCH(TableWRRanks[[#This Row],[RK]],TableWRCalcPts[RK],0)),"")</f>
        <v>19.428639238758887</v>
      </c>
      <c r="T135" s="273">
        <f>(((VLOOKUP(TableWRRanks[[#This Row],[Player]],'OVR &amp; VORP Ranks'!$P:$T,5,FALSE)))/('OVR &amp; VORP Ranks'!$BM$6))*(Settings!$E$10*TEAMS)</f>
        <v>-42.178139924643951</v>
      </c>
    </row>
    <row r="136" spans="8:20" x14ac:dyDescent="0.3">
      <c r="H136" s="22">
        <v>135</v>
      </c>
      <c r="I136" s="22" t="str">
        <f>IFERROR(INDEX(TableRBCalcPts[PLAYER],MATCH(TableRBRanks[[#This Row],[RK]],TableRBCalcPts[RK],0)),"")</f>
        <v/>
      </c>
      <c r="J136" s="22" t="str">
        <f>IFERROR(INDEX(TableRBCalcPts[TM],MATCH(TableRBRanks[[#This Row],[RK]],TableRBCalcPts[RK],0)),"")</f>
        <v/>
      </c>
      <c r="K136" s="22" t="str">
        <f>IFERROR(INDEX(TableRBCalcPts[BYE],MATCH(TableRBRanks[[#This Row],[RK]],TableRBCalcPts[RK],0)),"")</f>
        <v/>
      </c>
      <c r="L136" s="272" t="str">
        <f>IFERROR(INDEX(TableRBCalcPts[Custom],MATCH(TableRBRanks[[#This Row],[RK]],TableRBCalcPts[RK],0)),"")</f>
        <v/>
      </c>
      <c r="M136" s="273" t="e">
        <f>(((VLOOKUP(TableRBRanks[[#This Row],[Player]],'OVR &amp; VORP Ranks'!$I:$M,5,FALSE)))/('OVR &amp; VORP Ranks'!$BM$6))*(Settings!$E$10*TEAMS)</f>
        <v>#VALUE!</v>
      </c>
      <c r="O136" s="22">
        <v>135</v>
      </c>
      <c r="P136" s="22" t="str">
        <f>IFERROR(INDEX(TableWRCalcPts[PLAYER],MATCH(TableWRRanks[[#This Row],[RK]],TableWRCalcPts[RK],0)),"")</f>
        <v>Nelson Agholor</v>
      </c>
      <c r="Q136" s="22" t="str">
        <f>IFERROR(INDEX(TableWRCalcPts[TM],MATCH(TableWRRanks[[#This Row],[RK]],TableWRCalcPts[RK],0)),"")</f>
        <v>NE</v>
      </c>
      <c r="R136" s="22">
        <f>IFERROR(INDEX(TableWRCalcPts[BYE],MATCH(TableWRRanks[[#This Row],[RK]],TableWRCalcPts[RK],0)),"")</f>
        <v>10</v>
      </c>
      <c r="S136" s="272">
        <f>IFERROR(INDEX(TableWRCalcPts[Custom],MATCH(TableWRRanks[[#This Row],[RK]],TableWRCalcPts[RK],0)),"")</f>
        <v>19.29962773583124</v>
      </c>
      <c r="T136" s="273">
        <f>(((VLOOKUP(TableWRRanks[[#This Row],[Player]],'OVR &amp; VORP Ranks'!$P:$T,5,FALSE)))/('OVR &amp; VORP Ranks'!$BM$6))*(Settings!$E$10*TEAMS)</f>
        <v>-42.238908643100707</v>
      </c>
    </row>
    <row r="137" spans="8:20" x14ac:dyDescent="0.3">
      <c r="H137" s="22">
        <v>136</v>
      </c>
      <c r="I137" s="22" t="str">
        <f>IFERROR(INDEX(TableRBCalcPts[PLAYER],MATCH(TableRBRanks[[#This Row],[RK]],TableRBCalcPts[RK],0)),"")</f>
        <v/>
      </c>
      <c r="J137" s="22" t="str">
        <f>IFERROR(INDEX(TableRBCalcPts[TM],MATCH(TableRBRanks[[#This Row],[RK]],TableRBCalcPts[RK],0)),"")</f>
        <v/>
      </c>
      <c r="K137" s="22" t="str">
        <f>IFERROR(INDEX(TableRBCalcPts[BYE],MATCH(TableRBRanks[[#This Row],[RK]],TableRBCalcPts[RK],0)),"")</f>
        <v/>
      </c>
      <c r="L137" s="272" t="str">
        <f>IFERROR(INDEX(TableRBCalcPts[Custom],MATCH(TableRBRanks[[#This Row],[RK]],TableRBCalcPts[RK],0)),"")</f>
        <v/>
      </c>
      <c r="M137" s="273" t="e">
        <f>(((VLOOKUP(TableRBRanks[[#This Row],[Player]],'OVR &amp; VORP Ranks'!$I:$M,5,FALSE)))/('OVR &amp; VORP Ranks'!$BM$6))*(Settings!$E$10*TEAMS)</f>
        <v>#VALUE!</v>
      </c>
      <c r="O137" s="22">
        <v>136</v>
      </c>
      <c r="P137" s="22" t="str">
        <f>IFERROR(INDEX(TableWRCalcPts[PLAYER],MATCH(TableWRRanks[[#This Row],[RK]],TableWRCalcPts[RK],0)),"")</f>
        <v>Mack Hollins</v>
      </c>
      <c r="Q137" s="22" t="str">
        <f>IFERROR(INDEX(TableWRCalcPts[TM],MATCH(TableWRRanks[[#This Row],[RK]],TableWRCalcPts[RK],0)),"")</f>
        <v>LV</v>
      </c>
      <c r="R137" s="22">
        <f>IFERROR(INDEX(TableWRCalcPts[BYE],MATCH(TableWRRanks[[#This Row],[RK]],TableWRCalcPts[RK],0)),"")</f>
        <v>6</v>
      </c>
      <c r="S137" s="272">
        <f>IFERROR(INDEX(TableWRCalcPts[Custom],MATCH(TableWRRanks[[#This Row],[RK]],TableWRCalcPts[RK],0)),"")</f>
        <v>18.867715638529205</v>
      </c>
      <c r="T137" s="273">
        <f>(((VLOOKUP(TableWRRanks[[#This Row],[Player]],'OVR &amp; VORP Ranks'!$P:$T,5,FALSE)))/('OVR &amp; VORP Ranks'!$BM$6))*(Settings!$E$10*TEAMS)</f>
        <v>-42.442353638650701</v>
      </c>
    </row>
    <row r="138" spans="8:20" x14ac:dyDescent="0.3">
      <c r="H138" s="22">
        <v>137</v>
      </c>
      <c r="I138" s="22" t="str">
        <f>IFERROR(INDEX(TableRBCalcPts[PLAYER],MATCH(TableRBRanks[[#This Row],[RK]],TableRBCalcPts[RK],0)),"")</f>
        <v/>
      </c>
      <c r="J138" s="22" t="str">
        <f>IFERROR(INDEX(TableRBCalcPts[TM],MATCH(TableRBRanks[[#This Row],[RK]],TableRBCalcPts[RK],0)),"")</f>
        <v/>
      </c>
      <c r="K138" s="22" t="str">
        <f>IFERROR(INDEX(TableRBCalcPts[BYE],MATCH(TableRBRanks[[#This Row],[RK]],TableRBCalcPts[RK],0)),"")</f>
        <v/>
      </c>
      <c r="L138" s="272" t="str">
        <f>IFERROR(INDEX(TableRBCalcPts[Custom],MATCH(TableRBRanks[[#This Row],[RK]],TableRBCalcPts[RK],0)),"")</f>
        <v/>
      </c>
      <c r="M138" s="273" t="e">
        <f>(((VLOOKUP(TableRBRanks[[#This Row],[Player]],'OVR &amp; VORP Ranks'!$I:$M,5,FALSE)))/('OVR &amp; VORP Ranks'!$BM$6))*(Settings!$E$10*TEAMS)</f>
        <v>#VALUE!</v>
      </c>
      <c r="O138" s="274">
        <v>137</v>
      </c>
      <c r="P138" s="22" t="str">
        <f>IFERROR(INDEX(TableWRCalcPts[PLAYER],MATCH(TableWRRanks[[#This Row],[RK]],TableWRCalcPts[RK],0)),"")</f>
        <v>Romeo Doubs</v>
      </c>
      <c r="Q138" s="22" t="str">
        <f>IFERROR(INDEX(TableWRCalcPts[TM],MATCH(TableWRRanks[[#This Row],[RK]],TableWRCalcPts[RK],0)),"")</f>
        <v>GB</v>
      </c>
      <c r="R138" s="22">
        <f>IFERROR(INDEX(TableWRCalcPts[BYE],MATCH(TableWRRanks[[#This Row],[RK]],TableWRCalcPts[RK],0)),"")</f>
        <v>14</v>
      </c>
      <c r="S138" s="272">
        <f>IFERROR(INDEX(TableWRCalcPts[Custom],MATCH(TableWRRanks[[#This Row],[RK]],TableWRCalcPts[RK],0)),"")</f>
        <v>18.432043108152239</v>
      </c>
      <c r="T138" s="273">
        <f>(((VLOOKUP(TableWRRanks[[#This Row],[Player]],'OVR &amp; VORP Ranks'!$P:$T,5,FALSE)))/('OVR &amp; VORP Ranks'!$BM$6))*(Settings!$E$10*TEAMS)</f>
        <v>-42.647569923532416</v>
      </c>
    </row>
    <row r="139" spans="8:20" x14ac:dyDescent="0.3">
      <c r="H139" s="22">
        <v>138</v>
      </c>
      <c r="I139" s="22" t="str">
        <f>IFERROR(INDEX(TableRBCalcPts[PLAYER],MATCH(TableRBRanks[[#This Row],[RK]],TableRBCalcPts[RK],0)),"")</f>
        <v/>
      </c>
      <c r="J139" s="22" t="str">
        <f>IFERROR(INDEX(TableRBCalcPts[TM],MATCH(TableRBRanks[[#This Row],[RK]],TableRBCalcPts[RK],0)),"")</f>
        <v/>
      </c>
      <c r="K139" s="22" t="str">
        <f>IFERROR(INDEX(TableRBCalcPts[BYE],MATCH(TableRBRanks[[#This Row],[RK]],TableRBCalcPts[RK],0)),"")</f>
        <v/>
      </c>
      <c r="L139" s="272" t="str">
        <f>IFERROR(INDEX(TableRBCalcPts[Custom],MATCH(TableRBRanks[[#This Row],[RK]],TableRBCalcPts[RK],0)),"")</f>
        <v/>
      </c>
      <c r="M139" s="273" t="e">
        <f>(((VLOOKUP(TableRBRanks[[#This Row],[Player]],'OVR &amp; VORP Ranks'!$I:$M,5,FALSE)))/('OVR &amp; VORP Ranks'!$BM$6))*(Settings!$E$10*TEAMS)</f>
        <v>#VALUE!</v>
      </c>
      <c r="O139" s="22">
        <v>138</v>
      </c>
      <c r="P139" s="274" t="str">
        <f>IFERROR(INDEX(TableWRCalcPts[PLAYER],MATCH(TableWRRanks[[#This Row],[RK]],TableWRCalcPts[RK],0)),"")</f>
        <v>Richie James</v>
      </c>
      <c r="Q139" s="22" t="str">
        <f>IFERROR(INDEX(TableWRCalcPts[TM],MATCH(TableWRRanks[[#This Row],[RK]],TableWRCalcPts[RK],0)),"")</f>
        <v>NYG</v>
      </c>
      <c r="R139" s="22">
        <f>IFERROR(INDEX(TableWRCalcPts[BYE],MATCH(TableWRRanks[[#This Row],[RK]],TableWRCalcPts[RK],0)),"")</f>
        <v>9</v>
      </c>
      <c r="S139" s="272">
        <f>IFERROR(INDEX(TableWRCalcPts[Custom],MATCH(TableWRRanks[[#This Row],[RK]],TableWRCalcPts[RK],0)),"")</f>
        <v>18.325436797417154</v>
      </c>
      <c r="T139" s="273">
        <f>(((VLOOKUP(TableWRRanks[[#This Row],[Player]],'OVR &amp; VORP Ranks'!$P:$T,5,FALSE)))/('OVR &amp; VORP Ranks'!$BM$6))*(Settings!$E$10*TEAMS)</f>
        <v>-42.69778504959298</v>
      </c>
    </row>
    <row r="140" spans="8:20" x14ac:dyDescent="0.3">
      <c r="H140" s="22">
        <v>139</v>
      </c>
      <c r="I140" s="22" t="str">
        <f>IFERROR(INDEX(TableRBCalcPts[PLAYER],MATCH(TableRBRanks[[#This Row],[RK]],TableRBCalcPts[RK],0)),"")</f>
        <v/>
      </c>
      <c r="J140" s="22" t="str">
        <f>IFERROR(INDEX(TableRBCalcPts[TM],MATCH(TableRBRanks[[#This Row],[RK]],TableRBCalcPts[RK],0)),"")</f>
        <v/>
      </c>
      <c r="K140" s="22" t="str">
        <f>IFERROR(INDEX(TableRBCalcPts[BYE],MATCH(TableRBRanks[[#This Row],[RK]],TableRBCalcPts[RK],0)),"")</f>
        <v/>
      </c>
      <c r="L140" s="272" t="str">
        <f>IFERROR(INDEX(TableRBCalcPts[Custom],MATCH(TableRBRanks[[#This Row],[RK]],TableRBCalcPts[RK],0)),"")</f>
        <v/>
      </c>
      <c r="M140" s="273" t="e">
        <f>(((VLOOKUP(TableRBRanks[[#This Row],[Player]],'OVR &amp; VORP Ranks'!$I:$M,5,FALSE)))/('OVR &amp; VORP Ranks'!$BM$6))*(Settings!$E$10*TEAMS)</f>
        <v>#VALUE!</v>
      </c>
      <c r="O140" s="22">
        <v>139</v>
      </c>
      <c r="P140" s="274" t="str">
        <f>IFERROR(INDEX(TableWRCalcPts[PLAYER],MATCH(TableWRRanks[[#This Row],[RK]],TableWRCalcPts[RK],0)),"")</f>
        <v>Ray-Ray McCloud</v>
      </c>
      <c r="Q140" s="22" t="str">
        <f>IFERROR(INDEX(TableWRCalcPts[TM],MATCH(TableWRRanks[[#This Row],[RK]],TableWRCalcPts[RK],0)),"")</f>
        <v>SF</v>
      </c>
      <c r="R140" s="22">
        <f>IFERROR(INDEX(TableWRCalcPts[BYE],MATCH(TableWRRanks[[#This Row],[RK]],TableWRCalcPts[RK],0)),"")</f>
        <v>9</v>
      </c>
      <c r="S140" s="272">
        <f>IFERROR(INDEX(TableWRCalcPts[Custom],MATCH(TableWRRanks[[#This Row],[RK]],TableWRCalcPts[RK],0)),"")</f>
        <v>17.59547476515823</v>
      </c>
      <c r="T140" s="273">
        <f>(((VLOOKUP(TableWRRanks[[#This Row],[Player]],'OVR &amp; VORP Ranks'!$P:$T,5,FALSE)))/('OVR &amp; VORP Ranks'!$BM$6))*(Settings!$E$10*TEAMS)</f>
        <v>-43.041621499954616</v>
      </c>
    </row>
    <row r="141" spans="8:20" x14ac:dyDescent="0.3">
      <c r="H141" s="22">
        <v>140</v>
      </c>
      <c r="I141" s="22" t="str">
        <f>IFERROR(INDEX(TableRBCalcPts[PLAYER],MATCH(TableRBRanks[[#This Row],[RK]],TableRBCalcPts[RK],0)),"")</f>
        <v/>
      </c>
      <c r="J141" s="22" t="str">
        <f>IFERROR(INDEX(TableRBCalcPts[TM],MATCH(TableRBRanks[[#This Row],[RK]],TableRBCalcPts[RK],0)),"")</f>
        <v/>
      </c>
      <c r="K141" s="22" t="str">
        <f>IFERROR(INDEX(TableRBCalcPts[BYE],MATCH(TableRBRanks[[#This Row],[RK]],TableRBCalcPts[RK],0)),"")</f>
        <v/>
      </c>
      <c r="L141" s="272" t="str">
        <f>IFERROR(INDEX(TableRBCalcPts[Custom],MATCH(TableRBRanks[[#This Row],[RK]],TableRBCalcPts[RK],0)),"")</f>
        <v/>
      </c>
      <c r="M141" s="273" t="e">
        <f>(((VLOOKUP(TableRBRanks[[#This Row],[Player]],'OVR &amp; VORP Ranks'!$I:$M,5,FALSE)))/('OVR &amp; VORP Ranks'!$BM$6))*(Settings!$E$10*TEAMS)</f>
        <v>#VALUE!</v>
      </c>
      <c r="O141" s="274">
        <v>140</v>
      </c>
      <c r="P141" s="274" t="str">
        <f>IFERROR(INDEX(TableWRCalcPts[PLAYER],MATCH(TableWRRanks[[#This Row],[RK]],TableWRCalcPts[RK],0)),"")</f>
        <v>Olabisi Johnson</v>
      </c>
      <c r="Q141" s="22" t="str">
        <f>IFERROR(INDEX(TableWRCalcPts[TM],MATCH(TableWRRanks[[#This Row],[RK]],TableWRCalcPts[RK],0)),"")</f>
        <v>MIN</v>
      </c>
      <c r="R141" s="22">
        <f>IFERROR(INDEX(TableWRCalcPts[BYE],MATCH(TableWRRanks[[#This Row],[RK]],TableWRCalcPts[RK],0)),"")</f>
        <v>7</v>
      </c>
      <c r="S141" s="272">
        <f>IFERROR(INDEX(TableWRCalcPts[Custom],MATCH(TableWRRanks[[#This Row],[RK]],TableWRCalcPts[RK],0)),"")</f>
        <v>17.451560558101846</v>
      </c>
      <c r="T141" s="273">
        <f>(((VLOOKUP(TableWRRanks[[#This Row],[Player]],'OVR &amp; VORP Ranks'!$P:$T,5,FALSE)))/('OVR &amp; VORP Ranks'!$BM$6))*(Settings!$E$10*TEAMS)</f>
        <v>-43.109409888835266</v>
      </c>
    </row>
    <row r="142" spans="8:20" x14ac:dyDescent="0.3">
      <c r="H142" s="22">
        <v>141</v>
      </c>
      <c r="I142" s="22" t="str">
        <f>IFERROR(INDEX(TableRBCalcPts[PLAYER],MATCH(TableRBRanks[[#This Row],[RK]],TableRBCalcPts[RK],0)),"")</f>
        <v/>
      </c>
      <c r="J142" s="22" t="str">
        <f>IFERROR(INDEX(TableRBCalcPts[TM],MATCH(TableRBRanks[[#This Row],[RK]],TableRBCalcPts[RK],0)),"")</f>
        <v/>
      </c>
      <c r="K142" s="22" t="str">
        <f>IFERROR(INDEX(TableRBCalcPts[BYE],MATCH(TableRBRanks[[#This Row],[RK]],TableRBCalcPts[RK],0)),"")</f>
        <v/>
      </c>
      <c r="L142" s="272" t="str">
        <f>IFERROR(INDEX(TableRBCalcPts[Custom],MATCH(TableRBRanks[[#This Row],[RK]],TableRBCalcPts[RK],0)),"")</f>
        <v/>
      </c>
      <c r="M142" s="273" t="e">
        <f>(((VLOOKUP(TableRBRanks[[#This Row],[Player]],'OVR &amp; VORP Ranks'!$I:$M,5,FALSE)))/('OVR &amp; VORP Ranks'!$BM$6))*(Settings!$E$10*TEAMS)</f>
        <v>#VALUE!</v>
      </c>
      <c r="O142" s="22">
        <v>141</v>
      </c>
      <c r="P142" s="22" t="str">
        <f>IFERROR(INDEX(TableWRCalcPts[PLAYER],MATCH(TableWRRanks[[#This Row],[RK]],TableWRCalcPts[RK],0)),"")</f>
        <v>Tutu Atwell</v>
      </c>
      <c r="Q142" s="22" t="str">
        <f>IFERROR(INDEX(TableWRCalcPts[TM],MATCH(TableWRRanks[[#This Row],[RK]],TableWRCalcPts[RK],0)),"")</f>
        <v>LAR</v>
      </c>
      <c r="R142" s="22">
        <f>IFERROR(INDEX(TableWRCalcPts[BYE],MATCH(TableWRRanks[[#This Row],[RK]],TableWRCalcPts[RK],0)),"")</f>
        <v>7</v>
      </c>
      <c r="S142" s="272">
        <f>IFERROR(INDEX(TableWRCalcPts[Custom],MATCH(TableWRRanks[[#This Row],[RK]],TableWRCalcPts[RK],0)),"")</f>
        <v>17.411240387793896</v>
      </c>
      <c r="T142" s="273">
        <f>(((VLOOKUP(TableWRRanks[[#This Row],[Player]],'OVR &amp; VORP Ranks'!$P:$T,5,FALSE)))/('OVR &amp; VORP Ranks'!$BM$6))*(Settings!$E$10*TEAMS)</f>
        <v>-43.128402033116743</v>
      </c>
    </row>
    <row r="143" spans="8:20" x14ac:dyDescent="0.3">
      <c r="H143" s="22">
        <v>142</v>
      </c>
      <c r="I143" s="22" t="str">
        <f>IFERROR(INDEX(TableRBCalcPts[PLAYER],MATCH(TableRBRanks[[#This Row],[RK]],TableRBCalcPts[RK],0)),"")</f>
        <v/>
      </c>
      <c r="J143" s="22" t="str">
        <f>IFERROR(INDEX(TableRBCalcPts[TM],MATCH(TableRBRanks[[#This Row],[RK]],TableRBCalcPts[RK],0)),"")</f>
        <v/>
      </c>
      <c r="K143" s="22" t="str">
        <f>IFERROR(INDEX(TableRBCalcPts[BYE],MATCH(TableRBRanks[[#This Row],[RK]],TableRBCalcPts[RK],0)),"")</f>
        <v/>
      </c>
      <c r="L143" s="272" t="str">
        <f>IFERROR(INDEX(TableRBCalcPts[Custom],MATCH(TableRBRanks[[#This Row],[RK]],TableRBCalcPts[RK],0)),"")</f>
        <v/>
      </c>
      <c r="M143" s="273" t="e">
        <f>(((VLOOKUP(TableRBRanks[[#This Row],[Player]],'OVR &amp; VORP Ranks'!$I:$M,5,FALSE)))/('OVR &amp; VORP Ranks'!$BM$6))*(Settings!$E$10*TEAMS)</f>
        <v>#VALUE!</v>
      </c>
      <c r="O143" s="22">
        <v>142</v>
      </c>
      <c r="P143" s="274" t="str">
        <f>IFERROR(INDEX(TableWRCalcPts[PLAYER],MATCH(TableWRRanks[[#This Row],[RK]],TableWRCalcPts[RK],0)),"")</f>
        <v>Racey McMath</v>
      </c>
      <c r="Q143" s="22" t="str">
        <f>IFERROR(INDEX(TableWRCalcPts[TM],MATCH(TableWRRanks[[#This Row],[RK]],TableWRCalcPts[RK],0)),"")</f>
        <v>TEN</v>
      </c>
      <c r="R143" s="22">
        <f>IFERROR(INDEX(TableWRCalcPts[BYE],MATCH(TableWRRanks[[#This Row],[RK]],TableWRCalcPts[RK],0)),"")</f>
        <v>6</v>
      </c>
      <c r="S143" s="272">
        <f>IFERROR(INDEX(TableWRCalcPts[Custom],MATCH(TableWRRanks[[#This Row],[RK]],TableWRCalcPts[RK],0)),"")</f>
        <v>17.206971689669135</v>
      </c>
      <c r="T143" s="273">
        <f>(((VLOOKUP(TableWRRanks[[#This Row],[Player]],'OVR &amp; VORP Ranks'!$P:$T,5,FALSE)))/('OVR &amp; VORP Ranks'!$BM$6))*(Settings!$E$10*TEAMS)</f>
        <v>-43.224619399197906</v>
      </c>
    </row>
    <row r="144" spans="8:20" x14ac:dyDescent="0.3">
      <c r="H144" s="22">
        <v>143</v>
      </c>
      <c r="I144" s="22" t="str">
        <f>IFERROR(INDEX(TableRBCalcPts[PLAYER],MATCH(TableRBRanks[[#This Row],[RK]],TableRBCalcPts[RK],0)),"")</f>
        <v/>
      </c>
      <c r="J144" s="22" t="str">
        <f>IFERROR(INDEX(TableRBCalcPts[TM],MATCH(TableRBRanks[[#This Row],[RK]],TableRBCalcPts[RK],0)),"")</f>
        <v/>
      </c>
      <c r="K144" s="22" t="str">
        <f>IFERROR(INDEX(TableRBCalcPts[BYE],MATCH(TableRBRanks[[#This Row],[RK]],TableRBCalcPts[RK],0)),"")</f>
        <v/>
      </c>
      <c r="L144" s="272" t="str">
        <f>IFERROR(INDEX(TableRBCalcPts[Custom],MATCH(TableRBRanks[[#This Row],[RK]],TableRBCalcPts[RK],0)),"")</f>
        <v/>
      </c>
      <c r="M144" s="273" t="e">
        <f>(((VLOOKUP(TableRBRanks[[#This Row],[Player]],'OVR &amp; VORP Ranks'!$I:$M,5,FALSE)))/('OVR &amp; VORP Ranks'!$BM$6))*(Settings!$E$10*TEAMS)</f>
        <v>#VALUE!</v>
      </c>
      <c r="O144" s="274">
        <v>143</v>
      </c>
      <c r="P144" s="22" t="str">
        <f>IFERROR(INDEX(TableWRCalcPts[PLAYER],MATCH(TableWRRanks[[#This Row],[RK]],TableWRCalcPts[RK],0)),"")</f>
        <v>Khalil Shakir</v>
      </c>
      <c r="Q144" s="22" t="str">
        <f>IFERROR(INDEX(TableWRCalcPts[TM],MATCH(TableWRRanks[[#This Row],[RK]],TableWRCalcPts[RK],0)),"")</f>
        <v>BUF</v>
      </c>
      <c r="R144" s="22">
        <f>IFERROR(INDEX(TableWRCalcPts[BYE],MATCH(TableWRRanks[[#This Row],[RK]],TableWRCalcPts[RK],0)),"")</f>
        <v>7</v>
      </c>
      <c r="S144" s="272">
        <f>IFERROR(INDEX(TableWRCalcPts[Custom],MATCH(TableWRRanks[[#This Row],[RK]],TableWRCalcPts[RK],0)),"")</f>
        <v>16.720762056006564</v>
      </c>
      <c r="T144" s="273">
        <f>(((VLOOKUP(TableWRRanks[[#This Row],[Player]],'OVR &amp; VORP Ranks'!$P:$T,5,FALSE)))/('OVR &amp; VORP Ranks'!$BM$6))*(Settings!$E$10*TEAMS)</f>
        <v>-43.453640344373412</v>
      </c>
    </row>
    <row r="145" spans="8:20" x14ac:dyDescent="0.3">
      <c r="H145" s="22">
        <v>144</v>
      </c>
      <c r="I145" s="22" t="str">
        <f>IFERROR(INDEX(TableRBCalcPts[PLAYER],MATCH(TableRBRanks[[#This Row],[RK]],TableRBCalcPts[RK],0)),"")</f>
        <v/>
      </c>
      <c r="J145" s="22" t="str">
        <f>IFERROR(INDEX(TableRBCalcPts[TM],MATCH(TableRBRanks[[#This Row],[RK]],TableRBCalcPts[RK],0)),"")</f>
        <v/>
      </c>
      <c r="K145" s="22" t="str">
        <f>IFERROR(INDEX(TableRBCalcPts[BYE],MATCH(TableRBRanks[[#This Row],[RK]],TableRBCalcPts[RK],0)),"")</f>
        <v/>
      </c>
      <c r="L145" s="272" t="str">
        <f>IFERROR(INDEX(TableRBCalcPts[Custom],MATCH(TableRBRanks[[#This Row],[RK]],TableRBCalcPts[RK],0)),"")</f>
        <v/>
      </c>
      <c r="M145" s="273" t="e">
        <f>(((VLOOKUP(TableRBRanks[[#This Row],[Player]],'OVR &amp; VORP Ranks'!$I:$M,5,FALSE)))/('OVR &amp; VORP Ranks'!$BM$6))*(Settings!$E$10*TEAMS)</f>
        <v>#VALUE!</v>
      </c>
      <c r="O145" s="22">
        <v>144</v>
      </c>
      <c r="P145" s="274" t="str">
        <f>IFERROR(INDEX(TableWRCalcPts[PLAYER],MATCH(TableWRRanks[[#This Row],[RK]],TableWRCalcPts[RK],0)),"")</f>
        <v>Danny Gray</v>
      </c>
      <c r="Q145" s="22" t="str">
        <f>IFERROR(INDEX(TableWRCalcPts[TM],MATCH(TableWRRanks[[#This Row],[RK]],TableWRCalcPts[RK],0)),"")</f>
        <v>SF</v>
      </c>
      <c r="R145" s="22">
        <f>IFERROR(INDEX(TableWRCalcPts[BYE],MATCH(TableWRRanks[[#This Row],[RK]],TableWRCalcPts[RK],0)),"")</f>
        <v>9</v>
      </c>
      <c r="S145" s="272">
        <f>IFERROR(INDEX(TableWRCalcPts[Custom],MATCH(TableWRRanks[[#This Row],[RK]],TableWRCalcPts[RK],0)),"")</f>
        <v>16.414170038763562</v>
      </c>
      <c r="T145" s="273">
        <f>(((VLOOKUP(TableWRRanks[[#This Row],[Player]],'OVR &amp; VORP Ranks'!$P:$T,5,FALSE)))/('OVR &amp; VORP Ranks'!$BM$6))*(Settings!$E$10*TEAMS)</f>
        <v>-43.598055404690761</v>
      </c>
    </row>
    <row r="146" spans="8:20" x14ac:dyDescent="0.3">
      <c r="H146" s="22">
        <v>145</v>
      </c>
      <c r="I146" s="22" t="str">
        <f>IFERROR(INDEX(TableRBCalcPts[PLAYER],MATCH(TableRBRanks[[#This Row],[RK]],TableRBCalcPts[RK],0)),"")</f>
        <v/>
      </c>
      <c r="J146" s="22" t="str">
        <f>IFERROR(INDEX(TableRBCalcPts[TM],MATCH(TableRBRanks[[#This Row],[RK]],TableRBCalcPts[RK],0)),"")</f>
        <v/>
      </c>
      <c r="K146" s="22" t="str">
        <f>IFERROR(INDEX(TableRBCalcPts[BYE],MATCH(TableRBRanks[[#This Row],[RK]],TableRBCalcPts[RK],0)),"")</f>
        <v/>
      </c>
      <c r="L146" s="272" t="str">
        <f>IFERROR(INDEX(TableRBCalcPts[Custom],MATCH(TableRBRanks[[#This Row],[RK]],TableRBCalcPts[RK],0)),"")</f>
        <v/>
      </c>
      <c r="M146" s="273" t="e">
        <f>(((VLOOKUP(TableRBRanks[[#This Row],[Player]],'OVR &amp; VORP Ranks'!$I:$M,5,FALSE)))/('OVR &amp; VORP Ranks'!$BM$6))*(Settings!$E$10*TEAMS)</f>
        <v>#VALUE!</v>
      </c>
      <c r="O146" s="22">
        <v>145</v>
      </c>
      <c r="P146" s="274" t="str">
        <f>IFERROR(INDEX(TableWRCalcPts[PLAYER],MATCH(TableWRRanks[[#This Row],[RK]],TableWRCalcPts[RK],0)),"")</f>
        <v>Dez Fitzpatrick</v>
      </c>
      <c r="Q146" s="22" t="str">
        <f>IFERROR(INDEX(TableWRCalcPts[TM],MATCH(TableWRRanks[[#This Row],[RK]],TableWRCalcPts[RK],0)),"")</f>
        <v>TEN</v>
      </c>
      <c r="R146" s="22">
        <f>IFERROR(INDEX(TableWRCalcPts[BYE],MATCH(TableWRRanks[[#This Row],[RK]],TableWRCalcPts[RK],0)),"")</f>
        <v>6</v>
      </c>
      <c r="S146" s="272">
        <f>IFERROR(INDEX(TableWRCalcPts[Custom],MATCH(TableWRRanks[[#This Row],[RK]],TableWRCalcPts[RK],0)),"")</f>
        <v>16.391863399059599</v>
      </c>
      <c r="T146" s="273">
        <f>(((VLOOKUP(TableWRRanks[[#This Row],[Player]],'OVR &amp; VORP Ranks'!$P:$T,5,FALSE)))/('OVR &amp; VORP Ranks'!$BM$6))*(Settings!$E$10*TEAMS)</f>
        <v>-43.608562575579597</v>
      </c>
    </row>
    <row r="147" spans="8:20" x14ac:dyDescent="0.3">
      <c r="H147" s="22">
        <v>146</v>
      </c>
      <c r="I147" s="22" t="str">
        <f>IFERROR(INDEX(TableRBCalcPts[PLAYER],MATCH(TableRBRanks[[#This Row],[RK]],TableRBCalcPts[RK],0)),"")</f>
        <v/>
      </c>
      <c r="J147" s="22" t="str">
        <f>IFERROR(INDEX(TableRBCalcPts[TM],MATCH(TableRBRanks[[#This Row],[RK]],TableRBCalcPts[RK],0)),"")</f>
        <v/>
      </c>
      <c r="K147" s="22" t="str">
        <f>IFERROR(INDEX(TableRBCalcPts[BYE],MATCH(TableRBRanks[[#This Row],[RK]],TableRBCalcPts[RK],0)),"")</f>
        <v/>
      </c>
      <c r="L147" s="272" t="str">
        <f>IFERROR(INDEX(TableRBCalcPts[Custom],MATCH(TableRBRanks[[#This Row],[RK]],TableRBCalcPts[RK],0)),"")</f>
        <v/>
      </c>
      <c r="M147" s="273" t="e">
        <f>(((VLOOKUP(TableRBRanks[[#This Row],[Player]],'OVR &amp; VORP Ranks'!$I:$M,5,FALSE)))/('OVR &amp; VORP Ranks'!$BM$6))*(Settings!$E$10*TEAMS)</f>
        <v>#VALUE!</v>
      </c>
      <c r="O147" s="274">
        <v>146</v>
      </c>
      <c r="P147" s="274" t="str">
        <f>IFERROR(INDEX(TableWRCalcPts[PLAYER],MATCH(TableWRRanks[[#This Row],[RK]],TableWRCalcPts[RK],0)),"")</f>
        <v>Deonte Harty</v>
      </c>
      <c r="Q147" s="22" t="str">
        <f>IFERROR(INDEX(TableWRCalcPts[TM],MATCH(TableWRRanks[[#This Row],[RK]],TableWRCalcPts[RK],0)),"")</f>
        <v>NO</v>
      </c>
      <c r="R147" s="22">
        <f>IFERROR(INDEX(TableWRCalcPts[BYE],MATCH(TableWRRanks[[#This Row],[RK]],TableWRCalcPts[RK],0)),"")</f>
        <v>14</v>
      </c>
      <c r="S147" s="272">
        <f>IFERROR(INDEX(TableWRCalcPts[Custom],MATCH(TableWRRanks[[#This Row],[RK]],TableWRCalcPts[RK],0)),"")</f>
        <v>16.077201517724664</v>
      </c>
      <c r="T147" s="273">
        <f>(((VLOOKUP(TableWRRanks[[#This Row],[Player]],'OVR &amp; VORP Ranks'!$P:$T,5,FALSE)))/('OVR &amp; VORP Ranks'!$BM$6))*(Settings!$E$10*TEAMS)</f>
        <v>-43.75677881089188</v>
      </c>
    </row>
    <row r="148" spans="8:20" x14ac:dyDescent="0.3">
      <c r="H148" s="22">
        <v>147</v>
      </c>
      <c r="I148" s="22" t="str">
        <f>IFERROR(INDEX(TableRBCalcPts[PLAYER],MATCH(TableRBRanks[[#This Row],[RK]],TableRBCalcPts[RK],0)),"")</f>
        <v/>
      </c>
      <c r="J148" s="22" t="str">
        <f>IFERROR(INDEX(TableRBCalcPts[TM],MATCH(TableRBRanks[[#This Row],[RK]],TableRBCalcPts[RK],0)),"")</f>
        <v/>
      </c>
      <c r="K148" s="22" t="str">
        <f>IFERROR(INDEX(TableRBCalcPts[BYE],MATCH(TableRBRanks[[#This Row],[RK]],TableRBCalcPts[RK],0)),"")</f>
        <v/>
      </c>
      <c r="L148" s="272" t="str">
        <f>IFERROR(INDEX(TableRBCalcPts[Custom],MATCH(TableRBRanks[[#This Row],[RK]],TableRBCalcPts[RK],0)),"")</f>
        <v/>
      </c>
      <c r="M148" s="273" t="e">
        <f>(((VLOOKUP(TableRBRanks[[#This Row],[Player]],'OVR &amp; VORP Ranks'!$I:$M,5,FALSE)))/('OVR &amp; VORP Ranks'!$BM$6))*(Settings!$E$10*TEAMS)</f>
        <v>#VALUE!</v>
      </c>
      <c r="O148" s="22">
        <v>147</v>
      </c>
      <c r="P148" s="274" t="str">
        <f>IFERROR(INDEX(TableWRCalcPts[PLAYER],MATCH(TableWRRanks[[#This Row],[RK]],TableWRCalcPts[RK],0)),"")</f>
        <v>Ty Montgomery</v>
      </c>
      <c r="Q148" s="22" t="str">
        <f>IFERROR(INDEX(TableWRCalcPts[TM],MATCH(TableWRRanks[[#This Row],[RK]],TableWRCalcPts[RK],0)),"")</f>
        <v>NE</v>
      </c>
      <c r="R148" s="22">
        <f>IFERROR(INDEX(TableWRCalcPts[BYE],MATCH(TableWRRanks[[#This Row],[RK]],TableWRCalcPts[RK],0)),"")</f>
        <v>10</v>
      </c>
      <c r="S148" s="272">
        <f>IFERROR(INDEX(TableWRCalcPts[Custom],MATCH(TableWRRanks[[#This Row],[RK]],TableWRCalcPts[RK],0)),"")</f>
        <v>14.628730848439291</v>
      </c>
      <c r="T148" s="273">
        <f>(((VLOOKUP(TableWRRanks[[#This Row],[Player]],'OVR &amp; VORP Ranks'!$P:$T,5,FALSE)))/('OVR &amp; VORP Ranks'!$BM$6))*(Settings!$E$10*TEAMS)</f>
        <v>-44.439056780663549</v>
      </c>
    </row>
    <row r="149" spans="8:20" x14ac:dyDescent="0.3">
      <c r="H149" s="22">
        <v>148</v>
      </c>
      <c r="I149" s="22" t="str">
        <f>IFERROR(INDEX(TableRBCalcPts[PLAYER],MATCH(TableRBRanks[[#This Row],[RK]],TableRBCalcPts[RK],0)),"")</f>
        <v/>
      </c>
      <c r="J149" s="22" t="str">
        <f>IFERROR(INDEX(TableRBCalcPts[TM],MATCH(TableRBRanks[[#This Row],[RK]],TableRBCalcPts[RK],0)),"")</f>
        <v/>
      </c>
      <c r="K149" s="22" t="str">
        <f>IFERROR(INDEX(TableRBCalcPts[BYE],MATCH(TableRBRanks[[#This Row],[RK]],TableRBCalcPts[RK],0)),"")</f>
        <v/>
      </c>
      <c r="L149" s="272" t="str">
        <f>IFERROR(INDEX(TableRBCalcPts[Custom],MATCH(TableRBRanks[[#This Row],[RK]],TableRBCalcPts[RK],0)),"")</f>
        <v/>
      </c>
      <c r="M149" s="273" t="e">
        <f>(((VLOOKUP(TableRBRanks[[#This Row],[Player]],'OVR &amp; VORP Ranks'!$I:$M,5,FALSE)))/('OVR &amp; VORP Ranks'!$BM$6))*(Settings!$E$10*TEAMS)</f>
        <v>#VALUE!</v>
      </c>
      <c r="O149" s="22">
        <v>148</v>
      </c>
      <c r="P149" s="22" t="str">
        <f>IFERROR(INDEX(TableWRCalcPts[PLAYER],MATCH(TableWRRanks[[#This Row],[RK]],TableWRCalcPts[RK],0)),"")</f>
        <v>Kyle Philips</v>
      </c>
      <c r="Q149" s="22" t="str">
        <f>IFERROR(INDEX(TableWRCalcPts[TM],MATCH(TableWRRanks[[#This Row],[RK]],TableWRCalcPts[RK],0)),"")</f>
        <v>TEN</v>
      </c>
      <c r="R149" s="22">
        <f>IFERROR(INDEX(TableWRCalcPts[BYE],MATCH(TableWRRanks[[#This Row],[RK]],TableWRCalcPts[RK],0)),"")</f>
        <v>6</v>
      </c>
      <c r="S149" s="272">
        <f>IFERROR(INDEX(TableWRCalcPts[Custom],MATCH(TableWRRanks[[#This Row],[RK]],TableWRCalcPts[RK],0)),"")</f>
        <v>14.615915494250935</v>
      </c>
      <c r="T149" s="273">
        <f>(((VLOOKUP(TableWRRanks[[#This Row],[Player]],'OVR &amp; VORP Ranks'!$P:$T,5,FALSE)))/('OVR &amp; VORP Ranks'!$BM$6))*(Settings!$E$10*TEAMS)</f>
        <v>-44.445093239684049</v>
      </c>
    </row>
    <row r="150" spans="8:20" x14ac:dyDescent="0.3">
      <c r="H150" s="22">
        <v>149</v>
      </c>
      <c r="I150" s="22" t="str">
        <f>IFERROR(INDEX(TableRBCalcPts[PLAYER],MATCH(TableRBRanks[[#This Row],[RK]],TableRBCalcPts[RK],0)),"")</f>
        <v/>
      </c>
      <c r="J150" s="22" t="str">
        <f>IFERROR(INDEX(TableRBCalcPts[TM],MATCH(TableRBRanks[[#This Row],[RK]],TableRBCalcPts[RK],0)),"")</f>
        <v/>
      </c>
      <c r="K150" s="22" t="str">
        <f>IFERROR(INDEX(TableRBCalcPts[BYE],MATCH(TableRBRanks[[#This Row],[RK]],TableRBCalcPts[RK],0)),"")</f>
        <v/>
      </c>
      <c r="L150" s="272" t="str">
        <f>IFERROR(INDEX(TableRBCalcPts[Custom],MATCH(TableRBRanks[[#This Row],[RK]],TableRBCalcPts[RK],0)),"")</f>
        <v/>
      </c>
      <c r="M150" s="273" t="e">
        <f>(((VLOOKUP(TableRBRanks[[#This Row],[Player]],'OVR &amp; VORP Ranks'!$I:$M,5,FALSE)))/('OVR &amp; VORP Ranks'!$BM$6))*(Settings!$E$10*TEAMS)</f>
        <v>#VALUE!</v>
      </c>
      <c r="O150" s="274">
        <v>149</v>
      </c>
      <c r="P150" s="274" t="str">
        <f>IFERROR(INDEX(TableWRCalcPts[PLAYER],MATCH(TableWRRanks[[#This Row],[RK]],TableWRCalcPts[RK],0)),"")</f>
        <v>Andy Isabella</v>
      </c>
      <c r="Q150" s="22" t="str">
        <f>IFERROR(INDEX(TableWRCalcPts[TM],MATCH(TableWRRanks[[#This Row],[RK]],TableWRCalcPts[RK],0)),"")</f>
        <v>ARI</v>
      </c>
      <c r="R150" s="22">
        <f>IFERROR(INDEX(TableWRCalcPts[BYE],MATCH(TableWRRanks[[#This Row],[RK]],TableWRCalcPts[RK],0)),"")</f>
        <v>13</v>
      </c>
      <c r="S150" s="272">
        <f>IFERROR(INDEX(TableWRCalcPts[Custom],MATCH(TableWRRanks[[#This Row],[RK]],TableWRCalcPts[RK],0)),"")</f>
        <v>14.509907838994287</v>
      </c>
      <c r="T150" s="273">
        <f>(((VLOOKUP(TableWRRanks[[#This Row],[Player]],'OVR &amp; VORP Ranks'!$P:$T,5,FALSE)))/('OVR &amp; VORP Ranks'!$BM$6))*(Settings!$E$10*TEAMS)</f>
        <v>-44.495026379058181</v>
      </c>
    </row>
    <row r="151" spans="8:20" x14ac:dyDescent="0.3">
      <c r="H151" s="22">
        <v>150</v>
      </c>
      <c r="I151" s="22" t="str">
        <f>IFERROR(INDEX(TableRBCalcPts[PLAYER],MATCH(TableRBRanks[[#This Row],[RK]],TableRBCalcPts[RK],0)),"")</f>
        <v/>
      </c>
      <c r="J151" s="22" t="str">
        <f>IFERROR(INDEX(TableRBCalcPts[TM],MATCH(TableRBRanks[[#This Row],[RK]],TableRBCalcPts[RK],0)),"")</f>
        <v/>
      </c>
      <c r="K151" s="22" t="str">
        <f>IFERROR(INDEX(TableRBCalcPts[BYE],MATCH(TableRBRanks[[#This Row],[RK]],TableRBCalcPts[RK],0)),"")</f>
        <v/>
      </c>
      <c r="L151" s="272" t="str">
        <f>IFERROR(INDEX(TableRBCalcPts[Custom],MATCH(TableRBRanks[[#This Row],[RK]],TableRBCalcPts[RK],0)),"")</f>
        <v/>
      </c>
      <c r="M151" s="273" t="e">
        <f>(((VLOOKUP(TableRBRanks[[#This Row],[Player]],'OVR &amp; VORP Ranks'!$I:$M,5,FALSE)))/('OVR &amp; VORP Ranks'!$BM$6))*(Settings!$E$10*TEAMS)</f>
        <v>#VALUE!</v>
      </c>
      <c r="O151" s="22">
        <v>150</v>
      </c>
      <c r="P151" s="274" t="str">
        <f>IFERROR(INDEX(TableWRCalcPts[PLAYER],MATCH(TableWRRanks[[#This Row],[RK]],TableWRCalcPts[RK],0)),"")</f>
        <v>Quintez Cephus</v>
      </c>
      <c r="Q151" s="22" t="str">
        <f>IFERROR(INDEX(TableWRCalcPts[TM],MATCH(TableWRRanks[[#This Row],[RK]],TableWRCalcPts[RK],0)),"")</f>
        <v>DET</v>
      </c>
      <c r="R151" s="22">
        <f>IFERROR(INDEX(TableWRCalcPts[BYE],MATCH(TableWRRanks[[#This Row],[RK]],TableWRCalcPts[RK],0)),"")</f>
        <v>6</v>
      </c>
      <c r="S151" s="272">
        <f>IFERROR(INDEX(TableWRCalcPts[Custom],MATCH(TableWRRanks[[#This Row],[RK]],TableWRCalcPts[RK],0)),"")</f>
        <v>13.980069410941089</v>
      </c>
      <c r="T151" s="273">
        <f>(((VLOOKUP(TableWRRanks[[#This Row],[Player]],'OVR &amp; VORP Ranks'!$P:$T,5,FALSE)))/('OVR &amp; VORP Ranks'!$BM$6))*(Settings!$E$10*TEAMS)</f>
        <v>-44.744597940750552</v>
      </c>
    </row>
    <row r="152" spans="8:20" x14ac:dyDescent="0.3">
      <c r="H152" s="22">
        <v>151</v>
      </c>
      <c r="I152" s="22" t="str">
        <f>IFERROR(INDEX(TableRBCalcPts[PLAYER],MATCH(TableRBRanks[[#This Row],[RK]],TableRBCalcPts[RK],0)),"")</f>
        <v/>
      </c>
      <c r="J152" s="22" t="str">
        <f>IFERROR(INDEX(TableRBCalcPts[TM],MATCH(TableRBRanks[[#This Row],[RK]],TableRBCalcPts[RK],0)),"")</f>
        <v/>
      </c>
      <c r="K152" s="22" t="str">
        <f>IFERROR(INDEX(TableRBCalcPts[BYE],MATCH(TableRBRanks[[#This Row],[RK]],TableRBCalcPts[RK],0)),"")</f>
        <v/>
      </c>
      <c r="L152" s="272" t="str">
        <f>IFERROR(INDEX(TableRBCalcPts[Custom],MATCH(TableRBRanks[[#This Row],[RK]],TableRBCalcPts[RK],0)),"")</f>
        <v/>
      </c>
      <c r="M152" s="273" t="e">
        <f>(((VLOOKUP(TableRBRanks[[#This Row],[Player]],'OVR &amp; VORP Ranks'!$I:$M,5,FALSE)))/('OVR &amp; VORP Ranks'!$BM$6))*(Settings!$E$10*TEAMS)</f>
        <v>#VALUE!</v>
      </c>
      <c r="O152" s="22">
        <v>151</v>
      </c>
      <c r="P152" s="22" t="str">
        <f>IFERROR(INDEX(TableWRCalcPts[PLAYER],MATCH(TableWRRanks[[#This Row],[RK]],TableWRCalcPts[RK],0)),"")</f>
        <v>Cam Sims</v>
      </c>
      <c r="Q152" s="22" t="str">
        <f>IFERROR(INDEX(TableWRCalcPts[TM],MATCH(TableWRRanks[[#This Row],[RK]],TableWRCalcPts[RK],0)),"")</f>
        <v>WSH</v>
      </c>
      <c r="R152" s="22">
        <f>IFERROR(INDEX(TableWRCalcPts[BYE],MATCH(TableWRRanks[[#This Row],[RK]],TableWRCalcPts[RK],0)),"")</f>
        <v>14</v>
      </c>
      <c r="S152" s="272">
        <f>IFERROR(INDEX(TableWRCalcPts[Custom],MATCH(TableWRRanks[[#This Row],[RK]],TableWRCalcPts[RK],0)),"")</f>
        <v>13.915093875252108</v>
      </c>
      <c r="T152" s="273">
        <f>(((VLOOKUP(TableWRRanks[[#This Row],[Player]],'OVR &amp; VORP Ranks'!$P:$T,5,FALSE)))/('OVR &amp; VORP Ranks'!$BM$6))*(Settings!$E$10*TEAMS)</f>
        <v>-44.775203584009155</v>
      </c>
    </row>
    <row r="153" spans="8:20" x14ac:dyDescent="0.3">
      <c r="H153" s="22">
        <v>152</v>
      </c>
      <c r="I153" s="22" t="str">
        <f>IFERROR(INDEX(TableRBCalcPts[PLAYER],MATCH(TableRBRanks[[#This Row],[RK]],TableRBCalcPts[RK],0)),"")</f>
        <v/>
      </c>
      <c r="J153" s="22" t="str">
        <f>IFERROR(INDEX(TableRBCalcPts[TM],MATCH(TableRBRanks[[#This Row],[RK]],TableRBCalcPts[RK],0)),"")</f>
        <v/>
      </c>
      <c r="K153" s="22" t="str">
        <f>IFERROR(INDEX(TableRBCalcPts[BYE],MATCH(TableRBRanks[[#This Row],[RK]],TableRBCalcPts[RK],0)),"")</f>
        <v/>
      </c>
      <c r="L153" s="272" t="str">
        <f>IFERROR(INDEX(TableRBCalcPts[Custom],MATCH(TableRBRanks[[#This Row],[RK]],TableRBCalcPts[RK],0)),"")</f>
        <v/>
      </c>
      <c r="M153" s="273" t="e">
        <f>(((VLOOKUP(TableRBRanks[[#This Row],[Player]],'OVR &amp; VORP Ranks'!$I:$M,5,FALSE)))/('OVR &amp; VORP Ranks'!$BM$6))*(Settings!$E$10*TEAMS)</f>
        <v>#VALUE!</v>
      </c>
      <c r="O153" s="274">
        <v>152</v>
      </c>
      <c r="P153" s="22" t="str">
        <f>IFERROR(INDEX(TableWRCalcPts[PLAYER],MATCH(TableWRRanks[[#This Row],[RK]],TableWRCalcPts[RK],0)),"")</f>
        <v>Dante Pettis</v>
      </c>
      <c r="Q153" s="22" t="str">
        <f>IFERROR(INDEX(TableWRCalcPts[TM],MATCH(TableWRRanks[[#This Row],[RK]],TableWRCalcPts[RK],0)),"")</f>
        <v>CHI</v>
      </c>
      <c r="R153" s="22">
        <f>IFERROR(INDEX(TableWRCalcPts[BYE],MATCH(TableWRRanks[[#This Row],[RK]],TableWRCalcPts[RK],0)),"")</f>
        <v>14</v>
      </c>
      <c r="S153" s="272">
        <f>IFERROR(INDEX(TableWRCalcPts[Custom],MATCH(TableWRRanks[[#This Row],[RK]],TableWRCalcPts[RK],0)),"")</f>
        <v>13.749726037576302</v>
      </c>
      <c r="T153" s="273">
        <f>(((VLOOKUP(TableWRRanks[[#This Row],[Player]],'OVR &amp; VORP Ranks'!$P:$T,5,FALSE)))/('OVR &amp; VORP Ranks'!$BM$6))*(Settings!$E$10*TEAMS)</f>
        <v>-44.853097348064907</v>
      </c>
    </row>
    <row r="154" spans="8:20" x14ac:dyDescent="0.3">
      <c r="H154" s="22">
        <v>153</v>
      </c>
      <c r="I154" s="274" t="str">
        <f>IFERROR(INDEX(TableRBCalcPts[PLAYER],MATCH(TableRBRanks[[#This Row],[RK]],TableRBCalcPts[RK],0)),"")</f>
        <v/>
      </c>
      <c r="J154" s="274" t="str">
        <f>IFERROR(INDEX(TableRBCalcPts[TM],MATCH(TableRBRanks[[#This Row],[RK]],TableRBCalcPts[RK],0)),"")</f>
        <v/>
      </c>
      <c r="K154" s="274" t="str">
        <f>IFERROR(INDEX(TableRBCalcPts[BYE],MATCH(TableRBRanks[[#This Row],[RK]],TableRBCalcPts[RK],0)),"")</f>
        <v/>
      </c>
      <c r="L154" s="272" t="str">
        <f>IFERROR(INDEX(TableRBCalcPts[Custom],MATCH(TableRBRanks[[#This Row],[RK]],TableRBCalcPts[RK],0)),"")</f>
        <v/>
      </c>
      <c r="M154" s="273" t="e">
        <f>(((VLOOKUP(TableRBRanks[[#This Row],[Player]],'OVR &amp; VORP Ranks'!$I:$M,5,FALSE)))/('OVR &amp; VORP Ranks'!$BM$6))*(Settings!$E$10*TEAMS)</f>
        <v>#VALUE!</v>
      </c>
      <c r="O154" s="22">
        <v>153</v>
      </c>
      <c r="P154" s="274" t="str">
        <f>IFERROR(INDEX(TableWRCalcPts[PLAYER],MATCH(TableWRRanks[[#This Row],[RK]],TableWRCalcPts[RK],0)),"")</f>
        <v>Brandon Zylstra</v>
      </c>
      <c r="Q154" s="22" t="str">
        <f>IFERROR(INDEX(TableWRCalcPts[TM],MATCH(TableWRRanks[[#This Row],[RK]],TableWRCalcPts[RK],0)),"")</f>
        <v>CAR</v>
      </c>
      <c r="R154" s="22">
        <f>IFERROR(INDEX(TableWRCalcPts[BYE],MATCH(TableWRRanks[[#This Row],[RK]],TableWRCalcPts[RK],0)),"")</f>
        <v>13</v>
      </c>
      <c r="S154" s="272">
        <f>IFERROR(INDEX(TableWRCalcPts[Custom],MATCH(TableWRRanks[[#This Row],[RK]],TableWRCalcPts[RK],0)),"")</f>
        <v>13.741457224291679</v>
      </c>
      <c r="T154" s="273">
        <f>(((VLOOKUP(TableWRRanks[[#This Row],[Player]],'OVR &amp; VORP Ranks'!$P:$T,5,FALSE)))/('OVR &amp; VORP Ranks'!$BM$6))*(Settings!$E$10*TEAMS)</f>
        <v>-44.856992234761535</v>
      </c>
    </row>
    <row r="155" spans="8:20" x14ac:dyDescent="0.3">
      <c r="H155" s="22">
        <v>154</v>
      </c>
      <c r="I155" s="274" t="str">
        <f>IFERROR(INDEX(TableRBCalcPts[PLAYER],MATCH(TableRBRanks[[#This Row],[RK]],TableRBCalcPts[RK],0)),"")</f>
        <v/>
      </c>
      <c r="J155" s="274" t="str">
        <f>IFERROR(INDEX(TableRBCalcPts[TM],MATCH(TableRBRanks[[#This Row],[RK]],TableRBCalcPts[RK],0)),"")</f>
        <v/>
      </c>
      <c r="K155" s="274" t="str">
        <f>IFERROR(INDEX(TableRBCalcPts[BYE],MATCH(TableRBRanks[[#This Row],[RK]],TableRBCalcPts[RK],0)),"")</f>
        <v/>
      </c>
      <c r="L155" s="272" t="str">
        <f>IFERROR(INDEX(TableRBCalcPts[Custom],MATCH(TableRBRanks[[#This Row],[RK]],TableRBCalcPts[RK],0)),"")</f>
        <v/>
      </c>
      <c r="M155" s="273" t="e">
        <f>(((VLOOKUP(TableRBRanks[[#This Row],[Player]],'OVR &amp; VORP Ranks'!$I:$M,5,FALSE)))/('OVR &amp; VORP Ranks'!$BM$6))*(Settings!$E$10*TEAMS)</f>
        <v>#VALUE!</v>
      </c>
      <c r="O155" s="22">
        <v>154</v>
      </c>
      <c r="P155" s="274" t="str">
        <f>IFERROR(INDEX(TableWRCalcPts[PLAYER],MATCH(TableWRRanks[[#This Row],[RK]],TableWRCalcPts[RK],0)),"")</f>
        <v>DeAndre Carter</v>
      </c>
      <c r="Q155" s="22" t="str">
        <f>IFERROR(INDEX(TableWRCalcPts[TM],MATCH(TableWRRanks[[#This Row],[RK]],TableWRCalcPts[RK],0)),"")</f>
        <v>LAC</v>
      </c>
      <c r="R155" s="22">
        <f>IFERROR(INDEX(TableWRCalcPts[BYE],MATCH(TableWRRanks[[#This Row],[RK]],TableWRCalcPts[RK],0)),"")</f>
        <v>8</v>
      </c>
      <c r="S155" s="272">
        <f>IFERROR(INDEX(TableWRCalcPts[Custom],MATCH(TableWRRanks[[#This Row],[RK]],TableWRCalcPts[RK],0)),"")</f>
        <v>13.327148477988143</v>
      </c>
      <c r="T155" s="273">
        <f>(((VLOOKUP(TableWRRanks[[#This Row],[Player]],'OVR &amp; VORP Ranks'!$P:$T,5,FALSE)))/('OVR &amp; VORP Ranks'!$BM$6))*(Settings!$E$10*TEAMS)</f>
        <v>-45.052145465186335</v>
      </c>
    </row>
    <row r="156" spans="8:20" x14ac:dyDescent="0.3">
      <c r="H156" s="22">
        <v>155</v>
      </c>
      <c r="I156" s="274" t="str">
        <f>IFERROR(INDEX(TableRBCalcPts[PLAYER],MATCH(TableRBRanks[[#This Row],[RK]],TableRBCalcPts[RK],0)),"")</f>
        <v/>
      </c>
      <c r="J156" s="274" t="str">
        <f>IFERROR(INDEX(TableRBCalcPts[TM],MATCH(TableRBRanks[[#This Row],[RK]],TableRBCalcPts[RK],0)),"")</f>
        <v/>
      </c>
      <c r="K156" s="274" t="str">
        <f>IFERROR(INDEX(TableRBCalcPts[BYE],MATCH(TableRBRanks[[#This Row],[RK]],TableRBCalcPts[RK],0)),"")</f>
        <v/>
      </c>
      <c r="L156" s="272" t="str">
        <f>IFERROR(INDEX(TableRBCalcPts[Custom],MATCH(TableRBRanks[[#This Row],[RK]],TableRBCalcPts[RK],0)),"")</f>
        <v/>
      </c>
      <c r="M156" s="273" t="e">
        <f>(((VLOOKUP(TableRBRanks[[#This Row],[Player]],'OVR &amp; VORP Ranks'!$I:$M,5,FALSE)))/('OVR &amp; VORP Ranks'!$BM$6))*(Settings!$E$10*TEAMS)</f>
        <v>#VALUE!</v>
      </c>
      <c r="O156" s="274">
        <v>155</v>
      </c>
      <c r="P156" s="274" t="str">
        <f>IFERROR(INDEX(TableWRCalcPts[PLAYER],MATCH(TableWRRanks[[#This Row],[RK]],TableWRCalcPts[RK],0)),"")</f>
        <v>Ihmir Smith-Marsette</v>
      </c>
      <c r="Q156" s="22" t="str">
        <f>IFERROR(INDEX(TableWRCalcPts[TM],MATCH(TableWRRanks[[#This Row],[RK]],TableWRCalcPts[RK],0)),"")</f>
        <v>MIN</v>
      </c>
      <c r="R156" s="22">
        <f>IFERROR(INDEX(TableWRCalcPts[BYE],MATCH(TableWRRanks[[#This Row],[RK]],TableWRCalcPts[RK],0)),"")</f>
        <v>7</v>
      </c>
      <c r="S156" s="272">
        <f>IFERROR(INDEX(TableWRCalcPts[Custom],MATCH(TableWRRanks[[#This Row],[RK]],TableWRCalcPts[RK],0)),"")</f>
        <v>13.232471753790474</v>
      </c>
      <c r="T156" s="273">
        <f>(((VLOOKUP(TableWRRanks[[#This Row],[Player]],'OVR &amp; VORP Ranks'!$P:$T,5,FALSE)))/('OVR &amp; VORP Ranks'!$BM$6))*(Settings!$E$10*TEAMS)</f>
        <v>-45.096741358316912</v>
      </c>
    </row>
    <row r="157" spans="8:20" x14ac:dyDescent="0.3">
      <c r="H157" s="22">
        <v>156</v>
      </c>
      <c r="I157" s="274" t="str">
        <f>IFERROR(INDEX(TableRBCalcPts[PLAYER],MATCH(TableRBRanks[[#This Row],[RK]],TableRBCalcPts[RK],0)),"")</f>
        <v/>
      </c>
      <c r="J157" s="274" t="str">
        <f>IFERROR(INDEX(TableRBCalcPts[TM],MATCH(TableRBRanks[[#This Row],[RK]],TableRBCalcPts[RK],0)),"")</f>
        <v/>
      </c>
      <c r="K157" s="274" t="str">
        <f>IFERROR(INDEX(TableRBCalcPts[BYE],MATCH(TableRBRanks[[#This Row],[RK]],TableRBCalcPts[RK],0)),"")</f>
        <v/>
      </c>
      <c r="L157" s="272" t="str">
        <f>IFERROR(INDEX(TableRBCalcPts[Custom],MATCH(TableRBRanks[[#This Row],[RK]],TableRBCalcPts[RK],0)),"")</f>
        <v/>
      </c>
      <c r="M157" s="273" t="e">
        <f>(((VLOOKUP(TableRBRanks[[#This Row],[Player]],'OVR &amp; VORP Ranks'!$I:$M,5,FALSE)))/('OVR &amp; VORP Ranks'!$BM$6))*(Settings!$E$10*TEAMS)</f>
        <v>#VALUE!</v>
      </c>
      <c r="O157" s="22">
        <v>156</v>
      </c>
      <c r="P157" s="22" t="str">
        <f>IFERROR(INDEX(TableWRCalcPts[PLAYER],MATCH(TableWRRanks[[#This Row],[RK]],TableWRCalcPts[RK],0)),"")</f>
        <v>Preston Williams</v>
      </c>
      <c r="Q157" s="22" t="str">
        <f>IFERROR(INDEX(TableWRCalcPts[TM],MATCH(TableWRRanks[[#This Row],[RK]],TableWRCalcPts[RK],0)),"")</f>
        <v>MIA</v>
      </c>
      <c r="R157" s="22">
        <f>IFERROR(INDEX(TableWRCalcPts[BYE],MATCH(TableWRRanks[[#This Row],[RK]],TableWRCalcPts[RK],0)),"")</f>
        <v>11</v>
      </c>
      <c r="S157" s="272">
        <f>IFERROR(INDEX(TableWRCalcPts[Custom],MATCH(TableWRRanks[[#This Row],[RK]],TableWRCalcPts[RK],0)),"")</f>
        <v>13.045031667985134</v>
      </c>
      <c r="T157" s="273">
        <f>(((VLOOKUP(TableWRRanks[[#This Row],[Player]],'OVR &amp; VORP Ranks'!$P:$T,5,FALSE)))/('OVR &amp; VORP Ranks'!$BM$6))*(Settings!$E$10*TEAMS)</f>
        <v>-45.185031887016528</v>
      </c>
    </row>
    <row r="158" spans="8:20" x14ac:dyDescent="0.3">
      <c r="H158" s="22">
        <v>157</v>
      </c>
      <c r="I158" s="274" t="str">
        <f>IFERROR(INDEX(TableRBCalcPts[PLAYER],MATCH(TableRBRanks[[#This Row],[RK]],TableRBCalcPts[RK],0)),"")</f>
        <v/>
      </c>
      <c r="J158" s="274" t="str">
        <f>IFERROR(INDEX(TableRBCalcPts[TM],MATCH(TableRBRanks[[#This Row],[RK]],TableRBCalcPts[RK],0)),"")</f>
        <v/>
      </c>
      <c r="K158" s="274" t="str">
        <f>IFERROR(INDEX(TableRBCalcPts[BYE],MATCH(TableRBRanks[[#This Row],[RK]],TableRBCalcPts[RK],0)),"")</f>
        <v/>
      </c>
      <c r="L158" s="272" t="str">
        <f>IFERROR(INDEX(TableRBCalcPts[Custom],MATCH(TableRBRanks[[#This Row],[RK]],TableRBCalcPts[RK],0)),"")</f>
        <v/>
      </c>
      <c r="M158" s="273" t="e">
        <f>(((VLOOKUP(TableRBRanks[[#This Row],[Player]],'OVR &amp; VORP Ranks'!$I:$M,5,FALSE)))/('OVR &amp; VORP Ranks'!$BM$6))*(Settings!$E$10*TEAMS)</f>
        <v>#VALUE!</v>
      </c>
      <c r="O158" s="22">
        <v>157</v>
      </c>
      <c r="P158" s="22" t="str">
        <f>IFERROR(INDEX(TableWRCalcPts[PLAYER],MATCH(TableWRRanks[[#This Row],[RK]],TableWRCalcPts[RK],0)),"")</f>
        <v>Jakeem Grant</v>
      </c>
      <c r="Q158" s="22" t="str">
        <f>IFERROR(INDEX(TableWRCalcPts[TM],MATCH(TableWRRanks[[#This Row],[RK]],TableWRCalcPts[RK],0)),"")</f>
        <v>CLE</v>
      </c>
      <c r="R158" s="22">
        <f>IFERROR(INDEX(TableWRCalcPts[BYE],MATCH(TableWRRanks[[#This Row],[RK]],TableWRCalcPts[RK],0)),"")</f>
        <v>9</v>
      </c>
      <c r="S158" s="272">
        <f>IFERROR(INDEX(TableWRCalcPts[Custom],MATCH(TableWRRanks[[#This Row],[RK]],TableWRCalcPts[RK],0)),"")</f>
        <v>12.895494146377734</v>
      </c>
      <c r="T158" s="273">
        <f>(((VLOOKUP(TableWRRanks[[#This Row],[Player]],'OVR &amp; VORP Ranks'!$P:$T,5,FALSE)))/('OVR &amp; VORP Ranks'!$BM$6))*(Settings!$E$10*TEAMS)</f>
        <v>-45.255469044503002</v>
      </c>
    </row>
    <row r="159" spans="8:20" x14ac:dyDescent="0.3">
      <c r="H159" s="22">
        <v>158</v>
      </c>
      <c r="I159" s="274" t="str">
        <f>IFERROR(INDEX(TableRBCalcPts[PLAYER],MATCH(TableRBRanks[[#This Row],[RK]],TableRBCalcPts[RK],0)),"")</f>
        <v/>
      </c>
      <c r="J159" s="274" t="str">
        <f>IFERROR(INDEX(TableRBCalcPts[TM],MATCH(TableRBRanks[[#This Row],[RK]],TableRBCalcPts[RK],0)),"")</f>
        <v/>
      </c>
      <c r="K159" s="274" t="str">
        <f>IFERROR(INDEX(TableRBCalcPts[BYE],MATCH(TableRBRanks[[#This Row],[RK]],TableRBCalcPts[RK],0)),"")</f>
        <v/>
      </c>
      <c r="L159" s="272" t="str">
        <f>IFERROR(INDEX(TableRBCalcPts[Custom],MATCH(TableRBRanks[[#This Row],[RK]],TableRBCalcPts[RK],0)),"")</f>
        <v/>
      </c>
      <c r="M159" s="273" t="e">
        <f>(((VLOOKUP(TableRBRanks[[#This Row],[Player]],'OVR &amp; VORP Ranks'!$I:$M,5,FALSE)))/('OVR &amp; VORP Ranks'!$BM$6))*(Settings!$E$10*TEAMS)</f>
        <v>#VALUE!</v>
      </c>
      <c r="O159" s="274">
        <v>158</v>
      </c>
      <c r="P159" s="274" t="str">
        <f>IFERROR(INDEX(TableWRCalcPts[PLAYER],MATCH(TableWRRanks[[#This Row],[RK]],TableWRCalcPts[RK],0)),"")</f>
        <v>Phillip Dorsett</v>
      </c>
      <c r="Q159" s="22" t="str">
        <f>IFERROR(INDEX(TableWRCalcPts[TM],MATCH(TableWRRanks[[#This Row],[RK]],TableWRCalcPts[RK],0)),"")</f>
        <v>HOU</v>
      </c>
      <c r="R159" s="22">
        <f>IFERROR(INDEX(TableWRCalcPts[BYE],MATCH(TableWRRanks[[#This Row],[RK]],TableWRCalcPts[RK],0)),"")</f>
        <v>6</v>
      </c>
      <c r="S159" s="272">
        <f>IFERROR(INDEX(TableWRCalcPts[Custom],MATCH(TableWRRanks[[#This Row],[RK]],TableWRCalcPts[RK],0)),"")</f>
        <v>12.876327864814634</v>
      </c>
      <c r="T159" s="273">
        <f>(((VLOOKUP(TableWRRanks[[#This Row],[Player]],'OVR &amp; VORP Ranks'!$P:$T,5,FALSE)))/('OVR &amp; VORP Ranks'!$BM$6))*(Settings!$E$10*TEAMS)</f>
        <v>-45.26449700202415</v>
      </c>
    </row>
    <row r="160" spans="8:20" x14ac:dyDescent="0.3">
      <c r="H160" s="22">
        <v>159</v>
      </c>
      <c r="I160" s="274" t="str">
        <f>IFERROR(INDEX(TableRBCalcPts[PLAYER],MATCH(TableRBRanks[[#This Row],[RK]],TableRBCalcPts[RK],0)),"")</f>
        <v/>
      </c>
      <c r="J160" s="274" t="str">
        <f>IFERROR(INDEX(TableRBCalcPts[TM],MATCH(TableRBRanks[[#This Row],[RK]],TableRBCalcPts[RK],0)),"")</f>
        <v/>
      </c>
      <c r="K160" s="274" t="str">
        <f>IFERROR(INDEX(TableRBCalcPts[BYE],MATCH(TableRBRanks[[#This Row],[RK]],TableRBCalcPts[RK],0)),"")</f>
        <v/>
      </c>
      <c r="L160" s="272" t="str">
        <f>IFERROR(INDEX(TableRBCalcPts[Custom],MATCH(TableRBRanks[[#This Row],[RK]],TableRBCalcPts[RK],0)),"")</f>
        <v/>
      </c>
      <c r="M160" s="273" t="e">
        <f>(((VLOOKUP(TableRBRanks[[#This Row],[Player]],'OVR &amp; VORP Ranks'!$I:$M,5,FALSE)))/('OVR &amp; VORP Ranks'!$BM$6))*(Settings!$E$10*TEAMS)</f>
        <v>#VALUE!</v>
      </c>
      <c r="O160" s="22">
        <v>159</v>
      </c>
      <c r="P160" s="22" t="str">
        <f>IFERROR(INDEX(TableWRCalcPts[PLAYER],MATCH(TableWRRanks[[#This Row],[RK]],TableWRCalcPts[RK],0)),"")</f>
        <v>Mike Thomas</v>
      </c>
      <c r="Q160" s="22" t="str">
        <f>IFERROR(INDEX(TableWRCalcPts[TM],MATCH(TableWRRanks[[#This Row],[RK]],TableWRCalcPts[RK],0)),"")</f>
        <v>CIN</v>
      </c>
      <c r="R160" s="22">
        <f>IFERROR(INDEX(TableWRCalcPts[BYE],MATCH(TableWRRanks[[#This Row],[RK]],TableWRCalcPts[RK],0)),"")</f>
        <v>10</v>
      </c>
      <c r="S160" s="272">
        <f>IFERROR(INDEX(TableWRCalcPts[Custom],MATCH(TableWRRanks[[#This Row],[RK]],TableWRCalcPts[RK],0)),"")</f>
        <v>12.674219162495806</v>
      </c>
      <c r="T160" s="273">
        <f>(((VLOOKUP(TableWRRanks[[#This Row],[Player]],'OVR &amp; VORP Ranks'!$P:$T,5,FALSE)))/('OVR &amp; VORP Ranks'!$BM$6))*(Settings!$E$10*TEAMS)</f>
        <v>-45.359696938077612</v>
      </c>
    </row>
    <row r="161" spans="8:20" x14ac:dyDescent="0.3">
      <c r="H161" s="22">
        <v>160</v>
      </c>
      <c r="I161" s="274" t="str">
        <f>IFERROR(INDEX(TableRBCalcPts[PLAYER],MATCH(TableRBRanks[[#This Row],[RK]],TableRBCalcPts[RK],0)),"")</f>
        <v/>
      </c>
      <c r="J161" s="274" t="str">
        <f>IFERROR(INDEX(TableRBCalcPts[TM],MATCH(TableRBRanks[[#This Row],[RK]],TableRBCalcPts[RK],0)),"")</f>
        <v/>
      </c>
      <c r="K161" s="274" t="str">
        <f>IFERROR(INDEX(TableRBCalcPts[BYE],MATCH(TableRBRanks[[#This Row],[RK]],TableRBCalcPts[RK],0)),"")</f>
        <v/>
      </c>
      <c r="L161" s="272" t="str">
        <f>IFERROR(INDEX(TableRBCalcPts[Custom],MATCH(TableRBRanks[[#This Row],[RK]],TableRBCalcPts[RK],0)),"")</f>
        <v/>
      </c>
      <c r="M161" s="273" t="e">
        <f>(((VLOOKUP(TableRBRanks[[#This Row],[Player]],'OVR &amp; VORP Ranks'!$I:$M,5,FALSE)))/('OVR &amp; VORP Ranks'!$BM$6))*(Settings!$E$10*TEAMS)</f>
        <v>#VALUE!</v>
      </c>
      <c r="O161" s="22">
        <v>160</v>
      </c>
      <c r="P161" s="274" t="str">
        <f>IFERROR(INDEX(TableWRCalcPts[PLAYER],MATCH(TableWRRanks[[#This Row],[RK]],TableWRCalcPts[RK],0)),"")</f>
        <v>Antoine Wesley</v>
      </c>
      <c r="Q161" s="22" t="str">
        <f>IFERROR(INDEX(TableWRCalcPts[TM],MATCH(TableWRRanks[[#This Row],[RK]],TableWRCalcPts[RK],0)),"")</f>
        <v>ARI</v>
      </c>
      <c r="R161" s="22">
        <f>IFERROR(INDEX(TableWRCalcPts[BYE],MATCH(TableWRRanks[[#This Row],[RK]],TableWRCalcPts[RK],0)),"")</f>
        <v>13</v>
      </c>
      <c r="S161" s="272">
        <f>IFERROR(INDEX(TableWRCalcPts[Custom],MATCH(TableWRRanks[[#This Row],[RK]],TableWRCalcPts[RK],0)),"")</f>
        <v>12.486852153852277</v>
      </c>
      <c r="T161" s="273">
        <f>(((VLOOKUP(TableWRRanks[[#This Row],[Player]],'OVR &amp; VORP Ranks'!$P:$T,5,FALSE)))/('OVR &amp; VORP Ranks'!$BM$6))*(Settings!$E$10*TEAMS)</f>
        <v>-45.447953044998002</v>
      </c>
    </row>
    <row r="162" spans="8:20" x14ac:dyDescent="0.3">
      <c r="H162" s="22">
        <v>161</v>
      </c>
      <c r="I162" s="274" t="str">
        <f>IFERROR(INDEX(TableRBCalcPts[PLAYER],MATCH(TableRBRanks[[#This Row],[RK]],TableRBCalcPts[RK],0)),"")</f>
        <v/>
      </c>
      <c r="J162" s="274" t="str">
        <f>IFERROR(INDEX(TableRBCalcPts[TM],MATCH(TableRBRanks[[#This Row],[RK]],TableRBCalcPts[RK],0)),"")</f>
        <v/>
      </c>
      <c r="K162" s="274" t="str">
        <f>IFERROR(INDEX(TableRBCalcPts[BYE],MATCH(TableRBRanks[[#This Row],[RK]],TableRBCalcPts[RK],0)),"")</f>
        <v/>
      </c>
      <c r="L162" s="272" t="str">
        <f>IFERROR(INDEX(TableRBCalcPts[Custom],MATCH(TableRBRanks[[#This Row],[RK]],TableRBCalcPts[RK],0)),"")</f>
        <v/>
      </c>
      <c r="M162" s="273" t="e">
        <f>(((VLOOKUP(TableRBRanks[[#This Row],[Player]],'OVR &amp; VORP Ranks'!$I:$M,5,FALSE)))/('OVR &amp; VORP Ranks'!$BM$6))*(Settings!$E$10*TEAMS)</f>
        <v>#VALUE!</v>
      </c>
      <c r="O162" s="274">
        <v>161</v>
      </c>
      <c r="P162" s="274" t="str">
        <f>IFERROR(INDEX(TableWRCalcPts[PLAYER],MATCH(TableWRRanks[[#This Row],[RK]],TableWRCalcPts[RK],0)),"")</f>
        <v>Dazz Newsome</v>
      </c>
      <c r="Q162" s="22" t="str">
        <f>IFERROR(INDEX(TableWRCalcPts[TM],MATCH(TableWRRanks[[#This Row],[RK]],TableWRCalcPts[RK],0)),"")</f>
        <v>CHI</v>
      </c>
      <c r="R162" s="22">
        <f>IFERROR(INDEX(TableWRCalcPts[BYE],MATCH(TableWRRanks[[#This Row],[RK]],TableWRCalcPts[RK],0)),"")</f>
        <v>14</v>
      </c>
      <c r="S162" s="272">
        <f>IFERROR(INDEX(TableWRCalcPts[Custom],MATCH(TableWRRanks[[#This Row],[RK]],TableWRCalcPts[RK],0)),"")</f>
        <v>12.174862018266934</v>
      </c>
      <c r="T162" s="273">
        <f>(((VLOOKUP(TableWRRanks[[#This Row],[Player]],'OVR &amp; VORP Ranks'!$P:$T,5,FALSE)))/('OVR &amp; VORP Ranks'!$BM$6))*(Settings!$E$10*TEAMS)</f>
        <v>-45.594910798999997</v>
      </c>
    </row>
    <row r="163" spans="8:20" x14ac:dyDescent="0.3">
      <c r="H163" s="22">
        <v>162</v>
      </c>
      <c r="I163" s="274" t="str">
        <f>IFERROR(INDEX(TableRBCalcPts[PLAYER],MATCH(TableRBRanks[[#This Row],[RK]],TableRBCalcPts[RK],0)),"")</f>
        <v/>
      </c>
      <c r="J163" s="274" t="str">
        <f>IFERROR(INDEX(TableRBCalcPts[TM],MATCH(TableRBRanks[[#This Row],[RK]],TableRBCalcPts[RK],0)),"")</f>
        <v/>
      </c>
      <c r="K163" s="274" t="str">
        <f>IFERROR(INDEX(TableRBCalcPts[BYE],MATCH(TableRBRanks[[#This Row],[RK]],TableRBCalcPts[RK],0)),"")</f>
        <v/>
      </c>
      <c r="L163" s="272" t="str">
        <f>IFERROR(INDEX(TableRBCalcPts[Custom],MATCH(TableRBRanks[[#This Row],[RK]],TableRBCalcPts[RK],0)),"")</f>
        <v/>
      </c>
      <c r="M163" s="273" t="e">
        <f>(((VLOOKUP(TableRBRanks[[#This Row],[Player]],'OVR &amp; VORP Ranks'!$I:$M,5,FALSE)))/('OVR &amp; VORP Ranks'!$BM$6))*(Settings!$E$10*TEAMS)</f>
        <v>#VALUE!</v>
      </c>
      <c r="O163" s="22">
        <v>162</v>
      </c>
      <c r="P163" s="22" t="str">
        <f>IFERROR(INDEX(TableWRCalcPts[PLAYER],MATCH(TableWRRanks[[#This Row],[RK]],TableWRCalcPts[RK],0)),"")</f>
        <v>Greg Ward</v>
      </c>
      <c r="Q163" s="22" t="str">
        <f>IFERROR(INDEX(TableWRCalcPts[TM],MATCH(TableWRRanks[[#This Row],[RK]],TableWRCalcPts[RK],0)),"")</f>
        <v>PHI</v>
      </c>
      <c r="R163" s="22">
        <f>IFERROR(INDEX(TableWRCalcPts[BYE],MATCH(TableWRRanks[[#This Row],[RK]],TableWRCalcPts[RK],0)),"")</f>
        <v>7</v>
      </c>
      <c r="S163" s="272">
        <f>IFERROR(INDEX(TableWRCalcPts[Custom],MATCH(TableWRRanks[[#This Row],[RK]],TableWRCalcPts[RK],0)),"")</f>
        <v>11.852095478256167</v>
      </c>
      <c r="T163" s="273">
        <f>(((VLOOKUP(TableWRRanks[[#This Row],[Player]],'OVR &amp; VORP Ranks'!$P:$T,5,FALSE)))/('OVR &amp; VORP Ranks'!$BM$6))*(Settings!$E$10*TEAMS)</f>
        <v>-45.746944598716105</v>
      </c>
    </row>
    <row r="164" spans="8:20" x14ac:dyDescent="0.3">
      <c r="H164" s="22">
        <v>163</v>
      </c>
      <c r="I164" s="274" t="str">
        <f>IFERROR(INDEX(TableRBCalcPts[PLAYER],MATCH(TableRBRanks[[#This Row],[RK]],TableRBCalcPts[RK],0)),"")</f>
        <v/>
      </c>
      <c r="J164" s="274" t="str">
        <f>IFERROR(INDEX(TableRBCalcPts[TM],MATCH(TableRBRanks[[#This Row],[RK]],TableRBCalcPts[RK],0)),"")</f>
        <v/>
      </c>
      <c r="K164" s="274" t="str">
        <f>IFERROR(INDEX(TableRBCalcPts[BYE],MATCH(TableRBRanks[[#This Row],[RK]],TableRBCalcPts[RK],0)),"")</f>
        <v/>
      </c>
      <c r="L164" s="272" t="str">
        <f>IFERROR(INDEX(TableRBCalcPts[Custom],MATCH(TableRBRanks[[#This Row],[RK]],TableRBCalcPts[RK],0)),"")</f>
        <v/>
      </c>
      <c r="M164" s="273" t="e">
        <f>(((VLOOKUP(TableRBRanks[[#This Row],[Player]],'OVR &amp; VORP Ranks'!$I:$M,5,FALSE)))/('OVR &amp; VORP Ranks'!$BM$6))*(Settings!$E$10*TEAMS)</f>
        <v>#VALUE!</v>
      </c>
      <c r="O164" s="22">
        <v>163</v>
      </c>
      <c r="P164" s="22" t="str">
        <f>IFERROR(INDEX(TableWRCalcPts[PLAYER],MATCH(TableWRRanks[[#This Row],[RK]],TableWRCalcPts[RK],0)),"")</f>
        <v>Denzel Mims</v>
      </c>
      <c r="Q164" s="22" t="str">
        <f>IFERROR(INDEX(TableWRCalcPts[TM],MATCH(TableWRRanks[[#This Row],[RK]],TableWRCalcPts[RK],0)),"")</f>
        <v>NYJ</v>
      </c>
      <c r="R164" s="22">
        <f>IFERROR(INDEX(TableWRCalcPts[BYE],MATCH(TableWRRanks[[#This Row],[RK]],TableWRCalcPts[RK],0)),"")</f>
        <v>10</v>
      </c>
      <c r="S164" s="272">
        <f>IFERROR(INDEX(TableWRCalcPts[Custom],MATCH(TableWRRanks[[#This Row],[RK]],TableWRCalcPts[RK],0)),"")</f>
        <v>11.477164181856821</v>
      </c>
      <c r="T164" s="273">
        <f>(((VLOOKUP(TableWRRanks[[#This Row],[Player]],'OVR &amp; VORP Ranks'!$P:$T,5,FALSE)))/('OVR &amp; VORP Ranks'!$BM$6))*(Settings!$E$10*TEAMS)</f>
        <v>-45.923549737595039</v>
      </c>
    </row>
    <row r="165" spans="8:20" x14ac:dyDescent="0.3">
      <c r="H165" s="22">
        <v>164</v>
      </c>
      <c r="I165" s="274" t="str">
        <f>IFERROR(INDEX(TableRBCalcPts[PLAYER],MATCH(TableRBRanks[[#This Row],[RK]],TableRBCalcPts[RK],0)),"")</f>
        <v/>
      </c>
      <c r="J165" s="274" t="str">
        <f>IFERROR(INDEX(TableRBCalcPts[TM],MATCH(TableRBRanks[[#This Row],[RK]],TableRBCalcPts[RK],0)),"")</f>
        <v/>
      </c>
      <c r="K165" s="274" t="str">
        <f>IFERROR(INDEX(TableRBCalcPts[BYE],MATCH(TableRBRanks[[#This Row],[RK]],TableRBCalcPts[RK],0)),"")</f>
        <v/>
      </c>
      <c r="L165" s="272" t="str">
        <f>IFERROR(INDEX(TableRBCalcPts[Custom],MATCH(TableRBRanks[[#This Row],[RK]],TableRBCalcPts[RK],0)),"")</f>
        <v/>
      </c>
      <c r="M165" s="273" t="e">
        <f>(((VLOOKUP(TableRBRanks[[#This Row],[Player]],'OVR &amp; VORP Ranks'!$I:$M,5,FALSE)))/('OVR &amp; VORP Ranks'!$BM$6))*(Settings!$E$10*TEAMS)</f>
        <v>#VALUE!</v>
      </c>
      <c r="O165" s="274">
        <v>164</v>
      </c>
      <c r="P165" s="274" t="str">
        <f>IFERROR(INDEX(TableWRCalcPts[PLAYER],MATCH(TableWRRanks[[#This Row],[RK]],TableWRCalcPts[RK],0)),"")</f>
        <v>Trent Sherfield</v>
      </c>
      <c r="Q165" s="22" t="str">
        <f>IFERROR(INDEX(TableWRCalcPts[TM],MATCH(TableWRRanks[[#This Row],[RK]],TableWRCalcPts[RK],0)),"")</f>
        <v>MIA</v>
      </c>
      <c r="R165" s="22">
        <f>IFERROR(INDEX(TableWRCalcPts[BYE],MATCH(TableWRRanks[[#This Row],[RK]],TableWRCalcPts[RK],0)),"")</f>
        <v>11</v>
      </c>
      <c r="S165" s="272">
        <f>IFERROR(INDEX(TableWRCalcPts[Custom],MATCH(TableWRRanks[[#This Row],[RK]],TableWRCalcPts[RK],0)),"")</f>
        <v>11.073930520196011</v>
      </c>
      <c r="T165" s="273">
        <f>(((VLOOKUP(TableWRRanks[[#This Row],[Player]],'OVR &amp; VORP Ranks'!$P:$T,5,FALSE)))/('OVR &amp; VORP Ranks'!$BM$6))*(Settings!$E$10*TEAMS)</f>
        <v>-46.113486233966938</v>
      </c>
    </row>
    <row r="166" spans="8:20" x14ac:dyDescent="0.3">
      <c r="H166" s="22">
        <v>165</v>
      </c>
      <c r="I166" s="274" t="str">
        <f>IFERROR(INDEX(TableRBCalcPts[PLAYER],MATCH(TableRBRanks[[#This Row],[RK]],TableRBCalcPts[RK],0)),"")</f>
        <v/>
      </c>
      <c r="J166" s="274" t="str">
        <f>IFERROR(INDEX(TableRBCalcPts[TM],MATCH(TableRBRanks[[#This Row],[RK]],TableRBCalcPts[RK],0)),"")</f>
        <v/>
      </c>
      <c r="K166" s="274" t="str">
        <f>IFERROR(INDEX(TableRBCalcPts[BYE],MATCH(TableRBRanks[[#This Row],[RK]],TableRBCalcPts[RK],0)),"")</f>
        <v/>
      </c>
      <c r="L166" s="272" t="str">
        <f>IFERROR(INDEX(TableRBCalcPts[Custom],MATCH(TableRBRanks[[#This Row],[RK]],TableRBCalcPts[RK],0)),"")</f>
        <v/>
      </c>
      <c r="M166" s="273" t="e">
        <f>(((VLOOKUP(TableRBRanks[[#This Row],[Player]],'OVR &amp; VORP Ranks'!$I:$M,5,FALSE)))/('OVR &amp; VORP Ranks'!$BM$6))*(Settings!$E$10*TEAMS)</f>
        <v>#VALUE!</v>
      </c>
      <c r="O166" s="22">
        <v>165</v>
      </c>
      <c r="P166" s="274" t="str">
        <f>IFERROR(INDEX(TableWRCalcPts[PLAYER],MATCH(TableWRRanks[[#This Row],[RK]],TableWRCalcPts[RK],0)),"")</f>
        <v>Simi Fehoko</v>
      </c>
      <c r="Q166" s="22" t="str">
        <f>IFERROR(INDEX(TableWRCalcPts[TM],MATCH(TableWRRanks[[#This Row],[RK]],TableWRCalcPts[RK],0)),"")</f>
        <v>DAL</v>
      </c>
      <c r="R166" s="22">
        <f>IFERROR(INDEX(TableWRCalcPts[BYE],MATCH(TableWRRanks[[#This Row],[RK]],TableWRCalcPts[RK],0)),"")</f>
        <v>9</v>
      </c>
      <c r="S166" s="272">
        <f>IFERROR(INDEX(TableWRCalcPts[Custom],MATCH(TableWRRanks[[#This Row],[RK]],TableWRCalcPts[RK],0)),"")</f>
        <v>10.99121037383858</v>
      </c>
      <c r="T166" s="273">
        <f>(((VLOOKUP(TableWRRanks[[#This Row],[Player]],'OVR &amp; VORP Ranks'!$P:$T,5,FALSE)))/('OVR &amp; VORP Ranks'!$BM$6))*(Settings!$E$10*TEAMS)</f>
        <v>-46.152450180364156</v>
      </c>
    </row>
    <row r="167" spans="8:20" x14ac:dyDescent="0.3">
      <c r="H167" s="22">
        <v>166</v>
      </c>
      <c r="I167" s="274" t="str">
        <f>IFERROR(INDEX(TableRBCalcPts[PLAYER],MATCH(TableRBRanks[[#This Row],[RK]],TableRBCalcPts[RK],0)),"")</f>
        <v/>
      </c>
      <c r="J167" s="274" t="str">
        <f>IFERROR(INDEX(TableRBCalcPts[TM],MATCH(TableRBRanks[[#This Row],[RK]],TableRBCalcPts[RK],0)),"")</f>
        <v/>
      </c>
      <c r="K167" s="274" t="str">
        <f>IFERROR(INDEX(TableRBCalcPts[BYE],MATCH(TableRBRanks[[#This Row],[RK]],TableRBCalcPts[RK],0)),"")</f>
        <v/>
      </c>
      <c r="L167" s="272" t="str">
        <f>IFERROR(INDEX(TableRBCalcPts[Custom],MATCH(TableRBRanks[[#This Row],[RK]],TableRBCalcPts[RK],0)),"")</f>
        <v/>
      </c>
      <c r="M167" s="273" t="e">
        <f>(((VLOOKUP(TableRBRanks[[#This Row],[Player]],'OVR &amp; VORP Ranks'!$I:$M,5,FALSE)))/('OVR &amp; VORP Ranks'!$BM$6))*(Settings!$E$10*TEAMS)</f>
        <v>#VALUE!</v>
      </c>
      <c r="O167" s="22">
        <v>166</v>
      </c>
      <c r="P167" s="274" t="str">
        <f>IFERROR(INDEX(TableWRCalcPts[PLAYER],MATCH(TableWRRanks[[#This Row],[RK]],TableWRCalcPts[RK],0)),"")</f>
        <v>Jamal Agnew</v>
      </c>
      <c r="Q167" s="22" t="str">
        <f>IFERROR(INDEX(TableWRCalcPts[TM],MATCH(TableWRRanks[[#This Row],[RK]],TableWRCalcPts[RK],0)),"")</f>
        <v>JAX</v>
      </c>
      <c r="R167" s="22">
        <f>IFERROR(INDEX(TableWRCalcPts[BYE],MATCH(TableWRRanks[[#This Row],[RK]],TableWRCalcPts[RK],0)),"")</f>
        <v>11</v>
      </c>
      <c r="S167" s="272">
        <f>IFERROR(INDEX(TableWRCalcPts[Custom],MATCH(TableWRRanks[[#This Row],[RK]],TableWRCalcPts[RK],0)),"")</f>
        <v>10.768144786225456</v>
      </c>
      <c r="T167" s="273">
        <f>(((VLOOKUP(TableWRRanks[[#This Row],[Player]],'OVR &amp; VORP Ranks'!$P:$T,5,FALSE)))/('OVR &amp; VORP Ranks'!$BM$6))*(Settings!$E$10*TEAMS)</f>
        <v>-46.257521507985643</v>
      </c>
    </row>
    <row r="168" spans="8:20" x14ac:dyDescent="0.3">
      <c r="H168" s="22">
        <v>167</v>
      </c>
      <c r="I168" s="274" t="str">
        <f>IFERROR(INDEX(TableRBCalcPts[PLAYER],MATCH(TableRBRanks[[#This Row],[RK]],TableRBCalcPts[RK],0)),"")</f>
        <v/>
      </c>
      <c r="J168" s="274" t="str">
        <f>IFERROR(INDEX(TableRBCalcPts[TM],MATCH(TableRBRanks[[#This Row],[RK]],TableRBCalcPts[RK],0)),"")</f>
        <v/>
      </c>
      <c r="K168" s="274" t="str">
        <f>IFERROR(INDEX(TableRBCalcPts[BYE],MATCH(TableRBRanks[[#This Row],[RK]],TableRBCalcPts[RK],0)),"")</f>
        <v/>
      </c>
      <c r="L168" s="272" t="str">
        <f>IFERROR(INDEX(TableRBCalcPts[Custom],MATCH(TableRBRanks[[#This Row],[RK]],TableRBCalcPts[RK],0)),"")</f>
        <v/>
      </c>
      <c r="M168" s="273" t="e">
        <f>(((VLOOKUP(TableRBRanks[[#This Row],[Player]],'OVR &amp; VORP Ranks'!$I:$M,5,FALSE)))/('OVR &amp; VORP Ranks'!$BM$6))*(Settings!$E$10*TEAMS)</f>
        <v>#VALUE!</v>
      </c>
      <c r="O168" s="274">
        <v>167</v>
      </c>
      <c r="P168" s="22" t="str">
        <f>IFERROR(INDEX(TableWRCalcPts[PLAYER],MATCH(TableWRRanks[[#This Row],[RK]],TableWRCalcPts[RK],0)),"")</f>
        <v>Josh Gordon</v>
      </c>
      <c r="Q168" s="22" t="str">
        <f>IFERROR(INDEX(TableWRCalcPts[TM],MATCH(TableWRRanks[[#This Row],[RK]],TableWRCalcPts[RK],0)),"")</f>
        <v>KC</v>
      </c>
      <c r="R168" s="22">
        <f>IFERROR(INDEX(TableWRCalcPts[BYE],MATCH(TableWRRanks[[#This Row],[RK]],TableWRCalcPts[RK],0)),"")</f>
        <v>8</v>
      </c>
      <c r="S168" s="272">
        <f>IFERROR(INDEX(TableWRCalcPts[Custom],MATCH(TableWRRanks[[#This Row],[RK]],TableWRCalcPts[RK],0)),"")</f>
        <v>10.218172388167712</v>
      </c>
      <c r="T168" s="273">
        <f>(((VLOOKUP(TableWRRanks[[#This Row],[Player]],'OVR &amp; VORP Ranks'!$P:$T,5,FALSE)))/('OVR &amp; VORP Ranks'!$BM$6))*(Settings!$E$10*TEAMS)</f>
        <v>-46.516576840712837</v>
      </c>
    </row>
    <row r="169" spans="8:20" x14ac:dyDescent="0.3">
      <c r="H169" s="22">
        <v>168</v>
      </c>
      <c r="I169" s="274" t="str">
        <f>IFERROR(INDEX(TableRBCalcPts[PLAYER],MATCH(TableRBRanks[[#This Row],[RK]],TableRBCalcPts[RK],0)),"")</f>
        <v/>
      </c>
      <c r="J169" s="274" t="str">
        <f>IFERROR(INDEX(TableRBCalcPts[TM],MATCH(TableRBRanks[[#This Row],[RK]],TableRBCalcPts[RK],0)),"")</f>
        <v/>
      </c>
      <c r="K169" s="274" t="str">
        <f>IFERROR(INDEX(TableRBCalcPts[BYE],MATCH(TableRBRanks[[#This Row],[RK]],TableRBCalcPts[RK],0)),"")</f>
        <v/>
      </c>
      <c r="L169" s="272" t="str">
        <f>IFERROR(INDEX(TableRBCalcPts[Custom],MATCH(TableRBRanks[[#This Row],[RK]],TableRBCalcPts[RK],0)),"")</f>
        <v/>
      </c>
      <c r="M169" s="273" t="e">
        <f>(((VLOOKUP(TableRBRanks[[#This Row],[Player]],'OVR &amp; VORP Ranks'!$I:$M,5,FALSE)))/('OVR &amp; VORP Ranks'!$BM$6))*(Settings!$E$10*TEAMS)</f>
        <v>#VALUE!</v>
      </c>
      <c r="O169" s="22">
        <v>168</v>
      </c>
      <c r="P169" s="274" t="str">
        <f>IFERROR(INDEX(TableWRCalcPts[PLAYER],MATCH(TableWRRanks[[#This Row],[RK]],TableWRCalcPts[RK],0)),"")</f>
        <v>Kendall Hinton</v>
      </c>
      <c r="Q169" s="22" t="str">
        <f>IFERROR(INDEX(TableWRCalcPts[TM],MATCH(TableWRRanks[[#This Row],[RK]],TableWRCalcPts[RK],0)),"")</f>
        <v>DEN</v>
      </c>
      <c r="R169" s="22">
        <f>IFERROR(INDEX(TableWRCalcPts[BYE],MATCH(TableWRRanks[[#This Row],[RK]],TableWRCalcPts[RK],0)),"")</f>
        <v>9</v>
      </c>
      <c r="S169" s="272">
        <f>IFERROR(INDEX(TableWRCalcPts[Custom],MATCH(TableWRRanks[[#This Row],[RK]],TableWRCalcPts[RK],0)),"")</f>
        <v>10.133565759007617</v>
      </c>
      <c r="T169" s="273">
        <f>(((VLOOKUP(TableWRRanks[[#This Row],[Player]],'OVR &amp; VORP Ranks'!$P:$T,5,FALSE)))/('OVR &amp; VORP Ranks'!$BM$6))*(Settings!$E$10*TEAMS)</f>
        <v>-46.556429383395702</v>
      </c>
    </row>
    <row r="170" spans="8:20" x14ac:dyDescent="0.3">
      <c r="H170" s="22">
        <v>169</v>
      </c>
      <c r="I170" s="274" t="str">
        <f>IFERROR(INDEX(TableRBCalcPts[PLAYER],MATCH(TableRBRanks[[#This Row],[RK]],TableRBCalcPts[RK],0)),"")</f>
        <v/>
      </c>
      <c r="J170" s="274" t="str">
        <f>IFERROR(INDEX(TableRBCalcPts[TM],MATCH(TableRBRanks[[#This Row],[RK]],TableRBCalcPts[RK],0)),"")</f>
        <v/>
      </c>
      <c r="K170" s="274" t="str">
        <f>IFERROR(INDEX(TableRBCalcPts[BYE],MATCH(TableRBRanks[[#This Row],[RK]],TableRBCalcPts[RK],0)),"")</f>
        <v/>
      </c>
      <c r="L170" s="272" t="str">
        <f>IFERROR(INDEX(TableRBCalcPts[Custom],MATCH(TableRBRanks[[#This Row],[RK]],TableRBCalcPts[RK],0)),"")</f>
        <v/>
      </c>
      <c r="M170" s="273" t="e">
        <f>(((VLOOKUP(TableRBRanks[[#This Row],[Player]],'OVR &amp; VORP Ranks'!$I:$M,5,FALSE)))/('OVR &amp; VORP Ranks'!$BM$6))*(Settings!$E$10*TEAMS)</f>
        <v>#VALUE!</v>
      </c>
      <c r="O170" s="22">
        <v>169</v>
      </c>
      <c r="P170" s="274" t="str">
        <f>IFERROR(INDEX(TableWRCalcPts[PLAYER],MATCH(TableWRRanks[[#This Row],[RK]],TableWRCalcPts[RK],0)),"")</f>
        <v>Juwann Winfree</v>
      </c>
      <c r="Q170" s="22" t="str">
        <f>IFERROR(INDEX(TableWRCalcPts[TM],MATCH(TableWRRanks[[#This Row],[RK]],TableWRCalcPts[RK],0)),"")</f>
        <v>GB</v>
      </c>
      <c r="R170" s="22">
        <f>IFERROR(INDEX(TableWRCalcPts[BYE],MATCH(TableWRRanks[[#This Row],[RK]],TableWRCalcPts[RK],0)),"")</f>
        <v>14</v>
      </c>
      <c r="S170" s="272">
        <f>IFERROR(INDEX(TableWRCalcPts[Custom],MATCH(TableWRRanks[[#This Row],[RK]],TableWRCalcPts[RK],0)),"")</f>
        <v>9.826918098366809</v>
      </c>
      <c r="T170" s="273">
        <f>(((VLOOKUP(TableWRRanks[[#This Row],[Player]],'OVR &amp; VORP Ranks'!$P:$T,5,FALSE)))/('OVR &amp; VORP Ranks'!$BM$6))*(Settings!$E$10*TEAMS)</f>
        <v>-46.700870653608284</v>
      </c>
    </row>
    <row r="171" spans="8:20" x14ac:dyDescent="0.3">
      <c r="H171" s="22">
        <v>170</v>
      </c>
      <c r="I171" s="274" t="str">
        <f>IFERROR(INDEX(TableRBCalcPts[PLAYER],MATCH(TableRBRanks[[#This Row],[RK]],TableRBCalcPts[RK],0)),"")</f>
        <v/>
      </c>
      <c r="J171" s="274" t="str">
        <f>IFERROR(INDEX(TableRBCalcPts[TM],MATCH(TableRBRanks[[#This Row],[RK]],TableRBCalcPts[RK],0)),"")</f>
        <v/>
      </c>
      <c r="K171" s="274" t="str">
        <f>IFERROR(INDEX(TableRBCalcPts[BYE],MATCH(TableRBRanks[[#This Row],[RK]],TableRBCalcPts[RK],0)),"")</f>
        <v/>
      </c>
      <c r="L171" s="272" t="str">
        <f>IFERROR(INDEX(TableRBCalcPts[Custom],MATCH(TableRBRanks[[#This Row],[RK]],TableRBCalcPts[RK],0)),"")</f>
        <v/>
      </c>
      <c r="M171" s="273" t="e">
        <f>(((VLOOKUP(TableRBRanks[[#This Row],[Player]],'OVR &amp; VORP Ranks'!$I:$M,5,FALSE)))/('OVR &amp; VORP Ranks'!$BM$6))*(Settings!$E$10*TEAMS)</f>
        <v>#VALUE!</v>
      </c>
      <c r="O171" s="274">
        <v>170</v>
      </c>
      <c r="P171" s="22" t="str">
        <f>IFERROR(INDEX(TableWRCalcPts[PLAYER],MATCH(TableWRRanks[[#This Row],[RK]],TableWRCalcPts[RK],0)),"")</f>
        <v>Kalif Raymond</v>
      </c>
      <c r="Q171" s="22" t="str">
        <f>IFERROR(INDEX(TableWRCalcPts[TM],MATCH(TableWRRanks[[#This Row],[RK]],TableWRCalcPts[RK],0)),"")</f>
        <v>DET</v>
      </c>
      <c r="R171" s="22">
        <f>IFERROR(INDEX(TableWRCalcPts[BYE],MATCH(TableWRRanks[[#This Row],[RK]],TableWRCalcPts[RK],0)),"")</f>
        <v>6</v>
      </c>
      <c r="S171" s="272">
        <f>IFERROR(INDEX(TableWRCalcPts[Custom],MATCH(TableWRRanks[[#This Row],[RK]],TableWRCalcPts[RK],0)),"")</f>
        <v>9.502644359990926</v>
      </c>
      <c r="T171" s="273">
        <f>(((VLOOKUP(TableWRRanks[[#This Row],[Player]],'OVR &amp; VORP Ranks'!$P:$T,5,FALSE)))/('OVR &amp; VORP Ranks'!$BM$6))*(Settings!$E$10*TEAMS)</f>
        <v>-46.853614393996565</v>
      </c>
    </row>
    <row r="172" spans="8:20" x14ac:dyDescent="0.3">
      <c r="O172" s="22">
        <v>171</v>
      </c>
      <c r="P172" s="274" t="str">
        <f>IFERROR(INDEX(TableWRCalcPts[PLAYER],MATCH(TableWRRanks[[#This Row],[RK]],TableWRCalcPts[RK],0)),"")</f>
        <v>Mike Strachan</v>
      </c>
      <c r="Q172" s="22" t="str">
        <f>IFERROR(INDEX(TableWRCalcPts[TM],MATCH(TableWRRanks[[#This Row],[RK]],TableWRCalcPts[RK],0)),"")</f>
        <v>IND</v>
      </c>
      <c r="R172" s="22">
        <f>IFERROR(INDEX(TableWRCalcPts[BYE],MATCH(TableWRRanks[[#This Row],[RK]],TableWRCalcPts[RK],0)),"")</f>
        <v>14</v>
      </c>
      <c r="S172" s="272">
        <f>IFERROR(INDEX(TableWRCalcPts[Custom],MATCH(TableWRRanks[[#This Row],[RK]],TableWRCalcPts[RK],0)),"")</f>
        <v>9.4845967772622615</v>
      </c>
      <c r="T172" s="273">
        <f>(((VLOOKUP(TableWRRanks[[#This Row],[Player]],'OVR &amp; VORP Ranks'!$P:$T,5,FALSE)))/('OVR &amp; VORP Ranks'!$BM$6))*(Settings!$E$10*TEAMS)</f>
        <v>-46.862115407075052</v>
      </c>
    </row>
    <row r="173" spans="8:20" x14ac:dyDescent="0.3">
      <c r="O173" s="22">
        <v>172</v>
      </c>
      <c r="P173" s="274" t="str">
        <f>IFERROR(INDEX(TableWRCalcPts[PLAYER],MATCH(TableWRRanks[[#This Row],[RK]],TableWRCalcPts[RK],0)),"")</f>
        <v>Erik Ezukanma</v>
      </c>
      <c r="Q173" s="22" t="str">
        <f>IFERROR(INDEX(TableWRCalcPts[TM],MATCH(TableWRRanks[[#This Row],[RK]],TableWRCalcPts[RK],0)),"")</f>
        <v>MIA</v>
      </c>
      <c r="R173" s="22">
        <f>IFERROR(INDEX(TableWRCalcPts[BYE],MATCH(TableWRRanks[[#This Row],[RK]],TableWRCalcPts[RK],0)),"")</f>
        <v>11</v>
      </c>
      <c r="S173" s="272">
        <f>IFERROR(INDEX(TableWRCalcPts[Custom],MATCH(TableWRRanks[[#This Row],[RK]],TableWRCalcPts[RK],0)),"")</f>
        <v>9.3489125569533069</v>
      </c>
      <c r="T173" s="273">
        <f>(((VLOOKUP(TableWRRanks[[#This Row],[Player]],'OVR &amp; VORP Ranks'!$P:$T,5,FALSE)))/('OVR &amp; VORP Ranks'!$BM$6))*(Settings!$E$10*TEAMS)</f>
        <v>-46.926027197852363</v>
      </c>
    </row>
    <row r="174" spans="8:20" x14ac:dyDescent="0.3">
      <c r="O174" s="274">
        <v>173</v>
      </c>
      <c r="P174" s="22" t="str">
        <f>IFERROR(INDEX(TableWRCalcPts[PLAYER],MATCH(TableWRRanks[[#This Row],[RK]],TableWRCalcPts[RK],0)),"")</f>
        <v>Jason Moore</v>
      </c>
      <c r="Q174" s="22" t="str">
        <f>IFERROR(INDEX(TableWRCalcPts[TM],MATCH(TableWRRanks[[#This Row],[RK]],TableWRCalcPts[RK],0)),"")</f>
        <v>LAC</v>
      </c>
      <c r="R174" s="22">
        <f>IFERROR(INDEX(TableWRCalcPts[BYE],MATCH(TableWRRanks[[#This Row],[RK]],TableWRCalcPts[RK],0)),"")</f>
        <v>8</v>
      </c>
      <c r="S174" s="272">
        <f>IFERROR(INDEX(TableWRCalcPts[Custom],MATCH(TableWRRanks[[#This Row],[RK]],TableWRCalcPts[RK],0)),"")</f>
        <v>8.9314553250464517</v>
      </c>
      <c r="T174" s="273">
        <f>(((VLOOKUP(TableWRRanks[[#This Row],[Player]],'OVR &amp; VORP Ranks'!$P:$T,5,FALSE)))/('OVR &amp; VORP Ranks'!$BM$6))*(Settings!$E$10*TEAMS)</f>
        <v>-47.122663469950602</v>
      </c>
    </row>
    <row r="175" spans="8:20" x14ac:dyDescent="0.3">
      <c r="O175" s="22">
        <v>174</v>
      </c>
      <c r="P175" s="274" t="str">
        <f>IFERROR(INDEX(TableWRCalcPts[PLAYER],MATCH(TableWRRanks[[#This Row],[RK]],TableWRCalcPts[RK],0)),"")</f>
        <v>Jalen Nailor</v>
      </c>
      <c r="Q175" s="22" t="str">
        <f>IFERROR(INDEX(TableWRCalcPts[TM],MATCH(TableWRRanks[[#This Row],[RK]],TableWRCalcPts[RK],0)),"")</f>
        <v>MIN</v>
      </c>
      <c r="R175" s="22">
        <f>IFERROR(INDEX(TableWRCalcPts[BYE],MATCH(TableWRRanks[[#This Row],[RK]],TableWRCalcPts[RK],0)),"")</f>
        <v>7</v>
      </c>
      <c r="S175" s="272">
        <f>IFERROR(INDEX(TableWRCalcPts[Custom],MATCH(TableWRRanks[[#This Row],[RK]],TableWRCalcPts[RK],0)),"")</f>
        <v>8.6483568154288335</v>
      </c>
      <c r="T175" s="273">
        <f>(((VLOOKUP(TableWRRanks[[#This Row],[Player]],'OVR &amp; VORP Ranks'!$P:$T,5,FALSE)))/('OVR &amp; VORP Ranks'!$BM$6))*(Settings!$E$10*TEAMS)</f>
        <v>-47.256012305024079</v>
      </c>
    </row>
    <row r="176" spans="8:20" x14ac:dyDescent="0.3">
      <c r="O176" s="22">
        <v>175</v>
      </c>
      <c r="P176" s="274" t="str">
        <f>IFERROR(INDEX(TableWRCalcPts[PLAYER],MATCH(TableWRRanks[[#This Row],[RK]],TableWRCalcPts[RK],0)),"")</f>
        <v>Chris Moore</v>
      </c>
      <c r="Q176" s="22" t="str">
        <f>IFERROR(INDEX(TableWRCalcPts[TM],MATCH(TableWRRanks[[#This Row],[RK]],TableWRCalcPts[RK],0)),"")</f>
        <v>HOU</v>
      </c>
      <c r="R176" s="22">
        <f>IFERROR(INDEX(TableWRCalcPts[BYE],MATCH(TableWRRanks[[#This Row],[RK]],TableWRCalcPts[RK],0)),"")</f>
        <v>6</v>
      </c>
      <c r="S176" s="272">
        <f>IFERROR(INDEX(TableWRCalcPts[Custom],MATCH(TableWRRanks[[#This Row],[RK]],TableWRCalcPts[RK],0)),"")</f>
        <v>8.5909616939617983</v>
      </c>
      <c r="T176" s="273">
        <f>(((VLOOKUP(TableWRRanks[[#This Row],[Player]],'OVR &amp; VORP Ranks'!$P:$T,5,FALSE)))/('OVR &amp; VORP Ranks'!$BM$6))*(Settings!$E$10*TEAMS)</f>
        <v>-47.283047320492244</v>
      </c>
    </row>
    <row r="177" spans="15:20" x14ac:dyDescent="0.3">
      <c r="O177" s="274">
        <v>176</v>
      </c>
      <c r="P177" s="274" t="str">
        <f>IFERROR(INDEX(TableWRCalcPts[PLAYER],MATCH(TableWRRanks[[#This Row],[RK]],TableWRCalcPts[RK],0)),"")</f>
        <v>Marquez Stevenson</v>
      </c>
      <c r="Q177" s="22" t="str">
        <f>IFERROR(INDEX(TableWRCalcPts[TM],MATCH(TableWRRanks[[#This Row],[RK]],TableWRCalcPts[RK],0)),"")</f>
        <v>BUF</v>
      </c>
      <c r="R177" s="22">
        <f>IFERROR(INDEX(TableWRCalcPts[BYE],MATCH(TableWRRanks[[#This Row],[RK]],TableWRCalcPts[RK],0)),"")</f>
        <v>7</v>
      </c>
      <c r="S177" s="272">
        <f>IFERROR(INDEX(TableWRCalcPts[Custom],MATCH(TableWRRanks[[#This Row],[RK]],TableWRCalcPts[RK],0)),"")</f>
        <v>8.566595854902161</v>
      </c>
      <c r="T177" s="273">
        <f>(((VLOOKUP(TableWRRanks[[#This Row],[Player]],'OVR &amp; VORP Ranks'!$P:$T,5,FALSE)))/('OVR &amp; VORP Ranks'!$BM$6))*(Settings!$E$10*TEAMS)</f>
        <v>-47.294524442920697</v>
      </c>
    </row>
    <row r="178" spans="15:20" x14ac:dyDescent="0.3">
      <c r="O178" s="22">
        <v>177</v>
      </c>
      <c r="P178" s="22" t="str">
        <f>IFERROR(INDEX(TableWRCalcPts[PLAYER],MATCH(TableWRRanks[[#This Row],[RK]],TableWRCalcPts[RK],0)),"")</f>
        <v>Stanley Morgan</v>
      </c>
      <c r="Q178" s="22" t="str">
        <f>IFERROR(INDEX(TableWRCalcPts[TM],MATCH(TableWRRanks[[#This Row],[RK]],TableWRCalcPts[RK],0)),"")</f>
        <v>CIN</v>
      </c>
      <c r="R178" s="22">
        <f>IFERROR(INDEX(TableWRCalcPts[BYE],MATCH(TableWRRanks[[#This Row],[RK]],TableWRCalcPts[RK],0)),"")</f>
        <v>10</v>
      </c>
      <c r="S178" s="272">
        <f>IFERROR(INDEX(TableWRCalcPts[Custom],MATCH(TableWRRanks[[#This Row],[RK]],TableWRCalcPts[RK],0)),"")</f>
        <v>7.4273755350731978</v>
      </c>
      <c r="T178" s="273">
        <f>(((VLOOKUP(TableWRRanks[[#This Row],[Player]],'OVR &amp; VORP Ranks'!$P:$T,5,FALSE)))/('OVR &amp; VORP Ranks'!$BM$6))*(Settings!$E$10*TEAMS)</f>
        <v>-47.831135189287423</v>
      </c>
    </row>
    <row r="179" spans="15:20" x14ac:dyDescent="0.3">
      <c r="O179" s="22">
        <v>178</v>
      </c>
      <c r="P179" s="22" t="str">
        <f>IFERROR(INDEX(TableWRCalcPts[PLAYER],MATCH(TableWRRanks[[#This Row],[RK]],TableWRCalcPts[RK],0)),"")</f>
        <v>Dezmon Patmon</v>
      </c>
      <c r="Q179" s="22" t="str">
        <f>IFERROR(INDEX(TableWRCalcPts[TM],MATCH(TableWRRanks[[#This Row],[RK]],TableWRCalcPts[RK],0)),"")</f>
        <v>IND</v>
      </c>
      <c r="R179" s="22">
        <f>IFERROR(INDEX(TableWRCalcPts[BYE],MATCH(TableWRRanks[[#This Row],[RK]],TableWRCalcPts[RK],0)),"")</f>
        <v>14</v>
      </c>
      <c r="S179" s="272">
        <f>IFERROR(INDEX(TableWRCalcPts[Custom],MATCH(TableWRRanks[[#This Row],[RK]],TableWRCalcPts[RK],0)),"")</f>
        <v>7.2893610559642825</v>
      </c>
      <c r="T179" s="273">
        <f>(((VLOOKUP(TableWRRanks[[#This Row],[Player]],'OVR &amp; VORP Ranks'!$P:$T,5,FALSE)))/('OVR &amp; VORP Ranks'!$BM$6))*(Settings!$E$10*TEAMS)</f>
        <v>-47.896144609638334</v>
      </c>
    </row>
    <row r="180" spans="15:20" x14ac:dyDescent="0.3">
      <c r="O180" s="274">
        <v>179</v>
      </c>
      <c r="P180" s="274" t="str">
        <f>IFERROR(INDEX(TableWRCalcPts[PLAYER],MATCH(TableWRRanks[[#This Row],[RK]],TableWRCalcPts[RK],0)),"")</f>
        <v>Jaelon Darden</v>
      </c>
      <c r="Q180" s="22" t="str">
        <f>IFERROR(INDEX(TableWRCalcPts[TM],MATCH(TableWRRanks[[#This Row],[RK]],TableWRCalcPts[RK],0)),"")</f>
        <v>TB</v>
      </c>
      <c r="R180" s="22">
        <f>IFERROR(INDEX(TableWRCalcPts[BYE],MATCH(TableWRRanks[[#This Row],[RK]],TableWRCalcPts[RK],0)),"")</f>
        <v>11</v>
      </c>
      <c r="S180" s="272">
        <f>IFERROR(INDEX(TableWRCalcPts[Custom],MATCH(TableWRRanks[[#This Row],[RK]],TableWRCalcPts[RK],0)),"")</f>
        <v>7.2374689311343037</v>
      </c>
      <c r="T180" s="273">
        <f>(((VLOOKUP(TableWRRanks[[#This Row],[Player]],'OVR &amp; VORP Ranks'!$P:$T,5,FALSE)))/('OVR &amp; VORP Ranks'!$BM$6))*(Settings!$E$10*TEAMS)</f>
        <v>-47.92058753024893</v>
      </c>
    </row>
    <row r="181" spans="15:20" x14ac:dyDescent="0.3">
      <c r="O181" s="22">
        <v>180</v>
      </c>
      <c r="P181" s="274" t="str">
        <f>IFERROR(INDEX(TableWRCalcPts[PLAYER],MATCH(TableWRRanks[[#This Row],[RK]],TableWRCalcPts[RK],0)),"")</f>
        <v>Tylan Wallace</v>
      </c>
      <c r="Q181" s="22" t="str">
        <f>IFERROR(INDEX(TableWRCalcPts[TM],MATCH(TableWRRanks[[#This Row],[RK]],TableWRCalcPts[RK],0)),"")</f>
        <v>BAL</v>
      </c>
      <c r="R181" s="22">
        <f>IFERROR(INDEX(TableWRCalcPts[BYE],MATCH(TableWRRanks[[#This Row],[RK]],TableWRCalcPts[RK],0)),"")</f>
        <v>10</v>
      </c>
      <c r="S181" s="272">
        <f>IFERROR(INDEX(TableWRCalcPts[Custom],MATCH(TableWRRanks[[#This Row],[RK]],TableWRCalcPts[RK],0)),"")</f>
        <v>7.1753802088779821</v>
      </c>
      <c r="T181" s="273">
        <f>(((VLOOKUP(TableWRRanks[[#This Row],[Player]],'OVR &amp; VORP Ranks'!$P:$T,5,FALSE)))/('OVR &amp; VORP Ranks'!$BM$6))*(Settings!$E$10*TEAMS)</f>
        <v>-47.949833388149294</v>
      </c>
    </row>
    <row r="182" spans="15:20" x14ac:dyDescent="0.3">
      <c r="O182" s="22">
        <v>181</v>
      </c>
      <c r="P182" s="274" t="str">
        <f>IFERROR(INDEX(TableWRCalcPts[PLAYER],MATCH(TableWRRanks[[#This Row],[RK]],TableWRCalcPts[RK],0)),"")</f>
        <v>Penny Hart</v>
      </c>
      <c r="Q182" s="22" t="str">
        <f>IFERROR(INDEX(TableWRCalcPts[TM],MATCH(TableWRRanks[[#This Row],[RK]],TableWRCalcPts[RK],0)),"")</f>
        <v>SEA</v>
      </c>
      <c r="R182" s="22">
        <f>IFERROR(INDEX(TableWRCalcPts[BYE],MATCH(TableWRRanks[[#This Row],[RK]],TableWRCalcPts[RK],0)),"")</f>
        <v>11</v>
      </c>
      <c r="S182" s="272">
        <f>IFERROR(INDEX(TableWRCalcPts[Custom],MATCH(TableWRRanks[[#This Row],[RK]],TableWRCalcPts[RK],0)),"")</f>
        <v>7.1095588047201934</v>
      </c>
      <c r="T182" s="273">
        <f>(((VLOOKUP(TableWRRanks[[#This Row],[Player]],'OVR &amp; VORP Ranks'!$P:$T,5,FALSE)))/('OVR &amp; VORP Ranks'!$BM$6))*(Settings!$E$10*TEAMS)</f>
        <v>-47.980837463653593</v>
      </c>
    </row>
    <row r="183" spans="15:20" x14ac:dyDescent="0.3">
      <c r="O183" s="274">
        <v>182</v>
      </c>
      <c r="P183" s="274" t="str">
        <f>IFERROR(INDEX(TableWRCalcPts[PLAYER],MATCH(TableWRRanks[[#This Row],[RK]],TableWRCalcPts[RK],0)),"")</f>
        <v>Dax Milne</v>
      </c>
      <c r="Q183" s="22" t="str">
        <f>IFERROR(INDEX(TableWRCalcPts[TM],MATCH(TableWRRanks[[#This Row],[RK]],TableWRCalcPts[RK],0)),"")</f>
        <v>WSH</v>
      </c>
      <c r="R183" s="22">
        <f>IFERROR(INDEX(TableWRCalcPts[BYE],MATCH(TableWRRanks[[#This Row],[RK]],TableWRCalcPts[RK],0)),"")</f>
        <v>14</v>
      </c>
      <c r="S183" s="272">
        <f>IFERROR(INDEX(TableWRCalcPts[Custom],MATCH(TableWRRanks[[#This Row],[RK]],TableWRCalcPts[RK],0)),"")</f>
        <v>6.5362698121605209</v>
      </c>
      <c r="T183" s="273">
        <f>(((VLOOKUP(TableWRRanks[[#This Row],[Player]],'OVR &amp; VORP Ranks'!$P:$T,5,FALSE)))/('OVR &amp; VORP Ranks'!$BM$6))*(Settings!$E$10*TEAMS)</f>
        <v>-48.250875689646143</v>
      </c>
    </row>
    <row r="184" spans="15:20" x14ac:dyDescent="0.3">
      <c r="O184" s="22">
        <v>183</v>
      </c>
      <c r="P184" s="22" t="str">
        <f>IFERROR(INDEX(TableWRCalcPts[PLAYER],MATCH(TableWRRanks[[#This Row],[RK]],TableWRCalcPts[RK],0)),"")</f>
        <v>Montrell Washington</v>
      </c>
      <c r="Q184" s="22" t="str">
        <f>IFERROR(INDEX(TableWRCalcPts[TM],MATCH(TableWRRanks[[#This Row],[RK]],TableWRCalcPts[RK],0)),"")</f>
        <v>DEN</v>
      </c>
      <c r="R184" s="22">
        <f>IFERROR(INDEX(TableWRCalcPts[BYE],MATCH(TableWRRanks[[#This Row],[RK]],TableWRCalcPts[RK],0)),"")</f>
        <v>9</v>
      </c>
      <c r="S184" s="272">
        <f>IFERROR(INDEX(TableWRCalcPts[Custom],MATCH(TableWRRanks[[#This Row],[RK]],TableWRCalcPts[RK],0)),"")</f>
        <v>4.7618894716676774</v>
      </c>
      <c r="T184" s="273">
        <f>(((VLOOKUP(TableWRRanks[[#This Row],[Player]],'OVR &amp; VORP Ranks'!$P:$T,5,FALSE)))/('OVR &amp; VORP Ranks'!$BM$6))*(Settings!$E$10*TEAMS)</f>
        <v>-49.086667978703346</v>
      </c>
    </row>
    <row r="185" spans="15:20" x14ac:dyDescent="0.3">
      <c r="O185" s="22">
        <v>184</v>
      </c>
      <c r="P185" s="22" t="str">
        <f>IFERROR(INDEX(TableWRCalcPts[PLAYER],MATCH(TableWRRanks[[#This Row],[RK]],TableWRCalcPts[RK],0)),"")</f>
        <v>Jeff Smith</v>
      </c>
      <c r="Q185" s="22" t="str">
        <f>IFERROR(INDEX(TableWRCalcPts[TM],MATCH(TableWRRanks[[#This Row],[RK]],TableWRCalcPts[RK],0)),"")</f>
        <v>NYJ</v>
      </c>
      <c r="R185" s="22">
        <f>IFERROR(INDEX(TableWRCalcPts[BYE],MATCH(TableWRRanks[[#This Row],[RK]],TableWRCalcPts[RK],0)),"")</f>
        <v>10</v>
      </c>
      <c r="S185" s="272">
        <f>IFERROR(INDEX(TableWRCalcPts[Custom],MATCH(TableWRRanks[[#This Row],[RK]],TableWRCalcPts[RK],0)),"")</f>
        <v>3.9204597587547814</v>
      </c>
      <c r="T185" s="273">
        <f>(((VLOOKUP(TableWRRanks[[#This Row],[Player]],'OVR &amp; VORP Ranks'!$P:$T,5,FALSE)))/('OVR &amp; VORP Ranks'!$BM$6))*(Settings!$E$10*TEAMS)</f>
        <v>-49.483009422410319</v>
      </c>
    </row>
    <row r="186" spans="15:20" x14ac:dyDescent="0.3">
      <c r="O186" s="274">
        <v>185</v>
      </c>
      <c r="P186" s="22" t="str">
        <f>IFERROR(INDEX(TableWRCalcPts[PLAYER],MATCH(TableWRRanks[[#This Row],[RK]],TableWRCalcPts[RK],0)),"")</f>
        <v>Makai Polk</v>
      </c>
      <c r="Q186" s="22" t="str">
        <f>IFERROR(INDEX(TableWRCalcPts[TM],MATCH(TableWRRanks[[#This Row],[RK]],TableWRCalcPts[RK],0)),"")</f>
        <v>BAL</v>
      </c>
      <c r="R186" s="22">
        <f>IFERROR(INDEX(TableWRCalcPts[BYE],MATCH(TableWRRanks[[#This Row],[RK]],TableWRCalcPts[RK],0)),"")</f>
        <v>10</v>
      </c>
      <c r="S186" s="272">
        <f>IFERROR(INDEX(TableWRCalcPts[Custom],MATCH(TableWRRanks[[#This Row],[RK]],TableWRCalcPts[RK],0)),"")</f>
        <v>1.6672180579530638</v>
      </c>
      <c r="T186" s="273">
        <f>(((VLOOKUP(TableWRRanks[[#This Row],[Player]],'OVR &amp; VORP Ranks'!$P:$T,5,FALSE)))/('OVR &amp; VORP Ranks'!$BM$6))*(Settings!$E$10*TEAMS)</f>
        <v>-50.544361374939903</v>
      </c>
    </row>
    <row r="187" spans="15:20" x14ac:dyDescent="0.3">
      <c r="O187" s="22">
        <v>186</v>
      </c>
      <c r="P187" s="274" t="str">
        <f>IFERROR(INDEX(TableWRCalcPts[PLAYER],MATCH(TableWRRanks[[#This Row],[RK]],TableWRCalcPts[RK],0)),"")</f>
        <v/>
      </c>
      <c r="Q187" s="22" t="str">
        <f>IFERROR(INDEX(TableWRCalcPts[TM],MATCH(TableWRRanks[[#This Row],[RK]],TableWRCalcPts[RK],0)),"")</f>
        <v/>
      </c>
      <c r="R187" s="22" t="str">
        <f>IFERROR(INDEX(TableWRCalcPts[BYE],MATCH(TableWRRanks[[#This Row],[RK]],TableWRCalcPts[RK],0)),"")</f>
        <v/>
      </c>
      <c r="S187" s="272" t="str">
        <f>IFERROR(INDEX(TableWRCalcPts[Custom],MATCH(TableWRRanks[[#This Row],[RK]],TableWRCalcPts[RK],0)),"")</f>
        <v/>
      </c>
      <c r="T187" s="273" t="e">
        <f>(((VLOOKUP(TableWRRanks[[#This Row],[Player]],'OVR &amp; VORP Ranks'!$P:$T,5,FALSE)))/('OVR &amp; VORP Ranks'!$BM$6))*(Settings!$E$10*TEAMS)</f>
        <v>#VALUE!</v>
      </c>
    </row>
    <row r="188" spans="15:20" x14ac:dyDescent="0.3">
      <c r="O188" s="22">
        <v>187</v>
      </c>
      <c r="P188" s="274" t="str">
        <f>IFERROR(INDEX(TableWRCalcPts[PLAYER],MATCH(TableWRRanks[[#This Row],[RK]],TableWRCalcPts[RK],0)),"")</f>
        <v/>
      </c>
      <c r="Q188" s="22" t="str">
        <f>IFERROR(INDEX(TableWRCalcPts[TM],MATCH(TableWRRanks[[#This Row],[RK]],TableWRCalcPts[RK],0)),"")</f>
        <v/>
      </c>
      <c r="R188" s="22" t="str">
        <f>IFERROR(INDEX(TableWRCalcPts[BYE],MATCH(TableWRRanks[[#This Row],[RK]],TableWRCalcPts[RK],0)),"")</f>
        <v/>
      </c>
      <c r="S188" s="272" t="str">
        <f>IFERROR(INDEX(TableWRCalcPts[Custom],MATCH(TableWRRanks[[#This Row],[RK]],TableWRCalcPts[RK],0)),"")</f>
        <v/>
      </c>
      <c r="T188" s="273" t="e">
        <f>(((VLOOKUP(TableWRRanks[[#This Row],[Player]],'OVR &amp; VORP Ranks'!$P:$T,5,FALSE)))/('OVR &amp; VORP Ranks'!$BM$6))*(Settings!$E$10*TEAMS)</f>
        <v>#VALUE!</v>
      </c>
    </row>
    <row r="189" spans="15:20" x14ac:dyDescent="0.3">
      <c r="O189" s="274">
        <v>188</v>
      </c>
      <c r="P189" s="274" t="str">
        <f>IFERROR(INDEX(TableWRCalcPts[PLAYER],MATCH(TableWRRanks[[#This Row],[RK]],TableWRCalcPts[RK],0)),"")</f>
        <v/>
      </c>
      <c r="Q189" s="22" t="str">
        <f>IFERROR(INDEX(TableWRCalcPts[TM],MATCH(TableWRRanks[[#This Row],[RK]],TableWRCalcPts[RK],0)),"")</f>
        <v/>
      </c>
      <c r="R189" s="22" t="str">
        <f>IFERROR(INDEX(TableWRCalcPts[BYE],MATCH(TableWRRanks[[#This Row],[RK]],TableWRCalcPts[RK],0)),"")</f>
        <v/>
      </c>
      <c r="S189" s="272" t="str">
        <f>IFERROR(INDEX(TableWRCalcPts[Custom],MATCH(TableWRRanks[[#This Row],[RK]],TableWRCalcPts[RK],0)),"")</f>
        <v/>
      </c>
      <c r="T189" s="273" t="e">
        <f>(((VLOOKUP(TableWRRanks[[#This Row],[Player]],'OVR &amp; VORP Ranks'!$P:$T,5,FALSE)))/('OVR &amp; VORP Ranks'!$BM$6))*(Settings!$E$10*TEAMS)</f>
        <v>#VALUE!</v>
      </c>
    </row>
    <row r="190" spans="15:20" x14ac:dyDescent="0.3">
      <c r="O190" s="22">
        <v>189</v>
      </c>
      <c r="P190" s="22" t="str">
        <f>IFERROR(INDEX(TableWRCalcPts[PLAYER],MATCH(TableWRRanks[[#This Row],[RK]],TableWRCalcPts[RK],0)),"")</f>
        <v/>
      </c>
      <c r="Q190" s="22" t="str">
        <f>IFERROR(INDEX(TableWRCalcPts[TM],MATCH(TableWRRanks[[#This Row],[RK]],TableWRCalcPts[RK],0)),"")</f>
        <v/>
      </c>
      <c r="R190" s="22" t="str">
        <f>IFERROR(INDEX(TableWRCalcPts[BYE],MATCH(TableWRRanks[[#This Row],[RK]],TableWRCalcPts[RK],0)),"")</f>
        <v/>
      </c>
      <c r="S190" s="272" t="str">
        <f>IFERROR(INDEX(TableWRCalcPts[Custom],MATCH(TableWRRanks[[#This Row],[RK]],TableWRCalcPts[RK],0)),"")</f>
        <v/>
      </c>
      <c r="T190" s="273" t="e">
        <f>(((VLOOKUP(TableWRRanks[[#This Row],[Player]],'OVR &amp; VORP Ranks'!$P:$T,5,FALSE)))/('OVR &amp; VORP Ranks'!$BM$6))*(Settings!$E$10*TEAMS)</f>
        <v>#VALUE!</v>
      </c>
    </row>
    <row r="191" spans="15:20" x14ac:dyDescent="0.3">
      <c r="O191" s="22">
        <v>190</v>
      </c>
      <c r="P191" s="274" t="str">
        <f>IFERROR(INDEX(TableWRCalcPts[PLAYER],MATCH(TableWRRanks[[#This Row],[RK]],TableWRCalcPts[RK],0)),"")</f>
        <v/>
      </c>
      <c r="Q191" s="22" t="str">
        <f>IFERROR(INDEX(TableWRCalcPts[TM],MATCH(TableWRRanks[[#This Row],[RK]],TableWRCalcPts[RK],0)),"")</f>
        <v/>
      </c>
      <c r="R191" s="22" t="str">
        <f>IFERROR(INDEX(TableWRCalcPts[BYE],MATCH(TableWRRanks[[#This Row],[RK]],TableWRCalcPts[RK],0)),"")</f>
        <v/>
      </c>
      <c r="S191" s="272" t="str">
        <f>IFERROR(INDEX(TableWRCalcPts[Custom],MATCH(TableWRRanks[[#This Row],[RK]],TableWRCalcPts[RK],0)),"")</f>
        <v/>
      </c>
      <c r="T191" s="273" t="e">
        <f>(((VLOOKUP(TableWRRanks[[#This Row],[Player]],'OVR &amp; VORP Ranks'!$P:$T,5,FALSE)))/('OVR &amp; VORP Ranks'!$BM$6))*(Settings!$E$10*TEAMS)</f>
        <v>#VALUE!</v>
      </c>
    </row>
    <row r="192" spans="15:20" x14ac:dyDescent="0.3">
      <c r="O192" s="274">
        <v>191</v>
      </c>
      <c r="P192" s="274" t="str">
        <f>IFERROR(INDEX(TableWRCalcPts[PLAYER],MATCH(TableWRRanks[[#This Row],[RK]],TableWRCalcPts[RK],0)),"")</f>
        <v/>
      </c>
      <c r="Q192" s="22" t="str">
        <f>IFERROR(INDEX(TableWRCalcPts[TM],MATCH(TableWRRanks[[#This Row],[RK]],TableWRCalcPts[RK],0)),"")</f>
        <v/>
      </c>
      <c r="R192" s="22" t="str">
        <f>IFERROR(INDEX(TableWRCalcPts[BYE],MATCH(TableWRRanks[[#This Row],[RK]],TableWRCalcPts[RK],0)),"")</f>
        <v/>
      </c>
      <c r="S192" s="272" t="str">
        <f>IFERROR(INDEX(TableWRCalcPts[Custom],MATCH(TableWRRanks[[#This Row],[RK]],TableWRCalcPts[RK],0)),"")</f>
        <v/>
      </c>
      <c r="T192" s="273" t="e">
        <f>(((VLOOKUP(TableWRRanks[[#This Row],[Player]],'OVR &amp; VORP Ranks'!$P:$T,5,FALSE)))/('OVR &amp; VORP Ranks'!$BM$6))*(Settings!$E$10*TEAMS)</f>
        <v>#VALUE!</v>
      </c>
    </row>
    <row r="193" spans="15:20" x14ac:dyDescent="0.3">
      <c r="O193" s="22">
        <v>192</v>
      </c>
      <c r="P193" s="22" t="str">
        <f>IFERROR(INDEX(TableWRCalcPts[PLAYER],MATCH(TableWRRanks[[#This Row],[RK]],TableWRCalcPts[RK],0)),"")</f>
        <v/>
      </c>
      <c r="Q193" s="22" t="str">
        <f>IFERROR(INDEX(TableWRCalcPts[TM],MATCH(TableWRRanks[[#This Row],[RK]],TableWRCalcPts[RK],0)),"")</f>
        <v/>
      </c>
      <c r="R193" s="22" t="str">
        <f>IFERROR(INDEX(TableWRCalcPts[BYE],MATCH(TableWRRanks[[#This Row],[RK]],TableWRCalcPts[RK],0)),"")</f>
        <v/>
      </c>
      <c r="S193" s="272" t="str">
        <f>IFERROR(INDEX(TableWRCalcPts[Custom],MATCH(TableWRRanks[[#This Row],[RK]],TableWRCalcPts[RK],0)),"")</f>
        <v/>
      </c>
      <c r="T193" s="273" t="e">
        <f>(((VLOOKUP(TableWRRanks[[#This Row],[Player]],'OVR &amp; VORP Ranks'!$P:$T,5,FALSE)))/('OVR &amp; VORP Ranks'!$BM$6))*(Settings!$E$10*TEAMS)</f>
        <v>#VALUE!</v>
      </c>
    </row>
    <row r="194" spans="15:20" x14ac:dyDescent="0.3">
      <c r="O194" s="22">
        <v>193</v>
      </c>
      <c r="P194" s="22" t="str">
        <f>IFERROR(INDEX(TableWRCalcPts[PLAYER],MATCH(TableWRRanks[[#This Row],[RK]],TableWRCalcPts[RK],0)),"")</f>
        <v/>
      </c>
      <c r="Q194" s="22" t="str">
        <f>IFERROR(INDEX(TableWRCalcPts[TM],MATCH(TableWRRanks[[#This Row],[RK]],TableWRCalcPts[RK],0)),"")</f>
        <v/>
      </c>
      <c r="R194" s="22" t="str">
        <f>IFERROR(INDEX(TableWRCalcPts[BYE],MATCH(TableWRRanks[[#This Row],[RK]],TableWRCalcPts[RK],0)),"")</f>
        <v/>
      </c>
      <c r="S194" s="272" t="str">
        <f>IFERROR(INDEX(TableWRCalcPts[Custom],MATCH(TableWRRanks[[#This Row],[RK]],TableWRCalcPts[RK],0)),"")</f>
        <v/>
      </c>
      <c r="T194" s="273" t="e">
        <f>(((VLOOKUP(TableWRRanks[[#This Row],[Player]],'OVR &amp; VORP Ranks'!$P:$T,5,FALSE)))/('OVR &amp; VORP Ranks'!$BM$6))*(Settings!$E$10*TEAMS)</f>
        <v>#VALUE!</v>
      </c>
    </row>
    <row r="195" spans="15:20" x14ac:dyDescent="0.3">
      <c r="O195" s="274">
        <v>194</v>
      </c>
      <c r="P195" s="274" t="str">
        <f>IFERROR(INDEX(TableWRCalcPts[PLAYER],MATCH(TableWRRanks[[#This Row],[RK]],TableWRCalcPts[RK],0)),"")</f>
        <v/>
      </c>
      <c r="Q195" s="22" t="str">
        <f>IFERROR(INDEX(TableWRCalcPts[TM],MATCH(TableWRRanks[[#This Row],[RK]],TableWRCalcPts[RK],0)),"")</f>
        <v/>
      </c>
      <c r="R195" s="22" t="str">
        <f>IFERROR(INDEX(TableWRCalcPts[BYE],MATCH(TableWRRanks[[#This Row],[RK]],TableWRCalcPts[RK],0)),"")</f>
        <v/>
      </c>
      <c r="S195" s="272" t="str">
        <f>IFERROR(INDEX(TableWRCalcPts[Custom],MATCH(TableWRRanks[[#This Row],[RK]],TableWRCalcPts[RK],0)),"")</f>
        <v/>
      </c>
      <c r="T195" s="273" t="e">
        <f>(((VLOOKUP(TableWRRanks[[#This Row],[Player]],'OVR &amp; VORP Ranks'!$P:$T,5,FALSE)))/('OVR &amp; VORP Ranks'!$BM$6))*(Settings!$E$10*TEAMS)</f>
        <v>#VALUE!</v>
      </c>
    </row>
    <row r="196" spans="15:20" x14ac:dyDescent="0.3">
      <c r="O196" s="22">
        <v>195</v>
      </c>
      <c r="P196" s="274" t="str">
        <f>IFERROR(INDEX(TableWRCalcPts[PLAYER],MATCH(TableWRRanks[[#This Row],[RK]],TableWRCalcPts[RK],0)),"")</f>
        <v/>
      </c>
      <c r="Q196" s="22" t="str">
        <f>IFERROR(INDEX(TableWRCalcPts[TM],MATCH(TableWRRanks[[#This Row],[RK]],TableWRCalcPts[RK],0)),"")</f>
        <v/>
      </c>
      <c r="R196" s="22" t="str">
        <f>IFERROR(INDEX(TableWRCalcPts[BYE],MATCH(TableWRRanks[[#This Row],[RK]],TableWRCalcPts[RK],0)),"")</f>
        <v/>
      </c>
      <c r="S196" s="272" t="str">
        <f>IFERROR(INDEX(TableWRCalcPts[Custom],MATCH(TableWRRanks[[#This Row],[RK]],TableWRCalcPts[RK],0)),"")</f>
        <v/>
      </c>
      <c r="T196" s="273" t="e">
        <f>(((VLOOKUP(TableWRRanks[[#This Row],[Player]],'OVR &amp; VORP Ranks'!$P:$T,5,FALSE)))/('OVR &amp; VORP Ranks'!$BM$6))*(Settings!$E$10*TEAMS)</f>
        <v>#VALUE!</v>
      </c>
    </row>
    <row r="197" spans="15:20" x14ac:dyDescent="0.3">
      <c r="O197" s="22">
        <v>196</v>
      </c>
      <c r="P197" s="274" t="str">
        <f>IFERROR(INDEX(TableWRCalcPts[PLAYER],MATCH(TableWRRanks[[#This Row],[RK]],TableWRCalcPts[RK],0)),"")</f>
        <v/>
      </c>
      <c r="Q197" s="22" t="str">
        <f>IFERROR(INDEX(TableWRCalcPts[TM],MATCH(TableWRRanks[[#This Row],[RK]],TableWRCalcPts[RK],0)),"")</f>
        <v/>
      </c>
      <c r="R197" s="22" t="str">
        <f>IFERROR(INDEX(TableWRCalcPts[BYE],MATCH(TableWRRanks[[#This Row],[RK]],TableWRCalcPts[RK],0)),"")</f>
        <v/>
      </c>
      <c r="S197" s="272" t="str">
        <f>IFERROR(INDEX(TableWRCalcPts[Custom],MATCH(TableWRRanks[[#This Row],[RK]],TableWRCalcPts[RK],0)),"")</f>
        <v/>
      </c>
      <c r="T197" s="273" t="e">
        <f>(((VLOOKUP(TableWRRanks[[#This Row],[Player]],'OVR &amp; VORP Ranks'!$P:$T,5,FALSE)))/('OVR &amp; VORP Ranks'!$BM$6))*(Settings!$E$10*TEAMS)</f>
        <v>#VALUE!</v>
      </c>
    </row>
    <row r="198" spans="15:20" x14ac:dyDescent="0.3">
      <c r="O198" s="274">
        <v>197</v>
      </c>
      <c r="P198" s="274" t="str">
        <f>IFERROR(INDEX(TableWRCalcPts[PLAYER],MATCH(TableWRRanks[[#This Row],[RK]],TableWRCalcPts[RK],0)),"")</f>
        <v/>
      </c>
      <c r="Q198" s="22" t="str">
        <f>IFERROR(INDEX(TableWRCalcPts[TM],MATCH(TableWRRanks[[#This Row],[RK]],TableWRCalcPts[RK],0)),"")</f>
        <v/>
      </c>
      <c r="R198" s="22" t="str">
        <f>IFERROR(INDEX(TableWRCalcPts[BYE],MATCH(TableWRRanks[[#This Row],[RK]],TableWRCalcPts[RK],0)),"")</f>
        <v/>
      </c>
      <c r="S198" s="272" t="str">
        <f>IFERROR(INDEX(TableWRCalcPts[Custom],MATCH(TableWRRanks[[#This Row],[RK]],TableWRCalcPts[RK],0)),"")</f>
        <v/>
      </c>
      <c r="T198" s="273" t="e">
        <f>(((VLOOKUP(TableWRRanks[[#This Row],[Player]],'OVR &amp; VORP Ranks'!$P:$T,5,FALSE)))/('OVR &amp; VORP Ranks'!$BM$6))*(Settings!$E$10*TEAMS)</f>
        <v>#VALUE!</v>
      </c>
    </row>
    <row r="199" spans="15:20" x14ac:dyDescent="0.3">
      <c r="O199" s="22">
        <v>198</v>
      </c>
      <c r="P199" s="274" t="str">
        <f>IFERROR(INDEX(TableWRCalcPts[PLAYER],MATCH(TableWRRanks[[#This Row],[RK]],TableWRCalcPts[RK],0)),"")</f>
        <v/>
      </c>
      <c r="Q199" s="22" t="str">
        <f>IFERROR(INDEX(TableWRCalcPts[TM],MATCH(TableWRRanks[[#This Row],[RK]],TableWRCalcPts[RK],0)),"")</f>
        <v/>
      </c>
      <c r="R199" s="22" t="str">
        <f>IFERROR(INDEX(TableWRCalcPts[BYE],MATCH(TableWRRanks[[#This Row],[RK]],TableWRCalcPts[RK],0)),"")</f>
        <v/>
      </c>
      <c r="S199" s="272" t="str">
        <f>IFERROR(INDEX(TableWRCalcPts[Custom],MATCH(TableWRRanks[[#This Row],[RK]],TableWRCalcPts[RK],0)),"")</f>
        <v/>
      </c>
      <c r="T199" s="273" t="e">
        <f>(((VLOOKUP(TableWRRanks[[#This Row],[Player]],'OVR &amp; VORP Ranks'!$P:$T,5,FALSE)))/('OVR &amp; VORP Ranks'!$BM$6))*(Settings!$E$10*TEAMS)</f>
        <v>#VALUE!</v>
      </c>
    </row>
    <row r="200" spans="15:20" x14ac:dyDescent="0.3">
      <c r="O200" s="22">
        <v>199</v>
      </c>
      <c r="P200" s="274" t="str">
        <f>IFERROR(INDEX(TableWRCalcPts[PLAYER],MATCH(TableWRRanks[[#This Row],[RK]],TableWRCalcPts[RK],0)),"")</f>
        <v/>
      </c>
      <c r="Q200" s="22" t="str">
        <f>IFERROR(INDEX(TableWRCalcPts[TM],MATCH(TableWRRanks[[#This Row],[RK]],TableWRCalcPts[RK],0)),"")</f>
        <v/>
      </c>
      <c r="R200" s="22" t="str">
        <f>IFERROR(INDEX(TableWRCalcPts[BYE],MATCH(TableWRRanks[[#This Row],[RK]],TableWRCalcPts[RK],0)),"")</f>
        <v/>
      </c>
      <c r="S200" s="272" t="str">
        <f>IFERROR(INDEX(TableWRCalcPts[Custom],MATCH(TableWRRanks[[#This Row],[RK]],TableWRCalcPts[RK],0)),"")</f>
        <v/>
      </c>
      <c r="T200" s="273" t="e">
        <f>(((VLOOKUP(TableWRRanks[[#This Row],[Player]],'OVR &amp; VORP Ranks'!$P:$T,5,FALSE)))/('OVR &amp; VORP Ranks'!$BM$6))*(Settings!$E$10*TEAMS)</f>
        <v>#VALUE!</v>
      </c>
    </row>
    <row r="201" spans="15:20" x14ac:dyDescent="0.3">
      <c r="O201" s="274">
        <v>200</v>
      </c>
      <c r="P201" s="22" t="str">
        <f>IFERROR(INDEX(TableWRCalcPts[PLAYER],MATCH(TableWRRanks[[#This Row],[RK]],TableWRCalcPts[RK],0)),"")</f>
        <v/>
      </c>
      <c r="Q201" s="22" t="str">
        <f>IFERROR(INDEX(TableWRCalcPts[TM],MATCH(TableWRRanks[[#This Row],[RK]],TableWRCalcPts[RK],0)),"")</f>
        <v/>
      </c>
      <c r="R201" s="22" t="str">
        <f>IFERROR(INDEX(TableWRCalcPts[BYE],MATCH(TableWRRanks[[#This Row],[RK]],TableWRCalcPts[RK],0)),"")</f>
        <v/>
      </c>
      <c r="S201" s="272" t="str">
        <f>IFERROR(INDEX(TableWRCalcPts[Custom],MATCH(TableWRRanks[[#This Row],[RK]],TableWRCalcPts[RK],0)),"")</f>
        <v/>
      </c>
      <c r="T201" s="273" t="e">
        <f>(((VLOOKUP(TableWRRanks[[#This Row],[Player]],'OVR &amp; VORP Ranks'!$P:$T,5,FALSE)))/('OVR &amp; VORP Ranks'!$BM$6))*(Settings!$E$10*TEAMS)</f>
        <v>#VALUE!</v>
      </c>
    </row>
    <row r="202" spans="15:20" x14ac:dyDescent="0.3">
      <c r="O202" s="22">
        <v>201</v>
      </c>
      <c r="P202" s="22" t="str">
        <f>IFERROR(INDEX(TableWRCalcPts[PLAYER],MATCH(TableWRRanks[[#This Row],[RK]],TableWRCalcPts[RK],0)),"")</f>
        <v/>
      </c>
      <c r="Q202" s="22" t="str">
        <f>IFERROR(INDEX(TableWRCalcPts[TM],MATCH(TableWRRanks[[#This Row],[RK]],TableWRCalcPts[RK],0)),"")</f>
        <v/>
      </c>
      <c r="R202" s="22" t="str">
        <f>IFERROR(INDEX(TableWRCalcPts[BYE],MATCH(TableWRRanks[[#This Row],[RK]],TableWRCalcPts[RK],0)),"")</f>
        <v/>
      </c>
      <c r="S202" s="272" t="str">
        <f>IFERROR(INDEX(TableWRCalcPts[Custom],MATCH(TableWRRanks[[#This Row],[RK]],TableWRCalcPts[RK],0)),"")</f>
        <v/>
      </c>
      <c r="T202" s="273" t="e">
        <f>(((VLOOKUP(TableWRRanks[[#This Row],[Player]],'OVR &amp; VORP Ranks'!$P:$T,5,FALSE)))/('OVR &amp; VORP Ranks'!$BM$6))*(Settings!$E$10*TEAMS)</f>
        <v>#VALUE!</v>
      </c>
    </row>
    <row r="203" spans="15:20" x14ac:dyDescent="0.3">
      <c r="O203" s="22">
        <v>202</v>
      </c>
      <c r="P203" s="22" t="str">
        <f>IFERROR(INDEX(TableWRCalcPts[PLAYER],MATCH(TableWRRanks[[#This Row],[RK]],TableWRCalcPts[RK],0)),"")</f>
        <v/>
      </c>
      <c r="Q203" s="22" t="str">
        <f>IFERROR(INDEX(TableWRCalcPts[TM],MATCH(TableWRRanks[[#This Row],[RK]],TableWRCalcPts[RK],0)),"")</f>
        <v/>
      </c>
      <c r="R203" s="22" t="str">
        <f>IFERROR(INDEX(TableWRCalcPts[BYE],MATCH(TableWRRanks[[#This Row],[RK]],TableWRCalcPts[RK],0)),"")</f>
        <v/>
      </c>
      <c r="S203" s="272" t="str">
        <f>IFERROR(INDEX(TableWRCalcPts[Custom],MATCH(TableWRRanks[[#This Row],[RK]],TableWRCalcPts[RK],0)),"")</f>
        <v/>
      </c>
      <c r="T203" s="273" t="e">
        <f>(((VLOOKUP(TableWRRanks[[#This Row],[Player]],'OVR &amp; VORP Ranks'!$P:$T,5,FALSE)))/('OVR &amp; VORP Ranks'!$BM$6))*(Settings!$E$10*TEAMS)</f>
        <v>#VALUE!</v>
      </c>
    </row>
    <row r="204" spans="15:20" x14ac:dyDescent="0.3">
      <c r="O204" s="274">
        <v>203</v>
      </c>
      <c r="P204" s="274" t="str">
        <f>IFERROR(INDEX(TableWRCalcPts[PLAYER],MATCH(TableWRRanks[[#This Row],[RK]],TableWRCalcPts[RK],0)),"")</f>
        <v/>
      </c>
      <c r="Q204" s="274" t="str">
        <f>IFERROR(INDEX(TableWRCalcPts[TM],MATCH(TableWRRanks[[#This Row],[RK]],TableWRCalcPts[RK],0)),"")</f>
        <v/>
      </c>
      <c r="R204" s="274" t="str">
        <f>IFERROR(INDEX(TableWRCalcPts[BYE],MATCH(TableWRRanks[[#This Row],[RK]],TableWRCalcPts[RK],0)),"")</f>
        <v/>
      </c>
      <c r="S204" s="272" t="str">
        <f>IFERROR(INDEX(TableWRCalcPts[Custom],MATCH(TableWRRanks[[#This Row],[RK]],TableWRCalcPts[RK],0)),"")</f>
        <v/>
      </c>
      <c r="T204" s="273" t="e">
        <f>(((VLOOKUP(TableWRRanks[[#This Row],[Player]],'OVR &amp; VORP Ranks'!$P:$T,5,FALSE)))/('OVR &amp; VORP Ranks'!$BM$6))*(Settings!$E$10*TEAMS)</f>
        <v>#VALUE!</v>
      </c>
    </row>
    <row r="205" spans="15:20" x14ac:dyDescent="0.3">
      <c r="O205" s="22">
        <v>204</v>
      </c>
      <c r="P205" s="274" t="str">
        <f>IFERROR(INDEX(TableWRCalcPts[PLAYER],MATCH(TableWRRanks[[#This Row],[RK]],TableWRCalcPts[RK],0)),"")</f>
        <v/>
      </c>
      <c r="Q205" s="274" t="str">
        <f>IFERROR(INDEX(TableWRCalcPts[TM],MATCH(TableWRRanks[[#This Row],[RK]],TableWRCalcPts[RK],0)),"")</f>
        <v/>
      </c>
      <c r="R205" s="274" t="str">
        <f>IFERROR(INDEX(TableWRCalcPts[BYE],MATCH(TableWRRanks[[#This Row],[RK]],TableWRCalcPts[RK],0)),"")</f>
        <v/>
      </c>
      <c r="S205" s="272" t="str">
        <f>IFERROR(INDEX(TableWRCalcPts[Custom],MATCH(TableWRRanks[[#This Row],[RK]],TableWRCalcPts[RK],0)),"")</f>
        <v/>
      </c>
      <c r="T205" s="273" t="e">
        <f>(((VLOOKUP(TableWRRanks[[#This Row],[Player]],'OVR &amp; VORP Ranks'!$P:$T,5,FALSE)))/('OVR &amp; VORP Ranks'!$BM$6))*(Settings!$E$10*TEAMS)</f>
        <v>#VALUE!</v>
      </c>
    </row>
    <row r="206" spans="15:20" x14ac:dyDescent="0.3">
      <c r="O206" s="22">
        <v>205</v>
      </c>
      <c r="P206" s="274" t="str">
        <f>IFERROR(INDEX(TableWRCalcPts[PLAYER],MATCH(TableWRRanks[[#This Row],[RK]],TableWRCalcPts[RK],0)),"")</f>
        <v/>
      </c>
      <c r="Q206" s="274" t="str">
        <f>IFERROR(INDEX(TableWRCalcPts[TM],MATCH(TableWRRanks[[#This Row],[RK]],TableWRCalcPts[RK],0)),"")</f>
        <v/>
      </c>
      <c r="R206" s="274" t="str">
        <f>IFERROR(INDEX(TableWRCalcPts[BYE],MATCH(TableWRRanks[[#This Row],[RK]],TableWRCalcPts[RK],0)),"")</f>
        <v/>
      </c>
      <c r="S206" s="272" t="str">
        <f>IFERROR(INDEX(TableWRCalcPts[Custom],MATCH(TableWRRanks[[#This Row],[RK]],TableWRCalcPts[RK],0)),"")</f>
        <v/>
      </c>
      <c r="T206" s="273" t="e">
        <f>(((VLOOKUP(TableWRRanks[[#This Row],[Player]],'OVR &amp; VORP Ranks'!$P:$T,5,FALSE)))/('OVR &amp; VORP Ranks'!$BM$6))*(Settings!$E$10*TEAMS)</f>
        <v>#VALUE!</v>
      </c>
    </row>
    <row r="207" spans="15:20" x14ac:dyDescent="0.3">
      <c r="O207" s="274">
        <v>206</v>
      </c>
      <c r="P207" s="274" t="str">
        <f>IFERROR(INDEX(TableWRCalcPts[PLAYER],MATCH(TableWRRanks[[#This Row],[RK]],TableWRCalcPts[RK],0)),"")</f>
        <v/>
      </c>
      <c r="Q207" s="274" t="str">
        <f>IFERROR(INDEX(TableWRCalcPts[TM],MATCH(TableWRRanks[[#This Row],[RK]],TableWRCalcPts[RK],0)),"")</f>
        <v/>
      </c>
      <c r="R207" s="274" t="str">
        <f>IFERROR(INDEX(TableWRCalcPts[BYE],MATCH(TableWRRanks[[#This Row],[RK]],TableWRCalcPts[RK],0)),"")</f>
        <v/>
      </c>
      <c r="S207" s="272" t="str">
        <f>IFERROR(INDEX(TableWRCalcPts[Custom],MATCH(TableWRRanks[[#This Row],[RK]],TableWRCalcPts[RK],0)),"")</f>
        <v/>
      </c>
      <c r="T207" s="273" t="e">
        <f>(((VLOOKUP(TableWRRanks[[#This Row],[Player]],'OVR &amp; VORP Ranks'!$P:$T,5,FALSE)))/('OVR &amp; VORP Ranks'!$BM$6))*(Settings!$E$10*TEAMS)</f>
        <v>#VALUE!</v>
      </c>
    </row>
    <row r="208" spans="15:20" x14ac:dyDescent="0.3">
      <c r="O208" s="22">
        <v>207</v>
      </c>
      <c r="P208" s="274" t="str">
        <f>IFERROR(INDEX(TableWRCalcPts[PLAYER],MATCH(TableWRRanks[[#This Row],[RK]],TableWRCalcPts[RK],0)),"")</f>
        <v/>
      </c>
      <c r="Q208" s="274" t="str">
        <f>IFERROR(INDEX(TableWRCalcPts[TM],MATCH(TableWRRanks[[#This Row],[RK]],TableWRCalcPts[RK],0)),"")</f>
        <v/>
      </c>
      <c r="R208" s="274" t="str">
        <f>IFERROR(INDEX(TableWRCalcPts[BYE],MATCH(TableWRRanks[[#This Row],[RK]],TableWRCalcPts[RK],0)),"")</f>
        <v/>
      </c>
      <c r="S208" s="272" t="str">
        <f>IFERROR(INDEX(TableWRCalcPts[Custom],MATCH(TableWRRanks[[#This Row],[RK]],TableWRCalcPts[RK],0)),"")</f>
        <v/>
      </c>
      <c r="T208" s="273" t="e">
        <f>(((VLOOKUP(TableWRRanks[[#This Row],[Player]],'OVR &amp; VORP Ranks'!$P:$T,5,FALSE)))/('OVR &amp; VORP Ranks'!$BM$6))*(Settings!$E$10*TEAMS)</f>
        <v>#VALUE!</v>
      </c>
    </row>
    <row r="209" spans="15:20" x14ac:dyDescent="0.3">
      <c r="O209" s="22">
        <v>208</v>
      </c>
      <c r="P209" s="274" t="str">
        <f>IFERROR(INDEX(TableWRCalcPts[PLAYER],MATCH(TableWRRanks[[#This Row],[RK]],TableWRCalcPts[RK],0)),"")</f>
        <v/>
      </c>
      <c r="Q209" s="274" t="str">
        <f>IFERROR(INDEX(TableWRCalcPts[TM],MATCH(TableWRRanks[[#This Row],[RK]],TableWRCalcPts[RK],0)),"")</f>
        <v/>
      </c>
      <c r="R209" s="274" t="str">
        <f>IFERROR(INDEX(TableWRCalcPts[BYE],MATCH(TableWRRanks[[#This Row],[RK]],TableWRCalcPts[RK],0)),"")</f>
        <v/>
      </c>
      <c r="S209" s="272" t="str">
        <f>IFERROR(INDEX(TableWRCalcPts[Custom],MATCH(TableWRRanks[[#This Row],[RK]],TableWRCalcPts[RK],0)),"")</f>
        <v/>
      </c>
      <c r="T209" s="273" t="e">
        <f>(((VLOOKUP(TableWRRanks[[#This Row],[Player]],'OVR &amp; VORP Ranks'!$P:$T,5,FALSE)))/('OVR &amp; VORP Ranks'!$BM$6))*(Settings!$E$10*TEAMS)</f>
        <v>#VALUE!</v>
      </c>
    </row>
    <row r="210" spans="15:20" x14ac:dyDescent="0.3">
      <c r="O210" s="274">
        <v>209</v>
      </c>
      <c r="P210" s="274" t="str">
        <f>IFERROR(INDEX(TableWRCalcPts[PLAYER],MATCH(TableWRRanks[[#This Row],[RK]],TableWRCalcPts[RK],0)),"")</f>
        <v/>
      </c>
      <c r="Q210" s="274" t="str">
        <f>IFERROR(INDEX(TableWRCalcPts[TM],MATCH(TableWRRanks[[#This Row],[RK]],TableWRCalcPts[RK],0)),"")</f>
        <v/>
      </c>
      <c r="R210" s="274" t="str">
        <f>IFERROR(INDEX(TableWRCalcPts[BYE],MATCH(TableWRRanks[[#This Row],[RK]],TableWRCalcPts[RK],0)),"")</f>
        <v/>
      </c>
      <c r="S210" s="272" t="str">
        <f>IFERROR(INDEX(TableWRCalcPts[Custom],MATCH(TableWRRanks[[#This Row],[RK]],TableWRCalcPts[RK],0)),"")</f>
        <v/>
      </c>
      <c r="T210" s="273" t="e">
        <f>(((VLOOKUP(TableWRRanks[[#This Row],[Player]],'OVR &amp; VORP Ranks'!$P:$T,5,FALSE)))/('OVR &amp; VORP Ranks'!$BM$6))*(Settings!$E$10*TEAMS)</f>
        <v>#VALUE!</v>
      </c>
    </row>
    <row r="211" spans="15:20" x14ac:dyDescent="0.3">
      <c r="O211" s="22">
        <v>210</v>
      </c>
      <c r="P211" s="274" t="str">
        <f>IFERROR(INDEX(TableWRCalcPts[PLAYER],MATCH(TableWRRanks[[#This Row],[RK]],TableWRCalcPts[RK],0)),"")</f>
        <v/>
      </c>
      <c r="Q211" s="274" t="str">
        <f>IFERROR(INDEX(TableWRCalcPts[TM],MATCH(TableWRRanks[[#This Row],[RK]],TableWRCalcPts[RK],0)),"")</f>
        <v/>
      </c>
      <c r="R211" s="274" t="str">
        <f>IFERROR(INDEX(TableWRCalcPts[BYE],MATCH(TableWRRanks[[#This Row],[RK]],TableWRCalcPts[RK],0)),"")</f>
        <v/>
      </c>
      <c r="S211" s="272" t="str">
        <f>IFERROR(INDEX(TableWRCalcPts[Custom],MATCH(TableWRRanks[[#This Row],[RK]],TableWRCalcPts[RK],0)),"")</f>
        <v/>
      </c>
      <c r="T211" s="273" t="e">
        <f>(((VLOOKUP(TableWRRanks[[#This Row],[Player]],'OVR &amp; VORP Ranks'!$P:$T,5,FALSE)))/('OVR &amp; VORP Ranks'!$BM$6))*(Settings!$E$10*TEAMS)</f>
        <v>#VALUE!</v>
      </c>
    </row>
    <row r="212" spans="15:20" x14ac:dyDescent="0.3">
      <c r="O212" s="22">
        <v>211</v>
      </c>
      <c r="P212" s="274" t="str">
        <f>IFERROR(INDEX(TableWRCalcPts[PLAYER],MATCH(TableWRRanks[[#This Row],[RK]],TableWRCalcPts[RK],0)),"")</f>
        <v/>
      </c>
      <c r="Q212" s="274" t="str">
        <f>IFERROR(INDEX(TableWRCalcPts[TM],MATCH(TableWRRanks[[#This Row],[RK]],TableWRCalcPts[RK],0)),"")</f>
        <v/>
      </c>
      <c r="R212" s="274" t="str">
        <f>IFERROR(INDEX(TableWRCalcPts[BYE],MATCH(TableWRRanks[[#This Row],[RK]],TableWRCalcPts[RK],0)),"")</f>
        <v/>
      </c>
      <c r="S212" s="272" t="str">
        <f>IFERROR(INDEX(TableWRCalcPts[Custom],MATCH(TableWRRanks[[#This Row],[RK]],TableWRCalcPts[RK],0)),"")</f>
        <v/>
      </c>
      <c r="T212" s="273" t="e">
        <f>(((VLOOKUP(TableWRRanks[[#This Row],[Player]],'OVR &amp; VORP Ranks'!$P:$T,5,FALSE)))/('OVR &amp; VORP Ranks'!$BM$6))*(Settings!$E$10*TEAMS)</f>
        <v>#VALUE!</v>
      </c>
    </row>
    <row r="213" spans="15:20" x14ac:dyDescent="0.3">
      <c r="O213" s="274">
        <v>212</v>
      </c>
      <c r="P213" s="274" t="str">
        <f>IFERROR(INDEX(TableWRCalcPts[PLAYER],MATCH(TableWRRanks[[#This Row],[RK]],TableWRCalcPts[RK],0)),"")</f>
        <v/>
      </c>
      <c r="Q213" s="274" t="str">
        <f>IFERROR(INDEX(TableWRCalcPts[TM],MATCH(TableWRRanks[[#This Row],[RK]],TableWRCalcPts[RK],0)),"")</f>
        <v/>
      </c>
      <c r="R213" s="274" t="str">
        <f>IFERROR(INDEX(TableWRCalcPts[BYE],MATCH(TableWRRanks[[#This Row],[RK]],TableWRCalcPts[RK],0)),"")</f>
        <v/>
      </c>
      <c r="S213" s="272" t="str">
        <f>IFERROR(INDEX(TableWRCalcPts[Custom],MATCH(TableWRRanks[[#This Row],[RK]],TableWRCalcPts[RK],0)),"")</f>
        <v/>
      </c>
      <c r="T213" s="273" t="e">
        <f>(((VLOOKUP(TableWRRanks[[#This Row],[Player]],'OVR &amp; VORP Ranks'!$P:$T,5,FALSE)))/('OVR &amp; VORP Ranks'!$BM$6))*(Settings!$E$10*TEAMS)</f>
        <v>#VALUE!</v>
      </c>
    </row>
    <row r="214" spans="15:20" x14ac:dyDescent="0.3">
      <c r="O214" s="22">
        <v>213</v>
      </c>
      <c r="P214" s="274" t="str">
        <f>IFERROR(INDEX(TableWRCalcPts[PLAYER],MATCH(TableWRRanks[[#This Row],[RK]],TableWRCalcPts[RK],0)),"")</f>
        <v/>
      </c>
      <c r="Q214" s="274" t="str">
        <f>IFERROR(INDEX(TableWRCalcPts[TM],MATCH(TableWRRanks[[#This Row],[RK]],TableWRCalcPts[RK],0)),"")</f>
        <v/>
      </c>
      <c r="R214" s="274" t="str">
        <f>IFERROR(INDEX(TableWRCalcPts[BYE],MATCH(TableWRRanks[[#This Row],[RK]],TableWRCalcPts[RK],0)),"")</f>
        <v/>
      </c>
      <c r="S214" s="272" t="str">
        <f>IFERROR(INDEX(TableWRCalcPts[Custom],MATCH(TableWRRanks[[#This Row],[RK]],TableWRCalcPts[RK],0)),"")</f>
        <v/>
      </c>
      <c r="T214" s="273" t="e">
        <f>(((VLOOKUP(TableWRRanks[[#This Row],[Player]],'OVR &amp; VORP Ranks'!$P:$T,5,FALSE)))/('OVR &amp; VORP Ranks'!$BM$6))*(Settings!$E$10*TEAMS)</f>
        <v>#VALUE!</v>
      </c>
    </row>
    <row r="215" spans="15:20" x14ac:dyDescent="0.3">
      <c r="O215" s="22">
        <v>214</v>
      </c>
      <c r="P215" s="274" t="str">
        <f>IFERROR(INDEX(TableWRCalcPts[PLAYER],MATCH(TableWRRanks[[#This Row],[RK]],TableWRCalcPts[RK],0)),"")</f>
        <v/>
      </c>
      <c r="Q215" s="274" t="str">
        <f>IFERROR(INDEX(TableWRCalcPts[TM],MATCH(TableWRRanks[[#This Row],[RK]],TableWRCalcPts[RK],0)),"")</f>
        <v/>
      </c>
      <c r="R215" s="274" t="str">
        <f>IFERROR(INDEX(TableWRCalcPts[BYE],MATCH(TableWRRanks[[#This Row],[RK]],TableWRCalcPts[RK],0)),"")</f>
        <v/>
      </c>
      <c r="S215" s="272" t="str">
        <f>IFERROR(INDEX(TableWRCalcPts[Custom],MATCH(TableWRRanks[[#This Row],[RK]],TableWRCalcPts[RK],0)),"")</f>
        <v/>
      </c>
      <c r="T215" s="273" t="e">
        <f>(((VLOOKUP(TableWRRanks[[#This Row],[Player]],'OVR &amp; VORP Ranks'!$P:$T,5,FALSE)))/('OVR &amp; VORP Ranks'!$BM$6))*(Settings!$E$10*TEAMS)</f>
        <v>#VALUE!</v>
      </c>
    </row>
    <row r="216" spans="15:20" x14ac:dyDescent="0.3">
      <c r="O216" s="274">
        <v>215</v>
      </c>
      <c r="P216" s="274" t="str">
        <f>IFERROR(INDEX(TableWRCalcPts[PLAYER],MATCH(TableWRRanks[[#This Row],[RK]],TableWRCalcPts[RK],0)),"")</f>
        <v/>
      </c>
      <c r="Q216" s="274" t="str">
        <f>IFERROR(INDEX(TableWRCalcPts[TM],MATCH(TableWRRanks[[#This Row],[RK]],TableWRCalcPts[RK],0)),"")</f>
        <v/>
      </c>
      <c r="R216" s="274" t="str">
        <f>IFERROR(INDEX(TableWRCalcPts[BYE],MATCH(TableWRRanks[[#This Row],[RK]],TableWRCalcPts[RK],0)),"")</f>
        <v/>
      </c>
      <c r="S216" s="272" t="str">
        <f>IFERROR(INDEX(TableWRCalcPts[Custom],MATCH(TableWRRanks[[#This Row],[RK]],TableWRCalcPts[RK],0)),"")</f>
        <v/>
      </c>
      <c r="T216" s="273" t="e">
        <f>(((VLOOKUP(TableWRRanks[[#This Row],[Player]],'OVR &amp; VORP Ranks'!$P:$T,5,FALSE)))/('OVR &amp; VORP Ranks'!$BM$6))*(Settings!$E$10*TEAMS)</f>
        <v>#VALUE!</v>
      </c>
    </row>
    <row r="217" spans="15:20" x14ac:dyDescent="0.3">
      <c r="O217" s="22">
        <v>216</v>
      </c>
      <c r="P217" s="274" t="str">
        <f>IFERROR(INDEX(TableWRCalcPts[PLAYER],MATCH(TableWRRanks[[#This Row],[RK]],TableWRCalcPts[RK],0)),"")</f>
        <v/>
      </c>
      <c r="Q217" s="274" t="str">
        <f>IFERROR(INDEX(TableWRCalcPts[TM],MATCH(TableWRRanks[[#This Row],[RK]],TableWRCalcPts[RK],0)),"")</f>
        <v/>
      </c>
      <c r="R217" s="274" t="str">
        <f>IFERROR(INDEX(TableWRCalcPts[BYE],MATCH(TableWRRanks[[#This Row],[RK]],TableWRCalcPts[RK],0)),"")</f>
        <v/>
      </c>
      <c r="S217" s="272" t="str">
        <f>IFERROR(INDEX(TableWRCalcPts[Custom],MATCH(TableWRRanks[[#This Row],[RK]],TableWRCalcPts[RK],0)),"")</f>
        <v/>
      </c>
      <c r="T217" s="273" t="e">
        <f>(((VLOOKUP(TableWRRanks[[#This Row],[Player]],'OVR &amp; VORP Ranks'!$P:$T,5,FALSE)))/('OVR &amp; VORP Ranks'!$BM$6))*(Settings!$E$10*TEAMS)</f>
        <v>#VALUE!</v>
      </c>
    </row>
    <row r="218" spans="15:20" x14ac:dyDescent="0.3">
      <c r="O218" s="22">
        <v>217</v>
      </c>
      <c r="P218" s="274" t="str">
        <f>IFERROR(INDEX(TableWRCalcPts[PLAYER],MATCH(TableWRRanks[[#This Row],[RK]],TableWRCalcPts[RK],0)),"")</f>
        <v/>
      </c>
      <c r="Q218" s="274" t="str">
        <f>IFERROR(INDEX(TableWRCalcPts[TM],MATCH(TableWRRanks[[#This Row],[RK]],TableWRCalcPts[RK],0)),"")</f>
        <v/>
      </c>
      <c r="R218" s="274" t="str">
        <f>IFERROR(INDEX(TableWRCalcPts[BYE],MATCH(TableWRRanks[[#This Row],[RK]],TableWRCalcPts[RK],0)),"")</f>
        <v/>
      </c>
      <c r="S218" s="272" t="str">
        <f>IFERROR(INDEX(TableWRCalcPts[Custom],MATCH(TableWRRanks[[#This Row],[RK]],TableWRCalcPts[RK],0)),"")</f>
        <v/>
      </c>
      <c r="T218" s="273" t="e">
        <f>(((VLOOKUP(TableWRRanks[[#This Row],[Player]],'OVR &amp; VORP Ranks'!$P:$T,5,FALSE)))/('OVR &amp; VORP Ranks'!$BM$6))*(Settings!$E$10*TEAMS)</f>
        <v>#VALUE!</v>
      </c>
    </row>
    <row r="219" spans="15:20" x14ac:dyDescent="0.3">
      <c r="O219" s="274">
        <v>218</v>
      </c>
      <c r="P219" s="274" t="str">
        <f>IFERROR(INDEX(TableWRCalcPts[PLAYER],MATCH(TableWRRanks[[#This Row],[RK]],TableWRCalcPts[RK],0)),"")</f>
        <v/>
      </c>
      <c r="Q219" s="274" t="str">
        <f>IFERROR(INDEX(TableWRCalcPts[TM],MATCH(TableWRRanks[[#This Row],[RK]],TableWRCalcPts[RK],0)),"")</f>
        <v/>
      </c>
      <c r="R219" s="274" t="str">
        <f>IFERROR(INDEX(TableWRCalcPts[BYE],MATCH(TableWRRanks[[#This Row],[RK]],TableWRCalcPts[RK],0)),"")</f>
        <v/>
      </c>
      <c r="S219" s="272" t="str">
        <f>IFERROR(INDEX(TableWRCalcPts[Custom],MATCH(TableWRRanks[[#This Row],[RK]],TableWRCalcPts[RK],0)),"")</f>
        <v/>
      </c>
      <c r="T219" s="273" t="e">
        <f>(((VLOOKUP(TableWRRanks[[#This Row],[Player]],'OVR &amp; VORP Ranks'!$P:$T,5,FALSE)))/('OVR &amp; VORP Ranks'!$BM$6))*(Settings!$E$10*TEAMS)</f>
        <v>#VALUE!</v>
      </c>
    </row>
    <row r="220" spans="15:20" x14ac:dyDescent="0.3">
      <c r="O220" s="22">
        <v>219</v>
      </c>
      <c r="P220" s="274" t="str">
        <f>IFERROR(INDEX(TableWRCalcPts[PLAYER],MATCH(TableWRRanks[[#This Row],[RK]],TableWRCalcPts[RK],0)),"")</f>
        <v/>
      </c>
      <c r="Q220" s="274" t="str">
        <f>IFERROR(INDEX(TableWRCalcPts[TM],MATCH(TableWRRanks[[#This Row],[RK]],TableWRCalcPts[RK],0)),"")</f>
        <v/>
      </c>
      <c r="R220" s="274" t="str">
        <f>IFERROR(INDEX(TableWRCalcPts[BYE],MATCH(TableWRRanks[[#This Row],[RK]],TableWRCalcPts[RK],0)),"")</f>
        <v/>
      </c>
      <c r="S220" s="272" t="str">
        <f>IFERROR(INDEX(TableWRCalcPts[Custom],MATCH(TableWRRanks[[#This Row],[RK]],TableWRCalcPts[RK],0)),"")</f>
        <v/>
      </c>
      <c r="T220" s="273" t="e">
        <f>(((VLOOKUP(TableWRRanks[[#This Row],[Player]],'OVR &amp; VORP Ranks'!$P:$T,5,FALSE)))/('OVR &amp; VORP Ranks'!$BM$6))*(Settings!$E$10*TEAMS)</f>
        <v>#VALUE!</v>
      </c>
    </row>
    <row r="221" spans="15:20" x14ac:dyDescent="0.3">
      <c r="O221" s="22">
        <v>220</v>
      </c>
      <c r="P221" s="274" t="str">
        <f>IFERROR(INDEX(TableWRCalcPts[PLAYER],MATCH(TableWRRanks[[#This Row],[RK]],TableWRCalcPts[RK],0)),"")</f>
        <v/>
      </c>
      <c r="Q221" s="274" t="str">
        <f>IFERROR(INDEX(TableWRCalcPts[TM],MATCH(TableWRRanks[[#This Row],[RK]],TableWRCalcPts[RK],0)),"")</f>
        <v/>
      </c>
      <c r="R221" s="274" t="str">
        <f>IFERROR(INDEX(TableWRCalcPts[BYE],MATCH(TableWRRanks[[#This Row],[RK]],TableWRCalcPts[RK],0)),"")</f>
        <v/>
      </c>
      <c r="S221" s="272" t="str">
        <f>IFERROR(INDEX(TableWRCalcPts[Custom],MATCH(TableWRRanks[[#This Row],[RK]],TableWRCalcPts[RK],0)),"")</f>
        <v/>
      </c>
      <c r="T221" s="273" t="e">
        <f>(((VLOOKUP(TableWRRanks[[#This Row],[Player]],'OVR &amp; VORP Ranks'!$P:$T,5,FALSE)))/('OVR &amp; VORP Ranks'!$BM$6))*(Settings!$E$10*TEAMS)</f>
        <v>#VALUE!</v>
      </c>
    </row>
  </sheetData>
  <sheetProtection sheet="1" objects="1" scenarios="1" sort="0" autoFilter="0"/>
  <protectedRanges>
    <protectedRange sqref="A1:AG239" name="QBRanks"/>
  </protectedRanges>
  <phoneticPr fontId="16" type="noConversion"/>
  <pageMargins left="0.7" right="0.7" top="0.75" bottom="0.75" header="0.3" footer="0.3"/>
  <pageSetup orientation="portrait" horizontalDpi="90" verticalDpi="90" r:id="rId1"/>
  <ignoredErrors>
    <ignoredError sqref="A2:A68 H2:H150 V2:V97 AC2:AC33 H151:H171 V98:V101 O2:O221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00FF"/>
  </sheetPr>
  <dimension ref="A1:AH47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117</v>
      </c>
      <c r="B2" s="59" t="s">
        <v>9</v>
      </c>
      <c r="C2" s="60">
        <v>9</v>
      </c>
      <c r="D2" s="4">
        <f>D$34*Q2</f>
        <v>544.26556800000003</v>
      </c>
      <c r="E2" s="4">
        <f>D2*R2</f>
        <v>340.60310019955267</v>
      </c>
      <c r="F2" s="4">
        <f>E2*S2</f>
        <v>3733.0099781870977</v>
      </c>
      <c r="G2" s="4">
        <f>E2*T2</f>
        <v>22.479804613170476</v>
      </c>
      <c r="H2" s="4">
        <f>E2*U2</f>
        <v>8.4057052686485019</v>
      </c>
      <c r="I2" s="4">
        <f>D$37*W2</f>
        <v>64.100296116710538</v>
      </c>
      <c r="J2" s="4">
        <f>I2*V2</f>
        <v>337.1675575738974</v>
      </c>
      <c r="K2" s="4">
        <f>I2*X2</f>
        <v>2.6967999280838546</v>
      </c>
      <c r="L2" s="44"/>
      <c r="M2" s="44"/>
      <c r="N2" s="44"/>
      <c r="O2" s="44"/>
      <c r="Q2" s="43">
        <f>AE2</f>
        <v>0.9</v>
      </c>
      <c r="R2" s="61">
        <v>0.62580313770565887</v>
      </c>
      <c r="S2" s="236">
        <v>10.96</v>
      </c>
      <c r="T2" s="237">
        <v>6.6000000000000003E-2</v>
      </c>
      <c r="U2" s="61">
        <v>2.4678886550720661E-2</v>
      </c>
      <c r="V2" s="236">
        <v>5.26</v>
      </c>
      <c r="W2" s="43">
        <f>(AF2/SUM(AF$2:AF$22))*0.98</f>
        <v>0.1550786802122805</v>
      </c>
      <c r="X2" s="61">
        <v>4.2071567394535263E-2</v>
      </c>
      <c r="Y2" s="64"/>
      <c r="Z2" s="65"/>
      <c r="AA2" s="1"/>
      <c r="AB2" s="1"/>
      <c r="AC2" s="1"/>
      <c r="AE2" s="61">
        <v>0.9</v>
      </c>
      <c r="AF2" s="61">
        <v>0.155</v>
      </c>
      <c r="AG2" s="47"/>
      <c r="AH2" s="47"/>
    </row>
    <row r="3" spans="1:34" x14ac:dyDescent="0.3">
      <c r="A3" s="58" t="s">
        <v>695</v>
      </c>
      <c r="B3" s="59" t="s">
        <v>9</v>
      </c>
      <c r="C3" s="60">
        <v>9</v>
      </c>
      <c r="D3" s="4">
        <f>D$34*Q3</f>
        <v>60.473951999999983</v>
      </c>
      <c r="E3" s="4">
        <f t="shared" ref="E3:E4" si="0">D3*R3</f>
        <v>36.528886997247362</v>
      </c>
      <c r="F3" s="4">
        <f t="shared" ref="F3:F4" si="1">E3*S3</f>
        <v>397.06900166007881</v>
      </c>
      <c r="G3" s="4">
        <f t="shared" ref="G3" si="2">E3*T3</f>
        <v>2.2374683373879338</v>
      </c>
      <c r="H3" s="4">
        <f t="shared" ref="H3" si="3">E3*U3</f>
        <v>0.97713326257072664</v>
      </c>
      <c r="I3" s="4">
        <f t="shared" ref="I3:I4" si="4">D$37*W3</f>
        <v>5.5694923861184602</v>
      </c>
      <c r="J3" s="4">
        <f>I3*V3</f>
        <v>27.568987311286378</v>
      </c>
      <c r="K3" s="4">
        <f>I3*X3</f>
        <v>0.40020304570911097</v>
      </c>
      <c r="L3" s="44"/>
      <c r="M3" s="44"/>
      <c r="N3" s="44"/>
      <c r="O3" s="44"/>
      <c r="Q3" s="43">
        <f t="shared" ref="Q3:Q4" si="5">AE3</f>
        <v>9.9999999999999978E-2</v>
      </c>
      <c r="R3" s="61">
        <v>0.60404332426045804</v>
      </c>
      <c r="S3" s="236">
        <v>10.87</v>
      </c>
      <c r="T3" s="237">
        <v>6.1252026035081175E-2</v>
      </c>
      <c r="U3" s="61">
        <v>2.6749604022820585E-2</v>
      </c>
      <c r="V3" s="236">
        <v>4.95</v>
      </c>
      <c r="W3" s="43">
        <f t="shared" ref="W3:W4" si="6">(AF3/SUM(AF$2:AF$22))*0.98</f>
        <v>1.3474345377734257E-2</v>
      </c>
      <c r="X3" s="61">
        <v>7.1856287425149712E-2</v>
      </c>
      <c r="Y3" s="64"/>
      <c r="Z3" s="65"/>
      <c r="AA3" s="1"/>
      <c r="AB3" s="1"/>
      <c r="AC3" s="1"/>
      <c r="AE3" s="61">
        <f>1-AE2</f>
        <v>9.9999999999999978E-2</v>
      </c>
      <c r="AF3" s="61">
        <v>1.3467509077907553E-2</v>
      </c>
      <c r="AG3" s="47"/>
      <c r="AH3" s="47"/>
    </row>
    <row r="4" spans="1:34" x14ac:dyDescent="0.3">
      <c r="B4" s="59" t="s">
        <v>9</v>
      </c>
      <c r="C4" s="60">
        <v>9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58" t="s">
        <v>116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 t="shared" ref="I7:I12" si="9">D$37*W7</f>
        <v>224.14426125972329</v>
      </c>
      <c r="J7" s="4">
        <f>I7*V7</f>
        <v>990.71763476797696</v>
      </c>
      <c r="K7" s="4">
        <f>I7*X7</f>
        <v>6.2760393152722527</v>
      </c>
      <c r="L7" s="7">
        <f>((D$2+D$3+D$4)*AA7)</f>
        <v>89.515427445765965</v>
      </c>
      <c r="M7" s="4">
        <f t="shared" ref="M7:N9" si="10">L7*Y7</f>
        <v>61.944675792470044</v>
      </c>
      <c r="N7" s="4">
        <f t="shared" si="10"/>
        <v>498.03519337145912</v>
      </c>
      <c r="O7" s="4">
        <f>M7*AH7</f>
        <v>3.7166805475482025</v>
      </c>
      <c r="Q7" s="45"/>
      <c r="R7" s="45"/>
      <c r="S7" s="44"/>
      <c r="T7" s="45"/>
      <c r="U7" s="45"/>
      <c r="V7" s="63">
        <v>4.42</v>
      </c>
      <c r="W7" s="43">
        <f t="shared" ref="W7:W12" si="11">(AF7/SUM(AF$2:AF$22))*0.98</f>
        <v>0.54227512693584534</v>
      </c>
      <c r="X7" s="237">
        <v>2.8000000000000001E-2</v>
      </c>
      <c r="Y7" s="237">
        <v>0.69199999999999995</v>
      </c>
      <c r="Z7" s="63">
        <v>8.0399999999999991</v>
      </c>
      <c r="AA7" s="43">
        <f>(AG7/SUM(AG$7:AG$27))*0.98</f>
        <v>0.14802311488715997</v>
      </c>
      <c r="AB7" s="17">
        <v>0.12370711764278007</v>
      </c>
      <c r="AC7" s="43">
        <f>(AH7/SUM(AH$7:AH$27))*0.98</f>
        <v>7.4828877356676607E-2</v>
      </c>
      <c r="AE7" s="47"/>
      <c r="AF7" s="61">
        <v>0.54200000000000004</v>
      </c>
      <c r="AG7" s="61">
        <v>0.14799999999999999</v>
      </c>
      <c r="AH7" s="61">
        <v>0.06</v>
      </c>
    </row>
    <row r="8" spans="1:34" x14ac:dyDescent="0.3">
      <c r="A8" s="77" t="s">
        <v>13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si="9"/>
        <v>64.513846414237705</v>
      </c>
      <c r="J8" s="4">
        <f>I8*V8</f>
        <v>274.82898572465263</v>
      </c>
      <c r="K8" s="4">
        <f>I8*X8</f>
        <v>1.5160753907345861</v>
      </c>
      <c r="L8" s="7">
        <f>((D$2+D$3+D$4)*AA8)</f>
        <v>29.032030522951128</v>
      </c>
      <c r="M8" s="4">
        <f t="shared" si="10"/>
        <v>19.773715989182016</v>
      </c>
      <c r="N8" s="4">
        <f t="shared" si="10"/>
        <v>142.96396660178598</v>
      </c>
      <c r="O8" s="4">
        <f t="shared" ref="O8:O12" si="12">M8*AH8</f>
        <v>0.9446366336704477</v>
      </c>
      <c r="Q8" s="45"/>
      <c r="R8" s="45"/>
      <c r="S8" s="44"/>
      <c r="T8" s="45"/>
      <c r="U8" s="45"/>
      <c r="V8" s="63">
        <v>4.26</v>
      </c>
      <c r="W8" s="43">
        <f t="shared" si="11"/>
        <v>0.15607918782655328</v>
      </c>
      <c r="X8" s="237">
        <v>2.35E-2</v>
      </c>
      <c r="Y8" s="237">
        <v>0.68110000000000004</v>
      </c>
      <c r="Z8" s="63">
        <v>7.23</v>
      </c>
      <c r="AA8" s="43">
        <f t="shared" ref="AA8:AA12" si="13">(AG8/SUM(AG$7:AG$27))*0.98</f>
        <v>4.8007496720159998E-2</v>
      </c>
      <c r="AB8" s="17">
        <v>3.1012128421327868E-2</v>
      </c>
      <c r="AC8" s="43">
        <f t="shared" ref="AC8:AC12" si="14">(AH8/SUM(AH$7:AH$27))*0.98</f>
        <v>5.9579173051591466E-2</v>
      </c>
      <c r="AE8" s="47"/>
      <c r="AF8" s="61">
        <v>0.156</v>
      </c>
      <c r="AG8" s="61">
        <v>4.8000000000000001E-2</v>
      </c>
      <c r="AH8" s="61">
        <v>4.777233749019396E-2</v>
      </c>
    </row>
    <row r="9" spans="1:34" x14ac:dyDescent="0.3">
      <c r="A9" s="77" t="s">
        <v>312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9"/>
        <v>7.0303550579618008</v>
      </c>
      <c r="J9" s="4">
        <f>I9*V9</f>
        <v>28.262027333006436</v>
      </c>
      <c r="K9" s="4">
        <f>I9*X9</f>
        <v>0.15537084678095581</v>
      </c>
      <c r="L9" s="7">
        <f>((D$2+D$3+D$4)*AA9)</f>
        <v>4.7461115102395839</v>
      </c>
      <c r="M9" s="4">
        <f t="shared" si="10"/>
        <v>2.8619052406744689</v>
      </c>
      <c r="N9" s="4">
        <f t="shared" si="10"/>
        <v>17.510472483011732</v>
      </c>
      <c r="O9" s="4">
        <f t="shared" si="12"/>
        <v>3.9887181054696429E-2</v>
      </c>
      <c r="Q9" s="45"/>
      <c r="R9" s="45"/>
      <c r="S9" s="44"/>
      <c r="T9" s="45"/>
      <c r="U9" s="45"/>
      <c r="V9" s="63">
        <v>4.0199999999999996</v>
      </c>
      <c r="W9" s="43">
        <f t="shared" si="11"/>
        <v>1.7008629442637216E-2</v>
      </c>
      <c r="X9" s="237">
        <v>2.2100000000000002E-2</v>
      </c>
      <c r="Y9" s="237">
        <v>0.60299999999999998</v>
      </c>
      <c r="Z9" s="63">
        <v>6.1184668989547033</v>
      </c>
      <c r="AA9" s="43">
        <f t="shared" si="13"/>
        <v>7.8481914167600354E-3</v>
      </c>
      <c r="AB9" s="17">
        <v>6.4298407150253367E-3</v>
      </c>
      <c r="AC9" s="43">
        <f t="shared" si="14"/>
        <v>1.7381853044524182E-2</v>
      </c>
      <c r="AE9" s="47"/>
      <c r="AF9" s="61">
        <v>1.7000000000000001E-2</v>
      </c>
      <c r="AG9" s="61">
        <v>7.8469658645268815E-3</v>
      </c>
      <c r="AH9" s="61">
        <v>1.3937282229965155E-2</v>
      </c>
    </row>
    <row r="10" spans="1:34" x14ac:dyDescent="0.3">
      <c r="A10" s="58" t="s">
        <v>828</v>
      </c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9"/>
        <v>25.22656814915705</v>
      </c>
      <c r="J10" s="4">
        <f t="shared" ref="J10:J12" si="15">I10*V10</f>
        <v>104.94252350049334</v>
      </c>
      <c r="K10" s="4">
        <f t="shared" ref="K10:K12" si="16">I10*X10</f>
        <v>0.68550456927057202</v>
      </c>
      <c r="L10" s="7">
        <f t="shared" ref="L10:L12" si="17">((D$2+D$3+D$4)*AA10)</f>
        <v>12.09667938456297</v>
      </c>
      <c r="M10" s="4">
        <f t="shared" ref="M10:N10" si="18">L10*Y10</f>
        <v>7.60518232907474</v>
      </c>
      <c r="N10" s="4">
        <f t="shared" si="18"/>
        <v>53.298613863597566</v>
      </c>
      <c r="O10" s="4">
        <f t="shared" si="12"/>
        <v>0.18701268022314937</v>
      </c>
      <c r="Q10" s="45"/>
      <c r="R10" s="45"/>
      <c r="S10" s="44"/>
      <c r="T10" s="45"/>
      <c r="U10" s="45"/>
      <c r="V10" s="63">
        <v>4.16</v>
      </c>
      <c r="W10" s="43">
        <f t="shared" si="11"/>
        <v>6.1030964470639423E-2</v>
      </c>
      <c r="X10" s="237">
        <v>2.7173913043478264E-2</v>
      </c>
      <c r="Y10" s="237">
        <v>0.62870000000000004</v>
      </c>
      <c r="Z10" s="63">
        <v>7.0081967213114762</v>
      </c>
      <c r="AA10" s="43">
        <f t="shared" si="13"/>
        <v>2.0003123633399997E-2</v>
      </c>
      <c r="AB10" s="17">
        <v>9.0461824454686045E-3</v>
      </c>
      <c r="AC10" s="43">
        <f t="shared" si="14"/>
        <v>3.0667572687162553E-2</v>
      </c>
      <c r="AE10" s="47"/>
      <c r="AF10" s="61">
        <v>6.0999999999999999E-2</v>
      </c>
      <c r="AG10" s="61">
        <v>0.02</v>
      </c>
      <c r="AH10" s="61">
        <v>2.4590163934426233E-2</v>
      </c>
    </row>
    <row r="11" spans="1:34" x14ac:dyDescent="0.3"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4.3107327501132574E-3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4.9546447786346544E-3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101" t="s">
        <v>55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0</v>
      </c>
      <c r="J15" s="4">
        <f t="shared" ref="J15:J22" si="22">I15*V15</f>
        <v>0</v>
      </c>
      <c r="K15" s="4">
        <f t="shared" ref="K15:K22" si="23">I15*X15</f>
        <v>0</v>
      </c>
      <c r="L15" s="7">
        <f t="shared" ref="L15:L20" si="24">((D$2+D$3+D$4)*AA15)</f>
        <v>97.983103014960051</v>
      </c>
      <c r="M15" s="4">
        <f t="shared" ref="M15:N19" si="25">L15*Y15</f>
        <v>53.434351263667089</v>
      </c>
      <c r="N15" s="4">
        <f t="shared" si="25"/>
        <v>781.2102154748128</v>
      </c>
      <c r="O15" s="4">
        <f t="shared" ref="O15:O22" si="26">M15*AH15</f>
        <v>4.3816168036207017</v>
      </c>
      <c r="Q15" s="45"/>
      <c r="R15" s="45"/>
      <c r="S15" s="44"/>
      <c r="T15" s="45"/>
      <c r="U15" s="45"/>
      <c r="V15" s="63">
        <v>0</v>
      </c>
      <c r="W15" s="43">
        <f t="shared" ref="W15:W22" si="27">(AF15/SUM(AF$2:AF$22))*0.98</f>
        <v>0</v>
      </c>
      <c r="X15" s="237">
        <v>0</v>
      </c>
      <c r="Y15" s="237">
        <v>0.54534250926416095</v>
      </c>
      <c r="Z15" s="63">
        <v>14.62</v>
      </c>
      <c r="AA15" s="43">
        <f t="shared" ref="AA15:AA22" si="28">(AG15/SUM(AG$7:AG$27))*0.98</f>
        <v>0.16202530143053998</v>
      </c>
      <c r="AB15" s="17">
        <v>0.14808457240330558</v>
      </c>
      <c r="AC15" s="43">
        <f t="shared" ref="AC15:AC22" si="29">(AH15/SUM(AH$7:AH$27))*0.98</f>
        <v>0.10226613238745805</v>
      </c>
      <c r="AE15" s="47"/>
      <c r="AF15" s="61">
        <v>0</v>
      </c>
      <c r="AG15" s="61">
        <v>0.16200000000000001</v>
      </c>
      <c r="AH15" s="61">
        <v>8.2000000000000003E-2</v>
      </c>
    </row>
    <row r="16" spans="1:34" x14ac:dyDescent="0.3">
      <c r="A16" s="101" t="s">
        <v>114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2.3762055838978462</v>
      </c>
      <c r="J16" s="4">
        <f t="shared" si="22"/>
        <v>9.6473946706252551</v>
      </c>
      <c r="K16" s="4">
        <f t="shared" si="23"/>
        <v>0.20010152285455546</v>
      </c>
      <c r="L16" s="7">
        <f t="shared" si="24"/>
        <v>76.813914091974851</v>
      </c>
      <c r="M16" s="4">
        <f t="shared" si="25"/>
        <v>49.406709543958222</v>
      </c>
      <c r="N16" s="4">
        <f t="shared" si="25"/>
        <v>534.08653017018844</v>
      </c>
      <c r="O16" s="4">
        <f t="shared" si="26"/>
        <v>2.4009286319946654</v>
      </c>
      <c r="Q16" s="45"/>
      <c r="R16" s="45"/>
      <c r="S16" s="44"/>
      <c r="T16" s="45"/>
      <c r="U16" s="45"/>
      <c r="V16" s="63">
        <v>4.0599999999999996</v>
      </c>
      <c r="W16" s="43">
        <f t="shared" si="27"/>
        <v>5.7487850788237481E-3</v>
      </c>
      <c r="X16" s="237">
        <v>8.4210526315789472E-2</v>
      </c>
      <c r="Y16" s="237">
        <v>0.64319999999999999</v>
      </c>
      <c r="Z16" s="63">
        <v>10.81</v>
      </c>
      <c r="AA16" s="43">
        <f t="shared" si="28"/>
        <v>0.12701983507208997</v>
      </c>
      <c r="AB16" s="17">
        <v>0.13774648800743444</v>
      </c>
      <c r="AC16" s="43">
        <f t="shared" si="29"/>
        <v>6.0605396785166001E-2</v>
      </c>
      <c r="AE16" s="47"/>
      <c r="AF16" s="61">
        <v>5.745868394017444E-3</v>
      </c>
      <c r="AG16" s="61">
        <v>0.127</v>
      </c>
      <c r="AH16" s="61">
        <v>4.8595193935319796E-2</v>
      </c>
    </row>
    <row r="17" spans="1:34" x14ac:dyDescent="0.3">
      <c r="A17" s="101" t="s">
        <v>344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6.6848916247635621</v>
      </c>
      <c r="J17" s="4">
        <f t="shared" si="22"/>
        <v>34.228866245693126</v>
      </c>
      <c r="K17" s="4">
        <f t="shared" si="23"/>
        <v>2.5012690356819439E-2</v>
      </c>
      <c r="L17" s="7">
        <f t="shared" si="24"/>
        <v>90.120261414994133</v>
      </c>
      <c r="M17" s="4">
        <f t="shared" si="25"/>
        <v>58.623230050453678</v>
      </c>
      <c r="N17" s="4">
        <f t="shared" si="25"/>
        <v>702.30629600443513</v>
      </c>
      <c r="O17" s="4">
        <f t="shared" si="26"/>
        <v>3.9863796434308503</v>
      </c>
      <c r="Q17" s="45"/>
      <c r="R17" s="45"/>
      <c r="S17" s="44"/>
      <c r="T17" s="45"/>
      <c r="U17" s="45"/>
      <c r="V17" s="63">
        <v>5.1203322607198984</v>
      </c>
      <c r="W17" s="43">
        <f t="shared" si="27"/>
        <v>1.6172845264909842E-2</v>
      </c>
      <c r="X17" s="237">
        <v>3.7416747736286767E-3</v>
      </c>
      <c r="Y17" s="237">
        <v>0.65049999999999997</v>
      </c>
      <c r="Z17" s="63">
        <v>11.98</v>
      </c>
      <c r="AA17" s="43">
        <f t="shared" si="28"/>
        <v>0.14902327106882998</v>
      </c>
      <c r="AB17" s="17">
        <v>8.9841626569696784E-2</v>
      </c>
      <c r="AC17" s="43">
        <f t="shared" si="29"/>
        <v>8.4806061004233491E-2</v>
      </c>
      <c r="AE17" s="47"/>
      <c r="AF17" s="61">
        <v>1.6164639863001075E-2</v>
      </c>
      <c r="AG17" s="61">
        <v>0.14899999999999999</v>
      </c>
      <c r="AH17" s="61">
        <v>6.8000000000000005E-2</v>
      </c>
    </row>
    <row r="18" spans="1:34" x14ac:dyDescent="0.3">
      <c r="A18" s="101" t="s">
        <v>115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0.12506345178409717</v>
      </c>
      <c r="J18" s="4">
        <f t="shared" si="22"/>
        <v>0.80040609141822194</v>
      </c>
      <c r="K18" s="4">
        <f t="shared" si="23"/>
        <v>0</v>
      </c>
      <c r="L18" s="7">
        <f t="shared" si="24"/>
        <v>23.58852479989779</v>
      </c>
      <c r="M18" s="4">
        <f t="shared" si="25"/>
        <v>13.068042739143378</v>
      </c>
      <c r="N18" s="4">
        <f t="shared" si="25"/>
        <v>187.78777416149032</v>
      </c>
      <c r="O18" s="4">
        <f t="shared" si="26"/>
        <v>1.0702454556744887</v>
      </c>
      <c r="Q18" s="45"/>
      <c r="R18" s="45"/>
      <c r="S18" s="44"/>
      <c r="T18" s="45"/>
      <c r="U18" s="45"/>
      <c r="V18" s="63">
        <v>6.4</v>
      </c>
      <c r="W18" s="43">
        <f t="shared" si="27"/>
        <v>3.025676357275657E-4</v>
      </c>
      <c r="X18" s="237">
        <v>0</v>
      </c>
      <c r="Y18" s="237">
        <v>0.55400000000000005</v>
      </c>
      <c r="Z18" s="63">
        <v>14.37</v>
      </c>
      <c r="AA18" s="43">
        <f t="shared" si="28"/>
        <v>3.9006091085129993E-2</v>
      </c>
      <c r="AB18" s="17">
        <v>9.8806467430178402E-2</v>
      </c>
      <c r="AC18" s="43">
        <f t="shared" si="29"/>
        <v>0.10213881749907261</v>
      </c>
      <c r="AE18" s="47"/>
      <c r="AF18" s="61">
        <v>3.0241412600091812E-4</v>
      </c>
      <c r="AG18" s="61">
        <v>3.9E-2</v>
      </c>
      <c r="AH18" s="61">
        <v>8.1897915168943208E-2</v>
      </c>
    </row>
    <row r="19" spans="1:34" x14ac:dyDescent="0.3">
      <c r="A19" s="66" t="s">
        <v>679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5.3026903556457201</v>
      </c>
      <c r="J19" s="4">
        <f t="shared" si="22"/>
        <v>32.283045687201621</v>
      </c>
      <c r="K19" s="4">
        <f t="shared" si="23"/>
        <v>0.13340101523637032</v>
      </c>
      <c r="L19" s="7">
        <f t="shared" si="24"/>
        <v>52.620555322848908</v>
      </c>
      <c r="M19" s="4">
        <f t="shared" si="25"/>
        <v>33.913947905576116</v>
      </c>
      <c r="N19" s="4">
        <f t="shared" si="25"/>
        <v>376.44482175189489</v>
      </c>
      <c r="O19" s="4">
        <f t="shared" si="26"/>
        <v>2.4078903012959039</v>
      </c>
      <c r="Q19" s="45"/>
      <c r="R19" s="45"/>
      <c r="S19" s="44"/>
      <c r="T19" s="45"/>
      <c r="U19" s="45"/>
      <c r="V19" s="63">
        <v>6.0880503144654092</v>
      </c>
      <c r="W19" s="43">
        <f t="shared" si="27"/>
        <v>1.2828867754848785E-2</v>
      </c>
      <c r="X19" s="237">
        <v>2.5157232704402517E-2</v>
      </c>
      <c r="Y19" s="237">
        <v>0.64449999999999996</v>
      </c>
      <c r="Z19" s="63">
        <v>11.1</v>
      </c>
      <c r="AA19" s="43">
        <f t="shared" si="28"/>
        <v>8.7013587805289977E-2</v>
      </c>
      <c r="AB19" s="17">
        <v>4.5445355113694866E-2</v>
      </c>
      <c r="AC19" s="43">
        <f t="shared" si="29"/>
        <v>8.854750487206732E-2</v>
      </c>
      <c r="AE19" s="47"/>
      <c r="AF19" s="61">
        <v>1.2822358942438928E-2</v>
      </c>
      <c r="AG19" s="61">
        <v>8.6999999999999994E-2</v>
      </c>
      <c r="AH19" s="61">
        <v>7.0999999999999994E-2</v>
      </c>
    </row>
    <row r="20" spans="1:34" x14ac:dyDescent="0.3">
      <c r="A20" s="66" t="s">
        <v>829</v>
      </c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17.540185107616306</v>
      </c>
      <c r="M20" s="4">
        <f t="shared" ref="M20:N20" si="30">L20*Y20</f>
        <v>11.343237709095467</v>
      </c>
      <c r="N20" s="4">
        <f t="shared" si="30"/>
        <v>143.09930648397358</v>
      </c>
      <c r="O20" s="4">
        <f t="shared" si="26"/>
        <v>0.66925102483663257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0.64670000000000005</v>
      </c>
      <c r="Z20" s="63">
        <v>12.615384615384615</v>
      </c>
      <c r="AA20" s="43">
        <f t="shared" si="28"/>
        <v>2.9004529268429998E-2</v>
      </c>
      <c r="AB20" s="17">
        <v>2.4812402879949697E-2</v>
      </c>
      <c r="AC20" s="43">
        <f t="shared" si="29"/>
        <v>7.3581729400731988E-2</v>
      </c>
      <c r="AE20" s="47"/>
      <c r="AF20" s="61">
        <v>0</v>
      </c>
      <c r="AG20" s="61">
        <v>2.9000000000000001E-2</v>
      </c>
      <c r="AH20" s="61">
        <v>5.8999999999999997E-2</v>
      </c>
    </row>
    <row r="21" spans="1:34" x14ac:dyDescent="0.3">
      <c r="A21" s="66"/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3.8045584119883277E-2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66"/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s="77" customFormat="1" x14ac:dyDescent="0.3">
      <c r="B23" s="110"/>
      <c r="C23" s="6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0"/>
      <c r="Q23" s="38"/>
      <c r="R23" s="38"/>
      <c r="S23" s="39"/>
      <c r="T23" s="38"/>
      <c r="U23" s="38"/>
      <c r="V23" s="40"/>
      <c r="W23" s="40"/>
      <c r="X23" s="38"/>
      <c r="Y23" s="114"/>
      <c r="Z23" s="115"/>
      <c r="AA23" s="18"/>
      <c r="AB23" s="37"/>
      <c r="AC23" s="25"/>
      <c r="AF23" s="66"/>
      <c r="AG23" s="75"/>
      <c r="AH23" s="75"/>
    </row>
    <row r="24" spans="1:34" x14ac:dyDescent="0.3">
      <c r="A24" s="66" t="s">
        <v>579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42.943211815198531</v>
      </c>
      <c r="M24" s="4">
        <f t="shared" ref="M24:N27" si="34">L24*Y24</f>
        <v>26.826624420954523</v>
      </c>
      <c r="N24" s="4">
        <f t="shared" si="34"/>
        <v>295.89766736312839</v>
      </c>
      <c r="O24" s="4">
        <f t="shared" ref="O24:O27" si="35">M24*AH24</f>
        <v>2.2802630757811349</v>
      </c>
      <c r="Q24" s="45"/>
      <c r="R24" s="45"/>
      <c r="S24" s="44"/>
      <c r="T24" s="45"/>
      <c r="U24" s="45"/>
      <c r="V24" s="46"/>
      <c r="W24" s="46"/>
      <c r="X24" s="45"/>
      <c r="Y24" s="237">
        <v>0.62470000000000003</v>
      </c>
      <c r="Z24" s="236">
        <v>11.03</v>
      </c>
      <c r="AA24" s="43">
        <f t="shared" ref="AA24:AA27" si="36">(AG24/SUM(AG$7:AG$27))*0.98</f>
        <v>7.1011088898569968E-2</v>
      </c>
      <c r="AB24" s="17">
        <v>0.1196457914525775</v>
      </c>
      <c r="AC24" s="43">
        <f t="shared" ref="AC24:AC27" si="37">(AH24/SUM(AH$7:AH$27))*0.98</f>
        <v>0.10600757625529188</v>
      </c>
      <c r="AE24" s="47"/>
      <c r="AF24" s="47"/>
      <c r="AG24" s="61">
        <v>7.0999999999999994E-2</v>
      </c>
      <c r="AH24" s="61">
        <v>8.5000000000000006E-2</v>
      </c>
    </row>
    <row r="25" spans="1:34" x14ac:dyDescent="0.3">
      <c r="A25" s="66" t="s">
        <v>210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32.661034338320015</v>
      </c>
      <c r="M25" s="4">
        <f t="shared" si="34"/>
        <v>21.464831767143913</v>
      </c>
      <c r="N25" s="4">
        <f t="shared" si="34"/>
        <v>227.74186504939689</v>
      </c>
      <c r="O25" s="4">
        <f t="shared" si="35"/>
        <v>1.3737492330972105</v>
      </c>
      <c r="Q25" s="45"/>
      <c r="R25" s="45"/>
      <c r="S25" s="44"/>
      <c r="T25" s="45"/>
      <c r="U25" s="45"/>
      <c r="V25" s="46"/>
      <c r="W25" s="46"/>
      <c r="X25" s="45"/>
      <c r="Y25" s="237">
        <v>0.65720000000000001</v>
      </c>
      <c r="Z25" s="236">
        <v>10.61</v>
      </c>
      <c r="AA25" s="43">
        <f t="shared" si="36"/>
        <v>5.4008433810179987E-2</v>
      </c>
      <c r="AB25" s="17">
        <v>5.7550231945047735E-2</v>
      </c>
      <c r="AC25" s="43">
        <f t="shared" si="37"/>
        <v>7.9817469180455056E-2</v>
      </c>
      <c r="AE25" s="47"/>
      <c r="AF25" s="47"/>
      <c r="AG25" s="61">
        <v>5.3999999999999999E-2</v>
      </c>
      <c r="AH25" s="61">
        <v>6.4000000000000001E-2</v>
      </c>
    </row>
    <row r="26" spans="1:34" x14ac:dyDescent="0.3">
      <c r="A26" s="58" t="s">
        <v>678</v>
      </c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22.983690830669641</v>
      </c>
      <c r="M26" s="4">
        <f t="shared" si="34"/>
        <v>14.203920933353837</v>
      </c>
      <c r="N26" s="4">
        <f t="shared" si="34"/>
        <v>148.71505217221468</v>
      </c>
      <c r="O26" s="4">
        <f t="shared" si="35"/>
        <v>1.1363136746683069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10.47</v>
      </c>
      <c r="AA26" s="43">
        <f t="shared" si="36"/>
        <v>3.8005934903459992E-2</v>
      </c>
      <c r="AB26" s="17">
        <v>3.5560833324881892E-2</v>
      </c>
      <c r="AC26" s="43">
        <f t="shared" si="37"/>
        <v>9.9771836475568809E-2</v>
      </c>
      <c r="AE26" s="47"/>
      <c r="AF26" s="47"/>
      <c r="AG26" s="61">
        <v>3.7999999999999999E-2</v>
      </c>
      <c r="AH26" s="61">
        <v>0.08</v>
      </c>
    </row>
    <row r="27" spans="1:34" x14ac:dyDescent="0.3"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0.97499999999999987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0.97950279040336596</v>
      </c>
      <c r="AG30" s="28">
        <f>SUM(AG7:AG27)</f>
        <v>0.97984696586452702</v>
      </c>
    </row>
    <row r="31" spans="1:34" s="86" customFormat="1" x14ac:dyDescent="0.3">
      <c r="A31" s="102"/>
      <c r="B31" s="80"/>
      <c r="C31" s="80"/>
      <c r="D31" s="105">
        <v>1018.08</v>
      </c>
      <c r="E31" s="106">
        <v>0.59399999999999997</v>
      </c>
      <c r="F31" s="8">
        <f>1-E31</f>
        <v>0.40600000000000003</v>
      </c>
      <c r="G31" s="234">
        <v>4.46</v>
      </c>
      <c r="H31" s="275">
        <v>2.9781581092094538E-2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604.73951999999997</v>
      </c>
      <c r="E34" s="2">
        <f>SUM(E2:E4)</f>
        <v>377.13198719680003</v>
      </c>
      <c r="F34" s="2">
        <f>SUM(F2:F4)</f>
        <v>4130.078979847176</v>
      </c>
      <c r="G34" s="2">
        <f>SUM(G2:G4)</f>
        <v>24.71727295055841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413.34048000000007</v>
      </c>
      <c r="E37" s="2">
        <f>D37*G31</f>
        <v>1843.4985408000002</v>
      </c>
      <c r="F37" s="2">
        <f>D37*H31</f>
        <v>12.309933023765282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405.07367040000008</v>
      </c>
      <c r="E40" s="3">
        <f>SUM(J2:J4,J7:J12,J15:J22)</f>
        <v>1840.4474289062514</v>
      </c>
      <c r="F40" s="3">
        <f>SUM(K2:K4,K7:K12,K15:K22)</f>
        <v>12.088508324299077</v>
      </c>
      <c r="G40" s="3">
        <f>SUM(L7:L12,L15:L22,L24:L27)</f>
        <v>592.64472959999989</v>
      </c>
      <c r="H40" s="3">
        <f>SUM(M7:M12,M15:M22,M24:M27)</f>
        <v>374.47037568474752</v>
      </c>
      <c r="I40" s="3">
        <f>SUM(N7:N12,N15:N22,N24:N27)</f>
        <v>4109.0977749513895</v>
      </c>
      <c r="J40" s="3">
        <f>SUM(O7:O12,O15:O22,O24:O27)</f>
        <v>24.594854886896393</v>
      </c>
    </row>
    <row r="41" spans="1:32" ht="14.4" thickTop="1" x14ac:dyDescent="0.3">
      <c r="D41" s="50">
        <f>D37-D40</f>
        <v>8.2668095999999878</v>
      </c>
      <c r="E41" s="50">
        <f>E37-E40</f>
        <v>3.0511118937488391</v>
      </c>
      <c r="F41" s="50">
        <f>F37-F40</f>
        <v>0.2214246994662048</v>
      </c>
      <c r="G41" s="50">
        <f>SUM(D2:D4)-G40</f>
        <v>12.094790400000079</v>
      </c>
      <c r="H41" s="50">
        <f>E34-H40</f>
        <v>2.6616115120525023</v>
      </c>
      <c r="I41" s="50">
        <f>F34-I40</f>
        <v>20.981204895786504</v>
      </c>
      <c r="J41" s="50">
        <f>G34-J40</f>
        <v>0.12241806366201757</v>
      </c>
    </row>
    <row r="45" spans="1:32" x14ac:dyDescent="0.3">
      <c r="N45" s="74"/>
      <c r="O45" s="74"/>
    </row>
    <row r="46" spans="1:32" x14ac:dyDescent="0.3">
      <c r="N46" s="74"/>
      <c r="O46" s="74"/>
    </row>
    <row r="47" spans="1:32" x14ac:dyDescent="0.3">
      <c r="N47" s="74"/>
      <c r="O47" s="74"/>
    </row>
  </sheetData>
  <sheetProtection sheet="1" selectLockedCells="1"/>
  <conditionalFormatting sqref="AA30:AB30 AD30:AF30">
    <cfRule type="cellIs" dxfId="224" priority="14" operator="greaterThan">
      <formula>1</formula>
    </cfRule>
    <cfRule type="cellIs" dxfId="223" priority="15" operator="greaterThan">
      <formula>1</formula>
    </cfRule>
  </conditionalFormatting>
  <conditionalFormatting sqref="AC30">
    <cfRule type="cellIs" dxfId="222" priority="10" operator="greaterThan">
      <formula>1</formula>
    </cfRule>
    <cfRule type="cellIs" dxfId="221" priority="11" operator="greaterThan">
      <formula>1</formula>
    </cfRule>
  </conditionalFormatting>
  <conditionalFormatting sqref="AG30">
    <cfRule type="cellIs" dxfId="220" priority="8" operator="greaterThan">
      <formula>1</formula>
    </cfRule>
    <cfRule type="cellIs" dxfId="219" priority="9" operator="greaterThan">
      <formula>1</formula>
    </cfRule>
  </conditionalFormatting>
  <conditionalFormatting sqref="W30">
    <cfRule type="cellIs" dxfId="218" priority="2" operator="greaterThan">
      <formula>1</formula>
    </cfRule>
    <cfRule type="cellIs" dxfId="217" priority="3" operator="greaterThan">
      <formula>1</formula>
    </cfRule>
  </conditionalFormatting>
  <conditionalFormatting sqref="D41:J41">
    <cfRule type="cellIs" dxfId="216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>
    <tabColor rgb="FF00A400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276</v>
      </c>
      <c r="B2" s="59" t="s">
        <v>9</v>
      </c>
      <c r="C2" s="60">
        <v>10</v>
      </c>
      <c r="D2" s="4">
        <f>D$34*Q2</f>
        <v>580.95329279999999</v>
      </c>
      <c r="E2" s="4">
        <f>D2*R2</f>
        <v>353.21960202240001</v>
      </c>
      <c r="F2" s="4">
        <f>E2*S2</f>
        <v>3917.2053864284162</v>
      </c>
      <c r="G2" s="4">
        <f>E2*T2</f>
        <v>23.312493733478401</v>
      </c>
      <c r="H2" s="4">
        <f>E2*U2</f>
        <v>9.2849039727885767</v>
      </c>
      <c r="I2" s="4">
        <f>D$37*W2</f>
        <v>41.993782067041032</v>
      </c>
      <c r="J2" s="4">
        <f>I2*V2</f>
        <v>242.30412252682675</v>
      </c>
      <c r="K2" s="4">
        <f>I2*X2</f>
        <v>3.5005861905159033</v>
      </c>
      <c r="L2" s="44"/>
      <c r="M2" s="44"/>
      <c r="N2" s="44"/>
      <c r="O2" s="44"/>
      <c r="Q2" s="43">
        <f>AE2</f>
        <v>0.96</v>
      </c>
      <c r="R2" s="61">
        <v>0.60799999999999998</v>
      </c>
      <c r="S2" s="236">
        <v>11.09</v>
      </c>
      <c r="T2" s="237">
        <v>6.6000000000000003E-2</v>
      </c>
      <c r="U2" s="61">
        <v>2.628649123555651E-2</v>
      </c>
      <c r="V2" s="236">
        <v>5.77</v>
      </c>
      <c r="W2" s="43">
        <f>(AF2/SUM(AF$2:AF$22))*0.98</f>
        <v>0.10584168816841623</v>
      </c>
      <c r="X2" s="61">
        <v>8.3359631312259222E-2</v>
      </c>
      <c r="Y2" s="64"/>
      <c r="Z2" s="65"/>
      <c r="AA2" s="1"/>
      <c r="AB2" s="1"/>
      <c r="AC2" s="1"/>
      <c r="AE2" s="61">
        <v>0.96</v>
      </c>
      <c r="AF2" s="61">
        <v>0.10582396445289691</v>
      </c>
      <c r="AG2" s="47"/>
      <c r="AH2" s="47"/>
    </row>
    <row r="3" spans="1:34" x14ac:dyDescent="0.3">
      <c r="A3" s="58" t="s">
        <v>574</v>
      </c>
      <c r="B3" s="59" t="s">
        <v>9</v>
      </c>
      <c r="C3" s="60">
        <v>10</v>
      </c>
      <c r="D3" s="4">
        <f>D$34*Q3</f>
        <v>24.20638720000002</v>
      </c>
      <c r="E3" s="4">
        <f t="shared" ref="E3:E4" si="0">D3*R3</f>
        <v>14.765896192000012</v>
      </c>
      <c r="F3" s="4">
        <f t="shared" ref="F3:F4" si="1">E3*S3</f>
        <v>168.17301055817157</v>
      </c>
      <c r="G3" s="4">
        <f t="shared" ref="G3" si="2">E3*T3</f>
        <v>1.1074422144000009</v>
      </c>
      <c r="H3" s="4">
        <f t="shared" ref="H3" si="3">E3*U3</f>
        <v>0.59063584768000055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4.0000000000000036E-2</v>
      </c>
      <c r="R3" s="61">
        <v>0.61</v>
      </c>
      <c r="S3" s="236">
        <v>11.389285714285714</v>
      </c>
      <c r="T3" s="237">
        <v>7.4999999999999997E-2</v>
      </c>
      <c r="U3" s="61">
        <v>0.04</v>
      </c>
      <c r="V3" s="236">
        <v>1</v>
      </c>
      <c r="W3" s="43">
        <f t="shared" ref="W3:W4" si="6">(AF3/SUM(AF$2:AF$22))*0.98</f>
        <v>0</v>
      </c>
      <c r="X3" s="61">
        <v>0</v>
      </c>
      <c r="Y3" s="64"/>
      <c r="Z3" s="65"/>
      <c r="AA3" s="1"/>
      <c r="AB3" s="1"/>
      <c r="AC3" s="1"/>
      <c r="AE3" s="61">
        <f>1-AE2</f>
        <v>4.0000000000000036E-2</v>
      </c>
      <c r="AF3" s="61">
        <v>0</v>
      </c>
      <c r="AG3" s="47"/>
      <c r="AH3" s="47"/>
    </row>
    <row r="4" spans="1:34" x14ac:dyDescent="0.3">
      <c r="B4" s="59" t="s">
        <v>9</v>
      </c>
      <c r="C4" s="60">
        <v>10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651</v>
      </c>
      <c r="B7" s="59" t="s">
        <v>357</v>
      </c>
      <c r="C7" s="60">
        <v>10</v>
      </c>
      <c r="D7" s="44"/>
      <c r="E7" s="44"/>
      <c r="F7" s="44"/>
      <c r="G7" s="44"/>
      <c r="H7" s="44"/>
      <c r="I7" s="4">
        <f t="shared" ref="I7:I12" si="9">D$37*W7</f>
        <v>203.9689600937854</v>
      </c>
      <c r="J7" s="4">
        <f>I7*V7</f>
        <v>883.18559720609073</v>
      </c>
      <c r="K7" s="4">
        <f>I7*X7</f>
        <v>5.7700016970295254</v>
      </c>
      <c r="L7" s="7">
        <f>((D$2+D$3+D$4)*AA7)</f>
        <v>54.895446352006935</v>
      </c>
      <c r="M7" s="4">
        <f t="shared" ref="M7:N9" si="10">L7*Y7</f>
        <v>38.542092883744068</v>
      </c>
      <c r="N7" s="4">
        <f t="shared" si="10"/>
        <v>297.12666365516208</v>
      </c>
      <c r="O7" s="4">
        <f>M7*AH7</f>
        <v>1.2296354960036333</v>
      </c>
      <c r="Q7" s="45"/>
      <c r="R7" s="45"/>
      <c r="S7" s="44"/>
      <c r="T7" s="45"/>
      <c r="U7" s="45"/>
      <c r="V7" s="63">
        <v>4.33</v>
      </c>
      <c r="W7" s="43">
        <f t="shared" ref="W7:W12" si="11">(AF7/SUM(AF$2:AF$22))*0.98</f>
        <v>0.51408608626433561</v>
      </c>
      <c r="X7" s="237">
        <v>2.8288626339892427E-2</v>
      </c>
      <c r="Y7" s="237">
        <v>0.70209999999999995</v>
      </c>
      <c r="Z7" s="63">
        <v>7.7091471018814719</v>
      </c>
      <c r="AA7" s="43">
        <f>(AG7/SUM(AG$7:AG$27))*0.98</f>
        <v>9.0712332903617993E-2</v>
      </c>
      <c r="AB7" s="17">
        <v>7.2515753783603323E-2</v>
      </c>
      <c r="AC7" s="43">
        <f>(AH7/SUM(AH$7:AH$27))*0.98</f>
        <v>4.3104405686467388E-2</v>
      </c>
      <c r="AE7" s="47"/>
      <c r="AF7" s="61">
        <v>0.51400000000000001</v>
      </c>
      <c r="AG7" s="61">
        <v>9.0685960951868524E-2</v>
      </c>
      <c r="AH7" s="61">
        <v>3.1903703302065822E-2</v>
      </c>
    </row>
    <row r="8" spans="1:34" x14ac:dyDescent="0.3">
      <c r="A8" s="101" t="s">
        <v>313</v>
      </c>
      <c r="B8" s="59" t="s">
        <v>357</v>
      </c>
      <c r="C8" s="60">
        <v>10</v>
      </c>
      <c r="D8" s="44"/>
      <c r="E8" s="44"/>
      <c r="F8" s="44"/>
      <c r="G8" s="44"/>
      <c r="H8" s="44"/>
      <c r="I8" s="4">
        <f t="shared" si="9"/>
        <v>98.016212340787916</v>
      </c>
      <c r="J8" s="4">
        <f>I8*V8</f>
        <v>416.56890244834864</v>
      </c>
      <c r="K8" s="4">
        <f>I8*X8</f>
        <v>2.5952665485568218</v>
      </c>
      <c r="L8" s="7">
        <f>((D$2+D$3+D$4)*AA8)</f>
        <v>54.350622278824204</v>
      </c>
      <c r="M8" s="4">
        <f t="shared" si="10"/>
        <v>36.431222113495863</v>
      </c>
      <c r="N8" s="4">
        <f t="shared" si="10"/>
        <v>277.34583630304451</v>
      </c>
      <c r="O8" s="4">
        <f t="shared" ref="O8:O12" si="12">M8*AH8</f>
        <v>0.82454911824810306</v>
      </c>
      <c r="Q8" s="45"/>
      <c r="R8" s="45"/>
      <c r="S8" s="44"/>
      <c r="T8" s="45"/>
      <c r="U8" s="45"/>
      <c r="V8" s="63">
        <v>4.25</v>
      </c>
      <c r="W8" s="43">
        <f t="shared" si="11"/>
        <v>0.24704136830212234</v>
      </c>
      <c r="X8" s="237">
        <v>2.6477931421523031E-2</v>
      </c>
      <c r="Y8" s="237">
        <v>0.67030000000000001</v>
      </c>
      <c r="Z8" s="63">
        <v>7.6128611727329991</v>
      </c>
      <c r="AA8" s="43">
        <f t="shared" ref="AA8:AA12" si="13">(AG8/SUM(AG$7:AG$27))*0.98</f>
        <v>8.9812034864623178E-2</v>
      </c>
      <c r="AB8" s="17">
        <v>3.7087319769310421E-2</v>
      </c>
      <c r="AC8" s="43">
        <f t="shared" ref="AC8:AC12" si="14">(AH8/SUM(AH$7:AH$27))*0.98</f>
        <v>3.0579005362124004E-2</v>
      </c>
      <c r="AE8" s="47"/>
      <c r="AF8" s="61">
        <v>0.247</v>
      </c>
      <c r="AG8" s="61">
        <v>8.9785924648138199E-2</v>
      </c>
      <c r="AH8" s="61">
        <v>2.2633034809519902E-2</v>
      </c>
    </row>
    <row r="9" spans="1:34" x14ac:dyDescent="0.3">
      <c r="A9" s="101" t="s">
        <v>12</v>
      </c>
      <c r="B9" s="59" t="s">
        <v>357</v>
      </c>
      <c r="C9" s="60">
        <v>10</v>
      </c>
      <c r="D9" s="44"/>
      <c r="E9" s="44"/>
      <c r="F9" s="44"/>
      <c r="G9" s="44"/>
      <c r="H9" s="44"/>
      <c r="I9" s="4">
        <f t="shared" si="9"/>
        <v>18.650858218692438</v>
      </c>
      <c r="J9" s="4">
        <f>I9*V9</f>
        <v>75.722484367891298</v>
      </c>
      <c r="K9" s="4">
        <f>I9*X9</f>
        <v>0.20940073597913192</v>
      </c>
      <c r="L9" s="7">
        <f>((D$2+D$3+D$4)*AA9)</f>
        <v>10.169557793874406</v>
      </c>
      <c r="M9" s="4">
        <f t="shared" si="10"/>
        <v>6.315295389996006</v>
      </c>
      <c r="N9" s="4">
        <f t="shared" si="10"/>
        <v>39.826355748326257</v>
      </c>
      <c r="O9" s="4">
        <f t="shared" si="12"/>
        <v>9.7272138411016687E-2</v>
      </c>
      <c r="Q9" s="45"/>
      <c r="R9" s="45"/>
      <c r="S9" s="44"/>
      <c r="T9" s="45"/>
      <c r="U9" s="45"/>
      <c r="V9" s="63">
        <v>4.0599999999999996</v>
      </c>
      <c r="W9" s="43">
        <f t="shared" si="11"/>
        <v>4.7007871701213566E-2</v>
      </c>
      <c r="X9" s="237">
        <v>1.1227404847743915E-2</v>
      </c>
      <c r="Y9" s="237">
        <v>0.621</v>
      </c>
      <c r="Z9" s="63">
        <v>6.3063330040610248</v>
      </c>
      <c r="AA9" s="43">
        <f t="shared" si="13"/>
        <v>1.6804751092925434E-2</v>
      </c>
      <c r="AB9" s="17">
        <v>2.6310907060795967E-2</v>
      </c>
      <c r="AC9" s="43">
        <f t="shared" si="14"/>
        <v>2.0810157071135451E-2</v>
      </c>
      <c r="AE9" s="47"/>
      <c r="AF9" s="61">
        <v>4.7E-2</v>
      </c>
      <c r="AG9" s="61">
        <v>1.679986560414129E-2</v>
      </c>
      <c r="AH9" s="61">
        <v>1.5402626861303189E-2</v>
      </c>
    </row>
    <row r="10" spans="1:34" x14ac:dyDescent="0.3">
      <c r="A10" s="101" t="s">
        <v>314</v>
      </c>
      <c r="B10" s="59" t="s">
        <v>357</v>
      </c>
      <c r="C10" s="60">
        <v>10</v>
      </c>
      <c r="D10" s="44"/>
      <c r="E10" s="44"/>
      <c r="F10" s="44"/>
      <c r="G10" s="44"/>
      <c r="H10" s="44"/>
      <c r="I10" s="4">
        <f t="shared" si="9"/>
        <v>9.5238424946514577</v>
      </c>
      <c r="J10" s="4">
        <f t="shared" ref="J10:J12" si="15">I10*V10</f>
        <v>37.9048931287128</v>
      </c>
      <c r="K10" s="4">
        <f t="shared" ref="K10:K12" si="16">I10*X10</f>
        <v>0.20571499788447151</v>
      </c>
      <c r="L10" s="7">
        <f t="shared" ref="L10:L12" si="17">((D$2+D$3+D$4)*AA10)</f>
        <v>11.106651552418228</v>
      </c>
      <c r="M10" s="4">
        <f t="shared" ref="M10:N10" si="18">L10*Y10</f>
        <v>7.079379699511378</v>
      </c>
      <c r="N10" s="4">
        <f t="shared" si="18"/>
        <v>56.635037596091024</v>
      </c>
      <c r="O10" s="4">
        <f t="shared" si="12"/>
        <v>0.1274288345912048</v>
      </c>
      <c r="Q10" s="45"/>
      <c r="R10" s="45"/>
      <c r="S10" s="44"/>
      <c r="T10" s="45"/>
      <c r="U10" s="45"/>
      <c r="V10" s="63">
        <v>3.98</v>
      </c>
      <c r="W10" s="43">
        <f t="shared" si="11"/>
        <v>2.4004019592109054E-2</v>
      </c>
      <c r="X10" s="237">
        <v>2.1600000000000001E-2</v>
      </c>
      <c r="Y10" s="237">
        <v>0.63739999999999997</v>
      </c>
      <c r="Z10" s="63">
        <v>8</v>
      </c>
      <c r="AA10" s="43">
        <f t="shared" si="13"/>
        <v>1.8353257692941851E-2</v>
      </c>
      <c r="AB10" s="17">
        <v>2.7504812306038788E-2</v>
      </c>
      <c r="AC10" s="43">
        <f t="shared" si="14"/>
        <v>2.4319411919373427E-2</v>
      </c>
      <c r="AE10" s="47"/>
      <c r="AF10" s="61">
        <v>2.4E-2</v>
      </c>
      <c r="AG10" s="61">
        <v>1.834792202125498E-2</v>
      </c>
      <c r="AH10" s="61">
        <v>1.7999999999999999E-2</v>
      </c>
    </row>
    <row r="11" spans="1:34" x14ac:dyDescent="0.3">
      <c r="A11" s="101"/>
      <c r="B11" s="59" t="s">
        <v>357</v>
      </c>
      <c r="C11" s="60">
        <v>10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1.470421123413082E-3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10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632</v>
      </c>
      <c r="B15" s="59" t="s">
        <v>358</v>
      </c>
      <c r="C15" s="60">
        <v>10</v>
      </c>
      <c r="D15" s="44"/>
      <c r="E15" s="44"/>
      <c r="F15" s="44"/>
      <c r="G15" s="44"/>
      <c r="H15" s="44"/>
      <c r="I15" s="4">
        <f t="shared" ref="I15:I22" si="21">D$37*W15</f>
        <v>1.0001674830045439</v>
      </c>
      <c r="J15" s="4">
        <f t="shared" ref="J15:J22" si="22">I15*V15</f>
        <v>6.0260090851023778</v>
      </c>
      <c r="K15" s="4">
        <f t="shared" ref="K15:K22" si="23">I15*X15</f>
        <v>0</v>
      </c>
      <c r="L15" s="7">
        <f t="shared" ref="L15:L20" si="24">((D$2+D$3+D$4)*AA15)</f>
        <v>108.35508378440773</v>
      </c>
      <c r="M15" s="4">
        <f t="shared" ref="M15:N19" si="25">L15*Y15</f>
        <v>65.674016281729521</v>
      </c>
      <c r="N15" s="4">
        <f t="shared" si="25"/>
        <v>858.35939280220487</v>
      </c>
      <c r="O15" s="4">
        <f t="shared" ref="O15:O22" si="26">M15*AH15</f>
        <v>5.385269335101821</v>
      </c>
      <c r="Q15" s="45"/>
      <c r="R15" s="45"/>
      <c r="S15" s="44"/>
      <c r="T15" s="45"/>
      <c r="U15" s="45"/>
      <c r="V15" s="63">
        <v>6.0250000000000004</v>
      </c>
      <c r="W15" s="43">
        <f t="shared" ref="W15:W22" si="27">(AF15/SUM(AF$2:AF$22))*0.98</f>
        <v>2.5208354580532246E-3</v>
      </c>
      <c r="X15" s="237">
        <v>0</v>
      </c>
      <c r="Y15" s="237">
        <v>0.60609999999999997</v>
      </c>
      <c r="Z15" s="63">
        <v>13.07</v>
      </c>
      <c r="AA15" s="43">
        <f t="shared" ref="AA15:AA22" si="28">(AG15/SUM(AG$7:AG$27))*0.98</f>
        <v>0.17905205413620373</v>
      </c>
      <c r="AB15" s="17">
        <v>0.14384719911729207</v>
      </c>
      <c r="AC15" s="43">
        <f t="shared" ref="AC15:AC22" si="29">(AH15/SUM(AH$7:AH$27))*0.98</f>
        <v>0.11078843207714563</v>
      </c>
      <c r="AE15" s="47"/>
      <c r="AF15" s="61">
        <v>2.5204133316557463E-3</v>
      </c>
      <c r="AG15" s="61">
        <v>0.17899999999999999</v>
      </c>
      <c r="AH15" s="61">
        <v>8.2000000000000003E-2</v>
      </c>
    </row>
    <row r="16" spans="1:34" x14ac:dyDescent="0.3">
      <c r="A16" s="77" t="s">
        <v>345</v>
      </c>
      <c r="B16" s="59" t="s">
        <v>358</v>
      </c>
      <c r="C16" s="60">
        <v>10</v>
      </c>
      <c r="D16" s="44"/>
      <c r="E16" s="44"/>
      <c r="F16" s="44"/>
      <c r="G16" s="44"/>
      <c r="H16" s="44"/>
      <c r="I16" s="4">
        <f t="shared" si="21"/>
        <v>7.0011723810318065</v>
      </c>
      <c r="J16" s="4">
        <f t="shared" si="22"/>
        <v>48.408106177419924</v>
      </c>
      <c r="K16" s="4">
        <f t="shared" si="23"/>
        <v>0.52998874924410777</v>
      </c>
      <c r="L16" s="7">
        <f t="shared" si="24"/>
        <v>118.33440225873129</v>
      </c>
      <c r="M16" s="4">
        <f t="shared" si="25"/>
        <v>70.361635583041632</v>
      </c>
      <c r="N16" s="4">
        <f t="shared" si="25"/>
        <v>925.95912427282792</v>
      </c>
      <c r="O16" s="4">
        <f t="shared" si="26"/>
        <v>6.6139937448059136</v>
      </c>
      <c r="Q16" s="45"/>
      <c r="R16" s="45"/>
      <c r="S16" s="44"/>
      <c r="T16" s="45"/>
      <c r="U16" s="45"/>
      <c r="V16" s="63">
        <v>6.9142857142857155</v>
      </c>
      <c r="W16" s="43">
        <f t="shared" si="27"/>
        <v>1.7645848206372571E-2</v>
      </c>
      <c r="X16" s="237">
        <v>7.5700000000000003E-2</v>
      </c>
      <c r="Y16" s="237">
        <v>0.59460000000000002</v>
      </c>
      <c r="Z16" s="63">
        <v>13.16</v>
      </c>
      <c r="AA16" s="43">
        <f t="shared" si="28"/>
        <v>0.19554244304367946</v>
      </c>
      <c r="AB16" s="17">
        <v>0.14016318844957668</v>
      </c>
      <c r="AC16" s="43">
        <f t="shared" si="29"/>
        <v>0.1270013733567279</v>
      </c>
      <c r="AE16" s="47"/>
      <c r="AF16" s="61">
        <v>1.7642893321590223E-2</v>
      </c>
      <c r="AG16" s="61">
        <v>0.19548559481028213</v>
      </c>
      <c r="AH16" s="61">
        <v>9.4E-2</v>
      </c>
    </row>
    <row r="17" spans="1:34" x14ac:dyDescent="0.3">
      <c r="A17" s="77" t="s">
        <v>87</v>
      </c>
      <c r="B17" s="59" t="s">
        <v>358</v>
      </c>
      <c r="C17" s="60">
        <v>10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64.165580341604581</v>
      </c>
      <c r="M17" s="4">
        <f t="shared" si="25"/>
        <v>36.150887964460019</v>
      </c>
      <c r="N17" s="4">
        <f t="shared" si="25"/>
        <v>477.19172113087222</v>
      </c>
      <c r="O17" s="4">
        <f t="shared" si="26"/>
        <v>2.9282219251212616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0.56340000000000001</v>
      </c>
      <c r="Z17" s="63">
        <v>13.2</v>
      </c>
      <c r="AA17" s="43">
        <f t="shared" si="28"/>
        <v>0.10603082535439998</v>
      </c>
      <c r="AB17" s="17">
        <v>0.12200080736462221</v>
      </c>
      <c r="AC17" s="43">
        <f t="shared" si="29"/>
        <v>0.10943735363718043</v>
      </c>
      <c r="AE17" s="47"/>
      <c r="AF17" s="61">
        <v>0</v>
      </c>
      <c r="AG17" s="61">
        <v>0.106</v>
      </c>
      <c r="AH17" s="61">
        <v>8.1000000000000003E-2</v>
      </c>
    </row>
    <row r="18" spans="1:34" x14ac:dyDescent="0.3">
      <c r="A18" s="58" t="s">
        <v>221</v>
      </c>
      <c r="B18" s="59" t="s">
        <v>358</v>
      </c>
      <c r="C18" s="60">
        <v>10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12.106713272000864</v>
      </c>
      <c r="M18" s="4">
        <f t="shared" si="25"/>
        <v>6.1211542303236373</v>
      </c>
      <c r="N18" s="4">
        <f t="shared" si="25"/>
        <v>92.735486589403109</v>
      </c>
      <c r="O18" s="4">
        <f t="shared" si="26"/>
        <v>0.36726925381941822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0.50560000000000005</v>
      </c>
      <c r="Z18" s="63">
        <v>15.15</v>
      </c>
      <c r="AA18" s="43">
        <f t="shared" si="28"/>
        <v>2.0005816104603769E-2</v>
      </c>
      <c r="AB18" s="17">
        <v>0.10908969025471149</v>
      </c>
      <c r="AC18" s="43">
        <f t="shared" si="29"/>
        <v>8.1064706397911426E-2</v>
      </c>
      <c r="AE18" s="47"/>
      <c r="AF18" s="61">
        <v>0</v>
      </c>
      <c r="AG18" s="61">
        <v>0.02</v>
      </c>
      <c r="AH18" s="61">
        <v>0.06</v>
      </c>
    </row>
    <row r="19" spans="1:34" x14ac:dyDescent="0.3">
      <c r="A19" s="77" t="s">
        <v>633</v>
      </c>
      <c r="B19" s="59" t="s">
        <v>358</v>
      </c>
      <c r="C19" s="60">
        <v>10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4.0011632209207528</v>
      </c>
      <c r="M19" s="4">
        <f t="shared" si="25"/>
        <v>2.2926665255875913</v>
      </c>
      <c r="N19" s="4">
        <f t="shared" si="25"/>
        <v>31.226118078502992</v>
      </c>
      <c r="O19" s="4">
        <f t="shared" si="26"/>
        <v>0.1329746584840803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0.57299999999999995</v>
      </c>
      <c r="Z19" s="63">
        <v>13.62</v>
      </c>
      <c r="AA19" s="43">
        <f t="shared" si="28"/>
        <v>6.6117478628463042E-3</v>
      </c>
      <c r="AB19" s="17">
        <v>7.0807233927287466E-2</v>
      </c>
      <c r="AC19" s="43">
        <f t="shared" si="29"/>
        <v>7.8362549517981051E-2</v>
      </c>
      <c r="AE19" s="47"/>
      <c r="AF19" s="61">
        <v>0</v>
      </c>
      <c r="AG19" s="61">
        <v>6.6098256909647383E-3</v>
      </c>
      <c r="AH19" s="61">
        <v>5.8000000000000003E-2</v>
      </c>
    </row>
    <row r="20" spans="1:34" x14ac:dyDescent="0.3">
      <c r="A20" s="77" t="s">
        <v>262</v>
      </c>
      <c r="B20" s="59" t="s">
        <v>358</v>
      </c>
      <c r="C20" s="60">
        <v>10</v>
      </c>
      <c r="D20" s="44"/>
      <c r="E20" s="44"/>
      <c r="F20" s="44"/>
      <c r="G20" s="44"/>
      <c r="H20" s="44"/>
      <c r="I20" s="4">
        <f t="shared" si="21"/>
        <v>8.6701185210053904</v>
      </c>
      <c r="J20" s="4">
        <f t="shared" si="22"/>
        <v>54.933532225702571</v>
      </c>
      <c r="K20" s="4">
        <f t="shared" si="23"/>
        <v>0.6138443912871816</v>
      </c>
      <c r="L20" s="7">
        <f t="shared" si="24"/>
        <v>42.978832115603055</v>
      </c>
      <c r="M20" s="4">
        <f t="shared" ref="M20:N20" si="30">L20*Y20</f>
        <v>27.134872061922657</v>
      </c>
      <c r="N20" s="4">
        <f t="shared" si="30"/>
        <v>276.65882215180739</v>
      </c>
      <c r="O20" s="4">
        <f t="shared" si="26"/>
        <v>1.4641643052148567</v>
      </c>
      <c r="Q20" s="45"/>
      <c r="R20" s="45"/>
      <c r="S20" s="44"/>
      <c r="T20" s="45"/>
      <c r="U20" s="45"/>
      <c r="V20" s="63">
        <v>6.3359609320925934</v>
      </c>
      <c r="W20" s="43">
        <f t="shared" si="27"/>
        <v>2.1852282307377388E-2</v>
      </c>
      <c r="X20" s="237">
        <v>7.0800000000000002E-2</v>
      </c>
      <c r="Y20" s="237">
        <v>0.63135433715220945</v>
      </c>
      <c r="Z20" s="63">
        <v>10.195692889963254</v>
      </c>
      <c r="AA20" s="43">
        <f t="shared" si="28"/>
        <v>7.1020647171343362E-2</v>
      </c>
      <c r="AB20" s="17">
        <v>3.3563135947518793E-3</v>
      </c>
      <c r="AC20" s="43">
        <f t="shared" si="29"/>
        <v>7.2902530029553395E-2</v>
      </c>
      <c r="AE20" s="47"/>
      <c r="AF20" s="61">
        <v>2.1848623034346447E-2</v>
      </c>
      <c r="AG20" s="61">
        <v>7.0999999999999994E-2</v>
      </c>
      <c r="AH20" s="61">
        <v>5.3958769434165249E-2</v>
      </c>
    </row>
    <row r="21" spans="1:34" x14ac:dyDescent="0.3">
      <c r="A21" s="77"/>
      <c r="B21" s="59" t="s">
        <v>358</v>
      </c>
      <c r="C21" s="60">
        <v>10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1.5360433820360337E-2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10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35</v>
      </c>
      <c r="B24" s="59" t="s">
        <v>10</v>
      </c>
      <c r="C24" s="60">
        <v>10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67.192258659604789</v>
      </c>
      <c r="M24" s="4">
        <f t="shared" ref="M24:N27" si="34">L24*Y24</f>
        <v>43.701845032206954</v>
      </c>
      <c r="N24" s="4">
        <f t="shared" si="34"/>
        <v>449.25496693108744</v>
      </c>
      <c r="O24" s="4">
        <f t="shared" ref="O24:O27" si="35">M24*AH24</f>
        <v>3.3846359000993189</v>
      </c>
      <c r="Q24" s="45"/>
      <c r="R24" s="45"/>
      <c r="S24" s="44"/>
      <c r="T24" s="45"/>
      <c r="U24" s="45"/>
      <c r="V24" s="46"/>
      <c r="W24" s="46"/>
      <c r="X24" s="45"/>
      <c r="Y24" s="237">
        <v>0.65039999999999998</v>
      </c>
      <c r="Z24" s="236">
        <v>10.28</v>
      </c>
      <c r="AA24" s="43">
        <f t="shared" ref="AA24:AA27" si="36">(AG24/SUM(AG$7:AG$27))*0.98</f>
        <v>0.11103227938055091</v>
      </c>
      <c r="AB24" s="17">
        <v>9.1397463479426053E-2</v>
      </c>
      <c r="AC24" s="43">
        <f t="shared" ref="AC24:AC27" si="37">(AH24/SUM(AH$7:AH$27))*0.98</f>
        <v>0.10463879930895982</v>
      </c>
      <c r="AE24" s="47"/>
      <c r="AF24" s="47"/>
      <c r="AG24" s="61">
        <v>0.111</v>
      </c>
      <c r="AH24" s="61">
        <v>7.7448352526190672E-2</v>
      </c>
    </row>
    <row r="25" spans="1:34" x14ac:dyDescent="0.3">
      <c r="A25" s="66" t="s">
        <v>788</v>
      </c>
      <c r="B25" s="59" t="s">
        <v>10</v>
      </c>
      <c r="C25" s="60">
        <v>10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33.898797161602417</v>
      </c>
      <c r="M25" s="4">
        <f t="shared" si="34"/>
        <v>21.179968466569189</v>
      </c>
      <c r="N25" s="4">
        <f t="shared" si="34"/>
        <v>214.34128088168018</v>
      </c>
      <c r="O25" s="4">
        <f t="shared" si="35"/>
        <v>1.2707981079941513</v>
      </c>
      <c r="Q25" s="45"/>
      <c r="R25" s="45"/>
      <c r="S25" s="44"/>
      <c r="T25" s="45"/>
      <c r="U25" s="45"/>
      <c r="V25" s="46"/>
      <c r="W25" s="46"/>
      <c r="X25" s="45"/>
      <c r="Y25" s="237">
        <v>0.62480000000000002</v>
      </c>
      <c r="Z25" s="236">
        <v>10.119999999999999</v>
      </c>
      <c r="AA25" s="43">
        <f t="shared" si="36"/>
        <v>5.6016285092890555E-2</v>
      </c>
      <c r="AB25" s="17">
        <v>4.1322530214849523E-2</v>
      </c>
      <c r="AC25" s="43">
        <f t="shared" si="37"/>
        <v>8.1064706397911426E-2</v>
      </c>
      <c r="AE25" s="47"/>
      <c r="AF25" s="47"/>
      <c r="AG25" s="61">
        <v>5.6000000000000001E-2</v>
      </c>
      <c r="AH25" s="61">
        <v>0.06</v>
      </c>
    </row>
    <row r="26" spans="1:34" x14ac:dyDescent="0.3">
      <c r="A26" s="66" t="s">
        <v>652</v>
      </c>
      <c r="B26" s="59" t="s">
        <v>10</v>
      </c>
      <c r="C26" s="60">
        <v>10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11.501377608400819</v>
      </c>
      <c r="M26" s="4">
        <f t="shared" si="34"/>
        <v>6.9617838663650149</v>
      </c>
      <c r="N26" s="4">
        <f t="shared" si="34"/>
        <v>70.168177309212595</v>
      </c>
      <c r="O26" s="4">
        <f t="shared" si="35"/>
        <v>0.494286654511916</v>
      </c>
      <c r="Q26" s="45"/>
      <c r="R26" s="45"/>
      <c r="S26" s="44"/>
      <c r="T26" s="45"/>
      <c r="U26" s="45"/>
      <c r="V26" s="46"/>
      <c r="W26" s="46"/>
      <c r="X26" s="45"/>
      <c r="Y26" s="237">
        <v>0.60529999999999995</v>
      </c>
      <c r="Z26" s="236">
        <v>10.079051383399209</v>
      </c>
      <c r="AA26" s="43">
        <f t="shared" si="36"/>
        <v>1.900552529937358E-2</v>
      </c>
      <c r="AB26" s="17">
        <v>4.2231344065620888E-2</v>
      </c>
      <c r="AC26" s="43">
        <f t="shared" si="37"/>
        <v>9.5926569237528528E-2</v>
      </c>
      <c r="AE26" s="47"/>
      <c r="AF26" s="47"/>
      <c r="AG26" s="61">
        <v>1.9E-2</v>
      </c>
      <c r="AH26" s="61">
        <v>7.0999999999999994E-2</v>
      </c>
    </row>
    <row r="27" spans="1:34" x14ac:dyDescent="0.3">
      <c r="A27" s="66"/>
      <c r="B27" s="59" t="s">
        <v>10</v>
      </c>
      <c r="C27" s="60">
        <v>10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3.0534581668339708E-2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0.9800000000000002</v>
      </c>
      <c r="AB30" s="28">
        <f t="shared" ref="AB30" si="38">SUM(AB2:AB4,AB7:AB12,AB15:AB22,AB24:AB27)</f>
        <v>0.97499999999999987</v>
      </c>
      <c r="AC30" s="28">
        <f>SUM(AC7:AC27)</f>
        <v>0.97999999999999987</v>
      </c>
      <c r="AD30" s="89"/>
      <c r="AE30" s="28">
        <f>SUM(AE2:AE4,AE7:AE27)</f>
        <v>1</v>
      </c>
      <c r="AF30" s="28">
        <f>SUM(AF2:AF4,AF7:AF27)</f>
        <v>0.97983589414048933</v>
      </c>
      <c r="AG30" s="28">
        <f>SUM(AG7:AG27)</f>
        <v>0.97971509372664978</v>
      </c>
    </row>
    <row r="31" spans="1:34" s="86" customFormat="1" x14ac:dyDescent="0.3">
      <c r="A31" s="102"/>
      <c r="B31" s="80"/>
      <c r="C31" s="80"/>
      <c r="D31" s="105">
        <v>1001.92</v>
      </c>
      <c r="E31" s="106">
        <v>0.60399999999999998</v>
      </c>
      <c r="F31" s="8">
        <f>1-E31</f>
        <v>0.39600000000000002</v>
      </c>
      <c r="G31" s="234">
        <v>4.45</v>
      </c>
      <c r="H31" s="275">
        <v>3.4000000000000002E-2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605.15967999999998</v>
      </c>
      <c r="E34" s="2">
        <f>SUM(E2:E4)</f>
        <v>367.98549821440002</v>
      </c>
      <c r="F34" s="2">
        <f>SUM(F2:F4)</f>
        <v>4085.3783969865876</v>
      </c>
      <c r="G34" s="2">
        <f>SUM(G2:G4)</f>
        <v>24.419935947878404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396.76031999999998</v>
      </c>
      <c r="E37" s="2">
        <f>D37*G31</f>
        <v>1765.5834239999999</v>
      </c>
      <c r="F37" s="2">
        <f>D37*H31</f>
        <v>13.489850880000001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388.82511359999995</v>
      </c>
      <c r="E40" s="3">
        <f>SUM(J2:J4,J7:J12,J15:J22)</f>
        <v>1765.0536471660951</v>
      </c>
      <c r="F40" s="3">
        <f>SUM(K2:K4,K7:K12,K15:K22)</f>
        <v>13.424803310497143</v>
      </c>
      <c r="G40" s="3">
        <f>SUM(L7:L12,L15:L22,L24:L27)</f>
        <v>593.05648640000004</v>
      </c>
      <c r="H40" s="3">
        <f>SUM(M7:M12,M15:M22,M24:M27)</f>
        <v>367.94682009895348</v>
      </c>
      <c r="I40" s="3">
        <f>SUM(N7:N12,N15:N22,N24:N27)</f>
        <v>4066.8289834502229</v>
      </c>
      <c r="J40" s="3">
        <f>SUM(O7:O12,O15:O22,O24:O27)</f>
        <v>24.320499472406699</v>
      </c>
    </row>
    <row r="41" spans="1:32" ht="14.4" thickTop="1" x14ac:dyDescent="0.3">
      <c r="D41" s="50">
        <f>D37-D40</f>
        <v>7.9352064000000269</v>
      </c>
      <c r="E41" s="50">
        <f>E37-E40</f>
        <v>0.52977683390486163</v>
      </c>
      <c r="F41" s="50">
        <f>F37-F40</f>
        <v>6.5047569502857172E-2</v>
      </c>
      <c r="G41" s="50">
        <f>SUM(D2:D4)-G40</f>
        <v>12.10319359999994</v>
      </c>
      <c r="H41" s="50">
        <f>E34-H40</f>
        <v>3.867811544654387E-2</v>
      </c>
      <c r="I41" s="50">
        <f>F34-I40</f>
        <v>18.549413536364682</v>
      </c>
      <c r="J41" s="50">
        <f>G34-J40</f>
        <v>9.9436475471705421E-2</v>
      </c>
    </row>
  </sheetData>
  <sheetProtection sheet="1" selectLockedCells="1"/>
  <conditionalFormatting sqref="AA30:AB30 AD30:AF30">
    <cfRule type="cellIs" dxfId="215" priority="14" operator="greaterThan">
      <formula>1</formula>
    </cfRule>
    <cfRule type="cellIs" dxfId="214" priority="15" operator="greaterThan">
      <formula>1</formula>
    </cfRule>
  </conditionalFormatting>
  <conditionalFormatting sqref="AC30">
    <cfRule type="cellIs" dxfId="213" priority="10" operator="greaterThan">
      <formula>1</formula>
    </cfRule>
    <cfRule type="cellIs" dxfId="212" priority="11" operator="greaterThan">
      <formula>1</formula>
    </cfRule>
  </conditionalFormatting>
  <conditionalFormatting sqref="AG30">
    <cfRule type="cellIs" dxfId="211" priority="8" operator="greaterThan">
      <formula>1</formula>
    </cfRule>
    <cfRule type="cellIs" dxfId="210" priority="9" operator="greaterThan">
      <formula>1</formula>
    </cfRule>
  </conditionalFormatting>
  <conditionalFormatting sqref="W30">
    <cfRule type="cellIs" dxfId="209" priority="2" operator="greaterThan">
      <formula>1</formula>
    </cfRule>
    <cfRule type="cellIs" dxfId="208" priority="3" operator="greaterThan">
      <formula>1</formula>
    </cfRule>
  </conditionalFormatting>
  <conditionalFormatting sqref="D41:J41">
    <cfRule type="cellIs" dxfId="207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9" tint="-0.249977111117893"/>
  </sheetPr>
  <dimension ref="A1:AH43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222</v>
      </c>
      <c r="B2" s="59" t="s">
        <v>9</v>
      </c>
      <c r="C2" s="60">
        <v>7</v>
      </c>
      <c r="D2" s="4">
        <f>D$34*Q2</f>
        <v>572.11962574999995</v>
      </c>
      <c r="E2" s="4">
        <f>D2*R2</f>
        <v>355.28628759074996</v>
      </c>
      <c r="F2" s="4">
        <f>E2*S2</f>
        <v>4253.575461040512</v>
      </c>
      <c r="G2" s="4">
        <f>E2*T2</f>
        <v>27.357044144487748</v>
      </c>
      <c r="H2" s="4">
        <f>E2*U2</f>
        <v>8.5219986998548798</v>
      </c>
      <c r="I2" s="4">
        <f>D$37*W2</f>
        <v>134.58895552938262</v>
      </c>
      <c r="J2" s="4">
        <f>I2*V2</f>
        <v>763.11937785159944</v>
      </c>
      <c r="K2" s="4">
        <f>I2*X2</f>
        <v>9.152048975998019</v>
      </c>
      <c r="L2" s="44"/>
      <c r="M2" s="44"/>
      <c r="N2" s="44"/>
      <c r="O2" s="44"/>
      <c r="Q2" s="43">
        <f>AE2</f>
        <v>0.95</v>
      </c>
      <c r="R2" s="61">
        <v>0.621</v>
      </c>
      <c r="S2" s="236">
        <v>11.972247760769632</v>
      </c>
      <c r="T2" s="237">
        <v>7.6999999999999999E-2</v>
      </c>
      <c r="U2" s="61">
        <v>2.3986286545545684E-2</v>
      </c>
      <c r="V2" s="236">
        <v>5.67</v>
      </c>
      <c r="W2" s="43">
        <f>(AF2/SUM(AF$2:AF$22))*0.98</f>
        <v>0.280994391163915</v>
      </c>
      <c r="X2" s="61">
        <v>6.8000000000000005E-2</v>
      </c>
      <c r="Y2" s="64"/>
      <c r="Z2" s="65"/>
      <c r="AA2" s="1"/>
      <c r="AB2" s="1"/>
      <c r="AC2" s="1"/>
      <c r="AE2" s="61">
        <v>0.95</v>
      </c>
      <c r="AF2" s="61">
        <v>0.28100000000000003</v>
      </c>
      <c r="AG2" s="47"/>
      <c r="AH2" s="47"/>
    </row>
    <row r="3" spans="1:34" x14ac:dyDescent="0.3">
      <c r="A3" s="58" t="s">
        <v>566</v>
      </c>
      <c r="B3" s="59" t="s">
        <v>9</v>
      </c>
      <c r="C3" s="60">
        <v>7</v>
      </c>
      <c r="D3" s="4">
        <f>D$34*Q3</f>
        <v>30.111559250000028</v>
      </c>
      <c r="E3" s="4">
        <f t="shared" ref="E3:E4" si="0">D3*R3</f>
        <v>19.105690323723408</v>
      </c>
      <c r="F3" s="4">
        <f t="shared" ref="F3:F4" si="1">E3*S3</f>
        <v>231.35845360501807</v>
      </c>
      <c r="G3" s="4">
        <f t="shared" ref="G3" si="2">E3*T3</f>
        <v>1.6726322536379954</v>
      </c>
      <c r="H3" s="4">
        <f t="shared" ref="H3" si="3">E3*U3</f>
        <v>0.44889400943339258</v>
      </c>
      <c r="I3" s="4">
        <f t="shared" ref="I3:I4" si="4">D$37*W3</f>
        <v>6.7054995637414816</v>
      </c>
      <c r="J3" s="4">
        <f>I3*V3</f>
        <v>29.235978097912863</v>
      </c>
      <c r="K3" s="4">
        <f>I3*X3</f>
        <v>6.0948697960497469E-2</v>
      </c>
      <c r="L3" s="44"/>
      <c r="M3" s="44"/>
      <c r="N3" s="44"/>
      <c r="O3" s="44"/>
      <c r="Q3" s="43">
        <f t="shared" ref="Q3:Q4" si="5">AE3</f>
        <v>5.0000000000000044E-2</v>
      </c>
      <c r="R3" s="61">
        <v>0.63449687759770823</v>
      </c>
      <c r="S3" s="236">
        <v>12.109400376794646</v>
      </c>
      <c r="T3" s="237">
        <v>8.7546287273435969E-2</v>
      </c>
      <c r="U3" s="61">
        <v>2.3495304374111198E-2</v>
      </c>
      <c r="V3" s="236">
        <v>4.3600000000000003</v>
      </c>
      <c r="W3" s="43">
        <f t="shared" ref="W3:W4" si="6">(AF3/SUM(AF$2:AF$22))*0.98</f>
        <v>1.3999720556209285E-2</v>
      </c>
      <c r="X3" s="61">
        <v>9.0893597682213251E-3</v>
      </c>
      <c r="Y3" s="64"/>
      <c r="Z3" s="65"/>
      <c r="AA3" s="1"/>
      <c r="AB3" s="1"/>
      <c r="AC3" s="1"/>
      <c r="AE3" s="61">
        <f>1-AE2</f>
        <v>5.0000000000000044E-2</v>
      </c>
      <c r="AF3" s="61">
        <v>1.4E-2</v>
      </c>
      <c r="AG3" s="47"/>
      <c r="AH3" s="47"/>
    </row>
    <row r="4" spans="1:34" x14ac:dyDescent="0.3">
      <c r="B4" s="59" t="s">
        <v>9</v>
      </c>
      <c r="C4" s="60">
        <v>7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>
        <f>1-AE2-AE3</f>
        <v>0</v>
      </c>
      <c r="AF4" s="61"/>
      <c r="AG4" s="47"/>
      <c r="AH4" s="47"/>
    </row>
    <row r="5" spans="1:34" s="73" customFormat="1" x14ac:dyDescent="0.3">
      <c r="A5" s="100"/>
      <c r="B5" s="68"/>
      <c r="C5" s="6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103</v>
      </c>
      <c r="B7" s="59" t="s">
        <v>357</v>
      </c>
      <c r="C7" s="60">
        <v>7</v>
      </c>
      <c r="D7" s="44"/>
      <c r="E7" s="44"/>
      <c r="F7" s="44"/>
      <c r="G7" s="44"/>
      <c r="H7" s="44"/>
      <c r="I7" s="4">
        <f t="shared" ref="I7:I12" si="9">D$37*W7</f>
        <v>172.90609589361964</v>
      </c>
      <c r="J7" s="4">
        <f>I7*V7</f>
        <v>858.41901799898108</v>
      </c>
      <c r="K7" s="4">
        <f>I7*X7</f>
        <v>3.4927031370511163</v>
      </c>
      <c r="L7" s="7">
        <f>((D$2+D$3+D$4)*AA7)</f>
        <v>34.34376450627196</v>
      </c>
      <c r="M7" s="4">
        <f t="shared" ref="M7:N9" si="10">L7*Y7</f>
        <v>25.641054580382647</v>
      </c>
      <c r="N7" s="4">
        <f t="shared" si="10"/>
        <v>174.61558169240581</v>
      </c>
      <c r="O7" s="4">
        <f>M7*AH7</f>
        <v>0.66666741908994875</v>
      </c>
      <c r="Q7" s="45"/>
      <c r="R7" s="45"/>
      <c r="S7" s="44"/>
      <c r="T7" s="45"/>
      <c r="U7" s="45"/>
      <c r="V7" s="63">
        <v>4.9646544476206484</v>
      </c>
      <c r="W7" s="43">
        <f t="shared" ref="W7:W12" si="11">(AF7/SUM(AF$2:AF$22))*0.98</f>
        <v>0.36099279434225373</v>
      </c>
      <c r="X7" s="237">
        <v>2.0199999999999999E-2</v>
      </c>
      <c r="Y7" s="237">
        <v>0.74660000000000004</v>
      </c>
      <c r="Z7" s="63">
        <v>6.81</v>
      </c>
      <c r="AA7" s="43">
        <f>(AG7/SUM(AG$7:AG$27))*0.98</f>
        <v>5.7027542514710455E-2</v>
      </c>
      <c r="AB7" s="17">
        <v>9.6993486762411749E-2</v>
      </c>
      <c r="AC7" s="43">
        <f>(AH7/SUM(AH$7:AH$27))*0.98</f>
        <v>3.267993139785097E-2</v>
      </c>
      <c r="AE7" s="47"/>
      <c r="AF7" s="61">
        <v>0.36099999999999999</v>
      </c>
      <c r="AG7" s="61">
        <v>5.7000000000000002E-2</v>
      </c>
      <c r="AH7" s="61">
        <v>2.5999999999999999E-2</v>
      </c>
    </row>
    <row r="8" spans="1:34" x14ac:dyDescent="0.3">
      <c r="A8" s="227" t="s">
        <v>718</v>
      </c>
      <c r="B8" s="59" t="s">
        <v>357</v>
      </c>
      <c r="C8" s="60">
        <v>7</v>
      </c>
      <c r="D8" s="44"/>
      <c r="E8" s="44"/>
      <c r="F8" s="44"/>
      <c r="G8" s="44"/>
      <c r="H8" s="44"/>
      <c r="I8" s="4">
        <f t="shared" si="9"/>
        <v>72.323602437497414</v>
      </c>
      <c r="J8" s="4">
        <f>I8*V8</f>
        <v>311.71472650561384</v>
      </c>
      <c r="K8" s="4">
        <f>I8*X8</f>
        <v>3.2750936022534609</v>
      </c>
      <c r="L8" s="7">
        <f>((D$2+D$3+D$4)*AA8)</f>
        <v>65.674918090941105</v>
      </c>
      <c r="M8" s="4">
        <f t="shared" si="10"/>
        <v>46.182602401549786</v>
      </c>
      <c r="N8" s="4">
        <f t="shared" si="10"/>
        <v>355.60603849193336</v>
      </c>
      <c r="O8" s="4">
        <f t="shared" ref="O8:O12" si="12">M8*AH8</f>
        <v>1.8473040960619915</v>
      </c>
      <c r="Q8" s="45"/>
      <c r="R8" s="45"/>
      <c r="S8" s="44"/>
      <c r="T8" s="45"/>
      <c r="U8" s="45"/>
      <c r="V8" s="63">
        <v>4.3099999999999996</v>
      </c>
      <c r="W8" s="43">
        <f t="shared" si="11"/>
        <v>0.15099698599911443</v>
      </c>
      <c r="X8" s="237">
        <v>4.5283883709800278E-2</v>
      </c>
      <c r="Y8" s="237">
        <v>0.70320000000000005</v>
      </c>
      <c r="Z8" s="63">
        <v>7.7</v>
      </c>
      <c r="AA8" s="43">
        <f t="shared" ref="AA8:AA12" si="13">(AG8/SUM(AG$7:AG$27))*0.98</f>
        <v>0.10905266901935859</v>
      </c>
      <c r="AB8" s="17">
        <v>4.1665556811962538E-2</v>
      </c>
      <c r="AC8" s="43">
        <f t="shared" ref="AC8:AC12" si="14">(AH8/SUM(AH$7:AH$27))*0.98</f>
        <v>5.0276817535155338E-2</v>
      </c>
      <c r="AE8" s="47"/>
      <c r="AF8" s="61">
        <v>0.151</v>
      </c>
      <c r="AG8" s="61">
        <v>0.109</v>
      </c>
      <c r="AH8" s="61">
        <v>0.04</v>
      </c>
    </row>
    <row r="9" spans="1:34" x14ac:dyDescent="0.3">
      <c r="A9" s="66" t="s">
        <v>223</v>
      </c>
      <c r="B9" s="59" t="s">
        <v>357</v>
      </c>
      <c r="C9" s="60">
        <v>7</v>
      </c>
      <c r="D9" s="44"/>
      <c r="E9" s="44"/>
      <c r="F9" s="44"/>
      <c r="G9" s="44"/>
      <c r="H9" s="44"/>
      <c r="I9" s="4">
        <f t="shared" si="9"/>
        <v>63.702245855544078</v>
      </c>
      <c r="J9" s="4">
        <f>I9*V9</f>
        <v>271.37156734461774</v>
      </c>
      <c r="K9" s="4">
        <f>I9*X9</f>
        <v>3.5179622512685285</v>
      </c>
      <c r="L9" s="7">
        <f>((D$2+D$3+D$4)*AA9)</f>
        <v>20.485754266899061</v>
      </c>
      <c r="M9" s="4">
        <f t="shared" si="10"/>
        <v>13.745941113089271</v>
      </c>
      <c r="N9" s="4">
        <f t="shared" si="10"/>
        <v>93.060021335614366</v>
      </c>
      <c r="O9" s="4">
        <f t="shared" si="12"/>
        <v>0.28866476337487473</v>
      </c>
      <c r="Q9" s="45"/>
      <c r="R9" s="45"/>
      <c r="S9" s="44"/>
      <c r="T9" s="45"/>
      <c r="U9" s="45"/>
      <c r="V9" s="63">
        <v>4.26</v>
      </c>
      <c r="W9" s="43">
        <f t="shared" si="11"/>
        <v>0.13299734528398821</v>
      </c>
      <c r="X9" s="237">
        <v>5.5225089853913778E-2</v>
      </c>
      <c r="Y9" s="237">
        <v>0.67100000000000004</v>
      </c>
      <c r="Z9" s="63">
        <v>6.77</v>
      </c>
      <c r="AA9" s="43">
        <f t="shared" si="13"/>
        <v>3.4016428868423779E-2</v>
      </c>
      <c r="AB9" s="17">
        <v>4.6807622627180211E-2</v>
      </c>
      <c r="AC9" s="43">
        <f t="shared" si="14"/>
        <v>2.6395329205956553E-2</v>
      </c>
      <c r="AE9" s="47"/>
      <c r="AF9" s="61">
        <v>0.13300000000000001</v>
      </c>
      <c r="AG9" s="61">
        <v>3.4000000000000002E-2</v>
      </c>
      <c r="AH9" s="61">
        <v>2.1000000000000001E-2</v>
      </c>
    </row>
    <row r="10" spans="1:34" x14ac:dyDescent="0.3">
      <c r="A10" s="66" t="s">
        <v>830</v>
      </c>
      <c r="B10" s="59" t="s">
        <v>357</v>
      </c>
      <c r="C10" s="60">
        <v>7</v>
      </c>
      <c r="D10" s="44"/>
      <c r="E10" s="44"/>
      <c r="F10" s="44"/>
      <c r="G10" s="44"/>
      <c r="H10" s="44"/>
      <c r="I10" s="4">
        <f t="shared" si="9"/>
        <v>10.058249345612223</v>
      </c>
      <c r="J10" s="4">
        <f t="shared" ref="J10:J12" si="15">I10*V10</f>
        <v>42.144064758115221</v>
      </c>
      <c r="K10" s="4">
        <f t="shared" ref="K10:K12" si="16">I10*X10</f>
        <v>0.11783328661682548</v>
      </c>
      <c r="L10" s="7">
        <f t="shared" ref="L10:L12" si="17">((D$2+D$3+D$4)*AA10)</f>
        <v>3.8467833595511887</v>
      </c>
      <c r="M10" s="4">
        <f t="shared" ref="M10:N10" si="18">L10*Y10</f>
        <v>2.4507856783700621</v>
      </c>
      <c r="N10" s="4">
        <f t="shared" si="18"/>
        <v>16.420264045079417</v>
      </c>
      <c r="O10" s="4">
        <f t="shared" si="12"/>
        <v>2.3794035712330703E-2</v>
      </c>
      <c r="Q10" s="45"/>
      <c r="R10" s="45"/>
      <c r="S10" s="44"/>
      <c r="T10" s="45"/>
      <c r="U10" s="45"/>
      <c r="V10" s="63">
        <v>4.1900000000000004</v>
      </c>
      <c r="W10" s="43">
        <f t="shared" si="11"/>
        <v>2.0999580834313931E-2</v>
      </c>
      <c r="X10" s="237">
        <v>1.1715089034676662E-2</v>
      </c>
      <c r="Y10" s="237">
        <v>0.6371</v>
      </c>
      <c r="Z10" s="63">
        <v>6.7</v>
      </c>
      <c r="AA10" s="43">
        <f t="shared" si="13"/>
        <v>6.387552580079673E-3</v>
      </c>
      <c r="AB10" s="17">
        <v>2.6078201129355875E-2</v>
      </c>
      <c r="AC10" s="43">
        <f t="shared" si="14"/>
        <v>1.220311105222217E-2</v>
      </c>
      <c r="AE10" s="47"/>
      <c r="AF10" s="61">
        <v>2.1000000000000001E-2</v>
      </c>
      <c r="AG10" s="61">
        <v>6.3844675924904703E-3</v>
      </c>
      <c r="AH10" s="61">
        <v>9.7087378640776708E-3</v>
      </c>
    </row>
    <row r="11" spans="1:34" x14ac:dyDescent="0.3">
      <c r="A11" s="66"/>
      <c r="B11" s="59" t="s">
        <v>357</v>
      </c>
      <c r="C11" s="60">
        <v>7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5.4516741920817983E-4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66"/>
      <c r="B12" s="59" t="s">
        <v>357</v>
      </c>
      <c r="C12" s="60">
        <v>7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71"/>
      <c r="C13" s="69"/>
      <c r="D13" s="12"/>
      <c r="E13" s="12"/>
      <c r="F13" s="12"/>
      <c r="G13" s="12"/>
      <c r="H13" s="12"/>
      <c r="I13" s="13"/>
      <c r="J13" s="13"/>
      <c r="K13" s="13"/>
      <c r="L13" s="13"/>
      <c r="M13" s="13"/>
      <c r="N13" s="13"/>
      <c r="O13" s="13"/>
      <c r="P13" s="71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A14" s="113"/>
      <c r="B14" s="75"/>
      <c r="C14" s="6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75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88</v>
      </c>
      <c r="B15" s="59" t="s">
        <v>358</v>
      </c>
      <c r="C15" s="60">
        <v>7</v>
      </c>
      <c r="D15" s="44"/>
      <c r="E15" s="44"/>
      <c r="F15" s="44"/>
      <c r="G15" s="44"/>
      <c r="H15" s="44"/>
      <c r="I15" s="4">
        <f t="shared" ref="I15:I22" si="21">D$37*W15</f>
        <v>0.99548574741584483</v>
      </c>
      <c r="J15" s="4">
        <f t="shared" ref="J15:J22" si="22">I15*V15</f>
        <v>6.0973502029220494</v>
      </c>
      <c r="K15" s="4">
        <f t="shared" ref="K15:K22" si="23">I15*X15</f>
        <v>0</v>
      </c>
      <c r="L15" s="7">
        <f t="shared" ref="L15:L20" si="24">((D$2+D$3+D$4)*AA15)</f>
        <v>131.95235836620279</v>
      </c>
      <c r="M15" s="4">
        <f t="shared" ref="M15:N19" si="25">L15*Y15</f>
        <v>80.266619594161156</v>
      </c>
      <c r="N15" s="4">
        <f t="shared" si="25"/>
        <v>1158.2473207437454</v>
      </c>
      <c r="O15" s="4">
        <f t="shared" ref="O15:O22" si="26">M15*AH15</f>
        <v>8.829328155357727</v>
      </c>
      <c r="Q15" s="45"/>
      <c r="R15" s="45"/>
      <c r="S15" s="44"/>
      <c r="T15" s="45"/>
      <c r="U15" s="45"/>
      <c r="V15" s="63">
        <v>6.125</v>
      </c>
      <c r="W15" s="43">
        <f t="shared" ref="W15:W22" si="27">(AF15/SUM(AF$2:AF$22))*0.98</f>
        <v>2.0783719615566983E-3</v>
      </c>
      <c r="X15" s="237">
        <v>0</v>
      </c>
      <c r="Y15" s="237">
        <v>0.60829999999999995</v>
      </c>
      <c r="Z15" s="63">
        <v>14.43</v>
      </c>
      <c r="AA15" s="43">
        <f t="shared" ref="AA15:AA22" si="28">(AG15/SUM(AG$7:AG$27))*0.98</f>
        <v>0.21910582124072964</v>
      </c>
      <c r="AB15" s="17">
        <v>0.18264070564647064</v>
      </c>
      <c r="AC15" s="43">
        <f t="shared" ref="AC15:AC22" si="29">(AH15/SUM(AH$7:AH$27))*0.98</f>
        <v>0.13826124822167718</v>
      </c>
      <c r="AE15" s="47"/>
      <c r="AF15" s="61">
        <v>2.0784134472518674E-3</v>
      </c>
      <c r="AG15" s="61">
        <v>0.219</v>
      </c>
      <c r="AH15" s="61">
        <v>0.11</v>
      </c>
    </row>
    <row r="16" spans="1:34" x14ac:dyDescent="0.3">
      <c r="A16" s="66" t="s">
        <v>346</v>
      </c>
      <c r="B16" s="59" t="s">
        <v>358</v>
      </c>
      <c r="C16" s="60">
        <v>7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116.2867815738682</v>
      </c>
      <c r="M16" s="4">
        <f t="shared" si="25"/>
        <v>69.795326300635693</v>
      </c>
      <c r="N16" s="4">
        <f t="shared" si="25"/>
        <v>995.28135304706495</v>
      </c>
      <c r="O16" s="4">
        <f t="shared" si="26"/>
        <v>7.0493279563642055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0.60019999999999996</v>
      </c>
      <c r="Z16" s="63">
        <v>14.26</v>
      </c>
      <c r="AA16" s="43">
        <f t="shared" si="28"/>
        <v>0.19309325798840557</v>
      </c>
      <c r="AB16" s="17">
        <v>0.14215481835505084</v>
      </c>
      <c r="AC16" s="43">
        <f t="shared" si="29"/>
        <v>0.12694896427626723</v>
      </c>
      <c r="AE16" s="47"/>
      <c r="AF16" s="61">
        <v>0</v>
      </c>
      <c r="AG16" s="61">
        <v>0.193</v>
      </c>
      <c r="AH16" s="61">
        <v>0.10100000000000001</v>
      </c>
    </row>
    <row r="17" spans="1:34" x14ac:dyDescent="0.3">
      <c r="A17" s="58" t="s">
        <v>347</v>
      </c>
      <c r="B17" s="59" t="s">
        <v>358</v>
      </c>
      <c r="C17" s="60">
        <v>7</v>
      </c>
      <c r="D17" s="44"/>
      <c r="E17" s="44"/>
      <c r="F17" s="44"/>
      <c r="G17" s="44"/>
      <c r="H17" s="44"/>
      <c r="I17" s="4">
        <f t="shared" si="21"/>
        <v>2.0085584097027023</v>
      </c>
      <c r="J17" s="4">
        <f t="shared" si="22"/>
        <v>10.950343221574292</v>
      </c>
      <c r="K17" s="4">
        <f t="shared" si="23"/>
        <v>0</v>
      </c>
      <c r="L17" s="7">
        <f t="shared" si="24"/>
        <v>31.933675768989708</v>
      </c>
      <c r="M17" s="4">
        <f t="shared" si="25"/>
        <v>19.11549831531724</v>
      </c>
      <c r="N17" s="4">
        <f t="shared" si="25"/>
        <v>259.4622265535088</v>
      </c>
      <c r="O17" s="4">
        <f t="shared" si="26"/>
        <v>1.1660453972343516</v>
      </c>
      <c r="Q17" s="45"/>
      <c r="R17" s="45"/>
      <c r="S17" s="44"/>
      <c r="T17" s="45"/>
      <c r="U17" s="45"/>
      <c r="V17" s="63">
        <v>5.451842061787544</v>
      </c>
      <c r="W17" s="43">
        <f t="shared" si="27"/>
        <v>4.1934618277675636E-3</v>
      </c>
      <c r="X17" s="237">
        <v>0</v>
      </c>
      <c r="Y17" s="237">
        <v>0.59860000000000002</v>
      </c>
      <c r="Z17" s="63">
        <v>13.573395904913545</v>
      </c>
      <c r="AA17" s="43">
        <f t="shared" si="28"/>
        <v>5.3025609706660592E-2</v>
      </c>
      <c r="AB17" s="17">
        <v>4.5812438744618697E-2</v>
      </c>
      <c r="AC17" s="43">
        <f t="shared" si="29"/>
        <v>7.6672146741111891E-2</v>
      </c>
      <c r="AE17" s="47"/>
      <c r="AF17" s="61">
        <v>4.1935455320718509E-3</v>
      </c>
      <c r="AG17" s="61">
        <v>5.2999999999999999E-2</v>
      </c>
      <c r="AH17" s="61">
        <v>6.0999999999999999E-2</v>
      </c>
    </row>
    <row r="18" spans="1:34" x14ac:dyDescent="0.3">
      <c r="A18" s="66" t="s">
        <v>224</v>
      </c>
      <c r="B18" s="59" t="s">
        <v>358</v>
      </c>
      <c r="C18" s="60">
        <v>7</v>
      </c>
      <c r="D18" s="44"/>
      <c r="E18" s="44"/>
      <c r="F18" s="44"/>
      <c r="G18" s="44"/>
      <c r="H18" s="44"/>
      <c r="I18" s="4">
        <f t="shared" si="21"/>
        <v>6.105645917483848</v>
      </c>
      <c r="J18" s="4">
        <f t="shared" si="22"/>
        <v>37.244440096651473</v>
      </c>
      <c r="K18" s="4">
        <f t="shared" si="23"/>
        <v>9.9548574741584475E-2</v>
      </c>
      <c r="L18" s="7">
        <f t="shared" si="24"/>
        <v>25.908453925784105</v>
      </c>
      <c r="M18" s="4">
        <f t="shared" si="25"/>
        <v>15.109810329517291</v>
      </c>
      <c r="N18" s="4">
        <f t="shared" si="25"/>
        <v>159.25740087311223</v>
      </c>
      <c r="O18" s="4">
        <f t="shared" si="26"/>
        <v>0.86184033533362092</v>
      </c>
      <c r="Q18" s="45"/>
      <c r="R18" s="45"/>
      <c r="S18" s="44"/>
      <c r="T18" s="45"/>
      <c r="U18" s="45"/>
      <c r="V18" s="63">
        <v>6.1</v>
      </c>
      <c r="W18" s="43">
        <f t="shared" si="27"/>
        <v>1.2747348030881081E-2</v>
      </c>
      <c r="X18" s="237">
        <v>1.6304347826086956E-2</v>
      </c>
      <c r="Y18" s="237">
        <v>0.58320000000000005</v>
      </c>
      <c r="Z18" s="63">
        <v>10.54</v>
      </c>
      <c r="AA18" s="43">
        <f t="shared" si="28"/>
        <v>4.3020777686535956E-2</v>
      </c>
      <c r="AB18" s="17">
        <v>4.8683418398659473E-2</v>
      </c>
      <c r="AC18" s="43">
        <f t="shared" si="29"/>
        <v>7.1692808081380163E-2</v>
      </c>
      <c r="AE18" s="47"/>
      <c r="AF18" s="61">
        <v>1.2747602476478119E-2</v>
      </c>
      <c r="AG18" s="61">
        <v>4.2999999999999997E-2</v>
      </c>
      <c r="AH18" s="61">
        <v>5.7038461538461545E-2</v>
      </c>
    </row>
    <row r="19" spans="1:34" x14ac:dyDescent="0.3">
      <c r="A19" s="66" t="s">
        <v>254</v>
      </c>
      <c r="B19" s="59" t="s">
        <v>358</v>
      </c>
      <c r="C19" s="60">
        <v>7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14.460532423693452</v>
      </c>
      <c r="M19" s="4">
        <f t="shared" si="25"/>
        <v>9.2099131006503594</v>
      </c>
      <c r="N19" s="4">
        <f t="shared" si="25"/>
        <v>96.969758127039839</v>
      </c>
      <c r="O19" s="4">
        <f t="shared" si="26"/>
        <v>0.35918661092536402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0.63690000000000002</v>
      </c>
      <c r="Z19" s="63">
        <v>10.528846153846153</v>
      </c>
      <c r="AA19" s="43">
        <f t="shared" si="28"/>
        <v>2.4011596848299135E-2</v>
      </c>
      <c r="AB19" s="17">
        <v>1.9177589085116745E-2</v>
      </c>
      <c r="AC19" s="43">
        <f t="shared" si="29"/>
        <v>4.9019897096776455E-2</v>
      </c>
      <c r="AE19" s="47"/>
      <c r="AF19" s="61">
        <v>0</v>
      </c>
      <c r="AG19" s="61">
        <v>2.4E-2</v>
      </c>
      <c r="AH19" s="61">
        <v>3.9E-2</v>
      </c>
    </row>
    <row r="20" spans="1:34" x14ac:dyDescent="0.3">
      <c r="A20" s="58" t="s">
        <v>761</v>
      </c>
      <c r="B20" s="59" t="s">
        <v>358</v>
      </c>
      <c r="C20" s="60">
        <v>7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25.305931741463546</v>
      </c>
      <c r="M20" s="4">
        <f t="shared" ref="M20:N20" si="30">L20*Y20</f>
        <v>14.598992021650318</v>
      </c>
      <c r="N20" s="4">
        <f t="shared" si="30"/>
        <v>161.17287191901949</v>
      </c>
      <c r="O20" s="4">
        <f t="shared" si="26"/>
        <v>1.278140153820293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0.57689999999999997</v>
      </c>
      <c r="Z20" s="63">
        <v>11.04</v>
      </c>
      <c r="AA20" s="43">
        <f t="shared" si="28"/>
        <v>4.202029448452349E-2</v>
      </c>
      <c r="AB20" s="17">
        <v>1.6528415377832083E-2</v>
      </c>
      <c r="AC20" s="43">
        <f t="shared" si="29"/>
        <v>0.1100432468260127</v>
      </c>
      <c r="AE20" s="47"/>
      <c r="AF20" s="61">
        <v>0</v>
      </c>
      <c r="AG20" s="61">
        <v>4.2000000000000003E-2</v>
      </c>
      <c r="AH20" s="61">
        <v>8.754989056263679E-2</v>
      </c>
    </row>
    <row r="21" spans="1:34" x14ac:dyDescent="0.3">
      <c r="B21" s="59" t="s">
        <v>358</v>
      </c>
      <c r="C21" s="60">
        <v>7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7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s="77" customFormat="1" x14ac:dyDescent="0.3">
      <c r="B23" s="110"/>
      <c r="C23" s="6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0"/>
      <c r="Q23" s="38"/>
      <c r="R23" s="38"/>
      <c r="S23" s="39"/>
      <c r="T23" s="38"/>
      <c r="U23" s="38"/>
      <c r="V23" s="40"/>
      <c r="W23" s="40"/>
      <c r="X23" s="38"/>
      <c r="Y23" s="114"/>
      <c r="Z23" s="115"/>
      <c r="AA23" s="18"/>
      <c r="AB23" s="37"/>
      <c r="AC23" s="25"/>
      <c r="AF23" s="66"/>
      <c r="AG23" s="75"/>
      <c r="AH23" s="75"/>
    </row>
    <row r="24" spans="1:34" x14ac:dyDescent="0.3">
      <c r="A24" s="77" t="s">
        <v>106</v>
      </c>
      <c r="B24" s="59" t="s">
        <v>10</v>
      </c>
      <c r="C24" s="60">
        <v>7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96.403549491289709</v>
      </c>
      <c r="M24" s="4">
        <f t="shared" ref="M24:N27" si="34">L24*Y24</f>
        <v>63.867351537979431</v>
      </c>
      <c r="N24" s="4">
        <f t="shared" si="34"/>
        <v>863.48659279348192</v>
      </c>
      <c r="O24" s="4">
        <f t="shared" ref="O24:O27" si="35">M24*AH24</f>
        <v>5.5564595838042097</v>
      </c>
      <c r="Q24" s="45"/>
      <c r="R24" s="45"/>
      <c r="S24" s="44"/>
      <c r="T24" s="45"/>
      <c r="U24" s="45"/>
      <c r="V24" s="46"/>
      <c r="W24" s="46"/>
      <c r="X24" s="45"/>
      <c r="Y24" s="237">
        <v>0.66249999999999998</v>
      </c>
      <c r="Z24" s="236">
        <v>13.52</v>
      </c>
      <c r="AA24" s="43">
        <f t="shared" ref="AA24:AA27" si="36">(AG24/SUM(AG$7:AG$27))*0.98</f>
        <v>0.16007731232199426</v>
      </c>
      <c r="AB24" s="17">
        <v>0.17179191628893564</v>
      </c>
      <c r="AC24" s="43">
        <f t="shared" ref="AC24:AC27" si="37">(AH24/SUM(AH$7:AH$27))*0.98</f>
        <v>0.10935207813896285</v>
      </c>
      <c r="AE24" s="47"/>
      <c r="AF24" s="47"/>
      <c r="AG24" s="61">
        <v>0.16</v>
      </c>
      <c r="AH24" s="61">
        <v>8.6999999999999994E-2</v>
      </c>
    </row>
    <row r="25" spans="1:34" x14ac:dyDescent="0.3">
      <c r="A25" s="77" t="s">
        <v>631</v>
      </c>
      <c r="B25" s="59" t="s">
        <v>10</v>
      </c>
      <c r="C25" s="60">
        <v>7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14.346443153706881</v>
      </c>
      <c r="M25" s="4">
        <f t="shared" si="34"/>
        <v>8.5791730059167151</v>
      </c>
      <c r="N25" s="4">
        <f t="shared" si="34"/>
        <v>85.027733489859585</v>
      </c>
      <c r="O25" s="4">
        <f t="shared" si="35"/>
        <v>0.68011564033314831</v>
      </c>
      <c r="Q25" s="45"/>
      <c r="R25" s="45"/>
      <c r="S25" s="44"/>
      <c r="T25" s="45"/>
      <c r="U25" s="45"/>
      <c r="V25" s="46"/>
      <c r="W25" s="46"/>
      <c r="X25" s="45"/>
      <c r="Y25" s="237">
        <v>0.59799999999999998</v>
      </c>
      <c r="Z25" s="236">
        <v>9.910947527368819</v>
      </c>
      <c r="AA25" s="43">
        <f t="shared" si="36"/>
        <v>2.3822152540484733E-2</v>
      </c>
      <c r="AB25" s="17">
        <v>0.10897770864733301</v>
      </c>
      <c r="AC25" s="43">
        <f t="shared" si="37"/>
        <v>9.9642616859028116E-2</v>
      </c>
      <c r="AE25" s="47"/>
      <c r="AF25" s="47"/>
      <c r="AG25" s="61">
        <v>2.3810647187845493E-2</v>
      </c>
      <c r="AH25" s="61">
        <v>7.9275198187995458E-2</v>
      </c>
    </row>
    <row r="26" spans="1:34" x14ac:dyDescent="0.3">
      <c r="A26" s="58" t="s">
        <v>786</v>
      </c>
      <c r="B26" s="59" t="s">
        <v>10</v>
      </c>
      <c r="C26" s="60">
        <v>7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9.2376146313381451</v>
      </c>
      <c r="M26" s="4">
        <f t="shared" si="34"/>
        <v>5.4705153846784489</v>
      </c>
      <c r="N26" s="4">
        <f t="shared" si="34"/>
        <v>52.97282397496965</v>
      </c>
      <c r="O26" s="4">
        <f t="shared" si="35"/>
        <v>0.33430927350812745</v>
      </c>
      <c r="Q26" s="45"/>
      <c r="R26" s="45"/>
      <c r="S26" s="44"/>
      <c r="T26" s="45"/>
      <c r="U26" s="45"/>
      <c r="V26" s="46"/>
      <c r="W26" s="46"/>
      <c r="X26" s="45"/>
      <c r="Y26" s="237">
        <v>0.59219999999999995</v>
      </c>
      <c r="Z26" s="236">
        <v>9.6833333333333336</v>
      </c>
      <c r="AA26" s="43">
        <f t="shared" si="36"/>
        <v>1.5338984199793879E-2</v>
      </c>
      <c r="AB26" s="17">
        <v>2.7142954705864437E-2</v>
      </c>
      <c r="AC26" s="43">
        <f t="shared" si="37"/>
        <v>7.6811804567598438E-2</v>
      </c>
      <c r="AE26" s="47"/>
      <c r="AF26" s="47"/>
      <c r="AG26" s="61">
        <v>1.5331575951439899E-2</v>
      </c>
      <c r="AH26" s="61">
        <v>6.1111111111111116E-2</v>
      </c>
    </row>
    <row r="27" spans="1:34" x14ac:dyDescent="0.3">
      <c r="B27" s="59" t="s">
        <v>10</v>
      </c>
      <c r="C27" s="60">
        <v>7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0.97500000000000031</v>
      </c>
      <c r="AC30" s="28">
        <f>SUM(AC7:AC27)</f>
        <v>0.98</v>
      </c>
      <c r="AD30" s="89"/>
      <c r="AE30" s="28">
        <f>SUM(AE2:AE4,AE7:AE27)</f>
        <v>1</v>
      </c>
      <c r="AF30" s="28">
        <f>SUM(AF2:AF4,AF7:AF27)</f>
        <v>0.98001956145580194</v>
      </c>
      <c r="AG30" s="28">
        <f>SUM(AG7:AG27)</f>
        <v>0.97952669073177612</v>
      </c>
    </row>
    <row r="31" spans="1:34" s="86" customFormat="1" x14ac:dyDescent="0.3">
      <c r="A31" s="102"/>
      <c r="B31" s="80"/>
      <c r="C31" s="80"/>
      <c r="D31" s="105">
        <v>1081.2049999999999</v>
      </c>
      <c r="E31" s="106">
        <v>0.55700000000000005</v>
      </c>
      <c r="F31" s="8">
        <f>1-E31</f>
        <v>0.44299999999999995</v>
      </c>
      <c r="G31" s="234">
        <v>4.88</v>
      </c>
      <c r="H31" s="275">
        <v>4.1348023784540049E-2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602.23118499999998</v>
      </c>
      <c r="E34" s="2">
        <f>SUM(E2:E4)</f>
        <v>374.39197791447339</v>
      </c>
      <c r="F34" s="2">
        <f>SUM(F2:F4)</f>
        <v>4484.9339146455304</v>
      </c>
      <c r="G34" s="2">
        <f>SUM(G2:G4)</f>
        <v>29.029676398125744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478.97381499999989</v>
      </c>
      <c r="E37" s="2">
        <f>D37*G31</f>
        <v>2337.3922171999993</v>
      </c>
      <c r="F37" s="2">
        <f>D37*H31</f>
        <v>19.804620694791879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469.39433869999988</v>
      </c>
      <c r="E40" s="3">
        <f>SUM(J2:J4,J7:J12,J15:J22)</f>
        <v>2330.2968660779879</v>
      </c>
      <c r="F40" s="3">
        <f>SUM(K2:K4,K7:K12,K15:K22)</f>
        <v>19.716138525890031</v>
      </c>
      <c r="G40" s="3">
        <f>SUM(L7:L12,L15:L22,L24:L27)</f>
        <v>590.18656129999988</v>
      </c>
      <c r="H40" s="3">
        <f>SUM(M7:M12,M15:M22,M24:M27)</f>
        <v>374.03358336389834</v>
      </c>
      <c r="I40" s="3">
        <f>SUM(N7:N12,N15:N22,N24:N27)</f>
        <v>4471.5799870868332</v>
      </c>
      <c r="J40" s="3">
        <f>SUM(O7:O12,O15:O22,O24:O27)</f>
        <v>28.94118342092019</v>
      </c>
    </row>
    <row r="41" spans="1:32" ht="14.4" thickTop="1" x14ac:dyDescent="0.3">
      <c r="D41" s="50">
        <f>D37-D40</f>
        <v>9.5794763000000103</v>
      </c>
      <c r="E41" s="50">
        <f>E37-E40</f>
        <v>7.0953511220113796</v>
      </c>
      <c r="F41" s="50">
        <f>F37-F40</f>
        <v>8.8482168901848013E-2</v>
      </c>
      <c r="G41" s="50">
        <f>SUM(D2:D4)-G40</f>
        <v>12.044623700000102</v>
      </c>
      <c r="H41" s="50">
        <f>E34-H40</f>
        <v>0.3583945505750421</v>
      </c>
      <c r="I41" s="50">
        <f>F34-I40</f>
        <v>13.353927558697251</v>
      </c>
      <c r="J41" s="50">
        <f>G34-J40</f>
        <v>8.8492977205554268E-2</v>
      </c>
    </row>
    <row r="42" spans="1:32" x14ac:dyDescent="0.3">
      <c r="N42" s="74"/>
      <c r="O42" s="74"/>
    </row>
    <row r="43" spans="1:32" x14ac:dyDescent="0.3">
      <c r="N43" s="74"/>
      <c r="O43" s="74"/>
    </row>
  </sheetData>
  <sheetProtection sheet="1" selectLockedCells="1"/>
  <conditionalFormatting sqref="AA30:AB30 AD30:AF30">
    <cfRule type="cellIs" dxfId="206" priority="14" operator="greaterThan">
      <formula>1</formula>
    </cfRule>
    <cfRule type="cellIs" dxfId="205" priority="15" operator="greaterThan">
      <formula>1</formula>
    </cfRule>
  </conditionalFormatting>
  <conditionalFormatting sqref="AC30">
    <cfRule type="cellIs" dxfId="204" priority="10" operator="greaterThan">
      <formula>1</formula>
    </cfRule>
    <cfRule type="cellIs" dxfId="203" priority="11" operator="greaterThan">
      <formula>1</formula>
    </cfRule>
  </conditionalFormatting>
  <conditionalFormatting sqref="AG30">
    <cfRule type="cellIs" dxfId="202" priority="8" operator="greaterThan">
      <formula>1</formula>
    </cfRule>
    <cfRule type="cellIs" dxfId="201" priority="9" operator="greaterThan">
      <formula>1</formula>
    </cfRule>
  </conditionalFormatting>
  <conditionalFormatting sqref="W30">
    <cfRule type="cellIs" dxfId="200" priority="2" operator="greaterThan">
      <formula>1</formula>
    </cfRule>
    <cfRule type="cellIs" dxfId="199" priority="3" operator="greaterThan">
      <formula>1</formula>
    </cfRule>
  </conditionalFormatting>
  <conditionalFormatting sqref="D41:J41">
    <cfRule type="cellIs" dxfId="198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theme="1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630</v>
      </c>
      <c r="B2" s="59" t="s">
        <v>9</v>
      </c>
      <c r="C2" s="60">
        <v>9</v>
      </c>
      <c r="D2" s="4">
        <f>D$34*Q2</f>
        <v>527.84054400000002</v>
      </c>
      <c r="E2" s="4">
        <f>D2*R2</f>
        <v>322.510572384</v>
      </c>
      <c r="F2" s="4">
        <f>E2*S2</f>
        <v>3402.4865386512001</v>
      </c>
      <c r="G2" s="4">
        <f>E2*T2</f>
        <v>19.673144915424</v>
      </c>
      <c r="H2" s="4">
        <f>E2*U2</f>
        <v>7.5146377885526316</v>
      </c>
      <c r="I2" s="4">
        <f>D$37*W2</f>
        <v>28.017146906232178</v>
      </c>
      <c r="J2" s="4">
        <f>I2*V2</f>
        <v>112.90910203211568</v>
      </c>
      <c r="K2" s="4">
        <f>I2*X2</f>
        <v>1.1107621728924826</v>
      </c>
      <c r="L2" s="44"/>
      <c r="M2" s="44"/>
      <c r="N2" s="44"/>
      <c r="O2" s="44"/>
      <c r="Q2" s="43">
        <f>AE2</f>
        <v>0.8</v>
      </c>
      <c r="R2" s="61">
        <v>0.61099999999999999</v>
      </c>
      <c r="S2" s="236">
        <v>10.55</v>
      </c>
      <c r="T2" s="237">
        <v>6.0999999999999999E-2</v>
      </c>
      <c r="U2" s="61">
        <v>2.3300438596491228E-2</v>
      </c>
      <c r="V2" s="236">
        <v>4.03</v>
      </c>
      <c r="W2" s="43">
        <f>(AF2/SUM(AF$2:AF$22))*0.98</f>
        <v>6.5311183080415572E-2</v>
      </c>
      <c r="X2" s="61">
        <v>3.9645798931989142E-2</v>
      </c>
      <c r="Y2" s="64"/>
      <c r="Z2" s="65"/>
      <c r="AA2" s="1"/>
      <c r="AB2" s="1"/>
      <c r="AC2" s="1"/>
      <c r="AE2" s="61">
        <v>0.8</v>
      </c>
      <c r="AF2" s="61">
        <v>6.5324779282144405E-2</v>
      </c>
      <c r="AG2" s="47"/>
      <c r="AH2" s="47"/>
    </row>
    <row r="3" spans="1:34" x14ac:dyDescent="0.3">
      <c r="A3" s="58" t="s">
        <v>32</v>
      </c>
      <c r="B3" s="59" t="s">
        <v>9</v>
      </c>
      <c r="C3" s="60">
        <v>9</v>
      </c>
      <c r="D3" s="4">
        <f>D$34*Q3</f>
        <v>118.76412239999999</v>
      </c>
      <c r="E3" s="4">
        <f t="shared" ref="E3:E4" si="0">D3*R3</f>
        <v>75.890274213599994</v>
      </c>
      <c r="F3" s="4">
        <f t="shared" ref="F3:F4" si="1">E3*S3</f>
        <v>766.49176955735993</v>
      </c>
      <c r="G3" s="4">
        <f t="shared" ref="G3" si="2">E3*T3</f>
        <v>4.3257456301751995</v>
      </c>
      <c r="H3" s="4">
        <f t="shared" ref="H3" si="3">E3*U3</f>
        <v>1.3657874075999998</v>
      </c>
      <c r="I3" s="4">
        <f t="shared" ref="I3:I4" si="4">D$37*W3</f>
        <v>16.726711385027528</v>
      </c>
      <c r="J3" s="4">
        <f>I3*V3</f>
        <v>59.923489845585884</v>
      </c>
      <c r="K3" s="4">
        <f>I3*X3</f>
        <v>0.53525476432088093</v>
      </c>
      <c r="L3" s="44"/>
      <c r="M3" s="44"/>
      <c r="N3" s="44"/>
      <c r="O3" s="44"/>
      <c r="Q3" s="43">
        <f t="shared" ref="Q3:Q4" si="5">AE3</f>
        <v>0.18</v>
      </c>
      <c r="R3" s="61">
        <v>0.63900000000000001</v>
      </c>
      <c r="S3" s="236">
        <v>10.1</v>
      </c>
      <c r="T3" s="237">
        <v>5.7000000000000002E-2</v>
      </c>
      <c r="U3" s="61">
        <v>1.7996870109546165E-2</v>
      </c>
      <c r="V3" s="236">
        <v>3.5825027685492801</v>
      </c>
      <c r="W3" s="43">
        <f t="shared" ref="W3:W4" si="6">(AF3/SUM(AF$2:AF$22))*0.98</f>
        <v>3.8991882837213519E-2</v>
      </c>
      <c r="X3" s="61">
        <v>3.2000000000000001E-2</v>
      </c>
      <c r="Y3" s="64"/>
      <c r="Z3" s="65"/>
      <c r="AA3" s="1"/>
      <c r="AB3" s="1"/>
      <c r="AC3" s="1"/>
      <c r="AE3" s="61">
        <v>0.18</v>
      </c>
      <c r="AF3" s="61">
        <v>3.9E-2</v>
      </c>
      <c r="AG3" s="47"/>
      <c r="AH3" s="47"/>
    </row>
    <row r="4" spans="1:34" x14ac:dyDescent="0.3">
      <c r="A4" s="58" t="s">
        <v>693</v>
      </c>
      <c r="B4" s="59" t="s">
        <v>9</v>
      </c>
      <c r="C4" s="60">
        <v>9</v>
      </c>
      <c r="D4" s="4">
        <f>D$34*Q4</f>
        <v>13.196013600000011</v>
      </c>
      <c r="E4" s="4">
        <f t="shared" si="0"/>
        <v>8.2079204592000075</v>
      </c>
      <c r="F4" s="4">
        <f t="shared" si="1"/>
        <v>69.767323903200065</v>
      </c>
      <c r="G4" s="4">
        <f t="shared" ref="G4" si="7">E4*T4</f>
        <v>0.39398018204160035</v>
      </c>
      <c r="H4" s="4">
        <f t="shared" ref="H4" si="8">E4*U4</f>
        <v>0.47605938663360048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2.0000000000000018E-2</v>
      </c>
      <c r="R4" s="61">
        <v>0.622</v>
      </c>
      <c r="S4" s="62">
        <v>8.5</v>
      </c>
      <c r="T4" s="61">
        <v>4.8000000000000001E-2</v>
      </c>
      <c r="U4" s="61">
        <v>5.8000000000000003E-2</v>
      </c>
      <c r="V4" s="63">
        <v>3.47</v>
      </c>
      <c r="W4" s="43">
        <f t="shared" si="6"/>
        <v>0</v>
      </c>
      <c r="X4" s="61">
        <v>0</v>
      </c>
      <c r="Y4" s="64"/>
      <c r="Z4" s="65"/>
      <c r="AA4" s="1"/>
      <c r="AB4" s="1"/>
      <c r="AC4" s="1"/>
      <c r="AE4" s="61">
        <f>1-AE3-AE2</f>
        <v>2.0000000000000018E-2</v>
      </c>
      <c r="AF4" s="61">
        <v>0</v>
      </c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58" t="s">
        <v>315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>D$37*W7</f>
        <v>314.37639603141486</v>
      </c>
      <c r="J7" s="4">
        <f>I7*V7</f>
        <v>1260.2493763707737</v>
      </c>
      <c r="K7" s="4">
        <f>I7*X7</f>
        <v>9.745668276973861</v>
      </c>
      <c r="L7" s="7">
        <f>((D$2+D$3+D$4)*AA7)</f>
        <v>90.392597467948804</v>
      </c>
      <c r="M7" s="4">
        <f t="shared" ref="M7:N9" si="9">L7*Y7</f>
        <v>68.273528867541728</v>
      </c>
      <c r="N7" s="4">
        <f t="shared" si="9"/>
        <v>426.02682013346038</v>
      </c>
      <c r="O7" s="4">
        <f>M7*AH7</f>
        <v>2.5092974256541307</v>
      </c>
      <c r="Q7" s="45"/>
      <c r="R7" s="45"/>
      <c r="S7" s="44"/>
      <c r="T7" s="45"/>
      <c r="U7" s="45"/>
      <c r="V7" s="63">
        <v>4.0087277298160773</v>
      </c>
      <c r="W7" s="43">
        <f t="shared" ref="W7:W12" si="10">(AF7/SUM(AF$2:AF$22))*0.98</f>
        <v>0.73284743896609006</v>
      </c>
      <c r="X7" s="237">
        <v>3.1E-2</v>
      </c>
      <c r="Y7" s="237">
        <v>0.75529999999999997</v>
      </c>
      <c r="Z7" s="63">
        <v>6.24</v>
      </c>
      <c r="AA7" s="43">
        <f>(AG7/SUM(AG$7:AG$27))*0.98</f>
        <v>0.13699985496824404</v>
      </c>
      <c r="AB7" s="17">
        <v>9.4003088285339625E-2</v>
      </c>
      <c r="AC7" s="43">
        <f>(AH7/SUM(AH$7:AH$27))*0.98</f>
        <v>6.6115085962201753E-2</v>
      </c>
      <c r="AE7" s="47"/>
      <c r="AF7" s="61">
        <v>0.73299999999999998</v>
      </c>
      <c r="AG7" s="61">
        <v>0.13700000000000001</v>
      </c>
      <c r="AH7" s="61">
        <v>3.6753592018400692E-2</v>
      </c>
    </row>
    <row r="8" spans="1:34" x14ac:dyDescent="0.3">
      <c r="A8" s="77" t="s">
        <v>717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ref="I8:I12" si="11">D$37*W8</f>
        <v>27.02007223735216</v>
      </c>
      <c r="J8" s="4">
        <f>I8*V8</f>
        <v>101.27457104372917</v>
      </c>
      <c r="K8" s="4">
        <f>I8*X8</f>
        <v>0.88027026790056295</v>
      </c>
      <c r="L8" s="7">
        <f>((D$2+D$3+D$4)*AA8)</f>
        <v>4.6185998706251219</v>
      </c>
      <c r="M8" s="4">
        <f t="shared" si="9"/>
        <v>2.6589279455188826</v>
      </c>
      <c r="N8" s="4">
        <f t="shared" si="9"/>
        <v>16.059924790934051</v>
      </c>
      <c r="O8" s="4">
        <f t="shared" ref="O8:O12" si="12">M8*AH8</f>
        <v>7.9767838365566474E-2</v>
      </c>
      <c r="Q8" s="45"/>
      <c r="R8" s="45"/>
      <c r="S8" s="44"/>
      <c r="T8" s="45"/>
      <c r="U8" s="45"/>
      <c r="V8" s="63">
        <v>3.7481236228424533</v>
      </c>
      <c r="W8" s="43">
        <f t="shared" si="10"/>
        <v>6.2986887660114149E-2</v>
      </c>
      <c r="X8" s="237">
        <v>3.2578383217040034E-2</v>
      </c>
      <c r="Y8" s="237">
        <v>0.57569999999999999</v>
      </c>
      <c r="Z8" s="63">
        <v>6.04</v>
      </c>
      <c r="AA8" s="43">
        <f t="shared" ref="AA8:AA12" si="13">(AG8/SUM(AG$7:AG$27))*0.98</f>
        <v>6.9999925896183091E-3</v>
      </c>
      <c r="AB8" s="17">
        <v>1.7081766775947718E-2</v>
      </c>
      <c r="AC8" s="43">
        <f t="shared" ref="AC8:AC12" si="14">(AH8/SUM(AH$7:AH$27))*0.98</f>
        <v>5.3966223978136253E-2</v>
      </c>
      <c r="AE8" s="47"/>
      <c r="AF8" s="61">
        <v>6.3E-2</v>
      </c>
      <c r="AG8" s="61">
        <v>7.0000000000000001E-3</v>
      </c>
      <c r="AH8" s="61">
        <v>0.03</v>
      </c>
    </row>
    <row r="9" spans="1:34" x14ac:dyDescent="0.3">
      <c r="A9" s="77" t="s">
        <v>716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11"/>
        <v>4.7177903906487897</v>
      </c>
      <c r="J9" s="4">
        <f>I9*V9</f>
        <v>20.177526773745228</v>
      </c>
      <c r="K9" s="4">
        <f>I9*X9</f>
        <v>0.19239412543376044</v>
      </c>
      <c r="L9" s="7">
        <f>((D$2+D$3+D$4)*AA9)</f>
        <v>5.9381998336608692</v>
      </c>
      <c r="M9" s="4">
        <f t="shared" si="9"/>
        <v>3.5706395599802803</v>
      </c>
      <c r="N9" s="4">
        <f t="shared" si="9"/>
        <v>25.666146934556107</v>
      </c>
      <c r="O9" s="4">
        <f t="shared" si="12"/>
        <v>9.6407268119467565E-2</v>
      </c>
      <c r="Q9" s="45"/>
      <c r="R9" s="45"/>
      <c r="S9" s="44"/>
      <c r="T9" s="45"/>
      <c r="U9" s="45"/>
      <c r="V9" s="63">
        <v>4.2769019186904611</v>
      </c>
      <c r="W9" s="43">
        <f t="shared" si="10"/>
        <v>1.0997710543829455E-2</v>
      </c>
      <c r="X9" s="237">
        <v>4.0780558164497521E-2</v>
      </c>
      <c r="Y9" s="237">
        <v>0.60129999999999995</v>
      </c>
      <c r="Z9" s="63">
        <v>7.1881091617933723</v>
      </c>
      <c r="AA9" s="43">
        <f t="shared" si="13"/>
        <v>8.9999904723663954E-3</v>
      </c>
      <c r="AB9" s="17">
        <v>1.4118777251519742E-2</v>
      </c>
      <c r="AC9" s="43">
        <f t="shared" si="14"/>
        <v>4.8569601580322627E-2</v>
      </c>
      <c r="AE9" s="47"/>
      <c r="AF9" s="61">
        <v>1.0999999999999999E-2</v>
      </c>
      <c r="AG9" s="61">
        <v>8.9999999999999993E-3</v>
      </c>
      <c r="AH9" s="61">
        <v>2.7E-2</v>
      </c>
    </row>
    <row r="10" spans="1:34" x14ac:dyDescent="0.3">
      <c r="A10" s="58" t="s">
        <v>843</v>
      </c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11"/>
        <v>7.720020639243474</v>
      </c>
      <c r="J10" s="4">
        <f t="shared" ref="J10:J12" si="15">I10*V10</f>
        <v>30.648481937796593</v>
      </c>
      <c r="K10" s="4">
        <f t="shared" ref="K10:K12" si="16">I10*X10</f>
        <v>0.26325270379820243</v>
      </c>
      <c r="L10" s="7">
        <f t="shared" ref="L10:L12" si="17">((D$2+D$3+D$4)*AA10)</f>
        <v>7.9175997782144929</v>
      </c>
      <c r="M10" s="4">
        <f t="shared" ref="M10:N10" si="18">L10*Y10</f>
        <v>4.7062213081706945</v>
      </c>
      <c r="N10" s="4">
        <f t="shared" si="18"/>
        <v>30.684562929272925</v>
      </c>
      <c r="O10" s="4">
        <f t="shared" si="12"/>
        <v>0.14589286055329154</v>
      </c>
      <c r="Q10" s="45"/>
      <c r="R10" s="45"/>
      <c r="S10" s="44"/>
      <c r="T10" s="45"/>
      <c r="U10" s="45"/>
      <c r="V10" s="63">
        <v>3.97</v>
      </c>
      <c r="W10" s="43">
        <f t="shared" si="10"/>
        <v>1.7996253617175471E-2</v>
      </c>
      <c r="X10" s="237">
        <v>3.4099999999999998E-2</v>
      </c>
      <c r="Y10" s="237">
        <v>0.59440000000000004</v>
      </c>
      <c r="Z10" s="63">
        <v>6.52</v>
      </c>
      <c r="AA10" s="43">
        <f t="shared" si="13"/>
        <v>1.1999987296488528E-2</v>
      </c>
      <c r="AB10" s="17">
        <v>1.3379236892567929E-2</v>
      </c>
      <c r="AC10" s="43">
        <f t="shared" si="14"/>
        <v>5.5765098110740791E-2</v>
      </c>
      <c r="AE10" s="47"/>
      <c r="AF10" s="61">
        <v>1.7999999999999999E-2</v>
      </c>
      <c r="AG10" s="61">
        <v>1.2E-2</v>
      </c>
      <c r="AH10" s="61">
        <v>3.1E-2</v>
      </c>
    </row>
    <row r="11" spans="1:34" x14ac:dyDescent="0.3"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11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0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2.3577489377191441E-2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11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0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186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6.1625440311148134</v>
      </c>
      <c r="J15" s="4">
        <f t="shared" ref="J15:J22" si="22">I15*V15</f>
        <v>46.001830129884716</v>
      </c>
      <c r="K15" s="4">
        <f t="shared" ref="K15:K22" si="23">I15*X15</f>
        <v>0</v>
      </c>
      <c r="L15" s="7">
        <f t="shared" ref="L15:L20" si="24">((D$2+D$3+D$4)*AA15)</f>
        <v>158.35199556428987</v>
      </c>
      <c r="M15" s="4">
        <f t="shared" ref="M15:N19" si="25">L15*Y15</f>
        <v>100.58518758243692</v>
      </c>
      <c r="N15" s="4">
        <f t="shared" si="25"/>
        <v>1066.2029883738312</v>
      </c>
      <c r="O15" s="4">
        <f t="shared" ref="O15:O22" si="26">M15*AH15</f>
        <v>6.6010038950483434</v>
      </c>
      <c r="Q15" s="45"/>
      <c r="R15" s="45"/>
      <c r="S15" s="44"/>
      <c r="T15" s="45"/>
      <c r="U15" s="45"/>
      <c r="V15" s="63">
        <v>7.4647466853981923</v>
      </c>
      <c r="W15" s="43">
        <f t="shared" ref="W15:W22" si="27">(AF15/SUM(AF$2:AF$22))*0.98</f>
        <v>1.4365596996878107E-2</v>
      </c>
      <c r="X15" s="237">
        <v>0</v>
      </c>
      <c r="Y15" s="237">
        <v>0.63519999999999999</v>
      </c>
      <c r="Z15" s="63">
        <v>10.6</v>
      </c>
      <c r="AA15" s="43">
        <f t="shared" ref="AA15:AA22" si="28">(AG15/SUM(AG$7:AG$27))*0.98</f>
        <v>0.23999974592977058</v>
      </c>
      <c r="AB15" s="17">
        <v>0.19282410575076411</v>
      </c>
      <c r="AC15" s="43">
        <f t="shared" ref="AC15:AC22" si="29">(AH15/SUM(AH$7:AH$27))*0.98</f>
        <v>0.11805292052860539</v>
      </c>
      <c r="AE15" s="47"/>
      <c r="AF15" s="61">
        <v>1.436858756519294E-2</v>
      </c>
      <c r="AG15" s="61">
        <v>0.24</v>
      </c>
      <c r="AH15" s="61">
        <v>6.5626003725830287E-2</v>
      </c>
    </row>
    <row r="16" spans="1:34" x14ac:dyDescent="0.3">
      <c r="A16" s="66" t="s">
        <v>225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15.659051978966293</v>
      </c>
      <c r="J16" s="4">
        <f t="shared" si="22"/>
        <v>97.468731355937607</v>
      </c>
      <c r="K16" s="4">
        <f t="shared" si="23"/>
        <v>0.46371939895209363</v>
      </c>
      <c r="L16" s="7">
        <f t="shared" si="24"/>
        <v>102.26899713527055</v>
      </c>
      <c r="M16" s="4">
        <f t="shared" si="25"/>
        <v>54.632098269661533</v>
      </c>
      <c r="N16" s="4">
        <f t="shared" si="25"/>
        <v>760.47880791368857</v>
      </c>
      <c r="O16" s="4">
        <f t="shared" si="26"/>
        <v>3.0593975031010459</v>
      </c>
      <c r="Q16" s="45"/>
      <c r="R16" s="45"/>
      <c r="S16" s="44"/>
      <c r="T16" s="45"/>
      <c r="U16" s="45"/>
      <c r="V16" s="63">
        <v>6.2244337324418186</v>
      </c>
      <c r="W16" s="43">
        <f t="shared" si="27"/>
        <v>3.6503046298283777E-2</v>
      </c>
      <c r="X16" s="237">
        <v>2.9613504034278409E-2</v>
      </c>
      <c r="Y16" s="237">
        <v>0.53420000000000001</v>
      </c>
      <c r="Z16" s="63">
        <v>13.92</v>
      </c>
      <c r="AA16" s="43">
        <f t="shared" si="28"/>
        <v>0.15499983591297684</v>
      </c>
      <c r="AB16" s="17">
        <v>0.15216714264823544</v>
      </c>
      <c r="AC16" s="43">
        <f t="shared" si="29"/>
        <v>0.10073695142585434</v>
      </c>
      <c r="AE16" s="47"/>
      <c r="AF16" s="61">
        <v>3.6510645345763551E-2</v>
      </c>
      <c r="AG16" s="61">
        <v>0.155</v>
      </c>
      <c r="AH16" s="61">
        <v>5.6000000000000001E-2</v>
      </c>
    </row>
    <row r="17" spans="1:34" x14ac:dyDescent="0.3">
      <c r="A17" s="66" t="s">
        <v>653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96.990597283127542</v>
      </c>
      <c r="M17" s="4">
        <f t="shared" si="25"/>
        <v>57.418433591611503</v>
      </c>
      <c r="N17" s="4">
        <f t="shared" si="25"/>
        <v>752.75566438602675</v>
      </c>
      <c r="O17" s="4">
        <f t="shared" si="26"/>
        <v>3.5599428826799131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0.59199999999999997</v>
      </c>
      <c r="Z17" s="63">
        <v>13.11</v>
      </c>
      <c r="AA17" s="43">
        <f t="shared" si="28"/>
        <v>0.14699984438198446</v>
      </c>
      <c r="AB17" s="17">
        <v>0.19103445530097071</v>
      </c>
      <c r="AC17" s="43">
        <f t="shared" si="29"/>
        <v>0.11153019622148158</v>
      </c>
      <c r="AE17" s="47"/>
      <c r="AF17" s="61">
        <v>0</v>
      </c>
      <c r="AG17" s="61">
        <v>0.14699999999999999</v>
      </c>
      <c r="AH17" s="61">
        <v>6.2E-2</v>
      </c>
    </row>
    <row r="18" spans="1:34" x14ac:dyDescent="0.3">
      <c r="A18" s="66" t="s">
        <v>654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44.86639874321547</v>
      </c>
      <c r="M18" s="4">
        <f t="shared" si="25"/>
        <v>29.194565662210305</v>
      </c>
      <c r="N18" s="4">
        <f t="shared" si="25"/>
        <v>310.99609191978112</v>
      </c>
      <c r="O18" s="4">
        <f t="shared" si="26"/>
        <v>1.255366323475043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0.65069999999999995</v>
      </c>
      <c r="Z18" s="63">
        <v>10.65253360910031</v>
      </c>
      <c r="AA18" s="43">
        <f t="shared" si="28"/>
        <v>6.7999928013435004E-2</v>
      </c>
      <c r="AB18" s="17">
        <v>7.5978874302309263E-2</v>
      </c>
      <c r="AC18" s="43">
        <f t="shared" si="29"/>
        <v>7.7351587701995295E-2</v>
      </c>
      <c r="AE18" s="47"/>
      <c r="AF18" s="61">
        <v>0</v>
      </c>
      <c r="AG18" s="61">
        <v>6.8000000000000005E-2</v>
      </c>
      <c r="AH18" s="61">
        <v>4.2999999999999997E-2</v>
      </c>
    </row>
    <row r="19" spans="1:34" x14ac:dyDescent="0.3">
      <c r="A19" s="58" t="s">
        <v>25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23.752799334643477</v>
      </c>
      <c r="M19" s="4">
        <f t="shared" si="25"/>
        <v>13.900138170633364</v>
      </c>
      <c r="N19" s="4">
        <f t="shared" si="25"/>
        <v>172.22271193414738</v>
      </c>
      <c r="O19" s="4">
        <f t="shared" si="26"/>
        <v>0.52125518139875116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0.58520000000000005</v>
      </c>
      <c r="Z19" s="63">
        <v>12.39</v>
      </c>
      <c r="AA19" s="43">
        <f t="shared" si="28"/>
        <v>3.5999961889465582E-2</v>
      </c>
      <c r="AB19" s="17">
        <v>2.5459916688375248E-2</v>
      </c>
      <c r="AC19" s="43">
        <f t="shared" si="29"/>
        <v>6.7457779972670315E-2</v>
      </c>
      <c r="AE19" s="47"/>
      <c r="AF19" s="61">
        <v>0</v>
      </c>
      <c r="AG19" s="61">
        <v>3.5999999999999997E-2</v>
      </c>
      <c r="AH19" s="61">
        <v>3.7499999999999999E-2</v>
      </c>
    </row>
    <row r="20" spans="1:34" x14ac:dyDescent="0.3"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0</v>
      </c>
      <c r="M20" s="4">
        <f t="shared" ref="M20:N20" si="30">L20*Y20</f>
        <v>0</v>
      </c>
      <c r="N20" s="4">
        <f t="shared" si="30"/>
        <v>0</v>
      </c>
      <c r="O20" s="4">
        <f t="shared" si="26"/>
        <v>0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</v>
      </c>
      <c r="Z20" s="63">
        <v>0</v>
      </c>
      <c r="AA20" s="43">
        <f t="shared" si="28"/>
        <v>0</v>
      </c>
      <c r="AB20" s="17">
        <v>1.3006363201804224E-2</v>
      </c>
      <c r="AC20" s="43">
        <f t="shared" si="29"/>
        <v>0</v>
      </c>
      <c r="AE20" s="47"/>
      <c r="AF20" s="61">
        <v>0</v>
      </c>
      <c r="AG20" s="61">
        <v>0</v>
      </c>
      <c r="AH20" s="61">
        <v>0</v>
      </c>
    </row>
    <row r="21" spans="1:34" x14ac:dyDescent="0.3"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293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98.310197246163298</v>
      </c>
      <c r="M24" s="4">
        <f t="shared" ref="M24:N27" si="34">L24*Y24</f>
        <v>62.928357257269127</v>
      </c>
      <c r="N24" s="4">
        <f t="shared" si="34"/>
        <v>596.56082679891131</v>
      </c>
      <c r="O24" s="4">
        <f t="shared" ref="O24:O27" si="35">M24*AH24</f>
        <v>6.0322920479128053</v>
      </c>
      <c r="Q24" s="45"/>
      <c r="R24" s="45"/>
      <c r="S24" s="44"/>
      <c r="T24" s="45"/>
      <c r="U24" s="45"/>
      <c r="V24" s="46"/>
      <c r="W24" s="46"/>
      <c r="X24" s="45"/>
      <c r="Y24" s="237">
        <v>0.6401</v>
      </c>
      <c r="Z24" s="236">
        <v>9.48</v>
      </c>
      <c r="AA24" s="43">
        <f t="shared" ref="AA24:AA27" si="36">(AG24/SUM(AG$7:AG$27))*0.98</f>
        <v>0.14899984226473256</v>
      </c>
      <c r="AB24" s="17">
        <v>0.10219297467587733</v>
      </c>
      <c r="AC24" s="43">
        <f t="shared" ref="AC24:AC27" si="37">(AH24/SUM(AH$7:AH$27))*0.98</f>
        <v>0.17243949466125524</v>
      </c>
      <c r="AE24" s="47"/>
      <c r="AF24" s="47"/>
      <c r="AG24" s="61">
        <v>0.14899999999999999</v>
      </c>
      <c r="AH24" s="61">
        <v>9.5859677748317343E-2</v>
      </c>
    </row>
    <row r="25" spans="1:34" x14ac:dyDescent="0.3">
      <c r="A25" s="58" t="s">
        <v>294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13.196684142840397</v>
      </c>
      <c r="M25" s="4">
        <f t="shared" si="34"/>
        <v>7.9034941331471131</v>
      </c>
      <c r="N25" s="4">
        <f t="shared" si="34"/>
        <v>79.667220862122903</v>
      </c>
      <c r="O25" s="4">
        <f t="shared" si="35"/>
        <v>0.47457260983191052</v>
      </c>
      <c r="Q25" s="45"/>
      <c r="R25" s="45"/>
      <c r="S25" s="44"/>
      <c r="T25" s="45"/>
      <c r="U25" s="45"/>
      <c r="V25" s="46"/>
      <c r="W25" s="46"/>
      <c r="X25" s="45"/>
      <c r="Y25" s="237">
        <v>0.59889999999999999</v>
      </c>
      <c r="Z25" s="236">
        <v>10.08</v>
      </c>
      <c r="AA25" s="43">
        <f t="shared" si="36"/>
        <v>2.0001016280917435E-2</v>
      </c>
      <c r="AB25" s="17">
        <v>5.1876755570689152E-2</v>
      </c>
      <c r="AC25" s="43">
        <f t="shared" si="37"/>
        <v>0.10801505985673657</v>
      </c>
      <c r="AE25" s="47"/>
      <c r="AF25" s="47"/>
      <c r="AG25" s="61">
        <v>2.0001037454534829E-2</v>
      </c>
      <c r="AH25" s="61">
        <v>6.0045924225028711E-2</v>
      </c>
    </row>
    <row r="26" spans="1:34" x14ac:dyDescent="0.3"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0</v>
      </c>
      <c r="M26" s="4">
        <f t="shared" si="34"/>
        <v>0</v>
      </c>
      <c r="N26" s="4">
        <f t="shared" si="34"/>
        <v>0</v>
      </c>
      <c r="O26" s="4">
        <f t="shared" si="35"/>
        <v>0</v>
      </c>
      <c r="Q26" s="45"/>
      <c r="R26" s="45"/>
      <c r="S26" s="44"/>
      <c r="T26" s="45"/>
      <c r="U26" s="45"/>
      <c r="V26" s="46"/>
      <c r="W26" s="46"/>
      <c r="X26" s="45"/>
      <c r="Y26" s="237">
        <v>0</v>
      </c>
      <c r="Z26" s="236">
        <v>0</v>
      </c>
      <c r="AA26" s="43">
        <f t="shared" si="36"/>
        <v>0</v>
      </c>
      <c r="AB26" s="17">
        <v>8.2990532784079935E-3</v>
      </c>
      <c r="AC26" s="43">
        <f t="shared" si="37"/>
        <v>0</v>
      </c>
      <c r="AE26" s="47"/>
      <c r="AF26" s="47"/>
      <c r="AG26" s="61">
        <v>0</v>
      </c>
      <c r="AH26" s="61">
        <v>0</v>
      </c>
    </row>
    <row r="27" spans="1:34" x14ac:dyDescent="0.3"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0.9800000000000002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0.97499999999999987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0.98020401219310083</v>
      </c>
      <c r="AG30" s="28">
        <f>SUM(AG7:AG27)</f>
        <v>0.98000103745453504</v>
      </c>
    </row>
    <row r="31" spans="1:34" s="86" customFormat="1" x14ac:dyDescent="0.3">
      <c r="A31" s="102"/>
      <c r="B31" s="80"/>
      <c r="C31" s="80"/>
      <c r="D31" s="105">
        <v>1088.78</v>
      </c>
      <c r="E31" s="106">
        <v>0.60599999999999998</v>
      </c>
      <c r="F31" s="8">
        <f>1-E31</f>
        <v>0.39400000000000002</v>
      </c>
      <c r="G31" s="234">
        <v>4.03</v>
      </c>
      <c r="H31" s="275">
        <v>3.1199999999999999E-2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659.80067999999994</v>
      </c>
      <c r="E34" s="2">
        <f>SUM(E2:E4)</f>
        <v>406.60876705679999</v>
      </c>
      <c r="F34" s="2">
        <f>SUM(F2:F4)</f>
        <v>4238.7456321117597</v>
      </c>
      <c r="G34" s="2">
        <f>SUM(G2:G4)</f>
        <v>24.392870727640798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428.97932000000003</v>
      </c>
      <c r="E37" s="2">
        <f>D37*G31</f>
        <v>1728.7866596000001</v>
      </c>
      <c r="F37" s="2">
        <f>D37*H31</f>
        <v>13.384154784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420.39973360000016</v>
      </c>
      <c r="E40" s="3">
        <f>SUM(J2:J4,J7:J12,J15:J22)</f>
        <v>1728.6531094895684</v>
      </c>
      <c r="F40" s="3">
        <f>SUM(K2:K4,K7:K12,K15:K22)</f>
        <v>13.191321710271843</v>
      </c>
      <c r="G40" s="3">
        <f>SUM(L7:L12,L15:L22,L24:L27)</f>
        <v>646.60466639999981</v>
      </c>
      <c r="H40" s="3">
        <f>SUM(M7:M12,M15:M22,M24:M27)</f>
        <v>405.7715923481814</v>
      </c>
      <c r="I40" s="3">
        <f>SUM(N7:N12,N15:N22,N24:N27)</f>
        <v>4237.3217669767328</v>
      </c>
      <c r="J40" s="3">
        <f>SUM(O7:O12,O15:O22,O24:O27)</f>
        <v>24.335195836140269</v>
      </c>
    </row>
    <row r="41" spans="1:32" ht="14.4" thickTop="1" x14ac:dyDescent="0.3">
      <c r="D41" s="50">
        <f>D37-D40</f>
        <v>8.5795863999998687</v>
      </c>
      <c r="E41" s="50">
        <f>E37-E40</f>
        <v>0.13355011043177001</v>
      </c>
      <c r="F41" s="50">
        <f>F37-F40</f>
        <v>0.19283307372815628</v>
      </c>
      <c r="G41" s="50">
        <f>SUM(D2:D4)-G40</f>
        <v>13.196013600000242</v>
      </c>
      <c r="H41" s="50">
        <f>E34-H40</f>
        <v>0.83717470861859056</v>
      </c>
      <c r="I41" s="50">
        <f>F34-I40</f>
        <v>1.423865135026972</v>
      </c>
      <c r="J41" s="50">
        <f>G34-J40</f>
        <v>5.7674891500528958E-2</v>
      </c>
    </row>
  </sheetData>
  <sheetProtection sheet="1" selectLockedCells="1"/>
  <conditionalFormatting sqref="AA30:AB30 AD30:AF30">
    <cfRule type="cellIs" dxfId="197" priority="14" operator="greaterThan">
      <formula>1</formula>
    </cfRule>
    <cfRule type="cellIs" dxfId="196" priority="15" operator="greaterThan">
      <formula>1</formula>
    </cfRule>
  </conditionalFormatting>
  <conditionalFormatting sqref="AC30">
    <cfRule type="cellIs" dxfId="195" priority="10" operator="greaterThan">
      <formula>1</formula>
    </cfRule>
    <cfRule type="cellIs" dxfId="194" priority="11" operator="greaterThan">
      <formula>1</formula>
    </cfRule>
  </conditionalFormatting>
  <conditionalFormatting sqref="AG30">
    <cfRule type="cellIs" dxfId="193" priority="8" operator="greaterThan">
      <formula>1</formula>
    </cfRule>
    <cfRule type="cellIs" dxfId="192" priority="9" operator="greaterThan">
      <formula>1</formula>
    </cfRule>
  </conditionalFormatting>
  <conditionalFormatting sqref="W30">
    <cfRule type="cellIs" dxfId="191" priority="2" operator="greaterThan">
      <formula>1</formula>
    </cfRule>
    <cfRule type="cellIs" dxfId="190" priority="3" operator="greaterThan">
      <formula>1</formula>
    </cfRule>
  </conditionalFormatting>
  <conditionalFormatting sqref="D41:J41">
    <cfRule type="cellIs" dxfId="189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A50021"/>
  </sheetPr>
  <dimension ref="A1:AH43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278</v>
      </c>
      <c r="B2" s="59" t="s">
        <v>9</v>
      </c>
      <c r="C2" s="60">
        <v>9</v>
      </c>
      <c r="D2" s="4">
        <f>D$34*Q2</f>
        <v>531.85365780000006</v>
      </c>
      <c r="E2" s="4">
        <f>D2*R2</f>
        <v>331.34482880940004</v>
      </c>
      <c r="F2" s="4">
        <f>E2*S2</f>
        <v>4055.6607046270565</v>
      </c>
      <c r="G2" s="4">
        <f>E2*T2</f>
        <v>24.48638284901466</v>
      </c>
      <c r="H2" s="4">
        <f>E2*U2</f>
        <v>13.585137981185403</v>
      </c>
      <c r="I2" s="4">
        <f>D$37*W2</f>
        <v>119.92000593798524</v>
      </c>
      <c r="J2" s="4">
        <f>I2*V2</f>
        <v>600.79922974930605</v>
      </c>
      <c r="K2" s="4">
        <f>I2*X2</f>
        <v>5.1565602553333649</v>
      </c>
      <c r="L2" s="44"/>
      <c r="M2" s="44"/>
      <c r="N2" s="44"/>
      <c r="O2" s="44"/>
      <c r="Q2" s="43">
        <f>AE2</f>
        <v>0.97</v>
      </c>
      <c r="R2" s="61">
        <v>0.623</v>
      </c>
      <c r="S2" s="236">
        <v>12.24</v>
      </c>
      <c r="T2" s="237">
        <v>7.3899999999999993E-2</v>
      </c>
      <c r="U2" s="61">
        <v>4.1000000000000002E-2</v>
      </c>
      <c r="V2" s="236">
        <v>5.01</v>
      </c>
      <c r="W2" s="43">
        <f>(AF2/SUM(AF$2:AF$22))*0.98</f>
        <v>0.2359899491310726</v>
      </c>
      <c r="X2" s="61">
        <v>4.2999999999999997E-2</v>
      </c>
      <c r="Y2" s="64"/>
      <c r="Z2" s="65"/>
      <c r="AA2" s="1"/>
      <c r="AB2" s="1"/>
      <c r="AC2" s="1"/>
      <c r="AE2" s="61">
        <v>0.97</v>
      </c>
      <c r="AF2" s="61">
        <v>0.23599999999999999</v>
      </c>
      <c r="AG2" s="47"/>
      <c r="AH2" s="47"/>
    </row>
    <row r="3" spans="1:34" x14ac:dyDescent="0.3">
      <c r="A3" s="58" t="s">
        <v>11</v>
      </c>
      <c r="B3" s="59" t="s">
        <v>9</v>
      </c>
      <c r="C3" s="60">
        <v>9</v>
      </c>
      <c r="D3" s="4">
        <f>D$34*Q3</f>
        <v>16.449082200000017</v>
      </c>
      <c r="E3" s="4">
        <f t="shared" ref="E3:E4" si="0">D3*R3</f>
        <v>11.201824978200012</v>
      </c>
      <c r="F3" s="4">
        <f t="shared" ref="F3:F4" si="1">E3*S3</f>
        <v>136.21419173491213</v>
      </c>
      <c r="G3" s="4">
        <f t="shared" ref="G3" si="2">E3*T3</f>
        <v>0.9964014665148806</v>
      </c>
      <c r="H3" s="4">
        <f t="shared" ref="H3" si="3">E3*U3</f>
        <v>0.47047664908440051</v>
      </c>
      <c r="I3" s="4">
        <f t="shared" ref="I3:I4" si="4">D$37*W3</f>
        <v>2.87592393428673</v>
      </c>
      <c r="J3" s="4">
        <f>I3*V3</f>
        <v>11.110734397402643</v>
      </c>
      <c r="K3" s="4">
        <f>I3*X3</f>
        <v>0.17830728392577727</v>
      </c>
      <c r="L3" s="44"/>
      <c r="M3" s="44"/>
      <c r="N3" s="44"/>
      <c r="O3" s="44"/>
      <c r="Q3" s="43">
        <f t="shared" ref="Q3:Q4" si="5">AE3</f>
        <v>3.0000000000000027E-2</v>
      </c>
      <c r="R3" s="61">
        <v>0.68100000000000005</v>
      </c>
      <c r="S3" s="236">
        <v>12.16</v>
      </c>
      <c r="T3" s="237">
        <v>8.8949922754014449E-2</v>
      </c>
      <c r="U3" s="61">
        <v>4.2000000000000003E-2</v>
      </c>
      <c r="V3" s="236">
        <v>3.8633617061079413</v>
      </c>
      <c r="W3" s="43">
        <f t="shared" ref="W3:W4" si="6">(AF3/SUM(AF$2:AF$22))*0.98</f>
        <v>5.6595155883175418E-3</v>
      </c>
      <c r="X3" s="61">
        <v>6.2E-2</v>
      </c>
      <c r="Y3" s="64"/>
      <c r="Z3" s="65"/>
      <c r="AA3" s="1"/>
      <c r="AB3" s="1"/>
      <c r="AC3" s="1"/>
      <c r="AE3" s="61">
        <f>1-AE2</f>
        <v>3.0000000000000027E-2</v>
      </c>
      <c r="AF3" s="61">
        <v>5.6597566284532766E-3</v>
      </c>
      <c r="AG3" s="47"/>
      <c r="AH3" s="47"/>
    </row>
    <row r="4" spans="1:34" x14ac:dyDescent="0.3">
      <c r="B4" s="59" t="s">
        <v>9</v>
      </c>
      <c r="C4" s="60">
        <v>9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319</v>
      </c>
      <c r="B7" s="59" t="s">
        <v>357</v>
      </c>
      <c r="C7" s="60">
        <v>9</v>
      </c>
      <c r="D7" s="44"/>
      <c r="E7" s="44"/>
      <c r="F7" s="44"/>
      <c r="G7" s="44"/>
      <c r="H7" s="44"/>
      <c r="I7" s="4">
        <f t="shared" ref="I7:I12" si="9">D$37*W7</f>
        <v>243.90509682302084</v>
      </c>
      <c r="J7" s="4">
        <f>I7*V7</f>
        <v>1047.6730162378904</v>
      </c>
      <c r="K7" s="4">
        <f>I7*X7</f>
        <v>7.6098390208782503</v>
      </c>
      <c r="L7" s="7">
        <f>((D$2+D$3+D$4)*AA7)</f>
        <v>23.020022009540362</v>
      </c>
      <c r="M7" s="4">
        <f t="shared" ref="M7:N9" si="10">L7*Y7</f>
        <v>15.913741215195254</v>
      </c>
      <c r="N7" s="4">
        <f t="shared" si="10"/>
        <v>108.53171508763164</v>
      </c>
      <c r="O7" s="4">
        <f>M7*AH7</f>
        <v>0.66235787645763544</v>
      </c>
      <c r="Q7" s="45"/>
      <c r="R7" s="45"/>
      <c r="S7" s="44"/>
      <c r="T7" s="45"/>
      <c r="U7" s="45"/>
      <c r="V7" s="63">
        <v>4.2954125595747135</v>
      </c>
      <c r="W7" s="43">
        <f t="shared" ref="W7:W12" si="11">(AF7/SUM(AF$2:AF$22))*0.98</f>
        <v>0.47997955755472399</v>
      </c>
      <c r="X7" s="237">
        <v>3.1199999999999999E-2</v>
      </c>
      <c r="Y7" s="237">
        <v>0.69130000000000003</v>
      </c>
      <c r="Z7" s="63">
        <v>6.82</v>
      </c>
      <c r="AA7" s="43">
        <f>(AG7/SUM(AG$7:AG$27))*0.98</f>
        <v>4.1984145491485887E-2</v>
      </c>
      <c r="AB7" s="17">
        <v>6.0223142452124193E-2</v>
      </c>
      <c r="AC7" s="43">
        <f>(AH7/SUM(AH$7:AH$27))*0.98</f>
        <v>4.6244333563921915E-2</v>
      </c>
      <c r="AE7" s="47"/>
      <c r="AF7" s="61">
        <v>0.48</v>
      </c>
      <c r="AG7" s="61">
        <v>4.2000000000000003E-2</v>
      </c>
      <c r="AH7" s="61">
        <v>4.1621757417117121E-2</v>
      </c>
    </row>
    <row r="8" spans="1:34" x14ac:dyDescent="0.3">
      <c r="A8" s="77" t="s">
        <v>498</v>
      </c>
      <c r="B8" s="59" t="s">
        <v>357</v>
      </c>
      <c r="C8" s="60">
        <v>9</v>
      </c>
      <c r="D8" s="44"/>
      <c r="E8" s="44"/>
      <c r="F8" s="44"/>
      <c r="G8" s="44"/>
      <c r="H8" s="44"/>
      <c r="I8" s="4">
        <f t="shared" si="9"/>
        <v>28.963730247733729</v>
      </c>
      <c r="J8" s="4">
        <f>I8*V8</f>
        <v>114.40673447854823</v>
      </c>
      <c r="K8" s="4">
        <f>I8*X8</f>
        <v>1.1937025940378592</v>
      </c>
      <c r="L8" s="7">
        <f>((D$2+D$3+D$4)*AA8)</f>
        <v>7.1252449077148734</v>
      </c>
      <c r="M8" s="4">
        <f t="shared" si="10"/>
        <v>4.930669476138692</v>
      </c>
      <c r="N8" s="4">
        <f t="shared" si="10"/>
        <v>31.049879091805149</v>
      </c>
      <c r="O8" s="4">
        <f t="shared" ref="O8:O12" si="12">M8*AH8</f>
        <v>7.8154703543900139E-2</v>
      </c>
      <c r="Q8" s="45"/>
      <c r="R8" s="45"/>
      <c r="S8" s="44"/>
      <c r="T8" s="45"/>
      <c r="U8" s="45"/>
      <c r="V8" s="63">
        <v>3.95</v>
      </c>
      <c r="W8" s="43">
        <f t="shared" si="11"/>
        <v>5.6997572459623481E-2</v>
      </c>
      <c r="X8" s="237">
        <v>4.1213703615792394E-2</v>
      </c>
      <c r="Y8" s="237">
        <v>0.69199999999999995</v>
      </c>
      <c r="Z8" s="63">
        <v>6.2972947673874389</v>
      </c>
      <c r="AA8" s="43">
        <f t="shared" ref="AA8:AA12" si="13">(AG8/SUM(AG$7:AG$27))*0.98</f>
        <v>1.2995092652126583E-2</v>
      </c>
      <c r="AB8" s="17">
        <v>4.9307936449275558E-2</v>
      </c>
      <c r="AC8" s="43">
        <f t="shared" ref="AC8:AC12" si="14">(AH8/SUM(AH$7:AH$27))*0.98</f>
        <v>1.7611134771726183E-2</v>
      </c>
      <c r="AE8" s="47"/>
      <c r="AF8" s="61">
        <v>5.7000000000000002E-2</v>
      </c>
      <c r="AG8" s="61">
        <v>1.2999999999999999E-2</v>
      </c>
      <c r="AH8" s="61">
        <v>1.5850728571874317E-2</v>
      </c>
    </row>
    <row r="9" spans="1:34" x14ac:dyDescent="0.3">
      <c r="A9" s="58" t="s">
        <v>317</v>
      </c>
      <c r="B9" s="59" t="s">
        <v>357</v>
      </c>
      <c r="C9" s="60">
        <v>9</v>
      </c>
      <c r="D9" s="44"/>
      <c r="E9" s="44"/>
      <c r="F9" s="44"/>
      <c r="G9" s="44"/>
      <c r="H9" s="44"/>
      <c r="I9" s="4">
        <f t="shared" si="9"/>
        <v>10.670847986007162</v>
      </c>
      <c r="J9" s="4">
        <f>I9*V9</f>
        <v>43.323642823189076</v>
      </c>
      <c r="K9" s="4">
        <f>I9*X9</f>
        <v>0.24961047920484589</v>
      </c>
      <c r="L9" s="7">
        <f>((D$2+D$3+D$4)*AA9)</f>
        <v>4.0341004690152866</v>
      </c>
      <c r="M9" s="4">
        <f t="shared" si="10"/>
        <v>2.42530120197199</v>
      </c>
      <c r="N9" s="4">
        <f t="shared" si="10"/>
        <v>17.410197914156072</v>
      </c>
      <c r="O9" s="4">
        <f t="shared" si="12"/>
        <v>6.5829604053525462E-2</v>
      </c>
      <c r="Q9" s="45"/>
      <c r="R9" s="45"/>
      <c r="S9" s="44"/>
      <c r="T9" s="45"/>
      <c r="U9" s="45"/>
      <c r="V9" s="63">
        <v>4.0599999999999996</v>
      </c>
      <c r="W9" s="43">
        <f t="shared" si="11"/>
        <v>2.0999105643019177E-2</v>
      </c>
      <c r="X9" s="237">
        <v>2.3391812865497075E-2</v>
      </c>
      <c r="Y9" s="237">
        <v>0.60119999999999996</v>
      </c>
      <c r="Z9" s="63">
        <v>7.1785714285714297</v>
      </c>
      <c r="AA9" s="43">
        <f t="shared" si="13"/>
        <v>7.357432627484747E-3</v>
      </c>
      <c r="AB9" s="17">
        <v>6.8676840680918349E-3</v>
      </c>
      <c r="AC9" s="43">
        <f t="shared" si="14"/>
        <v>3.0157384442300338E-2</v>
      </c>
      <c r="AE9" s="47"/>
      <c r="AF9" s="61">
        <v>2.1000000000000001E-2</v>
      </c>
      <c r="AG9" s="61">
        <v>7.3602110210156607E-3</v>
      </c>
      <c r="AH9" s="61">
        <v>2.7142857142857149E-2</v>
      </c>
    </row>
    <row r="10" spans="1:34" x14ac:dyDescent="0.3">
      <c r="A10" s="58" t="s">
        <v>664</v>
      </c>
      <c r="B10" s="59" t="s">
        <v>357</v>
      </c>
      <c r="C10" s="60">
        <v>9</v>
      </c>
      <c r="D10" s="44"/>
      <c r="E10" s="44"/>
      <c r="F10" s="44"/>
      <c r="G10" s="44"/>
      <c r="H10" s="44"/>
      <c r="I10" s="4">
        <f t="shared" si="9"/>
        <v>31.504408339640197</v>
      </c>
      <c r="J10" s="4">
        <f t="shared" ref="J10:J12" si="15">I10*V10</f>
        <v>133.89373544347083</v>
      </c>
      <c r="K10" s="4">
        <f t="shared" ref="K10:K12" si="16">I10*X10</f>
        <v>0.96403489519299002</v>
      </c>
      <c r="L10" s="7">
        <f t="shared" ref="L10:L12" si="17">((D$2+D$3+D$4)*AA10)</f>
        <v>29.597171155123323</v>
      </c>
      <c r="M10" s="4">
        <f t="shared" ref="M10:N10" si="18">L10*Y10</f>
        <v>18.708371887153454</v>
      </c>
      <c r="N10" s="4">
        <f t="shared" si="18"/>
        <v>132.76640617766881</v>
      </c>
      <c r="O10" s="4">
        <f t="shared" si="12"/>
        <v>0.61647160020276648</v>
      </c>
      <c r="Q10" s="45"/>
      <c r="R10" s="45"/>
      <c r="S10" s="44"/>
      <c r="T10" s="45"/>
      <c r="U10" s="45"/>
      <c r="V10" s="63">
        <v>4.25</v>
      </c>
      <c r="W10" s="43">
        <f t="shared" si="11"/>
        <v>6.1997359517485189E-2</v>
      </c>
      <c r="X10" s="237">
        <v>3.0599999999999999E-2</v>
      </c>
      <c r="Y10" s="237">
        <v>0.6321</v>
      </c>
      <c r="Z10" s="63">
        <v>7.0966306944558868</v>
      </c>
      <c r="AA10" s="43">
        <f t="shared" si="13"/>
        <v>5.3979615631910428E-2</v>
      </c>
      <c r="AB10" s="17">
        <v>2.5186668471229221E-2</v>
      </c>
      <c r="AC10" s="43">
        <f t="shared" si="14"/>
        <v>3.6611303470953094E-2</v>
      </c>
      <c r="AE10" s="47"/>
      <c r="AF10" s="61">
        <v>6.2E-2</v>
      </c>
      <c r="AG10" s="61">
        <v>5.3999999999999999E-2</v>
      </c>
      <c r="AH10" s="61">
        <v>3.2951643463217731E-2</v>
      </c>
    </row>
    <row r="11" spans="1:34" x14ac:dyDescent="0.3">
      <c r="A11" s="58" t="s">
        <v>318</v>
      </c>
      <c r="B11" s="59" t="s">
        <v>357</v>
      </c>
      <c r="C11" s="60">
        <v>9</v>
      </c>
      <c r="D11" s="44"/>
      <c r="E11" s="44"/>
      <c r="F11" s="44"/>
      <c r="G11" s="44"/>
      <c r="H11" s="44"/>
      <c r="I11" s="4">
        <f t="shared" si="9"/>
        <v>5.5894918021942273</v>
      </c>
      <c r="J11" s="4">
        <f t="shared" si="15"/>
        <v>19.340550496047669</v>
      </c>
      <c r="K11" s="4">
        <f t="shared" si="16"/>
        <v>0.18177209112826753</v>
      </c>
      <c r="L11" s="7">
        <f t="shared" si="17"/>
        <v>34.436535011435417</v>
      </c>
      <c r="M11" s="4">
        <f t="shared" ref="M11:N11" si="19">L11*Y11</f>
        <v>22.796986177570247</v>
      </c>
      <c r="N11" s="4">
        <f t="shared" si="19"/>
        <v>180.25022449319394</v>
      </c>
      <c r="O11" s="4">
        <f t="shared" si="12"/>
        <v>1.2322695231119052</v>
      </c>
      <c r="Q11" s="45"/>
      <c r="R11" s="45"/>
      <c r="S11" s="44"/>
      <c r="T11" s="45"/>
      <c r="U11" s="45"/>
      <c r="V11" s="63">
        <v>3.4601626016260165</v>
      </c>
      <c r="W11" s="43">
        <f t="shared" si="11"/>
        <v>1.0999531527295757E-2</v>
      </c>
      <c r="X11" s="237">
        <v>3.2520325203252029E-2</v>
      </c>
      <c r="Y11" s="237">
        <v>0.66200000000000003</v>
      </c>
      <c r="Z11" s="63">
        <v>7.9067567567567565</v>
      </c>
      <c r="AA11" s="43">
        <f t="shared" si="13"/>
        <v>6.2805695648056423E-2</v>
      </c>
      <c r="AB11" s="17">
        <v>1.9224065025707279E-2</v>
      </c>
      <c r="AC11" s="43">
        <f t="shared" si="14"/>
        <v>6.0057380112689129E-2</v>
      </c>
      <c r="AE11" s="47"/>
      <c r="AF11" s="61">
        <v>1.0999999999999999E-2</v>
      </c>
      <c r="AG11" s="61">
        <v>6.2829413016237429E-2</v>
      </c>
      <c r="AH11" s="61">
        <v>5.405405405405405E-2</v>
      </c>
    </row>
    <row r="12" spans="1:34" x14ac:dyDescent="0.3">
      <c r="A12" s="100" t="s">
        <v>627</v>
      </c>
      <c r="B12" s="59" t="s">
        <v>357</v>
      </c>
      <c r="C12" s="60">
        <v>9</v>
      </c>
      <c r="D12" s="44"/>
      <c r="E12" s="44"/>
      <c r="F12" s="44"/>
      <c r="G12" s="44"/>
      <c r="H12" s="44"/>
      <c r="I12" s="4">
        <f t="shared" si="9"/>
        <v>3.4432537984164391</v>
      </c>
      <c r="J12" s="4">
        <f t="shared" si="15"/>
        <v>15.322479402953155</v>
      </c>
      <c r="K12" s="4">
        <f t="shared" si="16"/>
        <v>0.11948090680505044</v>
      </c>
      <c r="L12" s="7">
        <f t="shared" si="17"/>
        <v>9.3176279562425286</v>
      </c>
      <c r="M12" s="4">
        <f t="shared" ref="M12:N12" si="20">L12*Y12</f>
        <v>6.0592534599445163</v>
      </c>
      <c r="N12" s="4">
        <f t="shared" si="20"/>
        <v>38.805086093022787</v>
      </c>
      <c r="O12" s="4">
        <f t="shared" si="12"/>
        <v>7.5098575429385223E-2</v>
      </c>
      <c r="Q12" s="45"/>
      <c r="R12" s="45"/>
      <c r="S12" s="44"/>
      <c r="T12" s="45"/>
      <c r="U12" s="45"/>
      <c r="V12" s="63">
        <v>4.45</v>
      </c>
      <c r="W12" s="43">
        <f t="shared" si="11"/>
        <v>6.7759610448474925E-3</v>
      </c>
      <c r="X12" s="237">
        <v>3.4700000000000002E-2</v>
      </c>
      <c r="Y12" s="237">
        <v>0.65029999999999999</v>
      </c>
      <c r="Z12" s="63">
        <v>6.4042685042883347</v>
      </c>
      <c r="AA12" s="43">
        <f t="shared" si="13"/>
        <v>1.6993582698934764E-2</v>
      </c>
      <c r="AB12" s="17">
        <v>5.4490533164705542E-2</v>
      </c>
      <c r="AC12" s="43">
        <f t="shared" si="14"/>
        <v>1.377053111006828E-2</v>
      </c>
      <c r="AE12" s="47"/>
      <c r="AF12" s="61">
        <v>6.7762496346648535E-3</v>
      </c>
      <c r="AG12" s="61">
        <v>1.7000000000000001E-2</v>
      </c>
      <c r="AH12" s="61">
        <v>1.2394031034653712E-2</v>
      </c>
    </row>
    <row r="13" spans="1:34" s="73" customFormat="1" x14ac:dyDescent="0.3">
      <c r="A13" s="100"/>
      <c r="B13" s="108"/>
      <c r="C13" s="60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71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A14" s="111"/>
      <c r="B14" s="110"/>
      <c r="C14" s="6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75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101" t="s">
        <v>14</v>
      </c>
      <c r="B15" s="59" t="s">
        <v>358</v>
      </c>
      <c r="C15" s="60">
        <v>9</v>
      </c>
      <c r="D15" s="44"/>
      <c r="E15" s="44"/>
      <c r="F15" s="44"/>
      <c r="G15" s="44"/>
      <c r="H15" s="44"/>
      <c r="I15" s="4">
        <f t="shared" ref="I15:I22" si="21">D$37*W15</f>
        <v>48.78101936460417</v>
      </c>
      <c r="J15" s="4">
        <f t="shared" ref="J15:J22" si="22">I15*V15</f>
        <v>288.78783190619328</v>
      </c>
      <c r="K15" s="4">
        <f t="shared" ref="K15:K22" si="23">I15*X15</f>
        <v>4.9415172616344023</v>
      </c>
      <c r="L15" s="7">
        <f t="shared" ref="L15:L20" si="24">((D$2+D$3+D$4)*AA15)</f>
        <v>106.87867361572312</v>
      </c>
      <c r="M15" s="4">
        <f t="shared" ref="M15:N19" si="25">L15*Y15</f>
        <v>68.306160307808639</v>
      </c>
      <c r="N15" s="4">
        <f t="shared" si="25"/>
        <v>1125.6855218726864</v>
      </c>
      <c r="O15" s="4">
        <f t="shared" ref="O15:O22" si="26">M15*AH15</f>
        <v>5.6011051452403082</v>
      </c>
      <c r="Q15" s="45"/>
      <c r="R15" s="45"/>
      <c r="S15" s="44"/>
      <c r="T15" s="45"/>
      <c r="U15" s="45"/>
      <c r="V15" s="63">
        <v>5.9200860430509916</v>
      </c>
      <c r="W15" s="43">
        <f t="shared" ref="W15:W22" si="27">(AF15/SUM(AF$2:AF$22))*0.98</f>
        <v>9.5995911510944804E-2</v>
      </c>
      <c r="X15" s="237">
        <v>0.1013</v>
      </c>
      <c r="Y15" s="237">
        <v>0.6391</v>
      </c>
      <c r="Z15" s="63">
        <v>16.48</v>
      </c>
      <c r="AA15" s="43">
        <f t="shared" ref="AA15:AA22" si="28">(AG15/SUM(AG$7:AG$27))*0.98</f>
        <v>0.19492638978189877</v>
      </c>
      <c r="AB15" s="17">
        <v>0.18311092108428928</v>
      </c>
      <c r="AC15" s="43">
        <f t="shared" ref="AC15:AC22" si="29">(AH15/SUM(AH$7:AH$27))*0.98</f>
        <v>9.1107045630949415E-2</v>
      </c>
      <c r="AE15" s="47"/>
      <c r="AF15" s="61">
        <v>9.6000000000000002E-2</v>
      </c>
      <c r="AG15" s="61">
        <v>0.19500000000000001</v>
      </c>
      <c r="AH15" s="61">
        <v>8.2000000000000003E-2</v>
      </c>
    </row>
    <row r="16" spans="1:34" x14ac:dyDescent="0.3">
      <c r="A16" s="101" t="s">
        <v>226</v>
      </c>
      <c r="B16" s="59" t="s">
        <v>358</v>
      </c>
      <c r="C16" s="60">
        <v>9</v>
      </c>
      <c r="D16" s="44"/>
      <c r="E16" s="44"/>
      <c r="F16" s="44"/>
      <c r="G16" s="44"/>
      <c r="H16" s="44"/>
      <c r="I16" s="4">
        <f t="shared" si="21"/>
        <v>2.3403365661111732</v>
      </c>
      <c r="J16" s="4">
        <f t="shared" si="22"/>
        <v>13.530911410964601</v>
      </c>
      <c r="K16" s="4">
        <f t="shared" si="23"/>
        <v>4.9147067888334645E-2</v>
      </c>
      <c r="L16" s="7">
        <f t="shared" si="24"/>
        <v>99.205332945876322</v>
      </c>
      <c r="M16" s="4">
        <f t="shared" si="25"/>
        <v>60.249771112324581</v>
      </c>
      <c r="N16" s="4">
        <f t="shared" si="25"/>
        <v>841.08680472805122</v>
      </c>
      <c r="O16" s="4">
        <f t="shared" si="26"/>
        <v>5.4224794001092125</v>
      </c>
      <c r="Q16" s="45"/>
      <c r="R16" s="45"/>
      <c r="S16" s="44"/>
      <c r="T16" s="45"/>
      <c r="U16" s="45"/>
      <c r="V16" s="63">
        <v>5.7816091954022992</v>
      </c>
      <c r="W16" s="43">
        <f t="shared" si="27"/>
        <v>4.6055360226697796E-3</v>
      </c>
      <c r="X16" s="237">
        <v>2.1000000000000001E-2</v>
      </c>
      <c r="Y16" s="237">
        <v>0.60732391418105702</v>
      </c>
      <c r="Z16" s="63">
        <v>13.96</v>
      </c>
      <c r="AA16" s="43">
        <f t="shared" si="28"/>
        <v>0.18093167461807014</v>
      </c>
      <c r="AB16" s="17">
        <v>0.19020901101057089</v>
      </c>
      <c r="AC16" s="43">
        <f t="shared" si="29"/>
        <v>9.9995537887627411E-2</v>
      </c>
      <c r="AE16" s="47"/>
      <c r="AF16" s="61">
        <v>4.6057321735612673E-3</v>
      </c>
      <c r="AG16" s="61">
        <v>0.18099999999999999</v>
      </c>
      <c r="AH16" s="61">
        <v>0.09</v>
      </c>
    </row>
    <row r="17" spans="1:34" x14ac:dyDescent="0.3">
      <c r="A17" s="101" t="s">
        <v>572</v>
      </c>
      <c r="B17" s="59" t="s">
        <v>358</v>
      </c>
      <c r="C17" s="60">
        <v>9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44.395756732684987</v>
      </c>
      <c r="M17" s="4">
        <f t="shared" si="25"/>
        <v>25.682945269858266</v>
      </c>
      <c r="N17" s="4">
        <f t="shared" si="25"/>
        <v>283.28288632653664</v>
      </c>
      <c r="O17" s="4">
        <f t="shared" si="26"/>
        <v>2.4980036973935538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0.57850000000000001</v>
      </c>
      <c r="Z17" s="63">
        <v>11.03</v>
      </c>
      <c r="AA17" s="43">
        <f t="shared" si="28"/>
        <v>8.0969423447865646E-2</v>
      </c>
      <c r="AB17" s="17">
        <v>4.537101313707418E-2</v>
      </c>
      <c r="AC17" s="43">
        <f t="shared" si="29"/>
        <v>0.10806532451855223</v>
      </c>
      <c r="AE17" s="47"/>
      <c r="AF17" s="61">
        <v>0</v>
      </c>
      <c r="AG17" s="61">
        <v>8.1000000000000003E-2</v>
      </c>
      <c r="AH17" s="61">
        <v>9.7263132056946491E-2</v>
      </c>
    </row>
    <row r="18" spans="1:34" x14ac:dyDescent="0.3">
      <c r="A18" s="101" t="s">
        <v>759</v>
      </c>
      <c r="B18" s="59" t="s">
        <v>358</v>
      </c>
      <c r="C18" s="60">
        <v>9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23.020022009540362</v>
      </c>
      <c r="M18" s="4">
        <f t="shared" si="25"/>
        <v>12.974084404576947</v>
      </c>
      <c r="N18" s="4">
        <f t="shared" si="25"/>
        <v>169.05231979163761</v>
      </c>
      <c r="O18" s="4">
        <f t="shared" si="26"/>
        <v>0.81088027528605922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0.56359999999999999</v>
      </c>
      <c r="Z18" s="63">
        <v>13.03</v>
      </c>
      <c r="AA18" s="43">
        <f t="shared" si="28"/>
        <v>4.1984145491485887E-2</v>
      </c>
      <c r="AB18" s="17">
        <v>2.3790559285205654E-2</v>
      </c>
      <c r="AC18" s="43">
        <f t="shared" si="29"/>
        <v>6.9441345755296813E-2</v>
      </c>
      <c r="AE18" s="47"/>
      <c r="AF18" s="61">
        <v>0</v>
      </c>
      <c r="AG18" s="61">
        <v>4.2000000000000003E-2</v>
      </c>
      <c r="AH18" s="61">
        <v>6.25E-2</v>
      </c>
    </row>
    <row r="19" spans="1:34" x14ac:dyDescent="0.3">
      <c r="A19" s="66" t="s">
        <v>348</v>
      </c>
      <c r="B19" s="59" t="s">
        <v>358</v>
      </c>
      <c r="C19" s="60">
        <v>9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21.375734723144621</v>
      </c>
      <c r="M19" s="4">
        <f t="shared" si="25"/>
        <v>13.201653765014118</v>
      </c>
      <c r="N19" s="4">
        <f t="shared" si="25"/>
        <v>146.27432371635643</v>
      </c>
      <c r="O19" s="4">
        <f t="shared" si="26"/>
        <v>0.49467373225376432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0.61760000000000004</v>
      </c>
      <c r="Z19" s="63">
        <v>11.08</v>
      </c>
      <c r="AA19" s="43">
        <f t="shared" si="28"/>
        <v>3.8985277956379752E-2</v>
      </c>
      <c r="AB19" s="17">
        <v>3.3683771170054368E-2</v>
      </c>
      <c r="AC19" s="43">
        <f t="shared" si="29"/>
        <v>4.1632129172822656E-2</v>
      </c>
      <c r="AE19" s="47"/>
      <c r="AF19" s="61">
        <v>0</v>
      </c>
      <c r="AG19" s="61">
        <v>3.9E-2</v>
      </c>
      <c r="AH19" s="61">
        <v>3.7470588235294117E-2</v>
      </c>
    </row>
    <row r="20" spans="1:34" s="112" customFormat="1" x14ac:dyDescent="0.3">
      <c r="A20" s="66" t="s">
        <v>663</v>
      </c>
      <c r="B20" s="59" t="s">
        <v>358</v>
      </c>
      <c r="C20" s="60">
        <v>9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16.990968626089316</v>
      </c>
      <c r="M20" s="4">
        <f t="shared" ref="M20:N20" si="30">L20*Y20</f>
        <v>9.9957868427283447</v>
      </c>
      <c r="N20" s="4">
        <f t="shared" si="30"/>
        <v>116.96073006970452</v>
      </c>
      <c r="O20" s="4">
        <f t="shared" si="26"/>
        <v>0.78634950529885139</v>
      </c>
      <c r="P20" s="99"/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0.58830000000000005</v>
      </c>
      <c r="Z20" s="63">
        <v>11.701002823483595</v>
      </c>
      <c r="AA20" s="43">
        <f t="shared" si="28"/>
        <v>3.0988297862763397E-2</v>
      </c>
      <c r="AB20" s="17">
        <v>1.6172270127146903E-2</v>
      </c>
      <c r="AC20" s="43">
        <f t="shared" si="29"/>
        <v>8.7405093751774632E-2</v>
      </c>
      <c r="AE20" s="47"/>
      <c r="AF20" s="61">
        <v>0</v>
      </c>
      <c r="AG20" s="61">
        <v>3.1E-2</v>
      </c>
      <c r="AH20" s="61">
        <v>7.8668094635381172E-2</v>
      </c>
    </row>
    <row r="21" spans="1:34" s="112" customFormat="1" x14ac:dyDescent="0.3">
      <c r="A21" s="66"/>
      <c r="B21" s="59" t="s">
        <v>358</v>
      </c>
      <c r="C21" s="60">
        <v>9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P21" s="99"/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s="112" customFormat="1" x14ac:dyDescent="0.3">
      <c r="A22" s="66"/>
      <c r="B22" s="59" t="s">
        <v>358</v>
      </c>
      <c r="C22" s="60">
        <v>9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P22" s="99"/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A23" s="113"/>
      <c r="B23" s="75"/>
      <c r="C23" s="6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75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15</v>
      </c>
      <c r="B24" s="59" t="s">
        <v>10</v>
      </c>
      <c r="C24" s="60">
        <v>9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101.9458117565359</v>
      </c>
      <c r="M24" s="4">
        <f t="shared" ref="M24:N27" si="34">L24*Y24</f>
        <v>70.403777599063687</v>
      </c>
      <c r="N24" s="4">
        <f t="shared" si="34"/>
        <v>891.31182440414625</v>
      </c>
      <c r="O24" s="4">
        <f t="shared" ref="O24:O27" si="35">M24*AH24</f>
        <v>6.1955324287176046</v>
      </c>
      <c r="Q24" s="45"/>
      <c r="R24" s="45"/>
      <c r="S24" s="44"/>
      <c r="T24" s="45"/>
      <c r="U24" s="45"/>
      <c r="V24" s="46"/>
      <c r="W24" s="46"/>
      <c r="X24" s="45"/>
      <c r="Y24" s="237">
        <v>0.69059999999999999</v>
      </c>
      <c r="Z24" s="236">
        <v>12.66</v>
      </c>
      <c r="AA24" s="43">
        <f t="shared" ref="AA24:AA27" si="36">(AG24/SUM(AG$7:AG$27))*0.98</f>
        <v>0.18592978717658037</v>
      </c>
      <c r="AB24" s="17">
        <v>0.22762675123096426</v>
      </c>
      <c r="AC24" s="43">
        <f t="shared" ref="AC24:AC27" si="37">(AH24/SUM(AH$7:AH$27))*0.98</f>
        <v>9.7773414823457902E-2</v>
      </c>
      <c r="AE24" s="47"/>
      <c r="AF24" s="47"/>
      <c r="AG24" s="61">
        <v>0.186</v>
      </c>
      <c r="AH24" s="61">
        <v>8.7999999999999995E-2</v>
      </c>
    </row>
    <row r="25" spans="1:34" x14ac:dyDescent="0.3">
      <c r="A25" s="77" t="s">
        <v>227</v>
      </c>
      <c r="B25" s="59" t="s">
        <v>10</v>
      </c>
      <c r="C25" s="60">
        <v>9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9.1869374250633182</v>
      </c>
      <c r="M25" s="4">
        <f t="shared" si="34"/>
        <v>5.4423417306075104</v>
      </c>
      <c r="N25" s="4">
        <f t="shared" si="34"/>
        <v>55.947272990645203</v>
      </c>
      <c r="O25" s="4">
        <f t="shared" si="35"/>
        <v>0.41008102270533725</v>
      </c>
      <c r="Q25" s="45"/>
      <c r="R25" s="45"/>
      <c r="S25" s="44"/>
      <c r="T25" s="45"/>
      <c r="U25" s="45"/>
      <c r="V25" s="46"/>
      <c r="W25" s="46"/>
      <c r="X25" s="45"/>
      <c r="Y25" s="237">
        <v>0.59240000000000004</v>
      </c>
      <c r="Z25" s="236">
        <v>10.28</v>
      </c>
      <c r="AA25" s="43">
        <f t="shared" si="36"/>
        <v>1.6755228006088967E-2</v>
      </c>
      <c r="AB25" s="17">
        <v>2.6487046459472658E-2</v>
      </c>
      <c r="AC25" s="43">
        <f t="shared" si="37"/>
        <v>8.3718603483396631E-2</v>
      </c>
      <c r="AE25" s="47"/>
      <c r="AF25" s="47"/>
      <c r="AG25" s="61">
        <v>1.6761555297069138E-2</v>
      </c>
      <c r="AH25" s="61">
        <v>7.5350105341430162E-2</v>
      </c>
    </row>
    <row r="26" spans="1:34" x14ac:dyDescent="0.3">
      <c r="A26" s="58" t="s">
        <v>296</v>
      </c>
      <c r="B26" s="59" t="s">
        <v>10</v>
      </c>
      <c r="C26" s="60">
        <v>9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6.8067458562703873</v>
      </c>
      <c r="M26" s="4">
        <f t="shared" si="34"/>
        <v>4.0091733093432582</v>
      </c>
      <c r="N26" s="4">
        <f t="shared" si="34"/>
        <v>41.454852018609287</v>
      </c>
      <c r="O26" s="4">
        <f t="shared" si="35"/>
        <v>0.34788545229033141</v>
      </c>
      <c r="Q26" s="45"/>
      <c r="R26" s="45"/>
      <c r="S26" s="44"/>
      <c r="T26" s="45"/>
      <c r="U26" s="45"/>
      <c r="V26" s="46"/>
      <c r="W26" s="46"/>
      <c r="X26" s="45"/>
      <c r="Y26" s="237">
        <v>0.58899999999999997</v>
      </c>
      <c r="Z26" s="236">
        <v>10.34</v>
      </c>
      <c r="AA26" s="43">
        <f t="shared" si="36"/>
        <v>1.2414210908868312E-2</v>
      </c>
      <c r="AB26" s="17">
        <v>1.3248626864088215E-2</v>
      </c>
      <c r="AC26" s="43">
        <f t="shared" si="37"/>
        <v>9.6409437504463374E-2</v>
      </c>
      <c r="AE26" s="47"/>
      <c r="AF26" s="47"/>
      <c r="AG26" s="61">
        <v>1.2418898897875747E-2</v>
      </c>
      <c r="AH26" s="61">
        <v>8.677236563448E-2</v>
      </c>
    </row>
    <row r="27" spans="1:34" x14ac:dyDescent="0.3">
      <c r="B27" s="59" t="s">
        <v>10</v>
      </c>
      <c r="C27" s="60">
        <v>9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0.97499999999999998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0.98004173843667952</v>
      </c>
      <c r="AG30" s="28">
        <f>SUM(AG7:AG27)</f>
        <v>0.98037007823219791</v>
      </c>
    </row>
    <row r="31" spans="1:34" s="86" customFormat="1" x14ac:dyDescent="0.3">
      <c r="A31" s="102"/>
      <c r="B31" s="80"/>
      <c r="C31" s="80"/>
      <c r="D31" s="105">
        <v>1056.46</v>
      </c>
      <c r="E31" s="106">
        <v>0.51900000000000002</v>
      </c>
      <c r="F31" s="8">
        <f>1-E31</f>
        <v>0.48099999999999998</v>
      </c>
      <c r="G31" s="234">
        <v>4.55</v>
      </c>
      <c r="H31" s="275">
        <v>4.1868945868945871E-2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548.30274000000009</v>
      </c>
      <c r="E34" s="2">
        <f>SUM(E2:E4)</f>
        <v>342.54665378760006</v>
      </c>
      <c r="F34" s="2">
        <f>SUM(F2:F4)</f>
        <v>4191.8748963619682</v>
      </c>
      <c r="G34" s="2">
        <f>SUM(G2:G4)</f>
        <v>25.482784315529543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508.15726000000001</v>
      </c>
      <c r="E37" s="2">
        <f>D37*G31</f>
        <v>2312.1155330000001</v>
      </c>
      <c r="F37" s="2">
        <f>D37*H31</f>
        <v>21.276008811851852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497.99411479999986</v>
      </c>
      <c r="E40" s="3">
        <f>SUM(J2:J4,J7:J12,J15:J22)</f>
        <v>2288.1888663459658</v>
      </c>
      <c r="F40" s="3">
        <f>SUM(K2:K4,K7:K12,K15:K22)</f>
        <v>20.64397185602914</v>
      </c>
      <c r="G40" s="3">
        <f>SUM(L7:L12,L15:L22,L24:L27)</f>
        <v>537.33668520000003</v>
      </c>
      <c r="H40" s="3">
        <f>SUM(M7:M12,M15:M22,M24:M27)</f>
        <v>341.10001775929953</v>
      </c>
      <c r="I40" s="3">
        <f>SUM(N7:N12,N15:N22,N24:N27)</f>
        <v>4179.870044775852</v>
      </c>
      <c r="J40" s="3">
        <f>SUM(O7:O12,O15:O22,O24:O27)</f>
        <v>25.297172542094145</v>
      </c>
      <c r="P40" s="75"/>
      <c r="Q40" s="76"/>
      <c r="R40" s="76"/>
      <c r="S40" s="75"/>
      <c r="T40" s="60"/>
      <c r="U40" s="60"/>
      <c r="V40" s="60"/>
      <c r="W40" s="60"/>
      <c r="X40" s="60"/>
      <c r="Y40" s="60"/>
      <c r="Z40" s="60"/>
      <c r="AC40" s="60"/>
    </row>
    <row r="41" spans="1:32" ht="14.4" thickTop="1" x14ac:dyDescent="0.3">
      <c r="D41" s="50">
        <f>D37-D40</f>
        <v>10.163145200000145</v>
      </c>
      <c r="E41" s="50">
        <f>E37-E40</f>
        <v>23.926666654034307</v>
      </c>
      <c r="F41" s="50">
        <f>F37-F40</f>
        <v>0.6320369558227128</v>
      </c>
      <c r="G41" s="50">
        <f>SUM(D2:D4)-G40</f>
        <v>10.966054800000052</v>
      </c>
      <c r="H41" s="50">
        <f>E34-H40</f>
        <v>1.4466360283005315</v>
      </c>
      <c r="I41" s="50">
        <f>F34-I40</f>
        <v>12.004851586116274</v>
      </c>
      <c r="J41" s="50">
        <f>G34-J40</f>
        <v>0.18561177343539725</v>
      </c>
      <c r="P41" s="75"/>
      <c r="Q41" s="76"/>
      <c r="R41" s="76"/>
      <c r="S41" s="75"/>
      <c r="T41" s="60"/>
      <c r="U41" s="60"/>
      <c r="V41" s="60"/>
      <c r="W41" s="60"/>
      <c r="X41" s="60"/>
      <c r="Y41" s="60"/>
      <c r="Z41" s="60"/>
      <c r="AC41" s="60"/>
    </row>
    <row r="42" spans="1:32" x14ac:dyDescent="0.3">
      <c r="K42" s="75"/>
      <c r="M42" s="75"/>
      <c r="N42" s="76"/>
      <c r="O42" s="75"/>
      <c r="P42" s="75"/>
      <c r="Q42" s="76"/>
      <c r="R42" s="76"/>
      <c r="S42" s="75"/>
      <c r="T42" s="60"/>
      <c r="U42" s="60"/>
      <c r="V42" s="60"/>
      <c r="W42" s="60"/>
      <c r="X42" s="60"/>
      <c r="Y42" s="60"/>
      <c r="Z42" s="60"/>
      <c r="AC42" s="60"/>
    </row>
    <row r="43" spans="1:32" x14ac:dyDescent="0.3">
      <c r="N43" s="74"/>
      <c r="O43" s="74"/>
    </row>
  </sheetData>
  <sheetProtection sheet="1" selectLockedCells="1"/>
  <conditionalFormatting sqref="AA30:AB30 AD30:AF30">
    <cfRule type="cellIs" dxfId="188" priority="14" operator="greaterThan">
      <formula>1</formula>
    </cfRule>
    <cfRule type="cellIs" dxfId="187" priority="15" operator="greaterThan">
      <formula>1</formula>
    </cfRule>
  </conditionalFormatting>
  <conditionalFormatting sqref="AC30">
    <cfRule type="cellIs" dxfId="186" priority="10" operator="greaterThan">
      <formula>1</formula>
    </cfRule>
    <cfRule type="cellIs" dxfId="185" priority="11" operator="greaterThan">
      <formula>1</formula>
    </cfRule>
  </conditionalFormatting>
  <conditionalFormatting sqref="AG30">
    <cfRule type="cellIs" dxfId="184" priority="8" operator="greaterThan">
      <formula>1</formula>
    </cfRule>
    <cfRule type="cellIs" dxfId="183" priority="9" operator="greaterThan">
      <formula>1</formula>
    </cfRule>
  </conditionalFormatting>
  <conditionalFormatting sqref="W30">
    <cfRule type="cellIs" dxfId="182" priority="2" operator="greaterThan">
      <formula>1</formula>
    </cfRule>
    <cfRule type="cellIs" dxfId="181" priority="3" operator="greaterThan">
      <formula>1</formula>
    </cfRule>
  </conditionalFormatting>
  <conditionalFormatting sqref="D41:J41">
    <cfRule type="cellIs" dxfId="180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8000"/>
  </sheetPr>
  <dimension ref="A1:AH45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205</v>
      </c>
      <c r="B2" s="59" t="s">
        <v>9</v>
      </c>
      <c r="C2" s="60">
        <v>11</v>
      </c>
      <c r="D2" s="4">
        <f>D$34*Q2</f>
        <v>349.05842399999995</v>
      </c>
      <c r="E2" s="4">
        <f>D2*R2</f>
        <v>215.71810603199995</v>
      </c>
      <c r="F2" s="4">
        <f>E2*S2</f>
        <v>2476.4438572473596</v>
      </c>
      <c r="G2" s="4">
        <f>E2*T2</f>
        <v>12.511650149855997</v>
      </c>
      <c r="H2" s="4">
        <f>E2*U2</f>
        <v>5.829927815749409</v>
      </c>
      <c r="I2" s="4">
        <f>D$37*W2</f>
        <v>30.410395784168831</v>
      </c>
      <c r="J2" s="4">
        <f>I2*V2</f>
        <v>140.0955325952267</v>
      </c>
      <c r="K2" s="4">
        <f>I2*X2</f>
        <v>1.6421613723451169</v>
      </c>
      <c r="L2" s="44"/>
      <c r="M2" s="44"/>
      <c r="N2" s="44"/>
      <c r="O2" s="44"/>
      <c r="Q2" s="43">
        <f>AE2</f>
        <v>0.6</v>
      </c>
      <c r="R2" s="61">
        <v>0.61799999999999999</v>
      </c>
      <c r="S2" s="236">
        <v>11.48</v>
      </c>
      <c r="T2" s="237">
        <v>5.8000000000000003E-2</v>
      </c>
      <c r="U2" s="61">
        <v>2.7025676810293286E-2</v>
      </c>
      <c r="V2" s="236">
        <v>4.6068302954530509</v>
      </c>
      <c r="W2" s="43">
        <f>(AF2/SUM(AF$2:AF$22))*0.98</f>
        <v>7.3081541463030711E-2</v>
      </c>
      <c r="X2" s="61">
        <v>5.3999999999999999E-2</v>
      </c>
      <c r="Y2" s="64"/>
      <c r="Z2" s="65"/>
      <c r="AA2" s="1"/>
      <c r="AB2" s="1"/>
      <c r="AC2" s="1"/>
      <c r="AE2" s="61">
        <v>0.6</v>
      </c>
      <c r="AF2" s="61">
        <v>7.3042139503613365E-2</v>
      </c>
      <c r="AG2" s="47"/>
      <c r="AH2" s="47"/>
    </row>
    <row r="3" spans="1:34" x14ac:dyDescent="0.3">
      <c r="A3" s="58" t="s">
        <v>277</v>
      </c>
      <c r="B3" s="59" t="s">
        <v>9</v>
      </c>
      <c r="C3" s="60">
        <v>11</v>
      </c>
      <c r="D3" s="4">
        <f>D$34*Q3</f>
        <v>232.70561599999996</v>
      </c>
      <c r="E3" s="4">
        <f t="shared" ref="E3:E4" si="0">D3*R3</f>
        <v>150.76678049807032</v>
      </c>
      <c r="F3" s="4">
        <f t="shared" ref="F3:F4" si="1">E3*S3</f>
        <v>1672.0035957235998</v>
      </c>
      <c r="G3" s="4">
        <f t="shared" ref="G3" si="2">E3*T3</f>
        <v>8.6633661477744344</v>
      </c>
      <c r="H3" s="4">
        <f t="shared" ref="H3" si="3">E3*U3</f>
        <v>3.1370041471525831</v>
      </c>
      <c r="I3" s="4">
        <f t="shared" ref="I3:I4" si="4">D$37*W3</f>
        <v>15.378041080599093</v>
      </c>
      <c r="J3" s="4">
        <f>I3*V3</f>
        <v>61.064923192057371</v>
      </c>
      <c r="K3" s="4">
        <f>I3*X3</f>
        <v>0.90730442375534648</v>
      </c>
      <c r="L3" s="44"/>
      <c r="M3" s="44"/>
      <c r="N3" s="44"/>
      <c r="O3" s="44"/>
      <c r="Q3" s="43">
        <f t="shared" ref="Q3:Q4" si="5">AE3</f>
        <v>0.4</v>
      </c>
      <c r="R3" s="61">
        <v>0.64788629982213386</v>
      </c>
      <c r="S3" s="236">
        <v>11.09</v>
      </c>
      <c r="T3" s="237">
        <v>5.7462035861973702E-2</v>
      </c>
      <c r="U3" s="61">
        <v>2.0806998310829713E-2</v>
      </c>
      <c r="V3" s="236">
        <v>3.97091689845313</v>
      </c>
      <c r="W3" s="43">
        <f t="shared" ref="W3:W4" si="6">(AF3/SUM(AF$2:AF$22))*0.98</f>
        <v>3.6956143380319016E-2</v>
      </c>
      <c r="X3" s="61">
        <v>5.8999999999999997E-2</v>
      </c>
      <c r="Y3" s="64"/>
      <c r="Z3" s="65"/>
      <c r="AA3" s="1"/>
      <c r="AB3" s="1"/>
      <c r="AC3" s="1"/>
      <c r="AE3" s="61">
        <f>1-AE2</f>
        <v>0.4</v>
      </c>
      <c r="AF3" s="61">
        <v>3.6936218452183374E-2</v>
      </c>
      <c r="AG3" s="47"/>
      <c r="AH3" s="47"/>
    </row>
    <row r="4" spans="1:34" x14ac:dyDescent="0.3">
      <c r="B4" s="59" t="s">
        <v>9</v>
      </c>
      <c r="C4" s="60">
        <v>11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844</v>
      </c>
      <c r="B7" s="59" t="s">
        <v>357</v>
      </c>
      <c r="C7" s="60">
        <v>11</v>
      </c>
      <c r="D7" s="44"/>
      <c r="E7" s="44"/>
      <c r="F7" s="44"/>
      <c r="G7" s="44"/>
      <c r="H7" s="44"/>
      <c r="I7" s="4">
        <f t="shared" ref="I7:I12" si="9">D$37*W7</f>
        <v>191.1002574649799</v>
      </c>
      <c r="J7" s="4">
        <f>I7*V7</f>
        <v>842.75213542056144</v>
      </c>
      <c r="K7" s="4">
        <f>I7*X7</f>
        <v>7.4146899896412206</v>
      </c>
      <c r="L7" s="7">
        <f>((D$2+D$3+D$4)*AA7)</f>
        <v>24.440468065243742</v>
      </c>
      <c r="M7" s="4">
        <f t="shared" ref="M7:N9" si="10">L7*Y7</f>
        <v>15.5221412682363</v>
      </c>
      <c r="N7" s="4">
        <f t="shared" si="10"/>
        <v>113.73513786493783</v>
      </c>
      <c r="O7" s="4">
        <f>M7*AH7</f>
        <v>0.35700924916943488</v>
      </c>
      <c r="Q7" s="45"/>
      <c r="R7" s="45"/>
      <c r="S7" s="44"/>
      <c r="T7" s="45"/>
      <c r="U7" s="45"/>
      <c r="V7" s="63">
        <v>4.41</v>
      </c>
      <c r="W7" s="43">
        <f t="shared" ref="W7:W12" si="11">(AF7/SUM(AF$2:AF$22))*0.98</f>
        <v>0.45924760363668793</v>
      </c>
      <c r="X7" s="237">
        <v>3.8800000000000001E-2</v>
      </c>
      <c r="Y7" s="237">
        <v>0.6351</v>
      </c>
      <c r="Z7" s="63">
        <v>7.3272840324987554</v>
      </c>
      <c r="AA7" s="43">
        <f>(AG7/SUM(AG$7:AG$27))*0.98</f>
        <v>4.2010963869894308E-2</v>
      </c>
      <c r="AB7" s="17">
        <v>0.1070680511147743</v>
      </c>
      <c r="AC7" s="43">
        <f>(AH7/SUM(AH$7:AH$27))*0.98</f>
        <v>3.9181845401441096E-2</v>
      </c>
      <c r="AE7" s="47"/>
      <c r="AF7" s="61">
        <v>0.45900000000000002</v>
      </c>
      <c r="AG7" s="61">
        <v>4.2000000000000003E-2</v>
      </c>
      <c r="AH7" s="61">
        <v>2.3E-2</v>
      </c>
    </row>
    <row r="8" spans="1:34" x14ac:dyDescent="0.3">
      <c r="A8" s="101" t="s">
        <v>96</v>
      </c>
      <c r="B8" s="59" t="s">
        <v>357</v>
      </c>
      <c r="C8" s="60">
        <v>11</v>
      </c>
      <c r="D8" s="44"/>
      <c r="E8" s="44"/>
      <c r="F8" s="44"/>
      <c r="G8" s="44"/>
      <c r="H8" s="44"/>
      <c r="I8" s="4">
        <f t="shared" si="9"/>
        <v>135.7269802474585</v>
      </c>
      <c r="J8" s="4">
        <f>I8*V8</f>
        <v>652.84677499027532</v>
      </c>
      <c r="K8" s="4">
        <f>I8*X8</f>
        <v>5.2911679040614379</v>
      </c>
      <c r="L8" s="7">
        <f>((D$2+D$3+D$4)*AA8)</f>
        <v>39.570281629442256</v>
      </c>
      <c r="M8" s="4">
        <f t="shared" si="10"/>
        <v>29.428418447816206</v>
      </c>
      <c r="N8" s="4">
        <f t="shared" si="10"/>
        <v>204.34758155676522</v>
      </c>
      <c r="O8" s="4">
        <f t="shared" ref="O8:O12" si="12">M8*AH8</f>
        <v>1.0888514825691995</v>
      </c>
      <c r="Q8" s="45"/>
      <c r="R8" s="45"/>
      <c r="S8" s="44"/>
      <c r="T8" s="45"/>
      <c r="U8" s="45"/>
      <c r="V8" s="63">
        <v>4.8099999999999996</v>
      </c>
      <c r="W8" s="43">
        <f t="shared" si="11"/>
        <v>0.3261758579206106</v>
      </c>
      <c r="X8" s="237">
        <v>3.898390647470782E-2</v>
      </c>
      <c r="Y8" s="237">
        <v>0.74370000000000003</v>
      </c>
      <c r="Z8" s="63">
        <v>6.943885955649419</v>
      </c>
      <c r="AA8" s="43">
        <f t="shared" ref="AA8:AA12" si="13">(AG8/SUM(AG$7:AG$27))*0.98</f>
        <v>6.8017751027447934E-2</v>
      </c>
      <c r="AB8" s="17">
        <v>3.8978641072082904E-2</v>
      </c>
      <c r="AC8" s="43">
        <f t="shared" ref="AC8:AC12" si="14">(AH8/SUM(AH$7:AH$27))*0.98</f>
        <v>6.3031664341448718E-2</v>
      </c>
      <c r="AE8" s="47"/>
      <c r="AF8" s="61">
        <v>0.32600000000000001</v>
      </c>
      <c r="AG8" s="61">
        <v>6.8000000000000005E-2</v>
      </c>
      <c r="AH8" s="61">
        <v>3.6999999999999998E-2</v>
      </c>
    </row>
    <row r="9" spans="1:34" x14ac:dyDescent="0.3">
      <c r="A9" s="101" t="s">
        <v>238</v>
      </c>
      <c r="B9" s="59" t="s">
        <v>357</v>
      </c>
      <c r="C9" s="60">
        <v>11</v>
      </c>
      <c r="D9" s="44"/>
      <c r="E9" s="44"/>
      <c r="F9" s="44"/>
      <c r="G9" s="44"/>
      <c r="H9" s="44"/>
      <c r="I9" s="4">
        <f t="shared" si="9"/>
        <v>14.194986569342563</v>
      </c>
      <c r="J9" s="4">
        <f>I9*V9</f>
        <v>57.986263330641059</v>
      </c>
      <c r="K9" s="4">
        <f>I9*X9</f>
        <v>0.12506743018428321</v>
      </c>
      <c r="L9" s="7">
        <f>((D$2+D$3+D$4)*AA9)</f>
        <v>9.3106545010452351</v>
      </c>
      <c r="M9" s="4">
        <f t="shared" si="10"/>
        <v>7.4531789280867109</v>
      </c>
      <c r="N9" s="4">
        <f t="shared" si="10"/>
        <v>45.669734146082341</v>
      </c>
      <c r="O9" s="4">
        <f t="shared" si="12"/>
        <v>3.8026423102483213E-2</v>
      </c>
      <c r="Q9" s="45"/>
      <c r="R9" s="45"/>
      <c r="S9" s="44"/>
      <c r="T9" s="45"/>
      <c r="U9" s="45"/>
      <c r="V9" s="63">
        <v>4.08498190874489</v>
      </c>
      <c r="W9" s="43">
        <f t="shared" si="11"/>
        <v>3.4113054854571216E-2</v>
      </c>
      <c r="X9" s="237">
        <v>8.8106761900286646E-3</v>
      </c>
      <c r="Y9" s="237">
        <v>0.80049999999999999</v>
      </c>
      <c r="Z9" s="63">
        <v>6.1275510204081627</v>
      </c>
      <c r="AA9" s="43">
        <f t="shared" si="13"/>
        <v>1.6004176712340688E-2</v>
      </c>
      <c r="AB9" s="17">
        <v>3.6429375557923881E-2</v>
      </c>
      <c r="AC9" s="43">
        <f t="shared" si="14"/>
        <v>8.6916249781368894E-3</v>
      </c>
      <c r="AE9" s="47"/>
      <c r="AF9" s="61">
        <v>3.4094662779416904E-2</v>
      </c>
      <c r="AG9" s="61">
        <v>1.6E-2</v>
      </c>
      <c r="AH9" s="61">
        <v>5.1020408163265302E-3</v>
      </c>
    </row>
    <row r="10" spans="1:34" x14ac:dyDescent="0.3">
      <c r="A10" s="101" t="s">
        <v>316</v>
      </c>
      <c r="B10" s="59" t="s">
        <v>357</v>
      </c>
      <c r="C10" s="60">
        <v>11</v>
      </c>
      <c r="D10" s="44"/>
      <c r="E10" s="44"/>
      <c r="F10" s="44"/>
      <c r="G10" s="44"/>
      <c r="H10" s="44"/>
      <c r="I10" s="4">
        <f t="shared" si="9"/>
        <v>12.686840117893686</v>
      </c>
      <c r="J10" s="4">
        <f t="shared" ref="J10:J12" si="15">I10*V10</f>
        <v>71.934383468457199</v>
      </c>
      <c r="K10" s="4">
        <f t="shared" ref="K10:K12" si="16">I10*X10</f>
        <v>0.20010788829485313</v>
      </c>
      <c r="L10" s="7">
        <f t="shared" ref="L10:L12" si="17">((D$2+D$3+D$4)*AA10)</f>
        <v>5.8411922251206239</v>
      </c>
      <c r="M10" s="4">
        <f t="shared" ref="M10:N10" si="18">L10*Y10</f>
        <v>4.0993487035896541</v>
      </c>
      <c r="N10" s="4">
        <f t="shared" si="18"/>
        <v>31.22815955091227</v>
      </c>
      <c r="O10" s="4">
        <f t="shared" si="12"/>
        <v>0</v>
      </c>
      <c r="Q10" s="45"/>
      <c r="R10" s="45"/>
      <c r="S10" s="44"/>
      <c r="T10" s="45"/>
      <c r="U10" s="45"/>
      <c r="V10" s="63">
        <v>5.67</v>
      </c>
      <c r="W10" s="43">
        <f t="shared" si="11"/>
        <v>3.0488713093085124E-2</v>
      </c>
      <c r="X10" s="237">
        <v>1.577287066246057E-2</v>
      </c>
      <c r="Y10" s="237">
        <v>0.70179999999999998</v>
      </c>
      <c r="Z10" s="63">
        <v>7.6178343949044587</v>
      </c>
      <c r="AA10" s="43">
        <f t="shared" si="13"/>
        <v>1.0040483466665669E-2</v>
      </c>
      <c r="AB10" s="17">
        <v>5.3838524086909662E-3</v>
      </c>
      <c r="AC10" s="43">
        <f t="shared" si="14"/>
        <v>0</v>
      </c>
      <c r="AE10" s="47"/>
      <c r="AF10" s="61">
        <v>3.0472275084089537E-2</v>
      </c>
      <c r="AG10" s="61">
        <v>1.0037863137488138E-2</v>
      </c>
      <c r="AH10" s="61">
        <v>0</v>
      </c>
    </row>
    <row r="11" spans="1:34" x14ac:dyDescent="0.3">
      <c r="A11" s="101"/>
      <c r="B11" s="59" t="s">
        <v>357</v>
      </c>
      <c r="C11" s="60">
        <v>11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1.8730144186191514E-2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11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255</v>
      </c>
      <c r="B15" s="59" t="s">
        <v>358</v>
      </c>
      <c r="C15" s="60">
        <v>11</v>
      </c>
      <c r="D15" s="44"/>
      <c r="E15" s="44"/>
      <c r="F15" s="44"/>
      <c r="G15" s="44"/>
      <c r="H15" s="44"/>
      <c r="I15" s="4">
        <f t="shared" ref="I15:I22" si="21">D$37*W15</f>
        <v>0.37520229055284959</v>
      </c>
      <c r="J15" s="4">
        <f t="shared" ref="J15:J22" si="22">I15*V15</f>
        <v>2.1261463131328147</v>
      </c>
      <c r="K15" s="4">
        <f t="shared" ref="K15:K22" si="23">I15*X15</f>
        <v>0</v>
      </c>
      <c r="L15" s="7">
        <f t="shared" ref="L15:L20" si="24">((D$2+D$3+D$4)*AA15)</f>
        <v>135.78543679376551</v>
      </c>
      <c r="M15" s="4">
        <f t="shared" ref="M15:N19" si="25">L15*Y15</f>
        <v>77.886526544903901</v>
      </c>
      <c r="N15" s="4">
        <f t="shared" si="25"/>
        <v>1122.3448475120651</v>
      </c>
      <c r="O15" s="4">
        <f t="shared" ref="O15:O22" si="26">M15*AH15</f>
        <v>6.308808650137216</v>
      </c>
      <c r="Q15" s="45"/>
      <c r="R15" s="45"/>
      <c r="S15" s="44"/>
      <c r="T15" s="45"/>
      <c r="U15" s="45"/>
      <c r="V15" s="63">
        <v>5.666666666666667</v>
      </c>
      <c r="W15" s="43">
        <f t="shared" ref="W15:W22" si="27">(AF15/SUM(AF$2:AF$22))*0.98</f>
        <v>9.0167724052893708E-4</v>
      </c>
      <c r="X15" s="237">
        <v>0</v>
      </c>
      <c r="Y15" s="237">
        <v>0.5736</v>
      </c>
      <c r="Z15" s="63">
        <v>14.41</v>
      </c>
      <c r="AA15" s="43">
        <f t="shared" ref="AA15:AA22" si="28">(AG15/SUM(AG$7:AG$27))*0.98</f>
        <v>0.23340293909153537</v>
      </c>
      <c r="AB15" s="17">
        <v>0.20728868073355985</v>
      </c>
      <c r="AC15" s="43">
        <f t="shared" ref="AC15:AC22" si="29">(AH15/SUM(AH$7:AH$27))*0.98</f>
        <v>0.13798823815290126</v>
      </c>
      <c r="AE15" s="47"/>
      <c r="AF15" s="61">
        <v>9.0119110067299498E-4</v>
      </c>
      <c r="AG15" s="61">
        <v>0.23334202643394739</v>
      </c>
      <c r="AH15" s="61">
        <v>8.1000000000000003E-2</v>
      </c>
    </row>
    <row r="16" spans="1:34" x14ac:dyDescent="0.3">
      <c r="A16" s="66" t="s">
        <v>97</v>
      </c>
      <c r="B16" s="59" t="s">
        <v>358</v>
      </c>
      <c r="C16" s="60">
        <v>11</v>
      </c>
      <c r="D16" s="44"/>
      <c r="E16" s="44"/>
      <c r="F16" s="44"/>
      <c r="G16" s="44"/>
      <c r="H16" s="44"/>
      <c r="I16" s="4">
        <f t="shared" si="21"/>
        <v>1.2506743018428319</v>
      </c>
      <c r="J16" s="4">
        <f t="shared" si="22"/>
        <v>6.5535333416564399</v>
      </c>
      <c r="K16" s="4">
        <f t="shared" si="23"/>
        <v>0</v>
      </c>
      <c r="L16" s="7">
        <f t="shared" si="24"/>
        <v>123.28217373724937</v>
      </c>
      <c r="M16" s="4">
        <f t="shared" si="25"/>
        <v>80.996388145372833</v>
      </c>
      <c r="N16" s="4">
        <f t="shared" si="25"/>
        <v>1047.2832987196707</v>
      </c>
      <c r="O16" s="4">
        <f t="shared" si="26"/>
        <v>5.0780803335474474</v>
      </c>
      <c r="Q16" s="45"/>
      <c r="R16" s="45"/>
      <c r="S16" s="44"/>
      <c r="T16" s="45"/>
      <c r="U16" s="45"/>
      <c r="V16" s="63">
        <v>5.24</v>
      </c>
      <c r="W16" s="43">
        <f t="shared" si="27"/>
        <v>3.0055908017631236E-3</v>
      </c>
      <c r="X16" s="237">
        <v>0</v>
      </c>
      <c r="Y16" s="237">
        <v>0.65700000000000003</v>
      </c>
      <c r="Z16" s="63">
        <v>12.93</v>
      </c>
      <c r="AA16" s="43">
        <f t="shared" si="28"/>
        <v>0.21191095574977337</v>
      </c>
      <c r="AB16" s="17">
        <v>0.22006126333134546</v>
      </c>
      <c r="AC16" s="43">
        <f t="shared" si="29"/>
        <v>0.10680484762617598</v>
      </c>
      <c r="AE16" s="47"/>
      <c r="AF16" s="61">
        <v>3.0039703355766501E-3</v>
      </c>
      <c r="AG16" s="61">
        <v>0.21185565199251577</v>
      </c>
      <c r="AH16" s="61">
        <v>6.2695145423438833E-2</v>
      </c>
    </row>
    <row r="17" spans="1:34" x14ac:dyDescent="0.3">
      <c r="A17" s="66" t="s">
        <v>349</v>
      </c>
      <c r="B17" s="59" t="s">
        <v>358</v>
      </c>
      <c r="C17" s="60">
        <v>11</v>
      </c>
      <c r="D17" s="44"/>
      <c r="E17" s="44"/>
      <c r="F17" s="44"/>
      <c r="G17" s="44"/>
      <c r="H17" s="44"/>
      <c r="I17" s="4">
        <f t="shared" si="21"/>
        <v>1.334052588632354</v>
      </c>
      <c r="J17" s="4">
        <f t="shared" si="22"/>
        <v>8.0710181612257408</v>
      </c>
      <c r="K17" s="4">
        <f t="shared" si="23"/>
        <v>3.335131471580885E-2</v>
      </c>
      <c r="L17" s="7">
        <f t="shared" si="24"/>
        <v>24.506395590771682</v>
      </c>
      <c r="M17" s="4">
        <f t="shared" si="25"/>
        <v>14.934197473016264</v>
      </c>
      <c r="N17" s="4">
        <f t="shared" si="25"/>
        <v>194.29390912394157</v>
      </c>
      <c r="O17" s="4">
        <f t="shared" si="26"/>
        <v>0.88111765090795946</v>
      </c>
      <c r="Q17" s="45"/>
      <c r="R17" s="45"/>
      <c r="S17" s="44"/>
      <c r="T17" s="45"/>
      <c r="U17" s="45"/>
      <c r="V17" s="63">
        <v>6.05</v>
      </c>
      <c r="W17" s="43">
        <f t="shared" si="27"/>
        <v>3.205963521880665E-3</v>
      </c>
      <c r="X17" s="237">
        <v>2.5000000000000001E-2</v>
      </c>
      <c r="Y17" s="237">
        <v>0.60940000000000005</v>
      </c>
      <c r="Z17" s="63">
        <v>13.01</v>
      </c>
      <c r="AA17" s="43">
        <f t="shared" si="28"/>
        <v>4.2124287349853531E-2</v>
      </c>
      <c r="AB17" s="17">
        <v>8.3548874942313098E-2</v>
      </c>
      <c r="AC17" s="43">
        <f t="shared" si="29"/>
        <v>0.10050995124717498</v>
      </c>
      <c r="AE17" s="47"/>
      <c r="AF17" s="61">
        <v>3.2042350246150931E-3</v>
      </c>
      <c r="AG17" s="61">
        <v>4.2113293905205976E-2</v>
      </c>
      <c r="AH17" s="61">
        <v>5.8999999999999997E-2</v>
      </c>
    </row>
    <row r="18" spans="1:34" x14ac:dyDescent="0.3">
      <c r="A18" s="66" t="s">
        <v>628</v>
      </c>
      <c r="B18" s="59" t="s">
        <v>358</v>
      </c>
      <c r="C18" s="60">
        <v>11</v>
      </c>
      <c r="D18" s="44"/>
      <c r="E18" s="44"/>
      <c r="F18" s="44"/>
      <c r="G18" s="44"/>
      <c r="H18" s="44"/>
      <c r="I18" s="4">
        <f t="shared" si="21"/>
        <v>5.3362103545294159</v>
      </c>
      <c r="J18" s="4">
        <f t="shared" si="22"/>
        <v>37.673645102977673</v>
      </c>
      <c r="K18" s="4">
        <f t="shared" si="23"/>
        <v>0.10005394414742655</v>
      </c>
      <c r="L18" s="7">
        <f t="shared" si="24"/>
        <v>52.372431568379447</v>
      </c>
      <c r="M18" s="4">
        <f t="shared" si="25"/>
        <v>29.224937081071637</v>
      </c>
      <c r="N18" s="4">
        <f t="shared" si="25"/>
        <v>342.22401321934888</v>
      </c>
      <c r="O18" s="4">
        <f t="shared" si="26"/>
        <v>1.7827211619453698</v>
      </c>
      <c r="Q18" s="45"/>
      <c r="R18" s="45"/>
      <c r="S18" s="44"/>
      <c r="T18" s="45"/>
      <c r="U18" s="45"/>
      <c r="V18" s="63">
        <v>7.06</v>
      </c>
      <c r="W18" s="43">
        <f t="shared" si="27"/>
        <v>1.282385408752266E-2</v>
      </c>
      <c r="X18" s="237">
        <v>1.8749999999999999E-2</v>
      </c>
      <c r="Y18" s="237">
        <v>0.55802139037433163</v>
      </c>
      <c r="Z18" s="63">
        <v>11.71</v>
      </c>
      <c r="AA18" s="43">
        <f t="shared" si="28"/>
        <v>9.0023494006916366E-2</v>
      </c>
      <c r="AB18" s="17">
        <v>3.5415477643150291E-2</v>
      </c>
      <c r="AC18" s="43">
        <f t="shared" si="29"/>
        <v>0.10391706823860464</v>
      </c>
      <c r="AE18" s="47"/>
      <c r="AF18" s="61">
        <v>1.2816940098460372E-2</v>
      </c>
      <c r="AG18" s="61">
        <v>0.09</v>
      </c>
      <c r="AH18" s="61">
        <v>6.0999999999999999E-2</v>
      </c>
    </row>
    <row r="19" spans="1:34" x14ac:dyDescent="0.3">
      <c r="A19" s="77" t="s">
        <v>629</v>
      </c>
      <c r="B19" s="59" t="s">
        <v>358</v>
      </c>
      <c r="C19" s="60">
        <v>11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8.0020883561703435</v>
      </c>
      <c r="M19" s="4">
        <f t="shared" si="25"/>
        <v>4.8564674233597813</v>
      </c>
      <c r="N19" s="4">
        <f t="shared" si="25"/>
        <v>57.741440511927699</v>
      </c>
      <c r="O19" s="4">
        <f t="shared" si="26"/>
        <v>0.22256912558790376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0.6069</v>
      </c>
      <c r="Z19" s="63">
        <v>11.889597000937206</v>
      </c>
      <c r="AA19" s="43">
        <f t="shared" si="28"/>
        <v>1.3754869338727682E-2</v>
      </c>
      <c r="AB19" s="17">
        <v>2.690521441900991E-2</v>
      </c>
      <c r="AC19" s="43">
        <f t="shared" si="29"/>
        <v>7.8073111940445347E-2</v>
      </c>
      <c r="AE19" s="47"/>
      <c r="AF19" s="61">
        <v>0</v>
      </c>
      <c r="AG19" s="61">
        <v>1.3751279642516236E-2</v>
      </c>
      <c r="AH19" s="61">
        <v>4.5829428303655106E-2</v>
      </c>
    </row>
    <row r="20" spans="1:34" x14ac:dyDescent="0.3">
      <c r="A20" s="77" t="s">
        <v>760</v>
      </c>
      <c r="B20" s="59" t="s">
        <v>358</v>
      </c>
      <c r="C20" s="60">
        <v>11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21.905716875016314</v>
      </c>
      <c r="M20" s="4">
        <f t="shared" ref="M20:N20" si="30">L20*Y20</f>
        <v>11.853183401071329</v>
      </c>
      <c r="N20" s="4">
        <f t="shared" si="30"/>
        <v>136.31160911232027</v>
      </c>
      <c r="O20" s="4">
        <f t="shared" si="26"/>
        <v>0.32474475071428294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0.54110000000000003</v>
      </c>
      <c r="Z20" s="63">
        <v>11.5</v>
      </c>
      <c r="AA20" s="43">
        <f t="shared" si="28"/>
        <v>3.7653954814767028E-2</v>
      </c>
      <c r="AB20" s="17">
        <v>0</v>
      </c>
      <c r="AC20" s="43">
        <f t="shared" si="29"/>
        <v>4.667283549903644E-2</v>
      </c>
      <c r="AE20" s="47"/>
      <c r="AF20" s="61">
        <v>0</v>
      </c>
      <c r="AG20" s="61">
        <v>3.7644128021388196E-2</v>
      </c>
      <c r="AH20" s="61">
        <v>2.7397260273972598E-2</v>
      </c>
    </row>
    <row r="21" spans="1:34" x14ac:dyDescent="0.3">
      <c r="A21" s="77"/>
      <c r="B21" s="59" t="s">
        <v>358</v>
      </c>
      <c r="C21" s="60">
        <v>11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0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11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53</v>
      </c>
      <c r="B24" s="59" t="s">
        <v>10</v>
      </c>
      <c r="C24" s="60">
        <v>11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89.61504957256038</v>
      </c>
      <c r="M24" s="4">
        <f t="shared" ref="M24:N27" si="34">L24*Y24</f>
        <v>58.509665865924674</v>
      </c>
      <c r="N24" s="4">
        <f t="shared" si="34"/>
        <v>616.10678156818676</v>
      </c>
      <c r="O24" s="4">
        <f t="shared" ref="O24:O27" si="35">M24*AH24</f>
        <v>3.8240641668661874</v>
      </c>
      <c r="Q24" s="45"/>
      <c r="R24" s="45"/>
      <c r="S24" s="44"/>
      <c r="T24" s="45"/>
      <c r="U24" s="45"/>
      <c r="V24" s="46"/>
      <c r="W24" s="46"/>
      <c r="X24" s="45"/>
      <c r="Y24" s="237">
        <v>0.65290000000000004</v>
      </c>
      <c r="Z24" s="236">
        <v>10.53</v>
      </c>
      <c r="AA24" s="43">
        <f t="shared" ref="AA24:AA27" si="36">(AG24/SUM(AG$7:AG$27))*0.98</f>
        <v>0.15404020085627912</v>
      </c>
      <c r="AB24" s="17">
        <v>0.12027831168368815</v>
      </c>
      <c r="AC24" s="43">
        <f t="shared" ref="AC24:AC27" si="37">(AH24/SUM(AH$7:AH$27))*0.98</f>
        <v>0.1113408682686996</v>
      </c>
      <c r="AE24" s="47"/>
      <c r="AF24" s="47"/>
      <c r="AG24" s="61">
        <v>0.154</v>
      </c>
      <c r="AH24" s="61">
        <v>6.5357819264069264E-2</v>
      </c>
    </row>
    <row r="25" spans="1:34" x14ac:dyDescent="0.3">
      <c r="A25" s="66" t="s">
        <v>98</v>
      </c>
      <c r="B25" s="59" t="s">
        <v>10</v>
      </c>
      <c r="C25" s="60">
        <v>11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28.513879409451036</v>
      </c>
      <c r="M25" s="4">
        <f t="shared" si="34"/>
        <v>18.305910580867565</v>
      </c>
      <c r="N25" s="4">
        <f t="shared" si="34"/>
        <v>190.56452914683135</v>
      </c>
      <c r="O25" s="4">
        <f t="shared" si="35"/>
        <v>0.94979718444263006</v>
      </c>
      <c r="Q25" s="45"/>
      <c r="R25" s="45"/>
      <c r="S25" s="44"/>
      <c r="T25" s="45"/>
      <c r="U25" s="45"/>
      <c r="V25" s="46"/>
      <c r="W25" s="46"/>
      <c r="X25" s="45"/>
      <c r="Y25" s="237">
        <v>0.64200000000000002</v>
      </c>
      <c r="Z25" s="236">
        <v>10.41</v>
      </c>
      <c r="AA25" s="43">
        <f t="shared" si="36"/>
        <v>4.9012791181543364E-2</v>
      </c>
      <c r="AB25" s="17">
        <v>5.9721342767752948E-2</v>
      </c>
      <c r="AC25" s="43">
        <f t="shared" si="37"/>
        <v>8.8388668545904422E-2</v>
      </c>
      <c r="AE25" s="47"/>
      <c r="AF25" s="47"/>
      <c r="AG25" s="61">
        <v>4.9000000000000002E-2</v>
      </c>
      <c r="AH25" s="61">
        <v>5.188472762645914E-2</v>
      </c>
    </row>
    <row r="26" spans="1:34" x14ac:dyDescent="0.3">
      <c r="A26" s="77" t="s">
        <v>295</v>
      </c>
      <c r="B26" s="59" t="s">
        <v>10</v>
      </c>
      <c r="C26" s="60">
        <v>11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6.9829908757839263</v>
      </c>
      <c r="M26" s="4">
        <f t="shared" si="34"/>
        <v>4.3154883612344666</v>
      </c>
      <c r="N26" s="4">
        <f t="shared" si="34"/>
        <v>43.370658030406389</v>
      </c>
      <c r="O26" s="4">
        <f t="shared" si="35"/>
        <v>0.24166734822913014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10.050000000000001</v>
      </c>
      <c r="AA26" s="43">
        <f t="shared" si="36"/>
        <v>1.2003132534255516E-2</v>
      </c>
      <c r="AB26" s="17">
        <v>1.5190770139516549E-2</v>
      </c>
      <c r="AC26" s="43">
        <f t="shared" si="37"/>
        <v>9.5399275760030489E-2</v>
      </c>
      <c r="AE26" s="47"/>
      <c r="AF26" s="47"/>
      <c r="AG26" s="61">
        <v>1.2E-2</v>
      </c>
      <c r="AH26" s="61">
        <v>5.6000000000000001E-2</v>
      </c>
    </row>
    <row r="27" spans="1:34" x14ac:dyDescent="0.3">
      <c r="A27" s="77"/>
      <c r="B27" s="59" t="s">
        <v>10</v>
      </c>
      <c r="C27" s="60">
        <v>11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0.97499999999999998</v>
      </c>
      <c r="AC30" s="28">
        <f>SUM(AC7:AC27)</f>
        <v>0.97999999999999987</v>
      </c>
      <c r="AD30" s="89"/>
      <c r="AE30" s="28">
        <f>SUM(AE2:AE4,AE7:AE27)</f>
        <v>1</v>
      </c>
      <c r="AF30" s="28">
        <f>SUM(AF2:AF4,AF7:AF27)</f>
        <v>0.97947163237862833</v>
      </c>
      <c r="AG30" s="28">
        <f>SUM(AG7:AG27)</f>
        <v>0.97974424313306174</v>
      </c>
    </row>
    <row r="31" spans="1:34" s="86" customFormat="1" x14ac:dyDescent="0.3">
      <c r="A31" s="102"/>
      <c r="B31" s="80"/>
      <c r="C31" s="80"/>
      <c r="D31" s="105">
        <v>997.88</v>
      </c>
      <c r="E31" s="106">
        <v>0.58299999999999996</v>
      </c>
      <c r="F31" s="8">
        <f>1-E31</f>
        <v>0.41700000000000004</v>
      </c>
      <c r="G31" s="234">
        <v>4.5599999999999996</v>
      </c>
      <c r="H31" s="275">
        <v>3.7999999999999999E-2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581.76403999999991</v>
      </c>
      <c r="E34" s="2">
        <f>SUM(E2:E4)</f>
        <v>366.4848865300703</v>
      </c>
      <c r="F34" s="2">
        <f>SUM(F2:F4)</f>
        <v>4148.4474529709596</v>
      </c>
      <c r="G34" s="2">
        <f>SUM(G2:G4)</f>
        <v>21.175016297630432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416.11596000000003</v>
      </c>
      <c r="E37" s="2">
        <f>D37*G31</f>
        <v>1897.4887776</v>
      </c>
      <c r="F37" s="2">
        <f>D37*H31</f>
        <v>15.81240648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407.79364080000005</v>
      </c>
      <c r="E40" s="3">
        <f>SUM(J2:J4,J7:J12,J15:J22)</f>
        <v>1881.1043559162117</v>
      </c>
      <c r="F40" s="3">
        <f>SUM(K2:K4,K7:K12,K15:K22)</f>
        <v>15.713904267145494</v>
      </c>
      <c r="G40" s="3">
        <f>SUM(L7:L12,L15:L22,L24:L27)</f>
        <v>570.12875919999988</v>
      </c>
      <c r="H40" s="3">
        <f>SUM(M7:M12,M15:M22,M24:M27)</f>
        <v>357.38585222455134</v>
      </c>
      <c r="I40" s="3">
        <f>SUM(N7:N12,N15:N22,N24:N27)</f>
        <v>4145.2217000633955</v>
      </c>
      <c r="J40" s="3">
        <f>SUM(O7:O12,O15:O22,O24:O27)</f>
        <v>21.097457527219245</v>
      </c>
    </row>
    <row r="41" spans="1:32" ht="14.4" thickTop="1" x14ac:dyDescent="0.3">
      <c r="D41" s="50">
        <f>D37-D40</f>
        <v>8.3223191999999813</v>
      </c>
      <c r="E41" s="50">
        <f>E37-E40</f>
        <v>16.384421683788332</v>
      </c>
      <c r="F41" s="50">
        <f>F37-F40</f>
        <v>9.8502212854505444E-2</v>
      </c>
      <c r="G41" s="50">
        <f>SUM(D2:D4)-G40</f>
        <v>11.635280800000032</v>
      </c>
      <c r="H41" s="50">
        <f>E34-H40</f>
        <v>9.0990343055189555</v>
      </c>
      <c r="I41" s="50">
        <f>F34-I40</f>
        <v>3.2257529075641287</v>
      </c>
      <c r="J41" s="50">
        <f>G34-J40</f>
        <v>7.7558770411187083E-2</v>
      </c>
    </row>
    <row r="42" spans="1:32" x14ac:dyDescent="0.3">
      <c r="N42" s="74"/>
      <c r="O42" s="74"/>
    </row>
    <row r="43" spans="1:32" x14ac:dyDescent="0.3">
      <c r="N43" s="74"/>
      <c r="O43" s="74"/>
    </row>
    <row r="44" spans="1:32" x14ac:dyDescent="0.3">
      <c r="N44" s="74"/>
      <c r="O44" s="74"/>
    </row>
    <row r="45" spans="1:32" x14ac:dyDescent="0.3">
      <c r="L45" s="60"/>
      <c r="M45" s="75"/>
      <c r="N45" s="74"/>
      <c r="O45" s="75"/>
      <c r="P45" s="76"/>
      <c r="S45" s="75"/>
      <c r="T45" s="76"/>
      <c r="U45" s="76"/>
      <c r="V45" s="75"/>
      <c r="W45" s="75"/>
      <c r="X45" s="60"/>
      <c r="Y45" s="60"/>
      <c r="Z45" s="60"/>
      <c r="AC45" s="60"/>
    </row>
  </sheetData>
  <sheetProtection sheet="1" selectLockedCells="1"/>
  <conditionalFormatting sqref="AA30:AB30 AD30:AF30">
    <cfRule type="cellIs" dxfId="179" priority="14" operator="greaterThan">
      <formula>1</formula>
    </cfRule>
    <cfRule type="cellIs" dxfId="178" priority="15" operator="greaterThan">
      <formula>1</formula>
    </cfRule>
  </conditionalFormatting>
  <conditionalFormatting sqref="AC30">
    <cfRule type="cellIs" dxfId="177" priority="10" operator="greaterThan">
      <formula>1</formula>
    </cfRule>
    <cfRule type="cellIs" dxfId="176" priority="11" operator="greaterThan">
      <formula>1</formula>
    </cfRule>
  </conditionalFormatting>
  <conditionalFormatting sqref="AG30">
    <cfRule type="cellIs" dxfId="175" priority="8" operator="greaterThan">
      <formula>1</formula>
    </cfRule>
    <cfRule type="cellIs" dxfId="174" priority="9" operator="greaterThan">
      <formula>1</formula>
    </cfRule>
  </conditionalFormatting>
  <conditionalFormatting sqref="W30">
    <cfRule type="cellIs" dxfId="173" priority="2" operator="greaterThan">
      <formula>1</formula>
    </cfRule>
    <cfRule type="cellIs" dxfId="172" priority="3" operator="greaterThan">
      <formula>1</formula>
    </cfRule>
  </conditionalFormatting>
  <conditionalFormatting sqref="D41:J41">
    <cfRule type="cellIs" dxfId="171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DA0000"/>
  </sheetPr>
  <dimension ref="A1:AS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45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45" x14ac:dyDescent="0.3">
      <c r="A2" s="58" t="s">
        <v>122</v>
      </c>
      <c r="B2" s="59" t="s">
        <v>9</v>
      </c>
      <c r="C2" s="60">
        <v>11</v>
      </c>
      <c r="D2" s="4">
        <f>D$34*Q2</f>
        <v>700.62992999999994</v>
      </c>
      <c r="E2" s="4">
        <f>D2*R2</f>
        <v>471.52394289</v>
      </c>
      <c r="F2" s="4">
        <f>E2*S2</f>
        <v>5064.1671466385997</v>
      </c>
      <c r="G2" s="4">
        <f>E2*T2</f>
        <v>38.240591768379005</v>
      </c>
      <c r="H2" s="4">
        <f>E2*U2</f>
        <v>9.0738867325646932</v>
      </c>
      <c r="I2" s="4">
        <f>D$37*W2</f>
        <v>21.319046566187502</v>
      </c>
      <c r="J2" s="4">
        <f>I2*V2</f>
        <v>52.511562045284172</v>
      </c>
      <c r="K2" s="4">
        <f>I2*X2</f>
        <v>1.7060637454723477</v>
      </c>
      <c r="L2" s="44"/>
      <c r="M2" s="44"/>
      <c r="N2" s="44"/>
      <c r="O2" s="44"/>
      <c r="Q2" s="43">
        <f>AE2</f>
        <v>0.99</v>
      </c>
      <c r="R2" s="61">
        <v>0.67300000000000004</v>
      </c>
      <c r="S2" s="236">
        <v>10.74</v>
      </c>
      <c r="T2" s="237">
        <v>8.1100000000000005E-2</v>
      </c>
      <c r="U2" s="61">
        <v>1.9243745454261069E-2</v>
      </c>
      <c r="V2" s="236">
        <v>2.4631290091822735</v>
      </c>
      <c r="W2" s="43">
        <f>(AF2/SUM(AF$2:AF$22))*0.98</f>
        <v>5.5944783719097141E-2</v>
      </c>
      <c r="X2" s="61">
        <v>8.0025330409391013E-2</v>
      </c>
      <c r="Y2" s="64"/>
      <c r="Z2" s="65"/>
      <c r="AA2" s="1"/>
      <c r="AB2" s="1"/>
      <c r="AC2" s="1"/>
      <c r="AE2" s="61">
        <v>0.99</v>
      </c>
      <c r="AF2" s="61">
        <v>5.5942693394703903E-2</v>
      </c>
      <c r="AG2" s="47"/>
      <c r="AH2" s="47"/>
    </row>
    <row r="3" spans="1:45" x14ac:dyDescent="0.3">
      <c r="A3" s="58" t="s">
        <v>692</v>
      </c>
      <c r="B3" s="59" t="s">
        <v>9</v>
      </c>
      <c r="C3" s="60">
        <v>11</v>
      </c>
      <c r="D3" s="4">
        <f>D$34*Q3</f>
        <v>7.0770700000000062</v>
      </c>
      <c r="E3" s="4">
        <f t="shared" ref="E3:E4" si="0">D3*R3</f>
        <v>4.367179272151902</v>
      </c>
      <c r="F3" s="4">
        <f t="shared" ref="F3:F4" si="1">E3*S3</f>
        <v>43.746445358649822</v>
      </c>
      <c r="G3" s="4">
        <f t="shared" ref="G3" si="2">E3*T3</f>
        <v>0.34762747006329142</v>
      </c>
      <c r="H3" s="4">
        <f t="shared" ref="H3" si="3">E3*U3</f>
        <v>9.6741312990706693E-2</v>
      </c>
      <c r="I3" s="4">
        <f t="shared" ref="I3:I4" si="4">D$37*W3</f>
        <v>0</v>
      </c>
      <c r="J3" s="4">
        <f>I3*V3</f>
        <v>0</v>
      </c>
      <c r="K3" s="4">
        <f>I3*X3</f>
        <v>0</v>
      </c>
      <c r="L3" s="44"/>
      <c r="M3" s="44"/>
      <c r="N3" s="44"/>
      <c r="O3" s="44"/>
      <c r="Q3" s="43">
        <f t="shared" ref="Q3:Q4" si="5">AE3</f>
        <v>1.0000000000000009E-2</v>
      </c>
      <c r="R3" s="61">
        <v>0.61708860759493667</v>
      </c>
      <c r="S3" s="236">
        <v>10.017094017094017</v>
      </c>
      <c r="T3" s="237">
        <v>7.9600000000000004E-2</v>
      </c>
      <c r="U3" s="61">
        <v>2.2151898734177215E-2</v>
      </c>
      <c r="V3" s="236">
        <v>3.3131313131313127</v>
      </c>
      <c r="W3" s="43">
        <f t="shared" ref="W3:W4" si="6">(AF3/SUM(AF$2:AF$22))*0.98</f>
        <v>0</v>
      </c>
      <c r="X3" s="61">
        <v>1.9E-2</v>
      </c>
      <c r="Y3" s="64"/>
      <c r="Z3" s="65"/>
      <c r="AA3" s="1"/>
      <c r="AB3" s="1"/>
      <c r="AC3" s="1"/>
      <c r="AE3" s="61">
        <f>1-AE2</f>
        <v>1.0000000000000009E-2</v>
      </c>
      <c r="AF3" s="61">
        <v>0</v>
      </c>
      <c r="AG3" s="47"/>
      <c r="AH3" s="47"/>
    </row>
    <row r="4" spans="1:45" x14ac:dyDescent="0.3">
      <c r="B4" s="59" t="s">
        <v>9</v>
      </c>
      <c r="C4" s="60">
        <v>11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45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45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45" x14ac:dyDescent="0.3">
      <c r="A7" s="101" t="s">
        <v>67</v>
      </c>
      <c r="B7" s="59" t="s">
        <v>357</v>
      </c>
      <c r="C7" s="60">
        <v>11</v>
      </c>
      <c r="D7" s="44"/>
      <c r="E7" s="44"/>
      <c r="F7" s="44"/>
      <c r="G7" s="44"/>
      <c r="H7" s="44"/>
      <c r="I7" s="4">
        <f t="shared" ref="I7:I12" si="9">D$37*W7</f>
        <v>206.54928352033068</v>
      </c>
      <c r="J7" s="4">
        <f>I7*V7</f>
        <v>917.07881883026823</v>
      </c>
      <c r="K7" s="4">
        <f>I7*X7</f>
        <v>9.5219219702872451</v>
      </c>
      <c r="L7" s="7">
        <f>((D$2+D$3+D$4)*AA7)</f>
        <v>73.866945697740135</v>
      </c>
      <c r="M7" s="4">
        <f t="shared" ref="M7:N9" si="10">L7*Y7</f>
        <v>58.871955721098892</v>
      </c>
      <c r="N7" s="4">
        <f t="shared" si="10"/>
        <v>386.78874908761975</v>
      </c>
      <c r="O7" s="4">
        <f>M7*AH7</f>
        <v>2.1193904059595599</v>
      </c>
      <c r="Q7" s="45"/>
      <c r="R7" s="45"/>
      <c r="S7" s="44"/>
      <c r="T7" s="45"/>
      <c r="U7" s="45"/>
      <c r="V7" s="63">
        <v>4.4400000000000004</v>
      </c>
      <c r="W7" s="43">
        <f t="shared" ref="W7:W12" si="11">(AF7/SUM(AF$2:AF$22))*0.98</f>
        <v>0.54202025207855364</v>
      </c>
      <c r="X7" s="237">
        <v>4.6100000000000002E-2</v>
      </c>
      <c r="Y7" s="237">
        <v>0.79700000000000004</v>
      </c>
      <c r="Z7" s="63">
        <v>6.57</v>
      </c>
      <c r="AA7" s="43">
        <f>(AG7/SUM(AG$7:AG$27))*0.98</f>
        <v>0.10437503896067177</v>
      </c>
      <c r="AB7" s="17">
        <v>3.3595991528852176E-2</v>
      </c>
      <c r="AC7" s="43">
        <f>(AH7/SUM(AH$7:AH$27))*0.98</f>
        <v>3.7556486133564611E-2</v>
      </c>
      <c r="AE7" s="47"/>
      <c r="AF7" s="61">
        <v>0.54200000000000004</v>
      </c>
      <c r="AG7" s="61">
        <v>0.10442174515724728</v>
      </c>
      <c r="AH7" s="61">
        <v>3.5999999999999997E-2</v>
      </c>
    </row>
    <row r="8" spans="1:45" x14ac:dyDescent="0.3">
      <c r="A8" s="101" t="s">
        <v>662</v>
      </c>
      <c r="B8" s="59" t="s">
        <v>357</v>
      </c>
      <c r="C8" s="60">
        <v>11</v>
      </c>
      <c r="D8" s="44"/>
      <c r="E8" s="44"/>
      <c r="F8" s="44"/>
      <c r="G8" s="44"/>
      <c r="H8" s="44"/>
      <c r="I8" s="4">
        <f t="shared" si="9"/>
        <v>81.55266913902355</v>
      </c>
      <c r="J8" s="4">
        <f>I8*V8</f>
        <v>350.67647729780123</v>
      </c>
      <c r="K8" s="4">
        <f>I8*X8</f>
        <v>3.0990014272828947</v>
      </c>
      <c r="L8" s="7">
        <f>((D$2+D$3+D$4)*AA8)</f>
        <v>45.272989045876542</v>
      </c>
      <c r="M8" s="4">
        <f t="shared" si="10"/>
        <v>32.343023374374205</v>
      </c>
      <c r="N8" s="4">
        <f t="shared" si="10"/>
        <v>236.42750086667542</v>
      </c>
      <c r="O8" s="4">
        <f t="shared" ref="O8:O12" si="12">M8*AH8</f>
        <v>1.2937209349749683</v>
      </c>
      <c r="Q8" s="45"/>
      <c r="R8" s="45"/>
      <c r="S8" s="44"/>
      <c r="T8" s="45"/>
      <c r="U8" s="45"/>
      <c r="V8" s="63">
        <v>4.3</v>
      </c>
      <c r="W8" s="43">
        <f t="shared" si="11"/>
        <v>0.21400799620813743</v>
      </c>
      <c r="X8" s="237">
        <v>3.7999999999999999E-2</v>
      </c>
      <c r="Y8" s="237">
        <v>0.71440000000000003</v>
      </c>
      <c r="Z8" s="63">
        <v>7.31</v>
      </c>
      <c r="AA8" s="43">
        <f t="shared" ref="AA8:AA12" si="13">(AG8/SUM(AG$7:AG$27))*0.98</f>
        <v>6.3971373811304036E-2</v>
      </c>
      <c r="AB8" s="17">
        <v>7.0896253682675769E-2</v>
      </c>
      <c r="AC8" s="43">
        <f t="shared" ref="AC8:AC12" si="14">(AH8/SUM(AH$7:AH$27))*0.98</f>
        <v>4.1729429037294014E-2</v>
      </c>
      <c r="AE8" s="47"/>
      <c r="AF8" s="61">
        <v>0.214</v>
      </c>
      <c r="AG8" s="61">
        <v>6.4000000000000001E-2</v>
      </c>
      <c r="AH8" s="61">
        <v>0.04</v>
      </c>
    </row>
    <row r="9" spans="1:45" x14ac:dyDescent="0.3">
      <c r="A9" s="101" t="s">
        <v>40</v>
      </c>
      <c r="B9" s="59" t="s">
        <v>357</v>
      </c>
      <c r="C9" s="60">
        <v>11</v>
      </c>
      <c r="D9" s="44"/>
      <c r="E9" s="44"/>
      <c r="F9" s="44"/>
      <c r="G9" s="44"/>
      <c r="H9" s="44"/>
      <c r="I9" s="4">
        <f t="shared" si="9"/>
        <v>37.727636657772578</v>
      </c>
      <c r="J9" s="4">
        <f>I9*V9</f>
        <v>159.68557101766075</v>
      </c>
      <c r="K9" s="4">
        <f>I9*X9</f>
        <v>1.0393697459218001</v>
      </c>
      <c r="L9" s="7">
        <f>((D$2+D$3+D$4)*AA9)</f>
        <v>29.986581474048769</v>
      </c>
      <c r="M9" s="4">
        <f t="shared" si="10"/>
        <v>19.497475184969673</v>
      </c>
      <c r="N9" s="4">
        <f t="shared" si="10"/>
        <v>139.40694757253317</v>
      </c>
      <c r="O9" s="4">
        <f t="shared" si="12"/>
        <v>0.93558134199032195</v>
      </c>
      <c r="Q9" s="45"/>
      <c r="R9" s="45"/>
      <c r="S9" s="44"/>
      <c r="T9" s="45"/>
      <c r="U9" s="45"/>
      <c r="V9" s="63">
        <v>4.2325887642040421</v>
      </c>
      <c r="W9" s="43">
        <f t="shared" si="11"/>
        <v>9.9003699180400029E-2</v>
      </c>
      <c r="X9" s="237">
        <v>2.7549293780310808E-2</v>
      </c>
      <c r="Y9" s="237">
        <v>0.65020666666666671</v>
      </c>
      <c r="Z9" s="63">
        <v>7.15</v>
      </c>
      <c r="AA9" s="43">
        <f t="shared" si="13"/>
        <v>4.2371463718811272E-2</v>
      </c>
      <c r="AB9" s="17">
        <v>5.3655302356648456E-2</v>
      </c>
      <c r="AC9" s="43">
        <f t="shared" si="14"/>
        <v>5.0059398523171102E-2</v>
      </c>
      <c r="AE9" s="47"/>
      <c r="AF9" s="61">
        <v>9.9000000000000005E-2</v>
      </c>
      <c r="AG9" s="61">
        <v>4.2390424285756671E-2</v>
      </c>
      <c r="AH9" s="61">
        <v>4.7984743312382741E-2</v>
      </c>
    </row>
    <row r="10" spans="1:45" x14ac:dyDescent="0.3">
      <c r="A10" s="101" t="s">
        <v>228</v>
      </c>
      <c r="B10" s="59" t="s">
        <v>357</v>
      </c>
      <c r="C10" s="60">
        <v>11</v>
      </c>
      <c r="D10" s="44"/>
      <c r="E10" s="44"/>
      <c r="F10" s="44"/>
      <c r="G10" s="44"/>
      <c r="H10" s="44"/>
      <c r="I10" s="4">
        <f t="shared" si="9"/>
        <v>21.340885382174388</v>
      </c>
      <c r="J10" s="4">
        <f t="shared" ref="J10:J12" si="15">I10*V10</f>
        <v>93.899895681567315</v>
      </c>
      <c r="K10" s="4">
        <f t="shared" ref="K10:K12" si="16">I10*X10</f>
        <v>0.94326713389210803</v>
      </c>
      <c r="L10" s="7">
        <f t="shared" ref="L10:L12" si="17">((D$2+D$3+D$4)*AA10)</f>
        <v>12.826651325733659</v>
      </c>
      <c r="M10" s="4">
        <f t="shared" ref="M10:N10" si="18">L10*Y10</f>
        <v>7.7229267632242351</v>
      </c>
      <c r="N10" s="4">
        <f t="shared" si="18"/>
        <v>53.056506863350499</v>
      </c>
      <c r="O10" s="4">
        <f t="shared" si="12"/>
        <v>0.23168780289672705</v>
      </c>
      <c r="Q10" s="45"/>
      <c r="R10" s="45"/>
      <c r="S10" s="44"/>
      <c r="T10" s="45"/>
      <c r="U10" s="45"/>
      <c r="V10" s="63">
        <v>4.4000000000000004</v>
      </c>
      <c r="W10" s="43">
        <f t="shared" si="11"/>
        <v>5.6002092465680824E-2</v>
      </c>
      <c r="X10" s="237">
        <v>4.4200000000000003E-2</v>
      </c>
      <c r="Y10" s="237">
        <v>0.60209999999999997</v>
      </c>
      <c r="Z10" s="63">
        <v>6.87</v>
      </c>
      <c r="AA10" s="43">
        <f t="shared" si="13"/>
        <v>1.8124239728777105E-2</v>
      </c>
      <c r="AB10" s="17">
        <v>1.0415354030662981E-2</v>
      </c>
      <c r="AC10" s="43">
        <f t="shared" si="14"/>
        <v>3.129707177797051E-2</v>
      </c>
      <c r="AE10" s="47"/>
      <c r="AF10" s="61">
        <v>5.6000000000000001E-2</v>
      </c>
      <c r="AG10" s="61">
        <v>1.8132350042430478E-2</v>
      </c>
      <c r="AH10" s="61">
        <v>0.03</v>
      </c>
    </row>
    <row r="11" spans="1:45" x14ac:dyDescent="0.3">
      <c r="A11" s="101"/>
      <c r="B11" s="59" t="s">
        <v>357</v>
      </c>
      <c r="C11" s="60">
        <v>11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45" x14ac:dyDescent="0.3">
      <c r="A12" s="101"/>
      <c r="B12" s="59" t="s">
        <v>357</v>
      </c>
      <c r="C12" s="60">
        <v>11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45" s="73" customFormat="1" x14ac:dyDescent="0.3">
      <c r="A13" s="100"/>
      <c r="B13" s="108"/>
      <c r="C13" s="60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68"/>
      <c r="Q13" s="200"/>
      <c r="R13" s="200"/>
      <c r="S13" s="201"/>
      <c r="T13" s="200"/>
      <c r="U13" s="200"/>
      <c r="V13" s="202"/>
      <c r="W13" s="203"/>
      <c r="X13" s="204"/>
      <c r="Y13" s="204"/>
      <c r="Z13" s="202"/>
      <c r="AA13" s="205"/>
      <c r="AB13" s="206"/>
      <c r="AC13" s="207"/>
      <c r="AD13" s="67"/>
      <c r="AE13" s="67"/>
      <c r="AG13" s="71"/>
      <c r="AH13" s="71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</row>
    <row r="14" spans="1:45" x14ac:dyDescent="0.3">
      <c r="A14" s="109"/>
      <c r="B14" s="110"/>
      <c r="C14" s="6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9"/>
      <c r="Q14" s="208"/>
      <c r="R14" s="208"/>
      <c r="S14" s="10"/>
      <c r="T14" s="208"/>
      <c r="U14" s="208"/>
      <c r="V14" s="209"/>
      <c r="W14" s="210"/>
      <c r="X14" s="211"/>
      <c r="Y14" s="211"/>
      <c r="Z14" s="209"/>
      <c r="AA14" s="212"/>
      <c r="AB14" s="213"/>
      <c r="AC14" s="214"/>
      <c r="AD14" s="58"/>
      <c r="AE14" s="58"/>
      <c r="AF14" s="66"/>
      <c r="AG14" s="75"/>
      <c r="AH14" s="75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</row>
    <row r="15" spans="1:45" x14ac:dyDescent="0.3">
      <c r="A15" s="58" t="s">
        <v>92</v>
      </c>
      <c r="B15" s="59" t="s">
        <v>358</v>
      </c>
      <c r="C15" s="60">
        <v>11</v>
      </c>
      <c r="D15" s="44"/>
      <c r="E15" s="44"/>
      <c r="F15" s="44"/>
      <c r="G15" s="44"/>
      <c r="H15" s="44"/>
      <c r="I15" s="4">
        <f t="shared" ref="I15:I22" si="21">D$37*W15</f>
        <v>0.6250233534116163</v>
      </c>
      <c r="J15" s="4">
        <f t="shared" ref="J15:J22" si="22">I15*V15</f>
        <v>3.3751261084227284</v>
      </c>
      <c r="K15" s="4">
        <f t="shared" ref="K15:K22" si="23">I15*X15</f>
        <v>0</v>
      </c>
      <c r="L15" s="7">
        <f t="shared" ref="L15:L20" si="24">((D$2+D$3+D$4)*AA15)</f>
        <v>126.62289123768598</v>
      </c>
      <c r="M15" s="4">
        <f t="shared" ref="M15:N19" si="25">L15*Y15</f>
        <v>79.773471420797208</v>
      </c>
      <c r="N15" s="4">
        <f t="shared" si="25"/>
        <v>1112.3789496999063</v>
      </c>
      <c r="O15" s="4">
        <f t="shared" ref="O15:O22" si="26">M15*AH15</f>
        <v>11.248059470332405</v>
      </c>
      <c r="Q15" s="45"/>
      <c r="R15" s="45"/>
      <c r="S15" s="44"/>
      <c r="T15" s="45"/>
      <c r="U15" s="45"/>
      <c r="V15" s="63">
        <v>5.4</v>
      </c>
      <c r="W15" s="43">
        <f t="shared" ref="W15:W22" si="27">(AF15/SUM(AF$2:AF$22))*0.98</f>
        <v>1.6401669848339199E-3</v>
      </c>
      <c r="X15" s="237">
        <v>0</v>
      </c>
      <c r="Y15" s="237">
        <v>0.63000829187396357</v>
      </c>
      <c r="Z15" s="63">
        <v>13.94422142960555</v>
      </c>
      <c r="AA15" s="43">
        <f t="shared" ref="AA15:AA22" si="28">(AG15/SUM(AG$7:AG$27))*0.98</f>
        <v>0.178919936128491</v>
      </c>
      <c r="AB15" s="17">
        <v>0.16554122006311245</v>
      </c>
      <c r="AC15" s="43">
        <f t="shared" ref="AC15:AC22" si="29">(AH15/SUM(AH$7:AH$27))*0.98</f>
        <v>0.14709623735646138</v>
      </c>
      <c r="AE15" s="47"/>
      <c r="AF15" s="61">
        <v>1.6401057015322524E-3</v>
      </c>
      <c r="AG15" s="61">
        <v>0.17899999999999999</v>
      </c>
      <c r="AH15" s="61">
        <v>0.14099999999999999</v>
      </c>
    </row>
    <row r="16" spans="1:45" x14ac:dyDescent="0.3">
      <c r="A16" s="58" t="s">
        <v>93</v>
      </c>
      <c r="B16" s="59" t="s">
        <v>358</v>
      </c>
      <c r="C16" s="60">
        <v>11</v>
      </c>
      <c r="D16" s="44"/>
      <c r="E16" s="44"/>
      <c r="F16" s="44"/>
      <c r="G16" s="44"/>
      <c r="H16" s="44"/>
      <c r="I16" s="4">
        <f t="shared" si="21"/>
        <v>3.8786449219311265</v>
      </c>
      <c r="J16" s="4">
        <f t="shared" si="22"/>
        <v>20.850529060470159</v>
      </c>
      <c r="K16" s="4">
        <f t="shared" si="23"/>
        <v>0.30001120963757588</v>
      </c>
      <c r="L16" s="7">
        <f t="shared" si="24"/>
        <v>107.52334898395679</v>
      </c>
      <c r="M16" s="4">
        <f t="shared" si="25"/>
        <v>78.330759734812531</v>
      </c>
      <c r="N16" s="4">
        <f t="shared" si="25"/>
        <v>916.46988889730653</v>
      </c>
      <c r="O16" s="4">
        <f t="shared" si="26"/>
        <v>6.18813001905019</v>
      </c>
      <c r="Q16" s="45"/>
      <c r="R16" s="45"/>
      <c r="S16" s="44"/>
      <c r="T16" s="45"/>
      <c r="U16" s="45"/>
      <c r="V16" s="63">
        <v>5.375725151476086</v>
      </c>
      <c r="W16" s="43">
        <f t="shared" si="27"/>
        <v>1.0178220241085374E-2</v>
      </c>
      <c r="X16" s="237">
        <v>7.7349490782519015E-2</v>
      </c>
      <c r="Y16" s="237">
        <v>0.72850000000000004</v>
      </c>
      <c r="Z16" s="63">
        <v>11.7</v>
      </c>
      <c r="AA16" s="43">
        <f t="shared" si="28"/>
        <v>0.15193201280184709</v>
      </c>
      <c r="AB16" s="17">
        <v>0.14253792246286248</v>
      </c>
      <c r="AC16" s="43">
        <f t="shared" si="29"/>
        <v>8.2415622348655668E-2</v>
      </c>
      <c r="AE16" s="47"/>
      <c r="AF16" s="61">
        <v>1.0177839941428546E-2</v>
      </c>
      <c r="AG16" s="61">
        <v>0.152</v>
      </c>
      <c r="AH16" s="61">
        <v>7.9000000000000001E-2</v>
      </c>
    </row>
    <row r="17" spans="1:34" x14ac:dyDescent="0.3">
      <c r="A17" s="77" t="s">
        <v>195</v>
      </c>
      <c r="B17" s="59" t="s">
        <v>358</v>
      </c>
      <c r="C17" s="60">
        <v>11</v>
      </c>
      <c r="D17" s="44"/>
      <c r="E17" s="44"/>
      <c r="F17" s="44"/>
      <c r="G17" s="44"/>
      <c r="H17" s="44"/>
      <c r="I17" s="4">
        <f t="shared" si="21"/>
        <v>0.12500467068232329</v>
      </c>
      <c r="J17" s="4">
        <f t="shared" si="22"/>
        <v>0.80002989236686917</v>
      </c>
      <c r="K17" s="4">
        <f t="shared" si="23"/>
        <v>0</v>
      </c>
      <c r="L17" s="7">
        <f t="shared" si="24"/>
        <v>109.64552034548227</v>
      </c>
      <c r="M17" s="4">
        <f t="shared" si="25"/>
        <v>74.756395019731798</v>
      </c>
      <c r="N17" s="4">
        <f t="shared" si="25"/>
        <v>866.42661827869154</v>
      </c>
      <c r="O17" s="4">
        <f t="shared" si="26"/>
        <v>5.5319732314601531</v>
      </c>
      <c r="Q17" s="45"/>
      <c r="R17" s="45"/>
      <c r="S17" s="44"/>
      <c r="T17" s="45"/>
      <c r="U17" s="45"/>
      <c r="V17" s="63">
        <v>6.4</v>
      </c>
      <c r="W17" s="43">
        <f t="shared" si="27"/>
        <v>3.2803339696678402E-4</v>
      </c>
      <c r="X17" s="237">
        <v>0</v>
      </c>
      <c r="Y17" s="237">
        <v>0.68180072276716586</v>
      </c>
      <c r="Z17" s="63">
        <v>11.59</v>
      </c>
      <c r="AA17" s="43">
        <f t="shared" si="28"/>
        <v>0.15493067094925198</v>
      </c>
      <c r="AB17" s="17">
        <v>0.12728498853548104</v>
      </c>
      <c r="AC17" s="43">
        <f t="shared" si="29"/>
        <v>7.7199443718993926E-2</v>
      </c>
      <c r="AE17" s="47"/>
      <c r="AF17" s="61">
        <v>3.2802114030645049E-4</v>
      </c>
      <c r="AG17" s="61">
        <v>0.155</v>
      </c>
      <c r="AH17" s="61">
        <v>7.3999999999999996E-2</v>
      </c>
    </row>
    <row r="18" spans="1:34" x14ac:dyDescent="0.3">
      <c r="A18" s="77" t="s">
        <v>581</v>
      </c>
      <c r="B18" s="59" t="s">
        <v>358</v>
      </c>
      <c r="C18" s="60">
        <v>11</v>
      </c>
      <c r="D18" s="44"/>
      <c r="E18" s="44"/>
      <c r="F18" s="44"/>
      <c r="G18" s="44"/>
      <c r="H18" s="44"/>
      <c r="I18" s="4">
        <f t="shared" si="21"/>
        <v>0.33334578848619539</v>
      </c>
      <c r="J18" s="4">
        <f t="shared" si="22"/>
        <v>2.0000747309171722</v>
      </c>
      <c r="K18" s="4">
        <f t="shared" si="23"/>
        <v>0</v>
      </c>
      <c r="L18" s="7">
        <f t="shared" si="24"/>
        <v>18.741613421280483</v>
      </c>
      <c r="M18" s="4">
        <f t="shared" si="25"/>
        <v>11.39864928282279</v>
      </c>
      <c r="N18" s="4">
        <f t="shared" si="25"/>
        <v>182.43850005730869</v>
      </c>
      <c r="O18" s="4">
        <f t="shared" si="26"/>
        <v>1.0018588690681425</v>
      </c>
      <c r="Q18" s="45"/>
      <c r="R18" s="45"/>
      <c r="S18" s="44"/>
      <c r="T18" s="45"/>
      <c r="U18" s="45"/>
      <c r="V18" s="63">
        <v>6</v>
      </c>
      <c r="W18" s="43">
        <f t="shared" si="27"/>
        <v>8.7475572524475733E-4</v>
      </c>
      <c r="X18" s="237">
        <v>0</v>
      </c>
      <c r="Y18" s="237">
        <v>0.60819999999999996</v>
      </c>
      <c r="Z18" s="63">
        <v>16.005273566249173</v>
      </c>
      <c r="AA18" s="43">
        <f t="shared" si="28"/>
        <v>2.6482164824257047E-2</v>
      </c>
      <c r="AB18" s="17">
        <v>5.8351912385236793E-2</v>
      </c>
      <c r="AC18" s="43">
        <f t="shared" si="29"/>
        <v>9.1692878570191191E-2</v>
      </c>
      <c r="AE18" s="47"/>
      <c r="AF18" s="61">
        <v>8.7472304081720128E-4</v>
      </c>
      <c r="AG18" s="61">
        <v>2.6494015178597924E-2</v>
      </c>
      <c r="AH18" s="61">
        <v>8.7892770819600091E-2</v>
      </c>
    </row>
    <row r="19" spans="1:34" x14ac:dyDescent="0.3">
      <c r="A19" s="77" t="s">
        <v>350</v>
      </c>
      <c r="B19" s="59" t="s">
        <v>358</v>
      </c>
      <c r="C19" s="60">
        <v>11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7.7812949922600305</v>
      </c>
      <c r="M19" s="4">
        <f t="shared" si="25"/>
        <v>4.7076834703173187</v>
      </c>
      <c r="N19" s="4">
        <f t="shared" si="25"/>
        <v>55.255840328370965</v>
      </c>
      <c r="O19" s="4">
        <f t="shared" si="26"/>
        <v>0.28531414971620123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0.60499999999999998</v>
      </c>
      <c r="Z19" s="63">
        <v>11.737373737373741</v>
      </c>
      <c r="AA19" s="43">
        <f t="shared" si="28"/>
        <v>1.0995079873817881E-2</v>
      </c>
      <c r="AB19" s="17">
        <v>3.5792586135455981E-2</v>
      </c>
      <c r="AC19" s="43">
        <f t="shared" si="29"/>
        <v>6.3226407632263684E-2</v>
      </c>
      <c r="AE19" s="47"/>
      <c r="AF19" s="61">
        <v>0</v>
      </c>
      <c r="AG19" s="61">
        <v>1.0999999999999999E-2</v>
      </c>
      <c r="AH19" s="61">
        <v>6.0606060606060629E-2</v>
      </c>
    </row>
    <row r="20" spans="1:34" x14ac:dyDescent="0.3">
      <c r="A20" s="77" t="s">
        <v>233</v>
      </c>
      <c r="B20" s="59" t="s">
        <v>358</v>
      </c>
      <c r="C20" s="60">
        <v>11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24.051275430621917</v>
      </c>
      <c r="M20" s="4">
        <f t="shared" ref="M20:N20" si="30">L20*Y20</f>
        <v>17.422066076149395</v>
      </c>
      <c r="N20" s="4">
        <f t="shared" si="30"/>
        <v>207.62906652306157</v>
      </c>
      <c r="O20" s="4">
        <f t="shared" si="26"/>
        <v>1.4460314843203999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0.72437181663837014</v>
      </c>
      <c r="Z20" s="63">
        <v>11.917591496642487</v>
      </c>
      <c r="AA20" s="43">
        <f t="shared" si="28"/>
        <v>3.3984792337255272E-2</v>
      </c>
      <c r="AB20" s="17">
        <v>4.8416185017190957E-2</v>
      </c>
      <c r="AC20" s="43">
        <f t="shared" si="29"/>
        <v>8.6588565252385077E-2</v>
      </c>
      <c r="AE20" s="47"/>
      <c r="AF20" s="61">
        <v>0</v>
      </c>
      <c r="AG20" s="61">
        <v>3.4000000000000002E-2</v>
      </c>
      <c r="AH20" s="61">
        <v>8.3000000000000004E-2</v>
      </c>
    </row>
    <row r="21" spans="1:34" x14ac:dyDescent="0.3">
      <c r="A21" s="77"/>
      <c r="B21" s="59" t="s">
        <v>358</v>
      </c>
      <c r="C21" s="60">
        <v>11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1.6298685731047181E-2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11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58" t="s">
        <v>91</v>
      </c>
      <c r="B24" s="59" t="s">
        <v>10</v>
      </c>
      <c r="C24" s="60">
        <v>11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92.668149453278573</v>
      </c>
      <c r="M24" s="4">
        <f t="shared" ref="M24:N27" si="34">L24*Y24</f>
        <v>61.695222063058196</v>
      </c>
      <c r="N24" s="4">
        <f t="shared" si="34"/>
        <v>648.41678388274158</v>
      </c>
      <c r="O24" s="4">
        <f t="shared" ref="O24:O27" si="35">M24*AH24</f>
        <v>5.7315745106689739</v>
      </c>
      <c r="Q24" s="45"/>
      <c r="R24" s="45"/>
      <c r="S24" s="44"/>
      <c r="T24" s="45"/>
      <c r="U24" s="45"/>
      <c r="V24" s="46"/>
      <c r="W24" s="46"/>
      <c r="X24" s="45"/>
      <c r="Y24" s="237">
        <v>0.66576512455516001</v>
      </c>
      <c r="Z24" s="236">
        <v>10.51</v>
      </c>
      <c r="AA24" s="43">
        <f t="shared" ref="AA24:AA27" si="36">(AG24/SUM(AG$7:AG$27))*0.98</f>
        <v>0.13094140577001298</v>
      </c>
      <c r="AB24" s="17">
        <v>9.1585925676698793E-2</v>
      </c>
      <c r="AC24" s="43">
        <f t="shared" ref="AC24:AC27" si="37">(AH24/SUM(AH$7:AH$27))*0.98</f>
        <v>9.6918093418346438E-2</v>
      </c>
      <c r="AE24" s="47"/>
      <c r="AF24" s="47"/>
      <c r="AG24" s="61">
        <v>0.13100000000000001</v>
      </c>
      <c r="AH24" s="61">
        <v>9.2901432542227935E-2</v>
      </c>
    </row>
    <row r="25" spans="1:34" x14ac:dyDescent="0.3">
      <c r="A25" s="58" t="s">
        <v>661</v>
      </c>
      <c r="B25" s="59" t="s">
        <v>10</v>
      </c>
      <c r="C25" s="60">
        <v>11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37.491694053616513</v>
      </c>
      <c r="M25" s="4">
        <f t="shared" si="34"/>
        <v>23.394817089456705</v>
      </c>
      <c r="N25" s="4">
        <f t="shared" si="34"/>
        <v>252.43346447786581</v>
      </c>
      <c r="O25" s="4">
        <f t="shared" si="35"/>
        <v>2.2225076234983869</v>
      </c>
      <c r="Q25" s="45"/>
      <c r="R25" s="45"/>
      <c r="S25" s="44"/>
      <c r="T25" s="45"/>
      <c r="U25" s="45"/>
      <c r="V25" s="46"/>
      <c r="W25" s="46"/>
      <c r="X25" s="45"/>
      <c r="Y25" s="237">
        <v>0.624</v>
      </c>
      <c r="Z25" s="236">
        <v>10.790144821932781</v>
      </c>
      <c r="AA25" s="43">
        <f t="shared" si="36"/>
        <v>5.2976293937486152E-2</v>
      </c>
      <c r="AB25" s="17">
        <v>7.0109403762887379E-2</v>
      </c>
      <c r="AC25" s="43">
        <f t="shared" si="37"/>
        <v>9.9107393963573265E-2</v>
      </c>
      <c r="AE25" s="47"/>
      <c r="AF25" s="47"/>
      <c r="AG25" s="61">
        <v>5.2999999999999999E-2</v>
      </c>
      <c r="AH25" s="61">
        <v>9.5000000000000001E-2</v>
      </c>
    </row>
    <row r="26" spans="1:34" x14ac:dyDescent="0.3">
      <c r="A26" s="58" t="s">
        <v>783</v>
      </c>
      <c r="B26" s="59" t="s">
        <v>10</v>
      </c>
      <c r="C26" s="60">
        <v>11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7.0739045384182111</v>
      </c>
      <c r="M26" s="4">
        <f t="shared" si="34"/>
        <v>4.2351466471509829</v>
      </c>
      <c r="N26" s="4">
        <f t="shared" si="34"/>
        <v>42.478520870924356</v>
      </c>
      <c r="O26" s="4">
        <f t="shared" si="35"/>
        <v>0.30493055859487073</v>
      </c>
      <c r="Q26" s="45"/>
      <c r="R26" s="45"/>
      <c r="S26" s="44"/>
      <c r="T26" s="45"/>
      <c r="U26" s="45"/>
      <c r="V26" s="46"/>
      <c r="W26" s="46"/>
      <c r="X26" s="45"/>
      <c r="Y26" s="237">
        <v>0.59870000000000001</v>
      </c>
      <c r="Z26" s="236">
        <v>10.029999999999999</v>
      </c>
      <c r="AA26" s="43">
        <f t="shared" si="36"/>
        <v>9.9955271580162569E-3</v>
      </c>
      <c r="AB26" s="17">
        <v>4.7233375561925223E-2</v>
      </c>
      <c r="AC26" s="43">
        <f t="shared" si="37"/>
        <v>7.5112972267129222E-2</v>
      </c>
      <c r="AE26" s="47"/>
      <c r="AF26" s="47"/>
      <c r="AG26" s="61">
        <v>0.01</v>
      </c>
      <c r="AH26" s="61">
        <v>7.1999999999999995E-2</v>
      </c>
    </row>
    <row r="27" spans="1:34" x14ac:dyDescent="0.3">
      <c r="B27" s="59" t="s">
        <v>10</v>
      </c>
      <c r="C27" s="60">
        <v>11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3.2848930692624327E-3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0.97499999999999987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0.9799633832187884</v>
      </c>
      <c r="AG30" s="28">
        <f>SUM(AG7:AG27)</f>
        <v>0.98043853466403252</v>
      </c>
    </row>
    <row r="31" spans="1:34" s="86" customFormat="1" x14ac:dyDescent="0.3">
      <c r="A31" s="102"/>
      <c r="B31" s="80"/>
      <c r="C31" s="80"/>
      <c r="D31" s="105">
        <v>1088.78</v>
      </c>
      <c r="E31" s="106">
        <v>0.65</v>
      </c>
      <c r="F31" s="8">
        <f>1-E31</f>
        <v>0.35</v>
      </c>
      <c r="G31" s="234">
        <v>4.2320954907161807</v>
      </c>
      <c r="H31" s="275">
        <v>4.4400000000000002E-2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707.70699999999999</v>
      </c>
      <c r="E34" s="2">
        <f>SUM(E2:E4)</f>
        <v>475.89112216215193</v>
      </c>
      <c r="F34" s="2">
        <f>SUM(F2:F4)</f>
        <v>5107.9135919972496</v>
      </c>
      <c r="G34" s="2">
        <f>SUM(G2:G4)</f>
        <v>38.588219238442299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381.07299999999998</v>
      </c>
      <c r="E37" s="2">
        <f>D37*G31</f>
        <v>1612.737324933687</v>
      </c>
      <c r="F37" s="2">
        <f>D37*H31</f>
        <v>16.919641200000001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373.45153999999997</v>
      </c>
      <c r="E40" s="3">
        <f>SUM(J2:J4,J7:J12,J15:J22)</f>
        <v>1600.8780846647589</v>
      </c>
      <c r="F40" s="3">
        <f>SUM(K2:K4,K7:K12,K15:K22)</f>
        <v>16.609635232493968</v>
      </c>
      <c r="G40" s="3">
        <f>SUM(L7:L12,L15:L22,L24:L27)</f>
        <v>693.5528599999999</v>
      </c>
      <c r="H40" s="3">
        <f>SUM(M7:M12,M15:M22,M24:M27)</f>
        <v>474.14959184796396</v>
      </c>
      <c r="I40" s="3">
        <f>SUM(N7:N12,N15:N22,N24:N27)</f>
        <v>5099.6073374063562</v>
      </c>
      <c r="J40" s="3">
        <f>SUM(O7:O12,O15:O22,O24:O27)</f>
        <v>38.540760402531298</v>
      </c>
    </row>
    <row r="41" spans="1:32" ht="14.4" thickTop="1" x14ac:dyDescent="0.3">
      <c r="D41" s="50">
        <f>D37-D40</f>
        <v>7.6214600000000132</v>
      </c>
      <c r="E41" s="50">
        <f>E37-E40</f>
        <v>11.859240268928033</v>
      </c>
      <c r="F41" s="50">
        <f>F37-F40</f>
        <v>0.31000596750603293</v>
      </c>
      <c r="G41" s="50">
        <f>SUM(D2:D4)-G40</f>
        <v>14.154140000000098</v>
      </c>
      <c r="H41" s="50">
        <f>E34-H40</f>
        <v>1.741530314187969</v>
      </c>
      <c r="I41" s="50">
        <f>F34-I40</f>
        <v>8.3062545908933316</v>
      </c>
      <c r="J41" s="50">
        <f>G34-J40</f>
        <v>4.7458835911001529E-2</v>
      </c>
    </row>
  </sheetData>
  <sheetProtection sheet="1" selectLockedCells="1"/>
  <conditionalFormatting sqref="AA30:AB30 AD30:AF30">
    <cfRule type="cellIs" dxfId="170" priority="14" operator="greaterThan">
      <formula>1</formula>
    </cfRule>
    <cfRule type="cellIs" dxfId="169" priority="15" operator="greaterThan">
      <formula>1</formula>
    </cfRule>
  </conditionalFormatting>
  <conditionalFormatting sqref="AC30">
    <cfRule type="cellIs" dxfId="168" priority="10" operator="greaterThan">
      <formula>1</formula>
    </cfRule>
    <cfRule type="cellIs" dxfId="167" priority="11" operator="greaterThan">
      <formula>1</formula>
    </cfRule>
  </conditionalFormatting>
  <conditionalFormatting sqref="AG30">
    <cfRule type="cellIs" dxfId="166" priority="8" operator="greaterThan">
      <formula>1</formula>
    </cfRule>
    <cfRule type="cellIs" dxfId="165" priority="9" operator="greaterThan">
      <formula>1</formula>
    </cfRule>
  </conditionalFormatting>
  <conditionalFormatting sqref="W30">
    <cfRule type="cellIs" dxfId="164" priority="2" operator="greaterThan">
      <formula>1</formula>
    </cfRule>
    <cfRule type="cellIs" dxfId="163" priority="3" operator="greaterThan">
      <formula>1</formula>
    </cfRule>
  </conditionalFormatting>
  <conditionalFormatting sqref="D41:J41">
    <cfRule type="cellIs" dxfId="162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theme="4" tint="0.39997558519241921"/>
  </sheetPr>
  <dimension ref="A1:AH44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66" t="s">
        <v>176</v>
      </c>
      <c r="B2" s="59" t="s">
        <v>9</v>
      </c>
      <c r="C2" s="60">
        <v>6</v>
      </c>
      <c r="D2" s="4">
        <f>D$34*Q2</f>
        <v>535.31787699999995</v>
      </c>
      <c r="E2" s="4">
        <f>D2*R2</f>
        <v>356.08976112867651</v>
      </c>
      <c r="F2" s="4">
        <f>E2*S2</f>
        <v>3710.4970662453034</v>
      </c>
      <c r="G2" s="4">
        <f>E2*T2</f>
        <v>22.789744712235297</v>
      </c>
      <c r="H2" s="4">
        <f>E2*U2</f>
        <v>8.5573818942207041</v>
      </c>
      <c r="I2" s="4">
        <f>D$37*W2</f>
        <v>48.022270163649296</v>
      </c>
      <c r="J2" s="4">
        <f>I2*V2</f>
        <v>240.59157351988296</v>
      </c>
      <c r="K2" s="4">
        <f>I2*X2</f>
        <v>4.0999163461648704</v>
      </c>
      <c r="L2" s="44"/>
      <c r="M2" s="44"/>
      <c r="N2" s="44"/>
      <c r="O2" s="44"/>
      <c r="Q2" s="43">
        <f>AE2</f>
        <v>0.97</v>
      </c>
      <c r="R2" s="61">
        <v>0.6651931056819097</v>
      </c>
      <c r="S2" s="236">
        <v>10.42011726055914</v>
      </c>
      <c r="T2" s="237">
        <v>6.4000000000000001E-2</v>
      </c>
      <c r="U2" s="61">
        <v>2.403153032846797E-2</v>
      </c>
      <c r="V2" s="236">
        <v>5.01</v>
      </c>
      <c r="W2" s="43">
        <f>(AF2/SUM(AF$2:AF$22))*0.98</f>
        <v>8.877462637881034E-2</v>
      </c>
      <c r="X2" s="61">
        <v>8.5375312999432559E-2</v>
      </c>
      <c r="Y2" s="64"/>
      <c r="Z2" s="65"/>
      <c r="AA2" s="1"/>
      <c r="AB2" s="1"/>
      <c r="AC2" s="1"/>
      <c r="AE2" s="61">
        <v>0.97</v>
      </c>
      <c r="AF2" s="61">
        <v>8.8776437717708934E-2</v>
      </c>
      <c r="AG2" s="47"/>
      <c r="AH2" s="47"/>
    </row>
    <row r="3" spans="1:34" x14ac:dyDescent="0.3">
      <c r="A3" s="58" t="s">
        <v>660</v>
      </c>
      <c r="B3" s="59" t="s">
        <v>9</v>
      </c>
      <c r="C3" s="60">
        <v>6</v>
      </c>
      <c r="D3" s="4">
        <f>D$34*Q3</f>
        <v>16.556223000000013</v>
      </c>
      <c r="E3" s="4">
        <f t="shared" ref="E3:E4" si="0">D3*R3</f>
        <v>9.6049920767179913</v>
      </c>
      <c r="F3" s="4">
        <f t="shared" ref="F3:F4" si="1">E3*S3</f>
        <v>115.33964591038108</v>
      </c>
      <c r="G3" s="4">
        <f t="shared" ref="G3" si="2">E3*T3</f>
        <v>0.85436774748430444</v>
      </c>
      <c r="H3" s="4">
        <f t="shared" ref="H3" si="3">E3*U3</f>
        <v>0.36149862671125765</v>
      </c>
      <c r="I3" s="4">
        <f t="shared" ref="I3:I4" si="4">D$37*W3</f>
        <v>3.1499357293705712</v>
      </c>
      <c r="J3" s="4">
        <f>I3*V3</f>
        <v>19.919593564781515</v>
      </c>
      <c r="K3" s="4">
        <f>I3*X3</f>
        <v>0.13999714352758091</v>
      </c>
      <c r="L3" s="44"/>
      <c r="M3" s="44"/>
      <c r="N3" s="44"/>
      <c r="O3" s="44"/>
      <c r="Q3" s="43">
        <f t="shared" ref="Q3:Q4" si="5">AE3</f>
        <v>3.0000000000000027E-2</v>
      </c>
      <c r="R3" s="61">
        <v>0.58014391789226227</v>
      </c>
      <c r="S3" s="236">
        <v>12.008302035975488</v>
      </c>
      <c r="T3" s="237">
        <v>8.8950385451670291E-2</v>
      </c>
      <c r="U3" s="61">
        <v>3.7636535649780679E-2</v>
      </c>
      <c r="V3" s="236">
        <v>6.3238095238095235</v>
      </c>
      <c r="W3" s="43">
        <f t="shared" ref="W3:W4" si="6">(AF3/SUM(AF$2:AF$22))*0.98</f>
        <v>5.8230143335416193E-3</v>
      </c>
      <c r="X3" s="61">
        <v>4.4444444444444439E-2</v>
      </c>
      <c r="Y3" s="64"/>
      <c r="Z3" s="65"/>
      <c r="AA3" s="1"/>
      <c r="AB3" s="1"/>
      <c r="AC3" s="1"/>
      <c r="AE3" s="61">
        <f>1-AE2</f>
        <v>3.0000000000000027E-2</v>
      </c>
      <c r="AF3" s="61">
        <v>5.8231331451074871E-3</v>
      </c>
      <c r="AG3" s="47"/>
      <c r="AH3" s="47"/>
    </row>
    <row r="4" spans="1:34" x14ac:dyDescent="0.3">
      <c r="B4" s="59" t="s">
        <v>9</v>
      </c>
      <c r="C4" s="60">
        <v>6</v>
      </c>
      <c r="D4" s="4">
        <f>D$34*Q4</f>
        <v>0</v>
      </c>
      <c r="E4" s="4">
        <f t="shared" si="0"/>
        <v>0</v>
      </c>
      <c r="F4" s="4">
        <f t="shared" si="1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101" t="s">
        <v>86</v>
      </c>
      <c r="B7" s="59" t="s">
        <v>357</v>
      </c>
      <c r="C7" s="60">
        <v>6</v>
      </c>
      <c r="D7" s="44"/>
      <c r="E7" s="44"/>
      <c r="F7" s="44"/>
      <c r="G7" s="44"/>
      <c r="H7" s="44"/>
      <c r="I7" s="4">
        <f t="shared" ref="I7:I12" si="9">D$37*W7</f>
        <v>379.73627374053865</v>
      </c>
      <c r="J7" s="4">
        <f>I7*V7</f>
        <v>1701.2185063576133</v>
      </c>
      <c r="K7" s="4">
        <f>I7*X7</f>
        <v>15.341345459117761</v>
      </c>
      <c r="L7" s="7">
        <f>((D$2+D$3+D$4)*AA7)</f>
        <v>35.81076020525925</v>
      </c>
      <c r="M7" s="4">
        <f t="shared" ref="M7:N9" si="10">L7*Y7</f>
        <v>29.597593309646772</v>
      </c>
      <c r="N7" s="4">
        <f t="shared" si="10"/>
        <v>232.46296780081911</v>
      </c>
      <c r="O7" s="4">
        <f>M7*AH7</f>
        <v>0.67170110667653082</v>
      </c>
      <c r="Q7" s="45"/>
      <c r="R7" s="45"/>
      <c r="S7" s="44"/>
      <c r="T7" s="45"/>
      <c r="U7" s="45"/>
      <c r="V7" s="63">
        <v>4.4800000000000004</v>
      </c>
      <c r="W7" s="43">
        <f t="shared" ref="W7:W12" si="11">(AF7/SUM(AF$2:AF$22))*0.98</f>
        <v>0.70198567683115576</v>
      </c>
      <c r="X7" s="237">
        <v>4.0399999999999998E-2</v>
      </c>
      <c r="Y7" s="237">
        <v>0.82650000000000001</v>
      </c>
      <c r="Z7" s="63">
        <v>7.8541172374664745</v>
      </c>
      <c r="AA7" s="43">
        <f>(AG7/SUM(AG$7:AG$27))*0.98</f>
        <v>6.4889365536920915E-2</v>
      </c>
      <c r="AB7" s="17">
        <v>6.766231240602695E-2</v>
      </c>
      <c r="AC7" s="43">
        <f>(AH7/SUM(AH$7:AH$27))*0.98</f>
        <v>3.2341984642875209E-2</v>
      </c>
      <c r="AE7" s="47"/>
      <c r="AF7" s="61">
        <v>0.70199999999999996</v>
      </c>
      <c r="AG7" s="61">
        <v>6.4869867964450587E-2</v>
      </c>
      <c r="AH7" s="61">
        <v>2.2694450175366206E-2</v>
      </c>
    </row>
    <row r="8" spans="1:34" x14ac:dyDescent="0.3">
      <c r="A8" s="101" t="s">
        <v>659</v>
      </c>
      <c r="B8" s="59" t="s">
        <v>357</v>
      </c>
      <c r="C8" s="60">
        <v>6</v>
      </c>
      <c r="D8" s="44"/>
      <c r="E8" s="44"/>
      <c r="F8" s="44"/>
      <c r="G8" s="44"/>
      <c r="H8" s="44"/>
      <c r="I8" s="4">
        <f t="shared" si="9"/>
        <v>54.634421150704284</v>
      </c>
      <c r="J8" s="4">
        <f>I8*V8</f>
        <v>227.27919198692982</v>
      </c>
      <c r="K8" s="4">
        <f>I8*X8</f>
        <v>1.671813287211551</v>
      </c>
      <c r="L8" s="7">
        <f>((D$2+D$3+D$4)*AA8)</f>
        <v>14.262321172131504</v>
      </c>
      <c r="M8" s="4">
        <f t="shared" si="10"/>
        <v>9.8167556627781138</v>
      </c>
      <c r="N8" s="4">
        <f>M8*Z8</f>
        <v>69.468499822921956</v>
      </c>
      <c r="O8" s="4">
        <f t="shared" ref="O8:O12" si="12">M8*AH8</f>
        <v>0.18933939157966428</v>
      </c>
      <c r="Q8" s="45"/>
      <c r="R8" s="45"/>
      <c r="S8" s="44"/>
      <c r="T8" s="45"/>
      <c r="U8" s="45"/>
      <c r="V8" s="63">
        <v>4.16</v>
      </c>
      <c r="W8" s="43">
        <f t="shared" si="11"/>
        <v>0.10099793925918339</v>
      </c>
      <c r="X8" s="237">
        <v>3.0599999999999999E-2</v>
      </c>
      <c r="Y8" s="237">
        <v>0.68830000000000002</v>
      </c>
      <c r="Z8" s="63">
        <v>7.0765232638236579</v>
      </c>
      <c r="AA8" s="43">
        <f t="shared" ref="AA8:AA12" si="13">(AG8/SUM(AG$7:AG$27))*0.98</f>
        <v>2.5843432717954157E-2</v>
      </c>
      <c r="AB8" s="17">
        <v>1.6022973907447016E-2</v>
      </c>
      <c r="AC8" s="43">
        <f t="shared" ref="AC8:AC12" si="14">(AH8/SUM(AH$7:AH$27))*0.98</f>
        <v>2.7486535085430846E-2</v>
      </c>
      <c r="AE8" s="47"/>
      <c r="AF8" s="61">
        <v>0.10100000000000001</v>
      </c>
      <c r="AG8" s="61">
        <v>2.583566743626076E-2</v>
      </c>
      <c r="AH8" s="61">
        <v>1.9287369277976078E-2</v>
      </c>
    </row>
    <row r="9" spans="1:34" x14ac:dyDescent="0.3">
      <c r="A9" s="101" t="s">
        <v>624</v>
      </c>
      <c r="B9" s="59" t="s">
        <v>357</v>
      </c>
      <c r="C9" s="60">
        <v>6</v>
      </c>
      <c r="D9" s="44"/>
      <c r="E9" s="44"/>
      <c r="F9" s="44"/>
      <c r="G9" s="44"/>
      <c r="H9" s="44"/>
      <c r="I9" s="4">
        <f t="shared" si="9"/>
        <v>27.587678006791272</v>
      </c>
      <c r="J9" s="4">
        <f>I9*V9</f>
        <v>147.68563851371997</v>
      </c>
      <c r="K9" s="4">
        <f>I9*X9</f>
        <v>0.74463552311786929</v>
      </c>
      <c r="L9" s="7">
        <f>((D$2+D$3+D$4)*AA9)</f>
        <v>39.746878106667999</v>
      </c>
      <c r="M9" s="4">
        <f t="shared" si="10"/>
        <v>29.889652336214336</v>
      </c>
      <c r="N9" s="4">
        <f>M9*Z9</f>
        <v>178.17193969571079</v>
      </c>
      <c r="O9" s="4">
        <f t="shared" si="12"/>
        <v>0.64737936757585801</v>
      </c>
      <c r="Q9" s="45"/>
      <c r="R9" s="45"/>
      <c r="S9" s="44"/>
      <c r="T9" s="45"/>
      <c r="U9" s="45"/>
      <c r="V9" s="63">
        <v>5.3533189156899734</v>
      </c>
      <c r="W9" s="43">
        <f t="shared" si="11"/>
        <v>5.0998959427904479E-2</v>
      </c>
      <c r="X9" s="237">
        <v>2.6991598311918892E-2</v>
      </c>
      <c r="Y9" s="237">
        <v>0.752</v>
      </c>
      <c r="Z9" s="63">
        <v>5.9609907031216105</v>
      </c>
      <c r="AA9" s="43">
        <f t="shared" si="13"/>
        <v>7.2021640636275558E-2</v>
      </c>
      <c r="AB9" s="17">
        <v>4.551645359361401E-2</v>
      </c>
      <c r="AC9" s="43">
        <f t="shared" si="14"/>
        <v>3.0866329756832168E-2</v>
      </c>
      <c r="AE9" s="47"/>
      <c r="AF9" s="61">
        <v>5.0999999999999997E-2</v>
      </c>
      <c r="AG9" s="61">
        <v>7.1999999999999995E-2</v>
      </c>
      <c r="AH9" s="61">
        <v>2.1658979512166908E-2</v>
      </c>
    </row>
    <row r="10" spans="1:34" x14ac:dyDescent="0.3">
      <c r="A10" s="101"/>
      <c r="B10" s="59" t="s">
        <v>357</v>
      </c>
      <c r="C10" s="60">
        <v>6</v>
      </c>
      <c r="D10" s="44"/>
      <c r="E10" s="44"/>
      <c r="F10" s="44"/>
      <c r="G10" s="44"/>
      <c r="H10" s="44"/>
      <c r="I10" s="4">
        <f t="shared" si="9"/>
        <v>0</v>
      </c>
      <c r="J10" s="4">
        <f t="shared" ref="J10:J12" si="15">I10*V10</f>
        <v>0</v>
      </c>
      <c r="K10" s="4">
        <f t="shared" ref="K10:K12" si="16">I10*X10</f>
        <v>0</v>
      </c>
      <c r="L10" s="7">
        <f t="shared" ref="L10:L12" si="17">((D$2+D$3+D$4)*AA10)</f>
        <v>0</v>
      </c>
      <c r="M10" s="4">
        <f t="shared" ref="M10" si="18">L10*Y10</f>
        <v>0</v>
      </c>
      <c r="N10" s="4">
        <f>M10*Z10</f>
        <v>0</v>
      </c>
      <c r="O10" s="4">
        <f t="shared" si="12"/>
        <v>0</v>
      </c>
      <c r="Q10" s="45"/>
      <c r="R10" s="45"/>
      <c r="S10" s="44"/>
      <c r="T10" s="45"/>
      <c r="U10" s="45"/>
      <c r="V10" s="63">
        <v>0</v>
      </c>
      <c r="W10" s="43">
        <f t="shared" si="11"/>
        <v>0</v>
      </c>
      <c r="X10" s="237">
        <v>0</v>
      </c>
      <c r="Y10" s="237">
        <v>0</v>
      </c>
      <c r="Z10" s="63">
        <v>0</v>
      </c>
      <c r="AA10" s="43">
        <f t="shared" si="13"/>
        <v>0</v>
      </c>
      <c r="AB10" s="17">
        <v>1.7878882490393575E-2</v>
      </c>
      <c r="AC10" s="43">
        <f t="shared" si="14"/>
        <v>0</v>
      </c>
      <c r="AE10" s="47"/>
      <c r="AF10" s="61">
        <v>0</v>
      </c>
      <c r="AG10" s="61">
        <v>0</v>
      </c>
      <c r="AH10" s="61">
        <v>0</v>
      </c>
    </row>
    <row r="11" spans="1:34" x14ac:dyDescent="0.3">
      <c r="A11" s="101"/>
      <c r="B11" s="59" t="s">
        <v>357</v>
      </c>
      <c r="C11" s="60">
        <v>6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" si="19">L11*Y11</f>
        <v>0</v>
      </c>
      <c r="N11" s="4">
        <f>M11*Z11</f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2.7741635502223148E-3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6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" si="20">L12*Y12</f>
        <v>0</v>
      </c>
      <c r="N12" s="4">
        <f>M12*Z12</f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77" t="s">
        <v>625</v>
      </c>
      <c r="B15" s="59" t="s">
        <v>358</v>
      </c>
      <c r="C15" s="60">
        <v>6</v>
      </c>
      <c r="D15" s="44"/>
      <c r="E15" s="44"/>
      <c r="F15" s="44"/>
      <c r="G15" s="44"/>
      <c r="H15" s="44"/>
      <c r="I15" s="4">
        <f t="shared" ref="I15:I22" si="21">D$37*W15</f>
        <v>3.0249382797923738</v>
      </c>
      <c r="J15" s="4">
        <f t="shared" ref="J15:J22" si="22">I15*V15</f>
        <v>18.199628658585521</v>
      </c>
      <c r="K15" s="4">
        <f t="shared" ref="K15:K22" si="23">I15*X15</f>
        <v>0</v>
      </c>
      <c r="L15" s="7">
        <f t="shared" ref="L15:L20" si="24">((D$2+D$3+D$4)*AA15)</f>
        <v>98.263115319262567</v>
      </c>
      <c r="M15" s="4">
        <f t="shared" ref="M15:N19" si="25">L15*Y15</f>
        <v>59.999458213941729</v>
      </c>
      <c r="N15" s="4">
        <f t="shared" si="25"/>
        <v>810.61390329330675</v>
      </c>
      <c r="O15" s="4">
        <f t="shared" ref="O15:O22" si="26">M15*AH15</f>
        <v>5.0676727947573985</v>
      </c>
      <c r="Q15" s="45"/>
      <c r="R15" s="45"/>
      <c r="S15" s="44"/>
      <c r="T15" s="45"/>
      <c r="U15" s="45"/>
      <c r="V15" s="63">
        <v>6.0165289256198342</v>
      </c>
      <c r="W15" s="43">
        <f t="shared" ref="W15:W22" si="27">(AF15/SUM(AF$2:AF$22))*0.98</f>
        <v>5.5919423361788564E-3</v>
      </c>
      <c r="X15" s="237">
        <v>0</v>
      </c>
      <c r="Y15" s="237">
        <v>0.61060000000000003</v>
      </c>
      <c r="Z15" s="63">
        <v>13.510353716909881</v>
      </c>
      <c r="AA15" s="43">
        <f t="shared" ref="AA15:AA22" si="28">(AG15/SUM(AG$7:AG$27))*0.98</f>
        <v>0.17805350046190349</v>
      </c>
      <c r="AB15" s="17">
        <v>0.23091547885977109</v>
      </c>
      <c r="AC15" s="43">
        <f t="shared" ref="AC15:AC22" si="29">(AH15/SUM(AH$7:AH$27))*0.98</f>
        <v>0.12036722224762657</v>
      </c>
      <c r="AE15" s="47"/>
      <c r="AF15" s="61">
        <v>5.592056433000047E-3</v>
      </c>
      <c r="AG15" s="61">
        <v>0.17799999999999999</v>
      </c>
      <c r="AH15" s="61">
        <v>8.4461975917973414E-2</v>
      </c>
    </row>
    <row r="16" spans="1:34" x14ac:dyDescent="0.3">
      <c r="A16" s="77" t="s">
        <v>77</v>
      </c>
      <c r="B16" s="59" t="s">
        <v>358</v>
      </c>
      <c r="C16" s="60">
        <v>6</v>
      </c>
      <c r="D16" s="44"/>
      <c r="E16" s="44"/>
      <c r="F16" s="44"/>
      <c r="G16" s="44"/>
      <c r="H16" s="44"/>
      <c r="I16" s="4">
        <f t="shared" si="21"/>
        <v>13.971464929153422</v>
      </c>
      <c r="J16" s="4">
        <f t="shared" si="22"/>
        <v>81.80833079993856</v>
      </c>
      <c r="K16" s="4">
        <f t="shared" si="23"/>
        <v>0.57498826805970749</v>
      </c>
      <c r="L16" s="7">
        <f t="shared" si="24"/>
        <v>105.43963497741098</v>
      </c>
      <c r="M16" s="4">
        <f t="shared" si="25"/>
        <v>72.584892944449663</v>
      </c>
      <c r="N16" s="4">
        <f t="shared" si="25"/>
        <v>826.48313472293728</v>
      </c>
      <c r="O16" s="4">
        <f t="shared" si="26"/>
        <v>4.4924392790375558</v>
      </c>
      <c r="Q16" s="45"/>
      <c r="R16" s="45"/>
      <c r="S16" s="44"/>
      <c r="T16" s="45"/>
      <c r="U16" s="45"/>
      <c r="V16" s="63">
        <v>5.8553867625744811</v>
      </c>
      <c r="W16" s="43">
        <f t="shared" si="27"/>
        <v>2.5827841433225435E-2</v>
      </c>
      <c r="X16" s="237">
        <v>4.1154472417556855E-2</v>
      </c>
      <c r="Y16" s="237">
        <v>0.68840235420010698</v>
      </c>
      <c r="Z16" s="63">
        <v>11.386434576068845</v>
      </c>
      <c r="AA16" s="43">
        <f t="shared" si="28"/>
        <v>0.19105740779900882</v>
      </c>
      <c r="AB16" s="17">
        <v>0.2258883375128273</v>
      </c>
      <c r="AC16" s="43">
        <f t="shared" si="29"/>
        <v>8.8202922719258336E-2</v>
      </c>
      <c r="AE16" s="47"/>
      <c r="AF16" s="61">
        <v>2.5828368419096998E-2</v>
      </c>
      <c r="AG16" s="61">
        <v>0.191</v>
      </c>
      <c r="AH16" s="61">
        <v>6.1892207824508182E-2</v>
      </c>
    </row>
    <row r="17" spans="1:34" x14ac:dyDescent="0.3">
      <c r="A17" s="77" t="s">
        <v>351</v>
      </c>
      <c r="B17" s="59" t="s">
        <v>358</v>
      </c>
      <c r="C17" s="60">
        <v>6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71.765196581483906</v>
      </c>
      <c r="M17" s="4">
        <f t="shared" si="25"/>
        <v>42.585467651452554</v>
      </c>
      <c r="N17" s="4">
        <f t="shared" si="25"/>
        <v>546.1303812962783</v>
      </c>
      <c r="O17" s="4">
        <f t="shared" si="26"/>
        <v>3.5345938150705623</v>
      </c>
      <c r="Q17" s="45"/>
      <c r="R17" s="45"/>
      <c r="S17" s="44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0.59340000000000004</v>
      </c>
      <c r="Z17" s="63">
        <v>12.824336831666805</v>
      </c>
      <c r="AA17" s="43">
        <f t="shared" si="28"/>
        <v>0.13003907337105311</v>
      </c>
      <c r="AB17" s="17">
        <v>9.988529849482794E-2</v>
      </c>
      <c r="AC17" s="43">
        <f t="shared" si="29"/>
        <v>0.11828375239830309</v>
      </c>
      <c r="AE17" s="47"/>
      <c r="AF17" s="61">
        <v>0</v>
      </c>
      <c r="AG17" s="61">
        <v>0.13</v>
      </c>
      <c r="AH17" s="61">
        <v>8.3000000000000004E-2</v>
      </c>
    </row>
    <row r="18" spans="1:34" x14ac:dyDescent="0.3">
      <c r="A18" s="77" t="s">
        <v>626</v>
      </c>
      <c r="B18" s="59" t="s">
        <v>358</v>
      </c>
      <c r="C18" s="60">
        <v>6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16.00915923740795</v>
      </c>
      <c r="M18" s="4">
        <f t="shared" si="25"/>
        <v>10.38834342915402</v>
      </c>
      <c r="N18" s="4">
        <f t="shared" si="25"/>
        <v>122.24440500993597</v>
      </c>
      <c r="O18" s="4">
        <f t="shared" si="26"/>
        <v>0.69457048301099988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0.64890000000000003</v>
      </c>
      <c r="Z18" s="63">
        <v>11.76745896432989</v>
      </c>
      <c r="AA18" s="43">
        <f t="shared" si="28"/>
        <v>2.9008716367388776E-2</v>
      </c>
      <c r="AB18" s="17">
        <v>5.0639687787776361E-2</v>
      </c>
      <c r="AC18" s="43">
        <f t="shared" si="29"/>
        <v>9.528335175889846E-2</v>
      </c>
      <c r="AE18" s="47"/>
      <c r="AF18" s="61">
        <v>0</v>
      </c>
      <c r="AG18" s="61">
        <v>2.9000000000000001E-2</v>
      </c>
      <c r="AH18" s="61">
        <v>6.6860562297328924E-2</v>
      </c>
    </row>
    <row r="19" spans="1:34" x14ac:dyDescent="0.3">
      <c r="A19" s="77" t="s">
        <v>352</v>
      </c>
      <c r="B19" s="59" t="s">
        <v>358</v>
      </c>
      <c r="C19" s="60">
        <v>6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15.457119263704227</v>
      </c>
      <c r="M19" s="4">
        <f t="shared" si="25"/>
        <v>10.037853249849524</v>
      </c>
      <c r="N19" s="4">
        <f t="shared" si="25"/>
        <v>130.24532835565168</v>
      </c>
      <c r="O19" s="4">
        <f t="shared" si="26"/>
        <v>0.69707314235066142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0.64939999999999998</v>
      </c>
      <c r="Z19" s="63">
        <v>12.975416666666666</v>
      </c>
      <c r="AA19" s="43">
        <f t="shared" si="28"/>
        <v>2.8008415802996057E-2</v>
      </c>
      <c r="AB19" s="17">
        <v>2.2881694533849081E-2</v>
      </c>
      <c r="AC19" s="43">
        <f t="shared" si="29"/>
        <v>9.896565629041422E-2</v>
      </c>
      <c r="AE19" s="47"/>
      <c r="AF19" s="61">
        <v>0</v>
      </c>
      <c r="AG19" s="61">
        <v>2.8000000000000001E-2</v>
      </c>
      <c r="AH19" s="61">
        <v>6.9444444444444448E-2</v>
      </c>
    </row>
    <row r="20" spans="1:34" x14ac:dyDescent="0.3">
      <c r="A20" s="77" t="s">
        <v>658</v>
      </c>
      <c r="B20" s="59" t="s">
        <v>358</v>
      </c>
      <c r="C20" s="60">
        <v>6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16.561199211111671</v>
      </c>
      <c r="M20" s="4">
        <f t="shared" ref="M20:N20" si="30">L20*Y20</f>
        <v>9.4016891880073725</v>
      </c>
      <c r="N20" s="4">
        <f t="shared" si="30"/>
        <v>105.33603083668784</v>
      </c>
      <c r="O20" s="4">
        <f t="shared" si="26"/>
        <v>0.68038540176369144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0.56769374416433238</v>
      </c>
      <c r="Z20" s="63">
        <v>11.20394736842105</v>
      </c>
      <c r="AA20" s="43">
        <f t="shared" si="28"/>
        <v>3.0009016931781488E-2</v>
      </c>
      <c r="AB20" s="17">
        <v>3.6603666957532545E-3</v>
      </c>
      <c r="AC20" s="43">
        <f t="shared" si="29"/>
        <v>0.10313263129211588</v>
      </c>
      <c r="AE20" s="47"/>
      <c r="AF20" s="61">
        <v>0</v>
      </c>
      <c r="AG20" s="61">
        <v>0.03</v>
      </c>
      <c r="AH20" s="61">
        <v>7.2368421052631582E-2</v>
      </c>
    </row>
    <row r="21" spans="1:34" x14ac:dyDescent="0.3">
      <c r="A21" s="77"/>
      <c r="B21" s="59" t="s">
        <v>358</v>
      </c>
      <c r="C21" s="60">
        <v>6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1.366887480777205E-2</v>
      </c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A22" s="77"/>
      <c r="B22" s="59" t="s">
        <v>358</v>
      </c>
      <c r="C22" s="60">
        <v>6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1.7008047629251413E-2</v>
      </c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21</v>
      </c>
      <c r="B24" s="59" t="s">
        <v>10</v>
      </c>
      <c r="C24" s="60">
        <v>6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73.421316502595076</v>
      </c>
      <c r="M24" s="4">
        <f t="shared" ref="M24:N27" si="34">L24*Y24</f>
        <v>51.042499232604101</v>
      </c>
      <c r="N24" s="4">
        <f t="shared" si="34"/>
        <v>498.02703945724369</v>
      </c>
      <c r="O24" s="4">
        <f t="shared" ref="O24:O27" si="35">M24*AH24</f>
        <v>4.1344424378409323</v>
      </c>
      <c r="Q24" s="45"/>
      <c r="R24" s="45"/>
      <c r="S24" s="44"/>
      <c r="T24" s="45"/>
      <c r="U24" s="45"/>
      <c r="V24" s="46"/>
      <c r="W24" s="46"/>
      <c r="X24" s="45"/>
      <c r="Y24" s="237">
        <v>0.69520000000000004</v>
      </c>
      <c r="Z24" s="236">
        <v>9.7571052935261058</v>
      </c>
      <c r="AA24" s="43">
        <f t="shared" ref="AA24:AA27" si="36">(AG24/SUM(AG$7:AG$27))*0.98</f>
        <v>0.13303997506423126</v>
      </c>
      <c r="AB24" s="17">
        <v>0.1265010019302108</v>
      </c>
      <c r="AC24" s="43">
        <f t="shared" ref="AC24:AC27" si="37">(AH24/SUM(AH$7:AH$27))*0.98</f>
        <v>0.11543354149713915</v>
      </c>
      <c r="AE24" s="47"/>
      <c r="AF24" s="47"/>
      <c r="AG24" s="61">
        <v>0.13300000000000001</v>
      </c>
      <c r="AH24" s="61">
        <v>8.1000000000000003E-2</v>
      </c>
    </row>
    <row r="25" spans="1:34" x14ac:dyDescent="0.3">
      <c r="A25" s="77" t="s">
        <v>297</v>
      </c>
      <c r="B25" s="59" t="s">
        <v>10</v>
      </c>
      <c r="C25" s="60">
        <v>6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43.059117948890346</v>
      </c>
      <c r="M25" s="4">
        <f t="shared" si="34"/>
        <v>29.021845497552096</v>
      </c>
      <c r="N25" s="4">
        <f t="shared" si="34"/>
        <v>233.81900049940919</v>
      </c>
      <c r="O25" s="4">
        <f t="shared" si="35"/>
        <v>2.4668568672919284</v>
      </c>
      <c r="Q25" s="45"/>
      <c r="R25" s="45"/>
      <c r="S25" s="44"/>
      <c r="T25" s="45"/>
      <c r="U25" s="45"/>
      <c r="V25" s="46"/>
      <c r="W25" s="46"/>
      <c r="X25" s="45"/>
      <c r="Y25" s="237">
        <v>0.67400000000000004</v>
      </c>
      <c r="Z25" s="236">
        <v>8.0566551330834937</v>
      </c>
      <c r="AA25" s="43">
        <f t="shared" si="36"/>
        <v>7.802344402263188E-2</v>
      </c>
      <c r="AB25" s="17">
        <v>2.9560287775929821E-2</v>
      </c>
      <c r="AC25" s="43">
        <f t="shared" si="37"/>
        <v>0.12113396329946702</v>
      </c>
      <c r="AE25" s="47"/>
      <c r="AF25" s="47"/>
      <c r="AG25" s="61">
        <v>7.8E-2</v>
      </c>
      <c r="AH25" s="61">
        <v>8.5000000000000006E-2</v>
      </c>
    </row>
    <row r="26" spans="1:34" x14ac:dyDescent="0.3">
      <c r="A26" s="58" t="s">
        <v>779</v>
      </c>
      <c r="B26" s="59" t="s">
        <v>10</v>
      </c>
      <c r="C26" s="60">
        <v>6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11.040799474074449</v>
      </c>
      <c r="M26" s="4">
        <f t="shared" si="34"/>
        <v>6.8232140749780097</v>
      </c>
      <c r="N26" s="4">
        <f t="shared" si="34"/>
        <v>65.434622979039105</v>
      </c>
      <c r="O26" s="4">
        <f t="shared" si="35"/>
        <v>0.13646428149956019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9.59</v>
      </c>
      <c r="AA26" s="43">
        <f t="shared" si="36"/>
        <v>2.0006011287854328E-2</v>
      </c>
      <c r="AB26" s="17">
        <v>4.5361380243270303E-3</v>
      </c>
      <c r="AC26" s="43">
        <f t="shared" si="37"/>
        <v>2.8502109011639295E-2</v>
      </c>
      <c r="AE26" s="47"/>
      <c r="AF26" s="47"/>
      <c r="AG26" s="61">
        <v>0.02</v>
      </c>
      <c r="AH26" s="61">
        <v>0.02</v>
      </c>
    </row>
    <row r="27" spans="1:34" x14ac:dyDescent="0.3">
      <c r="B27" s="59" t="s">
        <v>10</v>
      </c>
      <c r="C27" s="60">
        <v>6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0.97499999999999998</v>
      </c>
      <c r="AC30" s="28">
        <f>SUM(AC7:AC27)</f>
        <v>0.98000000000000032</v>
      </c>
      <c r="AD30" s="89"/>
      <c r="AE30" s="28">
        <f>SUM(AE2:AE4,AE7:AE27)</f>
        <v>1</v>
      </c>
      <c r="AF30" s="28">
        <f>SUM(AF2:AF4,AF7:AF27)</f>
        <v>0.98001999571491349</v>
      </c>
      <c r="AG30" s="28">
        <f>SUM(AG7:AG27)</f>
        <v>0.97970553540071148</v>
      </c>
    </row>
    <row r="31" spans="1:34" s="86" customFormat="1" x14ac:dyDescent="0.3">
      <c r="A31" s="102"/>
      <c r="B31" s="80"/>
      <c r="C31" s="80"/>
      <c r="D31" s="105">
        <v>1092.82</v>
      </c>
      <c r="E31" s="106">
        <v>0.505</v>
      </c>
      <c r="F31" s="8">
        <f>1-E31</f>
        <v>0.495</v>
      </c>
      <c r="G31" s="234">
        <v>4.54</v>
      </c>
      <c r="H31" s="275">
        <v>4.2000000000000003E-2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551.8741</v>
      </c>
      <c r="E34" s="2">
        <f>SUM(E2:E4)</f>
        <v>365.69475320539448</v>
      </c>
      <c r="F34" s="2">
        <f>SUM(F2:F4)</f>
        <v>3825.8367121556844</v>
      </c>
      <c r="G34" s="2">
        <f>SUM(G2:G4)</f>
        <v>23.644112459719601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540.94589999999994</v>
      </c>
      <c r="E37" s="2">
        <f>D37*G31</f>
        <v>2455.8943859999999</v>
      </c>
      <c r="F37" s="2">
        <f>D37*H31</f>
        <v>22.719727799999998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4" t="s">
        <v>458</v>
      </c>
      <c r="J39" s="34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530.12698199999988</v>
      </c>
      <c r="E40" s="3">
        <f>SUM(J2:J4,J7:J12,J15:J22)</f>
        <v>2436.7024634014515</v>
      </c>
      <c r="F40" s="3">
        <f>SUM(K2:K4,K7:K12,K15:K22)</f>
        <v>22.572696027199342</v>
      </c>
      <c r="G40" s="3">
        <f>SUM(L7:L12,L15:L22,L24:L27)</f>
        <v>540.83661799999993</v>
      </c>
      <c r="H40" s="3">
        <f>SUM(M7:M12,M15:M22,M24:M27)</f>
        <v>361.18926479062827</v>
      </c>
      <c r="I40" s="3">
        <f>SUM(N7:N12,N15:N22,N24:N27)</f>
        <v>3818.437253769941</v>
      </c>
      <c r="J40" s="3">
        <f>SUM(O7:O12,O15:O22,O24:O27)</f>
        <v>23.41291836845534</v>
      </c>
    </row>
    <row r="41" spans="1:32" ht="14.4" thickTop="1" x14ac:dyDescent="0.3">
      <c r="D41" s="50">
        <f>D37-D40</f>
        <v>10.818918000000053</v>
      </c>
      <c r="E41" s="50">
        <f>E37-E40</f>
        <v>19.191922598548445</v>
      </c>
      <c r="F41" s="50">
        <f>F37-F40</f>
        <v>0.1470317728006556</v>
      </c>
      <c r="G41" s="50">
        <f>SUM(D2:D4)-G40</f>
        <v>11.037482000000068</v>
      </c>
      <c r="H41" s="50">
        <f>E34-H40</f>
        <v>4.5054884147662051</v>
      </c>
      <c r="I41" s="50">
        <f>F34-I40</f>
        <v>7.3994583857434009</v>
      </c>
      <c r="J41" s="50">
        <f>G34-J40</f>
        <v>0.23119409126426049</v>
      </c>
    </row>
    <row r="42" spans="1:32" x14ac:dyDescent="0.3">
      <c r="N42" s="74"/>
      <c r="O42" s="74"/>
    </row>
    <row r="43" spans="1:32" x14ac:dyDescent="0.3">
      <c r="N43" s="74"/>
      <c r="O43" s="74"/>
    </row>
    <row r="44" spans="1:32" x14ac:dyDescent="0.3">
      <c r="N44" s="74"/>
      <c r="O44" s="74"/>
    </row>
  </sheetData>
  <sheetProtection sheet="1" selectLockedCells="1"/>
  <conditionalFormatting sqref="AA30:AB30 AD30:AF30">
    <cfRule type="cellIs" dxfId="161" priority="14" operator="greaterThan">
      <formula>1</formula>
    </cfRule>
    <cfRule type="cellIs" dxfId="160" priority="15" operator="greaterThan">
      <formula>1</formula>
    </cfRule>
  </conditionalFormatting>
  <conditionalFormatting sqref="AC30">
    <cfRule type="cellIs" dxfId="159" priority="10" operator="greaterThan">
      <formula>1</formula>
    </cfRule>
    <cfRule type="cellIs" dxfId="158" priority="11" operator="greaterThan">
      <formula>1</formula>
    </cfRule>
  </conditionalFormatting>
  <conditionalFormatting sqref="AG30">
    <cfRule type="cellIs" dxfId="157" priority="8" operator="greaterThan">
      <formula>1</formula>
    </cfRule>
    <cfRule type="cellIs" dxfId="156" priority="9" operator="greaterThan">
      <formula>1</formula>
    </cfRule>
  </conditionalFormatting>
  <conditionalFormatting sqref="W30">
    <cfRule type="cellIs" dxfId="155" priority="2" operator="greaterThan">
      <formula>1</formula>
    </cfRule>
    <cfRule type="cellIs" dxfId="154" priority="3" operator="greaterThan">
      <formula>1</formula>
    </cfRule>
  </conditionalFormatting>
  <conditionalFormatting sqref="D41:J41">
    <cfRule type="cellIs" dxfId="153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rgb="FFA50021"/>
  </sheetPr>
  <dimension ref="A1:AH43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102</v>
      </c>
      <c r="B2" s="59" t="s">
        <v>9</v>
      </c>
      <c r="C2" s="59">
        <v>14</v>
      </c>
      <c r="D2" s="4">
        <f>D$34*Q2</f>
        <v>597.30170324999995</v>
      </c>
      <c r="E2" s="4">
        <f>D2*R2</f>
        <v>377.49467645399994</v>
      </c>
      <c r="F2" s="4">
        <f>E2*S2</f>
        <v>4193.9658554039388</v>
      </c>
      <c r="G2" s="4">
        <f>E2*T2</f>
        <v>25.197074665159352</v>
      </c>
      <c r="H2" s="4">
        <f>E2*U2</f>
        <v>7.9688501132900651</v>
      </c>
      <c r="I2" s="4">
        <f>D$37*W2</f>
        <v>45.103943615323686</v>
      </c>
      <c r="J2" s="4">
        <f>I2*V2</f>
        <v>184.64007933328469</v>
      </c>
      <c r="K2" s="4">
        <f>I2*X2</f>
        <v>1.1621087251777349</v>
      </c>
      <c r="L2" s="44"/>
      <c r="M2" s="44"/>
      <c r="N2" s="44"/>
      <c r="O2" s="44"/>
      <c r="Q2" s="43">
        <f>AE2</f>
        <v>0.95</v>
      </c>
      <c r="R2" s="61">
        <v>0.63200000000000001</v>
      </c>
      <c r="S2" s="236">
        <v>11.11</v>
      </c>
      <c r="T2" s="237">
        <v>6.6748158945838201E-2</v>
      </c>
      <c r="U2" s="61">
        <v>2.110983441712487E-2</v>
      </c>
      <c r="V2" s="236">
        <v>4.0936571069709027</v>
      </c>
      <c r="W2" s="43">
        <f>(AF2/SUM(AF$2:AF$22))*0.98</f>
        <v>0.10196060818349895</v>
      </c>
      <c r="X2" s="61">
        <v>2.5765124555160144E-2</v>
      </c>
      <c r="Y2" s="64"/>
      <c r="Z2" s="65"/>
      <c r="AA2" s="1"/>
      <c r="AB2" s="1"/>
      <c r="AC2" s="1"/>
      <c r="AE2" s="61">
        <v>0.95</v>
      </c>
      <c r="AF2" s="61">
        <v>0.10199999999999999</v>
      </c>
      <c r="AG2" s="47"/>
      <c r="AH2" s="47"/>
    </row>
    <row r="3" spans="1:34" x14ac:dyDescent="0.3">
      <c r="A3" s="58" t="s">
        <v>279</v>
      </c>
      <c r="B3" s="59" t="s">
        <v>9</v>
      </c>
      <c r="C3" s="59">
        <v>14</v>
      </c>
      <c r="D3" s="4">
        <f>D$34*Q3</f>
        <v>12.574772699999999</v>
      </c>
      <c r="E3" s="4">
        <f t="shared" ref="E3:E4" si="0">D3*R3</f>
        <v>8.0855788460999989</v>
      </c>
      <c r="F3" s="4">
        <f t="shared" ref="F3:F4" si="1">E3*S3</f>
        <v>93.145868307071979</v>
      </c>
      <c r="G3" s="4">
        <f t="shared" ref="G3" si="2">E3*T3</f>
        <v>0.71021976350878369</v>
      </c>
      <c r="H3" s="4">
        <f t="shared" ref="H3" si="3">E3*U3</f>
        <v>0.44231831762035007</v>
      </c>
      <c r="I3" s="4">
        <f t="shared" ref="I3:I4" si="4">D$37*W3</f>
        <v>4.7981462674587743</v>
      </c>
      <c r="J3" s="4">
        <f>I3*V3</f>
        <v>23.96574099215086</v>
      </c>
      <c r="K3" s="4">
        <f>I3*X3</f>
        <v>0.17493241600110115</v>
      </c>
      <c r="L3" s="44"/>
      <c r="M3" s="44"/>
      <c r="N3" s="44"/>
      <c r="O3" s="44"/>
      <c r="Q3" s="43">
        <f t="shared" ref="Q3:Q4" si="5">AE3</f>
        <v>0.02</v>
      </c>
      <c r="R3" s="61">
        <v>0.64300000000000002</v>
      </c>
      <c r="S3" s="236">
        <v>11.52</v>
      </c>
      <c r="T3" s="237">
        <v>8.7837837837837843E-2</v>
      </c>
      <c r="U3" s="61">
        <v>5.4704595185995623E-2</v>
      </c>
      <c r="V3" s="236">
        <v>4.994791666666667</v>
      </c>
      <c r="W3" s="43">
        <f t="shared" ref="W3:W4" si="6">(AF3/SUM(AF$2:AF$22))*0.98</f>
        <v>1.0846544057342094E-2</v>
      </c>
      <c r="X3" s="61">
        <v>3.6458333333333336E-2</v>
      </c>
      <c r="Y3" s="64"/>
      <c r="Z3" s="65"/>
      <c r="AA3" s="1"/>
      <c r="AB3" s="1"/>
      <c r="AC3" s="1"/>
      <c r="AE3" s="61">
        <v>0.02</v>
      </c>
      <c r="AF3" s="61">
        <v>1.0850734548952426E-2</v>
      </c>
      <c r="AG3" s="47"/>
      <c r="AH3" s="47"/>
    </row>
    <row r="4" spans="1:34" x14ac:dyDescent="0.3">
      <c r="A4" s="58" t="s">
        <v>656</v>
      </c>
      <c r="B4" s="59" t="s">
        <v>9</v>
      </c>
      <c r="C4" s="59">
        <v>14</v>
      </c>
      <c r="D4" s="4">
        <f>D$34*Q4</f>
        <v>6.2873863499999993</v>
      </c>
      <c r="E4" s="4">
        <f t="shared" si="0"/>
        <v>3.6466840829999994</v>
      </c>
      <c r="F4" s="4">
        <f t="shared" si="1"/>
        <v>42.338002203629991</v>
      </c>
      <c r="G4" s="4">
        <f t="shared" ref="G4" si="7">E4*T4</f>
        <v>0.26583756998756858</v>
      </c>
      <c r="H4" s="4">
        <f t="shared" ref="H4" si="8">E4*U4</f>
        <v>0.14222067923699996</v>
      </c>
      <c r="I4" s="4">
        <f t="shared" si="4"/>
        <v>2.2109776282021416</v>
      </c>
      <c r="J4" s="4">
        <f>I4*V4</f>
        <v>13.376414650622957</v>
      </c>
      <c r="K4" s="4">
        <f>I4*X4</f>
        <v>7.5173239358872823E-2</v>
      </c>
      <c r="L4" s="44"/>
      <c r="M4" s="44"/>
      <c r="N4" s="44"/>
      <c r="O4" s="44"/>
      <c r="Q4" s="43">
        <f t="shared" si="5"/>
        <v>0.01</v>
      </c>
      <c r="R4" s="61">
        <v>0.57999999999999996</v>
      </c>
      <c r="S4" s="236">
        <v>11.61</v>
      </c>
      <c r="T4" s="61">
        <v>7.289843702854383E-2</v>
      </c>
      <c r="U4" s="61">
        <v>3.9E-2</v>
      </c>
      <c r="V4" s="236">
        <v>6.05</v>
      </c>
      <c r="W4" s="43">
        <f t="shared" si="6"/>
        <v>4.99806902860289E-3</v>
      </c>
      <c r="X4" s="61">
        <v>3.4000000000000002E-2</v>
      </c>
      <c r="Y4" s="64"/>
      <c r="Z4" s="65"/>
      <c r="AA4" s="1"/>
      <c r="AB4" s="1"/>
      <c r="AC4" s="1"/>
      <c r="AE4" s="61">
        <v>0.01</v>
      </c>
      <c r="AF4" s="61">
        <v>5.0000000000000001E-3</v>
      </c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F6" s="76"/>
    </row>
    <row r="7" spans="1:34" x14ac:dyDescent="0.3">
      <c r="A7" s="101" t="s">
        <v>230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252.49364514068449</v>
      </c>
      <c r="J7" s="4">
        <f>I7*V7</f>
        <v>1081.3173132491916</v>
      </c>
      <c r="K7" s="4">
        <f>I7*X7</f>
        <v>9.5190104218038041</v>
      </c>
      <c r="L7" s="7">
        <f>((D$2+D$3+D$4)*AA7)</f>
        <v>44.527982942900287</v>
      </c>
      <c r="M7" s="4">
        <f t="shared" ref="M7:N9" si="10">L7*Y7</f>
        <v>34.237566084796029</v>
      </c>
      <c r="N7" s="4">
        <f t="shared" si="10"/>
        <v>254.38511601003449</v>
      </c>
      <c r="O7" s="4">
        <f>M7*AH7</f>
        <v>1.5601303716845818</v>
      </c>
      <c r="Q7" s="45"/>
      <c r="R7" s="45"/>
      <c r="S7" s="44"/>
      <c r="T7" s="45"/>
      <c r="U7" s="45"/>
      <c r="V7" s="63">
        <v>4.282552587201562</v>
      </c>
      <c r="W7" s="43">
        <f t="shared" ref="W7:W12" si="11">(AF7/SUM(AF$2:AF$22))*0.98</f>
        <v>0.57077948306644988</v>
      </c>
      <c r="X7" s="237">
        <v>3.7699999999999997E-2</v>
      </c>
      <c r="Y7" s="237">
        <v>0.76890000000000003</v>
      </c>
      <c r="Z7" s="63">
        <v>7.43</v>
      </c>
      <c r="AA7" s="43">
        <f>(AG7/SUM(AG$7:AG$27))*0.98</f>
        <v>7.2266462977376544E-2</v>
      </c>
      <c r="AB7" s="17">
        <v>8.4073180034031858E-2</v>
      </c>
      <c r="AC7" s="43">
        <f>(AH7/SUM(AH$7:AH$27))*0.98</f>
        <v>6.3639208300204558E-2</v>
      </c>
      <c r="AE7" s="48"/>
      <c r="AF7" s="61">
        <v>0.57099999999999995</v>
      </c>
      <c r="AG7" s="61">
        <v>7.2208064643585965E-2</v>
      </c>
      <c r="AH7" s="61">
        <v>4.5567794387621298E-2</v>
      </c>
    </row>
    <row r="8" spans="1:34" x14ac:dyDescent="0.3">
      <c r="A8" s="101" t="s">
        <v>261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40.239792833278976</v>
      </c>
      <c r="J8" s="4">
        <f>I8*V8</f>
        <v>176.10117439498976</v>
      </c>
      <c r="K8" s="4">
        <f>I8*X8</f>
        <v>1.5731518492636607</v>
      </c>
      <c r="L8" s="7">
        <f>((D$2+D$3+D$4)*AA8)</f>
        <v>70.299489129730276</v>
      </c>
      <c r="M8" s="4">
        <f t="shared" si="10"/>
        <v>52.162220934259864</v>
      </c>
      <c r="N8" s="4">
        <f t="shared" si="10"/>
        <v>462.67889968688496</v>
      </c>
      <c r="O8" s="4">
        <f t="shared" ref="O8:O12" si="12">M8*AH8</f>
        <v>2.3472999420416936</v>
      </c>
      <c r="Q8" s="45"/>
      <c r="R8" s="45"/>
      <c r="S8" s="44"/>
      <c r="T8" s="45"/>
      <c r="U8" s="45"/>
      <c r="V8" s="63">
        <v>4.3762942598787724</v>
      </c>
      <c r="W8" s="43">
        <f t="shared" si="11"/>
        <v>9.0964856320572593E-2</v>
      </c>
      <c r="X8" s="237">
        <v>3.9094432115531125E-2</v>
      </c>
      <c r="Y8" s="237">
        <v>0.74199999999999999</v>
      </c>
      <c r="Z8" s="63">
        <v>8.8699999999999992</v>
      </c>
      <c r="AA8" s="43">
        <f t="shared" ref="AA8:AA12" si="13">(AG8/SUM(AG$7:AG$27))*0.98</f>
        <v>0.11409219759711031</v>
      </c>
      <c r="AB8" s="17">
        <v>9.7656082020110141E-2</v>
      </c>
      <c r="AC8" s="43">
        <f t="shared" ref="AC8:AC12" si="14">(AH8/SUM(AH$7:AH$27))*0.98</f>
        <v>6.2846236294622146E-2</v>
      </c>
      <c r="AE8" s="48"/>
      <c r="AF8" s="61">
        <v>9.0999999999999998E-2</v>
      </c>
      <c r="AG8" s="61">
        <v>0.114</v>
      </c>
      <c r="AH8" s="61">
        <v>4.4999999999999998E-2</v>
      </c>
    </row>
    <row r="9" spans="1:34" x14ac:dyDescent="0.3">
      <c r="A9" s="101" t="s">
        <v>657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61.022982538379111</v>
      </c>
      <c r="J9" s="4">
        <f>I9*V9</f>
        <v>261.22973819067295</v>
      </c>
      <c r="K9" s="4">
        <f>I9*X9</f>
        <v>2.2200930731297781</v>
      </c>
      <c r="L9" s="7">
        <f>((D$2+D$3+D$4)*AA9)</f>
        <v>19.116527745803847</v>
      </c>
      <c r="M9" s="4">
        <f t="shared" si="10"/>
        <v>14.031531365420022</v>
      </c>
      <c r="N9" s="4">
        <f t="shared" si="10"/>
        <v>103.83333210410817</v>
      </c>
      <c r="O9" s="4">
        <f t="shared" si="12"/>
        <v>0.4349774723280207</v>
      </c>
      <c r="Q9" s="45"/>
      <c r="R9" s="45"/>
      <c r="S9" s="44"/>
      <c r="T9" s="45"/>
      <c r="U9" s="45"/>
      <c r="V9" s="63">
        <v>4.2808418619391153</v>
      </c>
      <c r="W9" s="43">
        <f t="shared" si="11"/>
        <v>0.13794670518943977</v>
      </c>
      <c r="X9" s="237">
        <v>3.6381261301567776E-2</v>
      </c>
      <c r="Y9" s="237">
        <v>0.73399999999999999</v>
      </c>
      <c r="Z9" s="63">
        <v>7.4</v>
      </c>
      <c r="AA9" s="43">
        <f t="shared" si="13"/>
        <v>3.102507127640719E-2</v>
      </c>
      <c r="AB9" s="17">
        <v>6.4050162823481071E-3</v>
      </c>
      <c r="AC9" s="43">
        <f t="shared" si="14"/>
        <v>4.3294073891850818E-2</v>
      </c>
      <c r="AE9" s="48"/>
      <c r="AF9" s="61">
        <v>0.13800000000000001</v>
      </c>
      <c r="AG9" s="61">
        <v>3.1E-2</v>
      </c>
      <c r="AH9" s="61">
        <v>3.1E-2</v>
      </c>
    </row>
    <row r="10" spans="1:34" x14ac:dyDescent="0.3">
      <c r="A10" s="101" t="s">
        <v>320</v>
      </c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5.30634630768514</v>
      </c>
      <c r="J10" s="4">
        <f t="shared" ref="J10:J12" si="15">I10*V10</f>
        <v>21.384575619971116</v>
      </c>
      <c r="K10" s="4">
        <f t="shared" ref="K10:K12" si="16">I10*X10</f>
        <v>0.12317153707564812</v>
      </c>
      <c r="L10" s="7">
        <f t="shared" ref="L10:L12" si="17">((D$2+D$3+D$4)*AA10)</f>
        <v>8.633270594879157</v>
      </c>
      <c r="M10" s="4">
        <f t="shared" ref="M10:N10" si="18">L10*Y10</f>
        <v>5.6694687996571416</v>
      </c>
      <c r="N10" s="4">
        <f t="shared" si="18"/>
        <v>37.701967517719993</v>
      </c>
      <c r="O10" s="4">
        <f t="shared" si="12"/>
        <v>5.7293164363167566E-2</v>
      </c>
      <c r="Q10" s="45"/>
      <c r="R10" s="45"/>
      <c r="S10" s="44"/>
      <c r="T10" s="45"/>
      <c r="U10" s="45"/>
      <c r="V10" s="63">
        <v>4.03</v>
      </c>
      <c r="W10" s="43">
        <f t="shared" si="11"/>
        <v>1.1995365668646936E-2</v>
      </c>
      <c r="X10" s="237">
        <v>2.3212118081562025E-2</v>
      </c>
      <c r="Y10" s="237">
        <v>0.65669999999999995</v>
      </c>
      <c r="Z10" s="63">
        <v>6.65</v>
      </c>
      <c r="AA10" s="43">
        <f t="shared" si="13"/>
        <v>1.401132251192583E-2</v>
      </c>
      <c r="AB10" s="17">
        <v>1.041573265430025E-2</v>
      </c>
      <c r="AC10" s="43">
        <f t="shared" si="14"/>
        <v>1.4113255375694703E-2</v>
      </c>
      <c r="AE10" s="48"/>
      <c r="AF10" s="61">
        <v>1.2E-2</v>
      </c>
      <c r="AG10" s="61">
        <v>1.4E-2</v>
      </c>
      <c r="AH10" s="61">
        <v>1.0105561277033987E-2</v>
      </c>
    </row>
    <row r="11" spans="1:34" x14ac:dyDescent="0.3">
      <c r="A11" s="101"/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0</v>
      </c>
      <c r="AC11" s="43">
        <f t="shared" si="14"/>
        <v>0</v>
      </c>
      <c r="AE11" s="48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>
        <v>0</v>
      </c>
      <c r="AC12" s="43">
        <f t="shared" si="14"/>
        <v>0</v>
      </c>
      <c r="AE12" s="48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1"/>
      <c r="AF14" s="66"/>
      <c r="AG14" s="75"/>
      <c r="AH14" s="75"/>
    </row>
    <row r="15" spans="1:34" x14ac:dyDescent="0.3">
      <c r="A15" s="66" t="s">
        <v>85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1.1178181382470362</v>
      </c>
      <c r="J15" s="4">
        <f t="shared" ref="J15:J22" si="22">I15*V15</f>
        <v>8.4967173486249123</v>
      </c>
      <c r="K15" s="4">
        <f t="shared" ref="K15:K22" si="23">I15*X15</f>
        <v>0</v>
      </c>
      <c r="L15" s="7">
        <f t="shared" ref="L15:L20" si="24">((D$2+D$3+D$4)*AA15)</f>
        <v>128.88239673783883</v>
      </c>
      <c r="M15" s="4">
        <f t="shared" ref="M15:N19" si="25">L15*Y15</f>
        <v>77.443207355625276</v>
      </c>
      <c r="N15" s="4">
        <f t="shared" si="25"/>
        <v>1072.3594165371694</v>
      </c>
      <c r="O15" s="4">
        <f t="shared" ref="O15:O22" si="26">M15*AH15</f>
        <v>6.1180133810943973</v>
      </c>
      <c r="Q15" s="45"/>
      <c r="R15" s="45"/>
      <c r="S15" s="44"/>
      <c r="T15" s="45"/>
      <c r="U15" s="45"/>
      <c r="V15" s="63">
        <v>7.6011625307399955</v>
      </c>
      <c r="W15" s="43">
        <f t="shared" ref="W15:W22" si="27">(AF15/SUM(AF$2:AF$22))*0.98</f>
        <v>2.5269058108589159E-3</v>
      </c>
      <c r="X15" s="237">
        <v>0</v>
      </c>
      <c r="Y15" s="237">
        <v>0.60088273740868892</v>
      </c>
      <c r="Z15" s="63">
        <v>13.847042925440975</v>
      </c>
      <c r="AA15" s="43">
        <f t="shared" ref="AA15:AA22" si="28">(AG15/SUM(AG$7:AG$27))*0.98</f>
        <v>0.20916902892803557</v>
      </c>
      <c r="AB15" s="17">
        <v>0.1922923325788353</v>
      </c>
      <c r="AC15" s="43">
        <f t="shared" ref="AC15:AC22" si="29">(AH15/SUM(AH$7:AH$27))*0.98</f>
        <v>0.11033005927278111</v>
      </c>
      <c r="AE15" s="48"/>
      <c r="AF15" s="61">
        <v>2.5278820644512607E-3</v>
      </c>
      <c r="AG15" s="61">
        <v>0.20899999999999999</v>
      </c>
      <c r="AH15" s="61">
        <v>7.9000000000000001E-2</v>
      </c>
    </row>
    <row r="16" spans="1:34" x14ac:dyDescent="0.3">
      <c r="A16" s="66" t="s">
        <v>6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15.476843397414994</v>
      </c>
      <c r="J16" s="4">
        <f t="shared" si="22"/>
        <v>83.79355726222289</v>
      </c>
      <c r="K16" s="4">
        <f t="shared" si="23"/>
        <v>0.81903437293204873</v>
      </c>
      <c r="L16" s="7">
        <f t="shared" si="24"/>
        <v>80.166084095306445</v>
      </c>
      <c r="M16" s="4">
        <f t="shared" si="25"/>
        <v>49.847271090461547</v>
      </c>
      <c r="N16" s="4">
        <f t="shared" si="25"/>
        <v>539.34747319879398</v>
      </c>
      <c r="O16" s="4">
        <f t="shared" si="26"/>
        <v>3.339767163060924</v>
      </c>
      <c r="Q16" s="45"/>
      <c r="R16" s="45"/>
      <c r="S16" s="44"/>
      <c r="T16" s="45"/>
      <c r="U16" s="45"/>
      <c r="V16" s="63">
        <v>5.4141245156113964</v>
      </c>
      <c r="W16" s="43">
        <f t="shared" si="27"/>
        <v>3.4986483200220235E-2</v>
      </c>
      <c r="X16" s="237">
        <v>5.2919988391744485E-2</v>
      </c>
      <c r="Y16" s="237">
        <v>0.62180000000000002</v>
      </c>
      <c r="Z16" s="63">
        <v>10.82</v>
      </c>
      <c r="AA16" s="43">
        <f t="shared" si="28"/>
        <v>0.13010513761073983</v>
      </c>
      <c r="AB16" s="17">
        <v>0.14622800044087528</v>
      </c>
      <c r="AC16" s="43">
        <f t="shared" si="29"/>
        <v>9.3571062927548548E-2</v>
      </c>
      <c r="AE16" s="48"/>
      <c r="AF16" s="61">
        <v>3.5000000000000003E-2</v>
      </c>
      <c r="AG16" s="61">
        <v>0.13</v>
      </c>
      <c r="AH16" s="61">
        <v>6.7000000000000004E-2</v>
      </c>
    </row>
    <row r="17" spans="1:34" x14ac:dyDescent="0.3">
      <c r="A17" s="66" t="s">
        <v>623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5.748541833325568</v>
      </c>
      <c r="J17" s="4">
        <f t="shared" si="22"/>
        <v>28.74270916662784</v>
      </c>
      <c r="K17" s="4">
        <f t="shared" si="23"/>
        <v>0</v>
      </c>
      <c r="L17" s="7">
        <f t="shared" si="24"/>
        <v>93.115989987625184</v>
      </c>
      <c r="M17" s="4">
        <f t="shared" si="25"/>
        <v>56.303950415197562</v>
      </c>
      <c r="N17" s="4">
        <f t="shared" si="25"/>
        <v>694.22770861938591</v>
      </c>
      <c r="O17" s="4">
        <f t="shared" si="26"/>
        <v>4.2791002315550148</v>
      </c>
      <c r="Q17" s="45"/>
      <c r="R17" s="45"/>
      <c r="S17" s="44"/>
      <c r="T17" s="45"/>
      <c r="U17" s="45"/>
      <c r="V17" s="63">
        <v>5</v>
      </c>
      <c r="W17" s="43">
        <f t="shared" si="27"/>
        <v>1.2994979474367513E-2</v>
      </c>
      <c r="X17" s="237">
        <v>0</v>
      </c>
      <c r="Y17" s="237">
        <v>0.60466468135795126</v>
      </c>
      <c r="Z17" s="63">
        <v>12.33</v>
      </c>
      <c r="AA17" s="43">
        <f t="shared" si="28"/>
        <v>0.15112212137862857</v>
      </c>
      <c r="AB17" s="17">
        <v>7.9859126348044471E-2</v>
      </c>
      <c r="AC17" s="43">
        <f t="shared" si="29"/>
        <v>0.10614031018647296</v>
      </c>
      <c r="AE17" s="48"/>
      <c r="AF17" s="61">
        <v>1.2999999999999999E-2</v>
      </c>
      <c r="AG17" s="61">
        <v>0.151</v>
      </c>
      <c r="AH17" s="61">
        <v>7.5999999999999998E-2</v>
      </c>
    </row>
    <row r="18" spans="1:34" x14ac:dyDescent="0.3">
      <c r="A18" s="66" t="s">
        <v>353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24.666487413940445</v>
      </c>
      <c r="M18" s="4">
        <f t="shared" si="25"/>
        <v>14.71602639115687</v>
      </c>
      <c r="N18" s="4">
        <f t="shared" si="25"/>
        <v>198.96067680844087</v>
      </c>
      <c r="O18" s="4">
        <f t="shared" si="26"/>
        <v>0.62709260847478154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0.59660000000000002</v>
      </c>
      <c r="Z18" s="63">
        <v>13.52</v>
      </c>
      <c r="AA18" s="43">
        <f t="shared" si="28"/>
        <v>4.0032350034073794E-2</v>
      </c>
      <c r="AB18" s="17">
        <v>1.4733470973034185E-2</v>
      </c>
      <c r="AC18" s="43">
        <f t="shared" si="29"/>
        <v>5.951245745175332E-2</v>
      </c>
      <c r="AE18" s="48"/>
      <c r="AF18" s="61">
        <v>0</v>
      </c>
      <c r="AG18" s="61">
        <v>0.04</v>
      </c>
      <c r="AH18" s="61">
        <v>4.2612903225806457E-2</v>
      </c>
    </row>
    <row r="19" spans="1:34" x14ac:dyDescent="0.3">
      <c r="A19" s="66" t="s">
        <v>354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14.183230263015757</v>
      </c>
      <c r="M19" s="4">
        <f t="shared" si="25"/>
        <v>8.7666546255700393</v>
      </c>
      <c r="N19" s="4">
        <f t="shared" si="25"/>
        <v>113.37697415334515</v>
      </c>
      <c r="O19" s="4">
        <f t="shared" si="26"/>
        <v>0.42956607665293195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0.61809999999999998</v>
      </c>
      <c r="Z19" s="63">
        <v>12.932752457551386</v>
      </c>
      <c r="AA19" s="43">
        <f t="shared" si="28"/>
        <v>2.3018601269592431E-2</v>
      </c>
      <c r="AB19" s="17">
        <v>4.8800519473424689E-2</v>
      </c>
      <c r="AC19" s="43">
        <f t="shared" si="29"/>
        <v>6.843256840969969E-2</v>
      </c>
      <c r="AE19" s="48"/>
      <c r="AF19" s="61">
        <v>0</v>
      </c>
      <c r="AG19" s="61">
        <v>2.3E-2</v>
      </c>
      <c r="AH19" s="61">
        <v>4.9000000000000002E-2</v>
      </c>
    </row>
    <row r="20" spans="1:34" x14ac:dyDescent="0.3">
      <c r="A20" s="66" t="s">
        <v>757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8.633270594879157</v>
      </c>
      <c r="M20" s="4">
        <f t="shared" ref="M20:N20" si="30">L20*Y20</f>
        <v>5.1221194439418047</v>
      </c>
      <c r="N20" s="4">
        <f t="shared" si="30"/>
        <v>52.000647398278765</v>
      </c>
      <c r="O20" s="4">
        <f t="shared" si="26"/>
        <v>0.22270084538877416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0.59330000000000005</v>
      </c>
      <c r="Z20" s="63">
        <v>10.15217391304348</v>
      </c>
      <c r="AA20" s="43">
        <f t="shared" si="28"/>
        <v>1.401132251192583E-2</v>
      </c>
      <c r="AB20" s="17">
        <v>7.9953635813665505E-2</v>
      </c>
      <c r="AC20" s="43">
        <f t="shared" si="29"/>
        <v>6.0721001250842677E-2</v>
      </c>
      <c r="AE20" s="48"/>
      <c r="AF20" s="61">
        <v>0</v>
      </c>
      <c r="AG20" s="61">
        <v>1.4E-2</v>
      </c>
      <c r="AH20" s="61">
        <v>4.3478260869565223E-2</v>
      </c>
    </row>
    <row r="21" spans="1:34" x14ac:dyDescent="0.3">
      <c r="A21" s="66"/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>
        <v>5.0620814626722611E-2</v>
      </c>
      <c r="AC21" s="43">
        <f t="shared" si="29"/>
        <v>0</v>
      </c>
      <c r="AE21" s="48"/>
      <c r="AF21" s="61">
        <v>0</v>
      </c>
      <c r="AG21" s="61">
        <v>0</v>
      </c>
      <c r="AH21" s="61">
        <v>0</v>
      </c>
    </row>
    <row r="22" spans="1:34" x14ac:dyDescent="0.3">
      <c r="A22" s="66"/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>
        <v>0</v>
      </c>
      <c r="AC22" s="43">
        <f t="shared" si="29"/>
        <v>0</v>
      </c>
      <c r="AE22" s="48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1"/>
      <c r="AF23" s="66"/>
      <c r="AG23" s="75"/>
      <c r="AH23" s="75"/>
    </row>
    <row r="24" spans="1:34" x14ac:dyDescent="0.3">
      <c r="A24" s="58" t="s">
        <v>231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75.849448797866884</v>
      </c>
      <c r="M24" s="4">
        <f t="shared" ref="M24:N27" si="34">L24*Y24</f>
        <v>47.861002191454006</v>
      </c>
      <c r="N24" s="4">
        <f t="shared" si="34"/>
        <v>517.85604371153238</v>
      </c>
      <c r="O24" s="4">
        <f t="shared" ref="O24:O27" si="35">M24*AH24</f>
        <v>5.4496941743956686</v>
      </c>
      <c r="Q24" s="45"/>
      <c r="R24" s="45"/>
      <c r="S24" s="44"/>
      <c r="T24" s="45"/>
      <c r="U24" s="45"/>
      <c r="V24" s="46"/>
      <c r="W24" s="46"/>
      <c r="X24" s="45"/>
      <c r="Y24" s="237">
        <v>0.63100000000000001</v>
      </c>
      <c r="Z24" s="236">
        <v>10.82</v>
      </c>
      <c r="AA24" s="43">
        <f t="shared" ref="AA24:AA27" si="36">(AG24/SUM(AG$7:AG$27))*0.98</f>
        <v>0.12309947635477693</v>
      </c>
      <c r="AB24" s="17">
        <v>0.13714946989377905</v>
      </c>
      <c r="AC24" s="43">
        <f t="shared" ref="AC24:AC27" si="37">(AH24/SUM(AH$7:AH$27))*0.98</f>
        <v>0.15902196041568381</v>
      </c>
      <c r="AE24" s="48"/>
      <c r="AF24" s="47"/>
      <c r="AG24" s="61">
        <v>0.123</v>
      </c>
      <c r="AH24" s="61">
        <v>0.11386502423404662</v>
      </c>
    </row>
    <row r="25" spans="1:34" x14ac:dyDescent="0.3">
      <c r="A25" s="58" t="s">
        <v>298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29.599784896728533</v>
      </c>
      <c r="M25" s="4">
        <f t="shared" si="34"/>
        <v>19.00306190369972</v>
      </c>
      <c r="N25" s="4">
        <f t="shared" si="34"/>
        <v>223.8560692255827</v>
      </c>
      <c r="O25" s="4">
        <f t="shared" si="35"/>
        <v>0.9990193511791452</v>
      </c>
      <c r="Q25" s="45"/>
      <c r="R25" s="45"/>
      <c r="S25" s="44"/>
      <c r="T25" s="45"/>
      <c r="U25" s="45"/>
      <c r="V25" s="46"/>
      <c r="W25" s="46"/>
      <c r="X25" s="45"/>
      <c r="Y25" s="237">
        <v>0.64200000000000002</v>
      </c>
      <c r="Z25" s="236">
        <v>11.78</v>
      </c>
      <c r="AA25" s="43">
        <f t="shared" si="36"/>
        <v>4.8038820040888552E-2</v>
      </c>
      <c r="AB25" s="17">
        <v>1.7460909603359023E-2</v>
      </c>
      <c r="AC25" s="43">
        <f t="shared" si="37"/>
        <v>7.3420456047525562E-2</v>
      </c>
      <c r="AE25" s="48"/>
      <c r="AF25" s="47"/>
      <c r="AG25" s="61">
        <v>4.8000000000000001E-2</v>
      </c>
      <c r="AH25" s="61">
        <v>5.2571493806724136E-2</v>
      </c>
    </row>
    <row r="26" spans="1:34" x14ac:dyDescent="0.3">
      <c r="A26" s="58" t="s">
        <v>655</v>
      </c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6.1666218534851112</v>
      </c>
      <c r="M26" s="4">
        <f t="shared" si="34"/>
        <v>3.8109723054537987</v>
      </c>
      <c r="N26" s="4">
        <f t="shared" si="34"/>
        <v>38.730113894960702</v>
      </c>
      <c r="O26" s="4">
        <f t="shared" si="35"/>
        <v>0.17725452583506041</v>
      </c>
      <c r="Q26" s="45"/>
      <c r="R26" s="45"/>
      <c r="S26" s="44"/>
      <c r="T26" s="45"/>
      <c r="U26" s="45"/>
      <c r="V26" s="46"/>
      <c r="W26" s="46"/>
      <c r="X26" s="45"/>
      <c r="Y26" s="237">
        <v>0.61799999999999999</v>
      </c>
      <c r="Z26" s="236">
        <v>10.162790697674419</v>
      </c>
      <c r="AA26" s="43">
        <f t="shared" si="36"/>
        <v>1.0008087508518448E-2</v>
      </c>
      <c r="AB26" s="17">
        <v>9.3517092574694708E-3</v>
      </c>
      <c r="AC26" s="43">
        <f t="shared" si="37"/>
        <v>6.4957350175320061E-2</v>
      </c>
      <c r="AE26" s="48"/>
      <c r="AF26" s="47"/>
      <c r="AG26" s="61">
        <v>0.01</v>
      </c>
      <c r="AH26" s="61">
        <v>4.6511627906976744E-2</v>
      </c>
    </row>
    <row r="27" spans="1:34" x14ac:dyDescent="0.3"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0</v>
      </c>
      <c r="AC27" s="43">
        <f t="shared" si="37"/>
        <v>0</v>
      </c>
      <c r="AE27" s="48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0.97999999999999976</v>
      </c>
      <c r="X30" s="83"/>
      <c r="Y30" s="83"/>
      <c r="Z30" s="84"/>
      <c r="AA30" s="28">
        <f>SUM(AA7:AA27)</f>
        <v>0.97999999999999987</v>
      </c>
      <c r="AB30" s="28">
        <f t="shared" ref="AB30" si="38">SUM(AB2:AB4,AB7:AB12,AB15:AB22,AB24:AB27)</f>
        <v>0.97499999999999998</v>
      </c>
      <c r="AC30" s="28">
        <f>SUM(AC7:AC27)</f>
        <v>0.98</v>
      </c>
      <c r="AD30" s="89"/>
      <c r="AE30" s="28">
        <f>SUM(AE2:AE4,AE7:AE27)</f>
        <v>0.98</v>
      </c>
      <c r="AF30" s="28">
        <f>SUM(AF2:AF4,AF7:AF27)</f>
        <v>0.98037861661340375</v>
      </c>
      <c r="AG30" s="28">
        <f>SUM(AG7:AG27)</f>
        <v>0.97920806464358612</v>
      </c>
    </row>
    <row r="31" spans="1:34" s="86" customFormat="1" x14ac:dyDescent="0.3">
      <c r="A31" s="102"/>
      <c r="B31" s="80"/>
      <c r="C31" s="80"/>
      <c r="D31" s="105">
        <v>1071.105</v>
      </c>
      <c r="E31" s="106">
        <v>0.58699999999999997</v>
      </c>
      <c r="F31" s="8">
        <f>1-E31</f>
        <v>0.41300000000000003</v>
      </c>
      <c r="G31" s="234">
        <v>4.29</v>
      </c>
      <c r="H31" s="275">
        <v>3.5999999999999997E-2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628.73863499999993</v>
      </c>
      <c r="E34" s="2">
        <f>SUM(E2:E4)</f>
        <v>389.22693938309999</v>
      </c>
      <c r="F34" s="2">
        <f>SUM(F2:F4)</f>
        <v>4329.449725914641</v>
      </c>
      <c r="G34" s="2">
        <f>SUM(G2:G4)</f>
        <v>26.173131998655705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442.36636500000003</v>
      </c>
      <c r="E37" s="2">
        <f>D37*G31</f>
        <v>1897.7517058500002</v>
      </c>
      <c r="F37" s="2">
        <f>D37*H31</f>
        <v>15.925189140000001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5" t="s">
        <v>457</v>
      </c>
      <c r="G39" s="36" t="s">
        <v>453</v>
      </c>
      <c r="H39" s="36" t="s">
        <v>454</v>
      </c>
      <c r="I39" s="36" t="s">
        <v>458</v>
      </c>
      <c r="J39" s="36" t="s">
        <v>459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E39" s="98"/>
      <c r="AF39" s="94"/>
    </row>
    <row r="40" spans="1:32" ht="14.4" thickBot="1" x14ac:dyDescent="0.35">
      <c r="D40" s="3">
        <f>SUM(I2:I22)</f>
        <v>433.51903769999996</v>
      </c>
      <c r="E40" s="3">
        <f>SUM(J2:J4,J7:J12,J15:J22)</f>
        <v>1883.0480202083597</v>
      </c>
      <c r="F40" s="3">
        <f>SUM(K2:K4,K7:K12,K15:K22)</f>
        <v>15.666675634742649</v>
      </c>
      <c r="G40" s="3">
        <f>SUM(L7:L12,L15:L22,L24:L27)</f>
        <v>603.84058505400003</v>
      </c>
      <c r="H40" s="3">
        <f>SUM(M7:M12,M15:M22,M24:M27)</f>
        <v>388.97505290669369</v>
      </c>
      <c r="I40" s="3">
        <f>SUM(N7:N12,N15:N22,N24:N27)</f>
        <v>4309.3144388662377</v>
      </c>
      <c r="J40" s="3">
        <f>SUM(O7:O12,O15:O22,O24:O27)</f>
        <v>26.041909308054169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C40" s="60"/>
    </row>
    <row r="41" spans="1:32" ht="14.4" thickTop="1" x14ac:dyDescent="0.3">
      <c r="D41" s="50">
        <f>D37-D40</f>
        <v>8.8473273000000745</v>
      </c>
      <c r="E41" s="50">
        <f>E37-E40</f>
        <v>14.703685641640504</v>
      </c>
      <c r="F41" s="50">
        <f>F37-F40</f>
        <v>0.25851350525735128</v>
      </c>
      <c r="G41" s="50">
        <f>SUM(D2:D4)-G40</f>
        <v>12.323277245999975</v>
      </c>
      <c r="H41" s="50">
        <f>E34-H40</f>
        <v>0.25188647640629824</v>
      </c>
      <c r="I41" s="50">
        <f>F34-I40</f>
        <v>20.13528704840337</v>
      </c>
      <c r="J41" s="50">
        <f>G34-J40</f>
        <v>0.13122269060153613</v>
      </c>
      <c r="Q41" s="60"/>
      <c r="R41" s="60"/>
      <c r="S41" s="60"/>
      <c r="T41" s="60"/>
      <c r="U41" s="60"/>
      <c r="V41" s="60"/>
      <c r="W41" s="60"/>
      <c r="X41" s="60"/>
      <c r="Y41" s="60"/>
      <c r="Z41" s="60"/>
      <c r="AC41" s="60"/>
    </row>
    <row r="42" spans="1:32" x14ac:dyDescent="0.3">
      <c r="N42" s="74"/>
      <c r="O42" s="74"/>
    </row>
    <row r="43" spans="1:32" x14ac:dyDescent="0.3">
      <c r="N43" s="74"/>
      <c r="O43" s="74"/>
    </row>
  </sheetData>
  <sheetProtection sheet="1" selectLockedCells="1"/>
  <conditionalFormatting sqref="AA30:AB30 AD30:AF30">
    <cfRule type="cellIs" dxfId="152" priority="14" operator="greaterThan">
      <formula>1</formula>
    </cfRule>
    <cfRule type="cellIs" dxfId="151" priority="15" operator="greaterThan">
      <formula>1</formula>
    </cfRule>
  </conditionalFormatting>
  <conditionalFormatting sqref="AC30">
    <cfRule type="cellIs" dxfId="150" priority="10" operator="greaterThan">
      <formula>1</formula>
    </cfRule>
    <cfRule type="cellIs" dxfId="149" priority="11" operator="greaterThan">
      <formula>1</formula>
    </cfRule>
  </conditionalFormatting>
  <conditionalFormatting sqref="AG30">
    <cfRule type="cellIs" dxfId="148" priority="8" operator="greaterThan">
      <formula>1</formula>
    </cfRule>
    <cfRule type="cellIs" dxfId="147" priority="9" operator="greaterThan">
      <formula>1</formula>
    </cfRule>
  </conditionalFormatting>
  <conditionalFormatting sqref="W30">
    <cfRule type="cellIs" dxfId="146" priority="2" operator="greaterThan">
      <formula>1</formula>
    </cfRule>
    <cfRule type="cellIs" dxfId="145" priority="3" operator="greaterThan">
      <formula>1</formula>
    </cfRule>
  </conditionalFormatting>
  <conditionalFormatting sqref="D41:J41">
    <cfRule type="cellIs" dxfId="144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FFC87D"/>
  </sheetPr>
  <dimension ref="A1:AC66"/>
  <sheetViews>
    <sheetView showGridLines="0" zoomScale="85" zoomScaleNormal="85" workbookViewId="0">
      <selection activeCell="A2" sqref="A2"/>
    </sheetView>
  </sheetViews>
  <sheetFormatPr defaultColWidth="8.6640625" defaultRowHeight="13.8" x14ac:dyDescent="0.3"/>
  <cols>
    <col min="1" max="1" width="6.44140625" style="141" bestFit="1" customWidth="1"/>
    <col min="2" max="2" width="22.109375" style="170" bestFit="1" customWidth="1"/>
    <col min="3" max="3" width="10" style="170" bestFit="1" customWidth="1"/>
    <col min="4" max="4" width="6.6640625" style="142" bestFit="1" customWidth="1"/>
    <col min="5" max="5" width="8.6640625" style="142" bestFit="1" customWidth="1"/>
    <col min="6" max="6" width="6.44140625" style="142" bestFit="1" customWidth="1"/>
    <col min="7" max="7" width="10.33203125" style="142" bestFit="1" customWidth="1"/>
    <col min="8" max="8" width="10.6640625" style="166" bestFit="1" customWidth="1"/>
    <col min="9" max="9" width="10.5546875" style="142" bestFit="1" customWidth="1"/>
    <col min="10" max="10" width="9" style="142" bestFit="1" customWidth="1"/>
    <col min="11" max="11" width="9.6640625" style="142" bestFit="1" customWidth="1"/>
    <col min="12" max="14" width="9.5546875" style="142" bestFit="1" customWidth="1"/>
    <col min="15" max="17" width="10.5546875" style="142" bestFit="1" customWidth="1"/>
    <col min="18" max="18" width="9.5546875" style="142" bestFit="1" customWidth="1"/>
    <col min="19" max="19" width="9.33203125" style="141" bestFit="1" customWidth="1"/>
    <col min="20" max="16384" width="8.6640625" style="141"/>
  </cols>
  <sheetData>
    <row r="1" spans="1:29" s="176" customFormat="1" ht="27.6" x14ac:dyDescent="0.3">
      <c r="A1" s="171" t="s">
        <v>508</v>
      </c>
      <c r="B1" s="172" t="s">
        <v>256</v>
      </c>
      <c r="C1" s="172" t="s">
        <v>837</v>
      </c>
      <c r="D1" s="173" t="s">
        <v>174</v>
      </c>
      <c r="E1" s="174" t="s">
        <v>375</v>
      </c>
      <c r="F1" s="174" t="s">
        <v>2</v>
      </c>
      <c r="G1" s="174" t="s">
        <v>423</v>
      </c>
      <c r="H1" s="174" t="s">
        <v>422</v>
      </c>
      <c r="I1" s="175" t="s">
        <v>376</v>
      </c>
      <c r="J1" s="174" t="s">
        <v>377</v>
      </c>
      <c r="K1" s="174" t="s">
        <v>420</v>
      </c>
      <c r="L1" s="174" t="s">
        <v>437</v>
      </c>
      <c r="M1" s="174" t="s">
        <v>438</v>
      </c>
      <c r="N1" s="174" t="s">
        <v>439</v>
      </c>
      <c r="O1" s="174" t="s">
        <v>440</v>
      </c>
      <c r="P1" s="174" t="s">
        <v>442</v>
      </c>
      <c r="Q1" s="174" t="s">
        <v>443</v>
      </c>
      <c r="R1" s="174" t="s">
        <v>441</v>
      </c>
      <c r="S1" s="174" t="s">
        <v>421</v>
      </c>
    </row>
    <row r="2" spans="1:29" x14ac:dyDescent="0.3">
      <c r="A2" s="142" t="s">
        <v>509</v>
      </c>
      <c r="B2" s="141" t="s">
        <v>378</v>
      </c>
      <c r="C2" s="141" t="s">
        <v>137</v>
      </c>
      <c r="D2" s="165">
        <v>13</v>
      </c>
      <c r="E2" s="142">
        <v>41.15</v>
      </c>
      <c r="F2" s="142">
        <v>14.45</v>
      </c>
      <c r="G2" s="142">
        <v>19.25</v>
      </c>
      <c r="H2" s="142">
        <v>12.437463126843657</v>
      </c>
      <c r="I2" s="166">
        <v>0.74318333333333331</v>
      </c>
      <c r="J2" s="142">
        <v>2.8</v>
      </c>
      <c r="K2" s="142">
        <v>22.280882352941177</v>
      </c>
      <c r="L2" s="142">
        <v>0.28124999999999994</v>
      </c>
      <c r="M2" s="142">
        <v>0.68958333333333321</v>
      </c>
      <c r="N2" s="142">
        <v>2.0062500000000001</v>
      </c>
      <c r="O2" s="142">
        <v>3.7072916666666664</v>
      </c>
      <c r="P2" s="142">
        <v>4.3895833333333334</v>
      </c>
      <c r="Q2" s="142">
        <v>3.4452378242187502</v>
      </c>
      <c r="R2" s="142">
        <v>2.5020833333333332</v>
      </c>
      <c r="S2" s="142">
        <v>342.57411764705881</v>
      </c>
      <c r="T2" s="142"/>
      <c r="U2" s="167"/>
      <c r="V2" s="168"/>
      <c r="W2" s="168"/>
      <c r="X2" s="168"/>
      <c r="Y2" s="168"/>
      <c r="Z2" s="168"/>
      <c r="AA2" s="168"/>
      <c r="AB2" s="168"/>
      <c r="AC2" s="169"/>
    </row>
    <row r="3" spans="1:29" x14ac:dyDescent="0.3">
      <c r="A3" s="142" t="s">
        <v>514</v>
      </c>
      <c r="B3" s="141" t="s">
        <v>379</v>
      </c>
      <c r="C3" s="141" t="s">
        <v>138</v>
      </c>
      <c r="D3" s="165">
        <v>14</v>
      </c>
      <c r="E3" s="142">
        <v>31.65</v>
      </c>
      <c r="F3" s="142">
        <v>13.25</v>
      </c>
      <c r="G3" s="142">
        <v>14.4</v>
      </c>
      <c r="H3" s="142">
        <v>8.8667256637168137</v>
      </c>
      <c r="I3" s="166">
        <v>0.40843333333333331</v>
      </c>
      <c r="J3" s="142">
        <v>2.65</v>
      </c>
      <c r="K3" s="142">
        <v>24.776470588235295</v>
      </c>
      <c r="L3" s="142">
        <v>0.28124999999999994</v>
      </c>
      <c r="M3" s="142">
        <v>0.68958333333333321</v>
      </c>
      <c r="N3" s="142">
        <v>2.0062500000000001</v>
      </c>
      <c r="O3" s="142">
        <v>3.7072916666666664</v>
      </c>
      <c r="P3" s="142">
        <v>4.322916666666667</v>
      </c>
      <c r="Q3" s="142">
        <v>3.4893474075520832</v>
      </c>
      <c r="R3" s="142">
        <v>2.5020833333333332</v>
      </c>
      <c r="S3" s="142">
        <v>349.0635294117647</v>
      </c>
      <c r="T3" s="142"/>
      <c r="U3" s="167"/>
      <c r="V3" s="168"/>
      <c r="W3" s="168"/>
      <c r="X3" s="168"/>
      <c r="Y3" s="168"/>
      <c r="Z3" s="168"/>
      <c r="AA3" s="168"/>
      <c r="AB3" s="168"/>
      <c r="AC3" s="169"/>
    </row>
    <row r="4" spans="1:29" x14ac:dyDescent="0.3">
      <c r="A4" s="142" t="s">
        <v>515</v>
      </c>
      <c r="B4" s="141" t="s">
        <v>380</v>
      </c>
      <c r="C4" s="141" t="s">
        <v>139</v>
      </c>
      <c r="D4" s="165">
        <v>10</v>
      </c>
      <c r="E4" s="142">
        <v>40.9</v>
      </c>
      <c r="F4" s="142">
        <v>15.4</v>
      </c>
      <c r="G4" s="142">
        <v>17.95</v>
      </c>
      <c r="H4" s="142">
        <v>10.643244837758111</v>
      </c>
      <c r="I4" s="166">
        <v>0.73775000000000002</v>
      </c>
      <c r="J4" s="142">
        <v>2.8</v>
      </c>
      <c r="K4" s="142">
        <v>20.441176470588236</v>
      </c>
      <c r="L4" s="142">
        <v>0.28124999999999994</v>
      </c>
      <c r="M4" s="142">
        <v>0.82291666666666663</v>
      </c>
      <c r="N4" s="142">
        <v>2.3395833333333331</v>
      </c>
      <c r="O4" s="142">
        <v>4.0406249999999995</v>
      </c>
      <c r="P4" s="142">
        <v>4.0562499999999995</v>
      </c>
      <c r="Q4" s="142">
        <v>3.1560140742187497</v>
      </c>
      <c r="R4" s="142">
        <v>2.3020833333333335</v>
      </c>
      <c r="S4" s="142">
        <v>333.97176470588232</v>
      </c>
      <c r="T4" s="142"/>
      <c r="U4" s="167"/>
      <c r="V4" s="168"/>
      <c r="W4" s="168"/>
      <c r="X4" s="168"/>
      <c r="Y4" s="168"/>
      <c r="Z4" s="168"/>
      <c r="AA4" s="168"/>
      <c r="AB4" s="168"/>
      <c r="AC4" s="169"/>
    </row>
    <row r="5" spans="1:29" x14ac:dyDescent="0.3">
      <c r="A5" s="142" t="s">
        <v>516</v>
      </c>
      <c r="B5" s="141" t="s">
        <v>381</v>
      </c>
      <c r="C5" s="141" t="s">
        <v>140</v>
      </c>
      <c r="D5" s="165">
        <v>7</v>
      </c>
      <c r="E5" s="142">
        <v>44.95</v>
      </c>
      <c r="F5" s="142">
        <v>18.05</v>
      </c>
      <c r="G5" s="142">
        <v>18.600000000000001</v>
      </c>
      <c r="H5" s="142">
        <v>10.940353982300884</v>
      </c>
      <c r="I5" s="166">
        <v>0.55000000000000004</v>
      </c>
      <c r="J5" s="142">
        <v>2.95</v>
      </c>
      <c r="K5" s="142">
        <v>19.588235294117649</v>
      </c>
      <c r="L5" s="142">
        <v>0.28124999999999994</v>
      </c>
      <c r="M5" s="142">
        <v>0.75624999999999998</v>
      </c>
      <c r="N5" s="142">
        <v>2.2062499999999998</v>
      </c>
      <c r="O5" s="142">
        <v>4.0406249999999995</v>
      </c>
      <c r="P5" s="142">
        <v>4.1229166666666659</v>
      </c>
      <c r="Q5" s="142">
        <v>3.2841145350030634</v>
      </c>
      <c r="R5" s="142">
        <v>2.3020833333333335</v>
      </c>
      <c r="S5" s="142">
        <v>319.82588235294116</v>
      </c>
      <c r="T5" s="142"/>
      <c r="U5" s="167"/>
      <c r="V5" s="168"/>
      <c r="W5" s="168"/>
      <c r="X5" s="168"/>
      <c r="Y5" s="168"/>
      <c r="Z5" s="168"/>
      <c r="AA5" s="168"/>
      <c r="AB5" s="168"/>
      <c r="AC5" s="169"/>
    </row>
    <row r="6" spans="1:29" x14ac:dyDescent="0.3">
      <c r="A6" s="142" t="s">
        <v>517</v>
      </c>
      <c r="B6" s="141" t="s">
        <v>382</v>
      </c>
      <c r="C6" s="141" t="s">
        <v>141</v>
      </c>
      <c r="D6" s="165">
        <v>13</v>
      </c>
      <c r="E6" s="142">
        <v>40.6</v>
      </c>
      <c r="F6" s="142">
        <v>13.7</v>
      </c>
      <c r="G6" s="142">
        <v>16</v>
      </c>
      <c r="H6" s="142">
        <v>9.6519174041297937</v>
      </c>
      <c r="I6" s="166">
        <v>0.57886666666666664</v>
      </c>
      <c r="J6" s="142">
        <v>2.7</v>
      </c>
      <c r="K6" s="142">
        <v>23.958823529411767</v>
      </c>
      <c r="L6" s="142">
        <v>0.14791666666666667</v>
      </c>
      <c r="M6" s="142">
        <v>0.62291666666666667</v>
      </c>
      <c r="N6" s="142">
        <v>1.9395833333333332</v>
      </c>
      <c r="O6" s="142">
        <v>3.5739583333333331</v>
      </c>
      <c r="P6" s="142">
        <v>4.5229166666666663</v>
      </c>
      <c r="Q6" s="142">
        <v>3.5813218879442399</v>
      </c>
      <c r="R6" s="142">
        <v>2.6354166666666665</v>
      </c>
      <c r="S6" s="142">
        <v>327.80235294117648</v>
      </c>
      <c r="T6" s="142"/>
      <c r="U6" s="167"/>
      <c r="V6" s="168"/>
      <c r="W6" s="168"/>
      <c r="X6" s="168"/>
      <c r="Y6" s="168"/>
      <c r="Z6" s="168"/>
      <c r="AA6" s="168"/>
      <c r="AB6" s="168"/>
      <c r="AC6" s="169"/>
    </row>
    <row r="7" spans="1:29" x14ac:dyDescent="0.3">
      <c r="A7" s="142" t="s">
        <v>510</v>
      </c>
      <c r="B7" s="141" t="s">
        <v>383</v>
      </c>
      <c r="C7" s="141" t="s">
        <v>142</v>
      </c>
      <c r="D7" s="165">
        <v>14</v>
      </c>
      <c r="E7" s="142">
        <v>41.25</v>
      </c>
      <c r="F7" s="142">
        <v>13.399999999999999</v>
      </c>
      <c r="G7" s="142">
        <v>17.149999999999999</v>
      </c>
      <c r="H7" s="142">
        <v>10.500648967551621</v>
      </c>
      <c r="I7" s="166">
        <v>0.74819999999999998</v>
      </c>
      <c r="J7" s="142">
        <v>2.75</v>
      </c>
      <c r="K7" s="142">
        <v>24.447058823529417</v>
      </c>
      <c r="L7" s="142">
        <v>0.28124999999999994</v>
      </c>
      <c r="M7" s="142">
        <v>0.68958333333333321</v>
      </c>
      <c r="N7" s="142">
        <v>2.0729166666666665</v>
      </c>
      <c r="O7" s="142">
        <v>3.7072916666666664</v>
      </c>
      <c r="P7" s="142">
        <v>4.2562500000000005</v>
      </c>
      <c r="Q7" s="142">
        <v>3.4893474075520832</v>
      </c>
      <c r="R7" s="142">
        <v>2.5020833333333332</v>
      </c>
      <c r="S7" s="142">
        <v>342.63529411764705</v>
      </c>
      <c r="T7" s="142"/>
      <c r="U7" s="167"/>
      <c r="V7" s="168"/>
      <c r="W7" s="168"/>
      <c r="X7" s="168"/>
      <c r="Y7" s="168"/>
      <c r="Z7" s="168"/>
      <c r="AA7" s="168"/>
      <c r="AB7" s="168"/>
      <c r="AC7" s="169"/>
    </row>
    <row r="8" spans="1:29" x14ac:dyDescent="0.3">
      <c r="A8" s="142" t="s">
        <v>512</v>
      </c>
      <c r="B8" s="141" t="s">
        <v>384</v>
      </c>
      <c r="C8" s="141" t="s">
        <v>144</v>
      </c>
      <c r="D8" s="165">
        <v>10</v>
      </c>
      <c r="E8" s="142">
        <v>41.5</v>
      </c>
      <c r="F8" s="142">
        <v>15</v>
      </c>
      <c r="G8" s="142">
        <v>17.2</v>
      </c>
      <c r="H8" s="142">
        <v>10.315811209439527</v>
      </c>
      <c r="I8" s="166">
        <v>0.57736666666666669</v>
      </c>
      <c r="J8" s="142">
        <v>2.8</v>
      </c>
      <c r="K8" s="142">
        <v>21.682352941176475</v>
      </c>
      <c r="L8" s="142">
        <v>0.14791666666666667</v>
      </c>
      <c r="M8" s="142">
        <v>0.48958333333333331</v>
      </c>
      <c r="N8" s="142">
        <v>1.8062499999999997</v>
      </c>
      <c r="O8" s="142">
        <v>3.4406249999999994</v>
      </c>
      <c r="P8" s="142">
        <v>4.7229166666666664</v>
      </c>
      <c r="Q8" s="142">
        <v>3.7051051183363968</v>
      </c>
      <c r="R8" s="142">
        <v>2.6354166666666665</v>
      </c>
      <c r="S8" s="142">
        <v>343.25647058823529</v>
      </c>
      <c r="T8" s="142"/>
      <c r="U8" s="167"/>
      <c r="V8" s="168"/>
      <c r="W8" s="168"/>
      <c r="X8" s="168"/>
      <c r="Y8" s="168"/>
      <c r="Z8" s="168"/>
      <c r="AA8" s="168"/>
      <c r="AB8" s="168"/>
      <c r="AC8" s="169"/>
    </row>
    <row r="9" spans="1:29" x14ac:dyDescent="0.3">
      <c r="A9" s="142" t="s">
        <v>511</v>
      </c>
      <c r="B9" s="141" t="s">
        <v>385</v>
      </c>
      <c r="C9" s="141" t="s">
        <v>145</v>
      </c>
      <c r="D9" s="165">
        <v>9</v>
      </c>
      <c r="E9" s="142">
        <v>41.5</v>
      </c>
      <c r="F9" s="142">
        <v>14.9</v>
      </c>
      <c r="G9" s="142">
        <v>17.3</v>
      </c>
      <c r="H9" s="142">
        <v>9.6461356932153386</v>
      </c>
      <c r="I9" s="166">
        <v>0.73911666666666664</v>
      </c>
      <c r="J9" s="142">
        <v>2.8</v>
      </c>
      <c r="K9" s="142">
        <v>21.723529411764705</v>
      </c>
      <c r="L9" s="142">
        <v>0.28124999999999994</v>
      </c>
      <c r="M9" s="142">
        <v>0.68958333333333321</v>
      </c>
      <c r="N9" s="142">
        <v>2.0729166666666665</v>
      </c>
      <c r="O9" s="142">
        <v>3.8406249999999993</v>
      </c>
      <c r="P9" s="142">
        <v>4.2562500000000005</v>
      </c>
      <c r="Q9" s="142">
        <v>3.4226807408854167</v>
      </c>
      <c r="R9" s="142">
        <v>2.4354166666666663</v>
      </c>
      <c r="S9" s="142">
        <v>323.44941176470593</v>
      </c>
      <c r="T9" s="142"/>
      <c r="U9" s="167"/>
      <c r="V9" s="168"/>
      <c r="W9" s="168"/>
      <c r="X9" s="168"/>
      <c r="Y9" s="168"/>
      <c r="Z9" s="168"/>
      <c r="AA9" s="168"/>
      <c r="AB9" s="168"/>
      <c r="AC9" s="169"/>
    </row>
    <row r="10" spans="1:29" x14ac:dyDescent="0.3">
      <c r="A10" s="142" t="s">
        <v>513</v>
      </c>
      <c r="B10" s="141" t="s">
        <v>386</v>
      </c>
      <c r="C10" s="141" t="s">
        <v>146</v>
      </c>
      <c r="D10" s="165">
        <v>9</v>
      </c>
      <c r="E10" s="142">
        <v>42.75</v>
      </c>
      <c r="F10" s="142">
        <v>15.7</v>
      </c>
      <c r="G10" s="142">
        <v>19.149999999999999</v>
      </c>
      <c r="H10" s="142">
        <v>11.307138643067844</v>
      </c>
      <c r="I10" s="166">
        <v>0.41346666666666665</v>
      </c>
      <c r="J10" s="142">
        <v>3</v>
      </c>
      <c r="K10" s="142">
        <v>22.017647058823531</v>
      </c>
      <c r="L10" s="142">
        <v>0.21458333333333332</v>
      </c>
      <c r="M10" s="142">
        <v>0.68958333333333321</v>
      </c>
      <c r="N10" s="142">
        <v>1.9395833333333332</v>
      </c>
      <c r="O10" s="142">
        <v>3.640625</v>
      </c>
      <c r="P10" s="142">
        <v>4.4562499999999998</v>
      </c>
      <c r="Q10" s="142">
        <v>3.486074088924632</v>
      </c>
      <c r="R10" s="142">
        <v>2.5687500000000001</v>
      </c>
      <c r="S10" s="142">
        <v>336.73411764705884</v>
      </c>
      <c r="T10" s="142"/>
      <c r="U10" s="167"/>
      <c r="V10" s="168"/>
      <c r="W10" s="168"/>
      <c r="X10" s="168"/>
      <c r="Y10" s="168"/>
      <c r="Z10" s="168"/>
      <c r="AA10" s="168"/>
      <c r="AB10" s="168"/>
      <c r="AC10" s="169"/>
    </row>
    <row r="11" spans="1:29" x14ac:dyDescent="0.3">
      <c r="A11" s="142" t="s">
        <v>518</v>
      </c>
      <c r="B11" s="141" t="s">
        <v>387</v>
      </c>
      <c r="C11" s="141" t="s">
        <v>147</v>
      </c>
      <c r="D11" s="165">
        <v>9</v>
      </c>
      <c r="E11" s="142">
        <v>40.65</v>
      </c>
      <c r="F11" s="142">
        <v>15.75</v>
      </c>
      <c r="G11" s="142">
        <v>16</v>
      </c>
      <c r="H11" s="142">
        <v>9.601917404129793</v>
      </c>
      <c r="I11" s="166">
        <v>0.58135000000000003</v>
      </c>
      <c r="J11" s="142">
        <v>2.8</v>
      </c>
      <c r="K11" s="142">
        <v>22.047058823529412</v>
      </c>
      <c r="L11" s="142">
        <v>0.28124999999999994</v>
      </c>
      <c r="M11" s="142">
        <v>0.68958333333333321</v>
      </c>
      <c r="N11" s="142">
        <v>2.0729166666666665</v>
      </c>
      <c r="O11" s="142">
        <v>3.7072916666666664</v>
      </c>
      <c r="P11" s="142">
        <v>4.3895833333333334</v>
      </c>
      <c r="Q11" s="142">
        <v>3.4226807408854167</v>
      </c>
      <c r="R11" s="142">
        <v>2.4354166666666663</v>
      </c>
      <c r="S11" s="142">
        <v>342.41411764705884</v>
      </c>
      <c r="T11" s="142"/>
      <c r="U11" s="167"/>
      <c r="V11" s="168"/>
      <c r="W11" s="168"/>
      <c r="X11" s="168"/>
      <c r="Y11" s="168"/>
      <c r="Z11" s="168"/>
      <c r="AA11" s="168"/>
      <c r="AB11" s="168"/>
      <c r="AC11" s="169"/>
    </row>
    <row r="12" spans="1:29" x14ac:dyDescent="0.3">
      <c r="A12" s="142" t="s">
        <v>519</v>
      </c>
      <c r="B12" s="141" t="s">
        <v>388</v>
      </c>
      <c r="C12" s="141" t="s">
        <v>148</v>
      </c>
      <c r="D12" s="165">
        <v>6</v>
      </c>
      <c r="E12" s="142">
        <v>37.049999999999997</v>
      </c>
      <c r="F12" s="142">
        <v>13.15</v>
      </c>
      <c r="G12" s="142">
        <v>15.9</v>
      </c>
      <c r="H12" s="142">
        <v>9.6215929203539829</v>
      </c>
      <c r="I12" s="166">
        <v>0.58801666666666663</v>
      </c>
      <c r="J12" s="142">
        <v>2.7</v>
      </c>
      <c r="K12" s="142">
        <v>25.835294117647059</v>
      </c>
      <c r="L12" s="142">
        <v>0.14791666666666667</v>
      </c>
      <c r="M12" s="142">
        <v>0.48958333333333331</v>
      </c>
      <c r="N12" s="142">
        <v>1.6729166666666666</v>
      </c>
      <c r="O12" s="142">
        <v>3.2406249999999996</v>
      </c>
      <c r="P12" s="142">
        <v>4.8562499999999993</v>
      </c>
      <c r="Q12" s="142">
        <v>3.8152533732383578</v>
      </c>
      <c r="R12" s="142">
        <v>2.8354166666666667</v>
      </c>
      <c r="S12" s="142">
        <v>357.42117647058825</v>
      </c>
      <c r="T12" s="142"/>
      <c r="U12" s="167"/>
      <c r="V12" s="168"/>
      <c r="W12" s="168"/>
      <c r="X12" s="168"/>
      <c r="Y12" s="168"/>
      <c r="Z12" s="168"/>
      <c r="AA12" s="168"/>
      <c r="AB12" s="168"/>
      <c r="AC12" s="169"/>
    </row>
    <row r="13" spans="1:29" x14ac:dyDescent="0.3">
      <c r="A13" s="142" t="s">
        <v>520</v>
      </c>
      <c r="B13" s="141" t="s">
        <v>389</v>
      </c>
      <c r="C13" s="141" t="s">
        <v>149</v>
      </c>
      <c r="D13" s="165">
        <v>14</v>
      </c>
      <c r="E13" s="142">
        <v>42.8</v>
      </c>
      <c r="F13" s="142">
        <v>15.600000000000001</v>
      </c>
      <c r="G13" s="142">
        <v>17.100000000000001</v>
      </c>
      <c r="H13" s="142">
        <v>10.185486725663717</v>
      </c>
      <c r="I13" s="166">
        <v>0.56746666666666667</v>
      </c>
      <c r="J13" s="142">
        <v>2.8</v>
      </c>
      <c r="K13" s="142">
        <v>20.035294117647059</v>
      </c>
      <c r="L13" s="142">
        <v>0.28124999999999994</v>
      </c>
      <c r="M13" s="142">
        <v>0.68958333333333321</v>
      </c>
      <c r="N13" s="142">
        <v>2.0729166666666665</v>
      </c>
      <c r="O13" s="142">
        <v>3.7739583333333329</v>
      </c>
      <c r="P13" s="142">
        <v>4.322916666666667</v>
      </c>
      <c r="Q13" s="142">
        <v>3.4226807408854167</v>
      </c>
      <c r="R13" s="142">
        <v>2.4354166666666663</v>
      </c>
      <c r="S13" s="142">
        <v>331.38823529411769</v>
      </c>
      <c r="T13" s="142"/>
      <c r="U13" s="167"/>
      <c r="V13" s="168"/>
      <c r="W13" s="168"/>
      <c r="X13" s="168"/>
      <c r="Y13" s="168"/>
      <c r="Z13" s="168"/>
      <c r="AA13" s="168"/>
      <c r="AB13" s="168"/>
      <c r="AC13" s="169"/>
    </row>
    <row r="14" spans="1:29" x14ac:dyDescent="0.3">
      <c r="A14" s="142" t="s">
        <v>521</v>
      </c>
      <c r="B14" s="141" t="s">
        <v>390</v>
      </c>
      <c r="C14" s="141" t="s">
        <v>150</v>
      </c>
      <c r="D14" s="165">
        <v>6</v>
      </c>
      <c r="E14" s="142">
        <v>37.1</v>
      </c>
      <c r="F14" s="142">
        <v>13</v>
      </c>
      <c r="G14" s="142">
        <v>16.649999999999999</v>
      </c>
      <c r="H14" s="142">
        <v>10.149026548672566</v>
      </c>
      <c r="I14" s="166">
        <v>0.41959999999999997</v>
      </c>
      <c r="J14" s="142">
        <v>2.8</v>
      </c>
      <c r="K14" s="142">
        <v>25.36470588235294</v>
      </c>
      <c r="L14" s="142">
        <v>0.14791666666666667</v>
      </c>
      <c r="M14" s="142">
        <v>0.42291666666666661</v>
      </c>
      <c r="N14" s="142">
        <v>1.6729166666666666</v>
      </c>
      <c r="O14" s="142">
        <v>3.2406249999999996</v>
      </c>
      <c r="P14" s="142">
        <v>4.9229166666666666</v>
      </c>
      <c r="Q14" s="142">
        <v>3.8226807408854167</v>
      </c>
      <c r="R14" s="142">
        <v>2.7687499999999994</v>
      </c>
      <c r="S14" s="142">
        <v>364.20705882352939</v>
      </c>
      <c r="T14" s="142"/>
      <c r="U14" s="167"/>
      <c r="V14" s="168"/>
      <c r="W14" s="168"/>
      <c r="X14" s="168"/>
      <c r="Y14" s="168"/>
      <c r="Z14" s="168"/>
      <c r="AA14" s="168"/>
      <c r="AB14" s="168"/>
      <c r="AC14" s="169"/>
    </row>
    <row r="15" spans="1:29" x14ac:dyDescent="0.3">
      <c r="A15" s="142" t="s">
        <v>522</v>
      </c>
      <c r="B15" s="141" t="s">
        <v>391</v>
      </c>
      <c r="C15" s="141" t="s">
        <v>151</v>
      </c>
      <c r="D15" s="165">
        <v>14</v>
      </c>
      <c r="E15" s="142">
        <v>37.549999999999997</v>
      </c>
      <c r="F15" s="142">
        <v>16</v>
      </c>
      <c r="G15" s="142">
        <v>19.05</v>
      </c>
      <c r="H15" s="142">
        <v>12.026814159292034</v>
      </c>
      <c r="I15" s="166">
        <v>0.74041666666666672</v>
      </c>
      <c r="J15" s="142">
        <v>2.95</v>
      </c>
      <c r="K15" s="142">
        <v>20.517647058823531</v>
      </c>
      <c r="L15" s="142">
        <v>0.28124999999999994</v>
      </c>
      <c r="M15" s="142">
        <v>0.68958333333333321</v>
      </c>
      <c r="N15" s="142">
        <v>2.0729166666666665</v>
      </c>
      <c r="O15" s="142">
        <v>3.8406249999999993</v>
      </c>
      <c r="P15" s="142">
        <v>4.2562500000000005</v>
      </c>
      <c r="Q15" s="142">
        <v>3.4226807408854167</v>
      </c>
      <c r="R15" s="142">
        <v>2.4354166666666663</v>
      </c>
      <c r="S15" s="142">
        <v>334.89411764705881</v>
      </c>
      <c r="T15" s="142"/>
      <c r="U15" s="167"/>
      <c r="V15" s="168"/>
      <c r="W15" s="168"/>
      <c r="X15" s="168"/>
      <c r="Y15" s="168"/>
      <c r="Z15" s="168"/>
      <c r="AA15" s="168"/>
      <c r="AB15" s="168"/>
      <c r="AC15" s="169"/>
    </row>
    <row r="16" spans="1:29" x14ac:dyDescent="0.3">
      <c r="A16" s="142" t="s">
        <v>523</v>
      </c>
      <c r="B16" s="141" t="s">
        <v>392</v>
      </c>
      <c r="C16" s="141" t="s">
        <v>170</v>
      </c>
      <c r="D16" s="165">
        <v>11</v>
      </c>
      <c r="E16" s="142">
        <v>35.400000000000006</v>
      </c>
      <c r="F16" s="142">
        <v>11.9</v>
      </c>
      <c r="G16" s="142">
        <v>13.4</v>
      </c>
      <c r="H16" s="142">
        <v>7.8134808259587016</v>
      </c>
      <c r="I16" s="166">
        <v>0.57813333333333339</v>
      </c>
      <c r="J16" s="142">
        <v>2.7</v>
      </c>
      <c r="K16" s="142">
        <v>24.894117647058824</v>
      </c>
      <c r="L16" s="142">
        <v>0.14791666666666667</v>
      </c>
      <c r="M16" s="142">
        <v>0.55625000000000002</v>
      </c>
      <c r="N16" s="142">
        <v>1.7395833333333333</v>
      </c>
      <c r="O16" s="142">
        <v>3.4406249999999994</v>
      </c>
      <c r="P16" s="142">
        <v>4.7229166666666664</v>
      </c>
      <c r="Q16" s="142">
        <v>3.6836394320618875</v>
      </c>
      <c r="R16" s="142">
        <v>2.7020833333333329</v>
      </c>
      <c r="S16" s="142">
        <v>349.77882352941174</v>
      </c>
      <c r="T16" s="142"/>
      <c r="U16" s="167"/>
      <c r="V16" s="168"/>
      <c r="W16" s="168"/>
      <c r="X16" s="168"/>
      <c r="Y16" s="168"/>
      <c r="Z16" s="168"/>
      <c r="AA16" s="168"/>
      <c r="AB16" s="168"/>
      <c r="AC16" s="169"/>
    </row>
    <row r="17" spans="1:29" x14ac:dyDescent="0.3">
      <c r="A17" s="142" t="s">
        <v>524</v>
      </c>
      <c r="B17" s="141" t="s">
        <v>393</v>
      </c>
      <c r="C17" s="141" t="s">
        <v>153</v>
      </c>
      <c r="D17" s="165">
        <v>8</v>
      </c>
      <c r="E17" s="142">
        <v>38</v>
      </c>
      <c r="F17" s="142">
        <v>14.25</v>
      </c>
      <c r="G17" s="142">
        <v>17.95</v>
      </c>
      <c r="H17" s="142">
        <v>11.743244837758112</v>
      </c>
      <c r="I17" s="166">
        <v>0.56428333333333336</v>
      </c>
      <c r="J17" s="142">
        <v>2.8499999999999996</v>
      </c>
      <c r="K17" s="142">
        <v>23.13529411764706</v>
      </c>
      <c r="L17" s="142">
        <v>0.28124999999999994</v>
      </c>
      <c r="M17" s="142">
        <v>0.68958333333333321</v>
      </c>
      <c r="N17" s="142">
        <v>2.1395833333333334</v>
      </c>
      <c r="O17" s="142">
        <v>3.9072916666666662</v>
      </c>
      <c r="P17" s="142">
        <v>4.1895833333333323</v>
      </c>
      <c r="Q17" s="142">
        <v>3.3443004810814951</v>
      </c>
      <c r="R17" s="142">
        <v>2.4354166666666663</v>
      </c>
      <c r="S17" s="142">
        <v>355.95294117647057</v>
      </c>
      <c r="T17" s="142"/>
      <c r="U17" s="167"/>
      <c r="V17" s="168"/>
      <c r="W17" s="168"/>
      <c r="X17" s="168"/>
      <c r="Y17" s="168"/>
      <c r="Z17" s="168"/>
      <c r="AA17" s="168"/>
      <c r="AB17" s="168"/>
      <c r="AC17" s="169"/>
    </row>
    <row r="18" spans="1:29" x14ac:dyDescent="0.3">
      <c r="A18" s="142" t="s">
        <v>525</v>
      </c>
      <c r="B18" s="141" t="s">
        <v>394</v>
      </c>
      <c r="C18" s="141" t="s">
        <v>239</v>
      </c>
      <c r="D18" s="165">
        <v>6</v>
      </c>
      <c r="E18" s="142">
        <v>37.549999999999997</v>
      </c>
      <c r="F18" s="142">
        <v>12.8</v>
      </c>
      <c r="G18" s="142">
        <v>15.95</v>
      </c>
      <c r="H18" s="142">
        <v>9.8867551622418866</v>
      </c>
      <c r="I18" s="166">
        <v>0.4073</v>
      </c>
      <c r="J18" s="142">
        <v>2.5999999999999996</v>
      </c>
      <c r="K18" s="142">
        <v>24.358823529411769</v>
      </c>
      <c r="L18" s="142">
        <v>0.14791666666666667</v>
      </c>
      <c r="M18" s="142">
        <v>0.48958333333333331</v>
      </c>
      <c r="N18" s="142">
        <v>1.7395833333333333</v>
      </c>
      <c r="O18" s="142">
        <v>3.4406249999999994</v>
      </c>
      <c r="P18" s="142">
        <v>4.7229166666666664</v>
      </c>
      <c r="Q18" s="142">
        <v>3.7276118193167886</v>
      </c>
      <c r="R18" s="142">
        <v>2.7020833333333329</v>
      </c>
      <c r="S18" s="142">
        <v>332.85176470588237</v>
      </c>
      <c r="T18" s="142"/>
      <c r="U18" s="167"/>
      <c r="V18" s="168"/>
      <c r="W18" s="168"/>
      <c r="X18" s="168"/>
      <c r="Y18" s="168"/>
      <c r="Z18" s="168"/>
      <c r="AA18" s="168"/>
      <c r="AB18" s="168"/>
      <c r="AC18" s="169"/>
    </row>
    <row r="19" spans="1:29" x14ac:dyDescent="0.3">
      <c r="A19" s="142" t="s">
        <v>526</v>
      </c>
      <c r="B19" s="141" t="s">
        <v>395</v>
      </c>
      <c r="C19" s="141" t="s">
        <v>154</v>
      </c>
      <c r="D19" s="165">
        <v>8</v>
      </c>
      <c r="E19" s="142">
        <v>41.75</v>
      </c>
      <c r="F19" s="142">
        <v>15.850000000000001</v>
      </c>
      <c r="G19" s="142">
        <v>18.95</v>
      </c>
      <c r="H19" s="142">
        <v>11.746489675516223</v>
      </c>
      <c r="I19" s="166">
        <v>0.57750000000000001</v>
      </c>
      <c r="J19" s="142">
        <v>2.9</v>
      </c>
      <c r="K19" s="142">
        <v>23.24117647058824</v>
      </c>
      <c r="L19" s="142">
        <v>0.28124999999999994</v>
      </c>
      <c r="M19" s="142">
        <v>0.68958333333333321</v>
      </c>
      <c r="N19" s="142">
        <v>2.0729166666666665</v>
      </c>
      <c r="O19" s="142">
        <v>3.7072916666666664</v>
      </c>
      <c r="P19" s="142">
        <v>4.322916666666667</v>
      </c>
      <c r="Q19" s="142">
        <v>3.4588283046109072</v>
      </c>
      <c r="R19" s="142">
        <v>2.4354166666666663</v>
      </c>
      <c r="S19" s="142">
        <v>341.90117647058821</v>
      </c>
      <c r="T19" s="142"/>
      <c r="U19" s="167"/>
      <c r="V19" s="168"/>
      <c r="W19" s="168"/>
      <c r="X19" s="168"/>
      <c r="Y19" s="168"/>
      <c r="Z19" s="168"/>
      <c r="AA19" s="168"/>
      <c r="AB19" s="168"/>
      <c r="AC19" s="169"/>
    </row>
    <row r="20" spans="1:29" x14ac:dyDescent="0.3">
      <c r="A20" s="142" t="s">
        <v>527</v>
      </c>
      <c r="B20" s="141" t="s">
        <v>396</v>
      </c>
      <c r="C20" s="141" t="s">
        <v>155</v>
      </c>
      <c r="D20" s="165">
        <v>7</v>
      </c>
      <c r="E20" s="142">
        <v>42.55</v>
      </c>
      <c r="F20" s="142">
        <v>14.8</v>
      </c>
      <c r="G20" s="142">
        <v>16.3</v>
      </c>
      <c r="H20" s="142">
        <v>9.492890855457226</v>
      </c>
      <c r="I20" s="166">
        <v>0.7406166666666667</v>
      </c>
      <c r="J20" s="142">
        <v>2.8</v>
      </c>
      <c r="K20" s="142">
        <v>21.117647058823529</v>
      </c>
      <c r="L20" s="142">
        <v>0.28124999999999994</v>
      </c>
      <c r="M20" s="142">
        <v>0.75624999999999998</v>
      </c>
      <c r="N20" s="142">
        <v>2.2062499999999998</v>
      </c>
      <c r="O20" s="142">
        <v>3.9739583333333326</v>
      </c>
      <c r="P20" s="142">
        <v>4.1229166666666659</v>
      </c>
      <c r="Q20" s="142">
        <v>3.2848204859834556</v>
      </c>
      <c r="R20" s="142">
        <v>2.3687499999999999</v>
      </c>
      <c r="S20" s="142">
        <v>326.13176470588235</v>
      </c>
      <c r="T20" s="142"/>
      <c r="U20" s="167"/>
      <c r="V20" s="168"/>
      <c r="W20" s="168"/>
      <c r="X20" s="168"/>
      <c r="Y20" s="168"/>
      <c r="Z20" s="168"/>
      <c r="AA20" s="168"/>
      <c r="AB20" s="168"/>
      <c r="AC20" s="169"/>
    </row>
    <row r="21" spans="1:29" x14ac:dyDescent="0.3">
      <c r="A21" s="142" t="s">
        <v>528</v>
      </c>
      <c r="B21" s="141" t="s">
        <v>397</v>
      </c>
      <c r="C21" s="141" t="s">
        <v>156</v>
      </c>
      <c r="D21" s="165">
        <v>11</v>
      </c>
      <c r="E21" s="142">
        <v>42.150000000000006</v>
      </c>
      <c r="F21" s="142">
        <v>15.25</v>
      </c>
      <c r="G21" s="142">
        <v>18.5</v>
      </c>
      <c r="H21" s="142">
        <v>11.160029498525073</v>
      </c>
      <c r="I21" s="166">
        <v>0.74629999999999996</v>
      </c>
      <c r="J21" s="142">
        <v>2.8</v>
      </c>
      <c r="K21" s="142">
        <v>22.335294117647059</v>
      </c>
      <c r="L21" s="142">
        <v>0.28124999999999994</v>
      </c>
      <c r="M21" s="142">
        <v>0.68958333333333321</v>
      </c>
      <c r="N21" s="142">
        <v>2.0062500000000001</v>
      </c>
      <c r="O21" s="142">
        <v>3.7072916666666664</v>
      </c>
      <c r="P21" s="142">
        <v>4.322916666666667</v>
      </c>
      <c r="Q21" s="142">
        <v>3.4893474075520832</v>
      </c>
      <c r="R21" s="142">
        <v>2.5020833333333332</v>
      </c>
      <c r="S21" s="142">
        <v>330.78588235294114</v>
      </c>
      <c r="T21" s="142"/>
      <c r="U21" s="167"/>
      <c r="V21" s="168"/>
      <c r="W21" s="168"/>
      <c r="X21" s="168"/>
      <c r="Y21" s="168"/>
      <c r="Z21" s="168"/>
      <c r="AA21" s="168"/>
      <c r="AB21" s="168"/>
      <c r="AC21" s="169"/>
    </row>
    <row r="22" spans="1:29" x14ac:dyDescent="0.3">
      <c r="A22" s="142" t="s">
        <v>529</v>
      </c>
      <c r="B22" s="141" t="s">
        <v>398</v>
      </c>
      <c r="C22" s="141" t="s">
        <v>157</v>
      </c>
      <c r="D22" s="165">
        <v>7</v>
      </c>
      <c r="E22" s="142">
        <v>44.150000000000006</v>
      </c>
      <c r="F22" s="142">
        <v>14.7</v>
      </c>
      <c r="G22" s="142">
        <v>17.2</v>
      </c>
      <c r="H22" s="142">
        <v>10.265811209439526</v>
      </c>
      <c r="I22" s="166">
        <v>0.5</v>
      </c>
      <c r="J22" s="142">
        <v>3</v>
      </c>
      <c r="K22" s="142">
        <v>23.099999999999998</v>
      </c>
      <c r="L22" s="142">
        <v>0.21458333333333332</v>
      </c>
      <c r="M22" s="142">
        <v>0.62291666666666667</v>
      </c>
      <c r="N22" s="142">
        <v>1.9395833333333332</v>
      </c>
      <c r="O22" s="142">
        <v>3.640625</v>
      </c>
      <c r="P22" s="142">
        <v>4.4562499999999998</v>
      </c>
      <c r="Q22" s="142">
        <v>3.537349927159926</v>
      </c>
      <c r="R22" s="142">
        <v>2.5687500000000001</v>
      </c>
      <c r="S22" s="142">
        <v>342.22117647058826</v>
      </c>
      <c r="T22" s="142"/>
      <c r="U22" s="167"/>
      <c r="V22" s="168"/>
      <c r="W22" s="168"/>
      <c r="X22" s="168"/>
      <c r="Y22" s="168"/>
      <c r="Z22" s="168"/>
      <c r="AA22" s="168"/>
      <c r="AB22" s="168"/>
      <c r="AC22" s="169"/>
    </row>
    <row r="23" spans="1:29" x14ac:dyDescent="0.3">
      <c r="A23" s="142" t="s">
        <v>530</v>
      </c>
      <c r="B23" s="141" t="s">
        <v>399</v>
      </c>
      <c r="C23" s="141" t="s">
        <v>158</v>
      </c>
      <c r="D23" s="165">
        <v>10</v>
      </c>
      <c r="E23" s="142">
        <v>38.049999999999997</v>
      </c>
      <c r="F23" s="142">
        <v>14.7</v>
      </c>
      <c r="G23" s="142">
        <v>15.65</v>
      </c>
      <c r="H23" s="142">
        <v>9.2957817109144543</v>
      </c>
      <c r="I23" s="166">
        <v>0.57743333333333335</v>
      </c>
      <c r="J23" s="142">
        <v>2.75</v>
      </c>
      <c r="K23" s="142">
        <v>22.658823529411762</v>
      </c>
      <c r="L23" s="142">
        <v>0.28124999999999994</v>
      </c>
      <c r="M23" s="142">
        <v>0.68958333333333321</v>
      </c>
      <c r="N23" s="142">
        <v>2.1395833333333334</v>
      </c>
      <c r="O23" s="142">
        <v>3.8406249999999993</v>
      </c>
      <c r="P23" s="142">
        <v>4.1895833333333323</v>
      </c>
      <c r="Q23" s="142">
        <v>3.4226807408854167</v>
      </c>
      <c r="R23" s="142">
        <v>2.4354166666666663</v>
      </c>
      <c r="S23" s="142">
        <v>345.81647058823529</v>
      </c>
      <c r="T23" s="142"/>
      <c r="U23" s="167"/>
      <c r="V23" s="168"/>
      <c r="W23" s="168"/>
      <c r="X23" s="168"/>
      <c r="Y23" s="168"/>
      <c r="Z23" s="168"/>
      <c r="AA23" s="168"/>
      <c r="AB23" s="168"/>
      <c r="AC23" s="169"/>
    </row>
    <row r="24" spans="1:29" x14ac:dyDescent="0.3">
      <c r="A24" s="142" t="s">
        <v>531</v>
      </c>
      <c r="B24" s="141" t="s">
        <v>400</v>
      </c>
      <c r="C24" s="141" t="s">
        <v>159</v>
      </c>
      <c r="D24" s="165">
        <v>14</v>
      </c>
      <c r="E24" s="142">
        <v>42.25</v>
      </c>
      <c r="F24" s="142">
        <v>15.950000000000001</v>
      </c>
      <c r="G24" s="142">
        <v>17.850000000000001</v>
      </c>
      <c r="H24" s="142">
        <v>10.062920353982301</v>
      </c>
      <c r="I24" s="166">
        <v>0.5</v>
      </c>
      <c r="J24" s="142">
        <v>2.8</v>
      </c>
      <c r="K24" s="142">
        <v>19.323529411764707</v>
      </c>
      <c r="L24" s="142">
        <v>0.28124999999999994</v>
      </c>
      <c r="M24" s="142">
        <v>0.68958333333333321</v>
      </c>
      <c r="N24" s="142">
        <v>2.0062500000000001</v>
      </c>
      <c r="O24" s="142">
        <v>3.7072916666666664</v>
      </c>
      <c r="P24" s="142">
        <v>4.322916666666667</v>
      </c>
      <c r="Q24" s="142">
        <v>3.4893474075520832</v>
      </c>
      <c r="R24" s="142">
        <v>2.5020833333333332</v>
      </c>
      <c r="S24" s="142">
        <v>324.68235294117648</v>
      </c>
      <c r="T24" s="142"/>
      <c r="U24" s="167"/>
      <c r="V24" s="168"/>
      <c r="W24" s="168"/>
      <c r="X24" s="168"/>
      <c r="Y24" s="168"/>
      <c r="Z24" s="168"/>
      <c r="AA24" s="168"/>
      <c r="AB24" s="168"/>
      <c r="AC24" s="169"/>
    </row>
    <row r="25" spans="1:29" x14ac:dyDescent="0.3">
      <c r="A25" s="142" t="s">
        <v>532</v>
      </c>
      <c r="B25" s="141" t="s">
        <v>401</v>
      </c>
      <c r="C25" s="141" t="s">
        <v>160</v>
      </c>
      <c r="D25" s="165">
        <v>9</v>
      </c>
      <c r="E25" s="142">
        <v>36.849999999999994</v>
      </c>
      <c r="F25" s="142">
        <v>12.8</v>
      </c>
      <c r="G25" s="142">
        <v>14.3</v>
      </c>
      <c r="H25" s="142">
        <v>8.9864011799410033</v>
      </c>
      <c r="I25" s="166">
        <v>0.58213333333333339</v>
      </c>
      <c r="J25" s="142">
        <v>2.65</v>
      </c>
      <c r="K25" s="142">
        <v>22.505882352941182</v>
      </c>
      <c r="L25" s="142">
        <v>0.28124999999999994</v>
      </c>
      <c r="M25" s="142">
        <v>0.68958333333333321</v>
      </c>
      <c r="N25" s="142">
        <v>2.0062500000000001</v>
      </c>
      <c r="O25" s="142">
        <v>3.7739583333333329</v>
      </c>
      <c r="P25" s="142">
        <v>4.322916666666667</v>
      </c>
      <c r="Q25" s="142">
        <v>3.4038251134344359</v>
      </c>
      <c r="R25" s="142">
        <v>2.5020833333333332</v>
      </c>
      <c r="S25" s="142">
        <v>332.26823529411763</v>
      </c>
      <c r="T25" s="142"/>
      <c r="U25" s="167"/>
      <c r="V25" s="168"/>
      <c r="W25" s="168"/>
      <c r="X25" s="168"/>
      <c r="Y25" s="168"/>
      <c r="Z25" s="168"/>
      <c r="AA25" s="168"/>
      <c r="AB25" s="168"/>
      <c r="AC25" s="169"/>
    </row>
    <row r="26" spans="1:29" x14ac:dyDescent="0.3">
      <c r="A26" s="142" t="s">
        <v>533</v>
      </c>
      <c r="B26" s="141" t="s">
        <v>402</v>
      </c>
      <c r="C26" s="141" t="s">
        <v>161</v>
      </c>
      <c r="D26" s="165">
        <v>10</v>
      </c>
      <c r="E26" s="142">
        <v>35.450000000000003</v>
      </c>
      <c r="F26" s="142">
        <v>11.6</v>
      </c>
      <c r="G26" s="142">
        <v>15.2</v>
      </c>
      <c r="H26" s="142">
        <v>9.6093215339233033</v>
      </c>
      <c r="I26" s="166">
        <v>0.41225000000000001</v>
      </c>
      <c r="J26" s="142">
        <v>2.65</v>
      </c>
      <c r="K26" s="142">
        <v>25.664705882352941</v>
      </c>
      <c r="L26" s="142">
        <v>0.21458333333333332</v>
      </c>
      <c r="M26" s="142">
        <v>0.68958333333333321</v>
      </c>
      <c r="N26" s="142">
        <v>1.9395833333333332</v>
      </c>
      <c r="O26" s="142">
        <v>3.640625</v>
      </c>
      <c r="P26" s="142">
        <v>4.4562499999999998</v>
      </c>
      <c r="Q26" s="142">
        <v>3.4843443242187497</v>
      </c>
      <c r="R26" s="142">
        <v>2.5687500000000001</v>
      </c>
      <c r="S26" s="142">
        <v>346.05176470588236</v>
      </c>
      <c r="T26" s="142"/>
      <c r="U26" s="167"/>
      <c r="V26" s="168"/>
      <c r="W26" s="168"/>
      <c r="X26" s="168"/>
      <c r="Y26" s="168"/>
      <c r="Z26" s="168"/>
      <c r="AA26" s="168"/>
      <c r="AB26" s="168"/>
      <c r="AC26" s="169"/>
    </row>
    <row r="27" spans="1:29" x14ac:dyDescent="0.3">
      <c r="A27" s="142" t="s">
        <v>534</v>
      </c>
      <c r="B27" s="141" t="s">
        <v>403</v>
      </c>
      <c r="C27" s="141" t="s">
        <v>163</v>
      </c>
      <c r="D27" s="165">
        <v>7</v>
      </c>
      <c r="E27" s="142">
        <v>36.549999999999997</v>
      </c>
      <c r="F27" s="142">
        <v>12.6</v>
      </c>
      <c r="G27" s="142">
        <v>14.4</v>
      </c>
      <c r="H27" s="142">
        <v>8.8667256637168137</v>
      </c>
      <c r="I27" s="166">
        <v>0.64999999999999991</v>
      </c>
      <c r="J27" s="142">
        <v>2.65</v>
      </c>
      <c r="K27" s="142">
        <v>20.311764705882354</v>
      </c>
      <c r="L27" s="142">
        <v>0.14791666666666667</v>
      </c>
      <c r="M27" s="142">
        <v>0.62291666666666667</v>
      </c>
      <c r="N27" s="142">
        <v>1.9395833333333332</v>
      </c>
      <c r="O27" s="142">
        <v>3.640625</v>
      </c>
      <c r="P27" s="142">
        <v>4.5229166666666663</v>
      </c>
      <c r="Q27" s="142">
        <v>3.5422300301011025</v>
      </c>
      <c r="R27" s="142">
        <v>2.5687500000000001</v>
      </c>
      <c r="S27" s="142">
        <v>329.78823529411761</v>
      </c>
      <c r="T27" s="142"/>
      <c r="U27" s="167"/>
      <c r="V27" s="168"/>
      <c r="W27" s="168"/>
      <c r="X27" s="168"/>
      <c r="Y27" s="168"/>
      <c r="Z27" s="168"/>
      <c r="AA27" s="168"/>
      <c r="AB27" s="168"/>
      <c r="AC27" s="169"/>
    </row>
    <row r="28" spans="1:29" x14ac:dyDescent="0.3">
      <c r="A28" s="142" t="s">
        <v>535</v>
      </c>
      <c r="B28" s="141" t="s">
        <v>404</v>
      </c>
      <c r="C28" s="141" t="s">
        <v>164</v>
      </c>
      <c r="D28" s="165">
        <v>9</v>
      </c>
      <c r="E28" s="142">
        <v>46.85</v>
      </c>
      <c r="F28" s="142">
        <v>15.399999999999999</v>
      </c>
      <c r="G28" s="142">
        <v>19.55</v>
      </c>
      <c r="H28" s="142">
        <v>11.478436578171092</v>
      </c>
      <c r="I28" s="166">
        <v>0.74826666666666664</v>
      </c>
      <c r="J28" s="142">
        <v>2.8</v>
      </c>
      <c r="K28" s="142">
        <v>22.276470588235295</v>
      </c>
      <c r="L28" s="142">
        <v>0.28124999999999994</v>
      </c>
      <c r="M28" s="142">
        <v>0.75624999999999998</v>
      </c>
      <c r="N28" s="142">
        <v>2.2062499999999998</v>
      </c>
      <c r="O28" s="142">
        <v>3.9072916666666662</v>
      </c>
      <c r="P28" s="142">
        <v>4.1229166666666659</v>
      </c>
      <c r="Q28" s="142">
        <v>3.3560140742187499</v>
      </c>
      <c r="R28" s="142">
        <v>2.3687499999999999</v>
      </c>
      <c r="S28" s="142">
        <v>337.01647058823534</v>
      </c>
      <c r="T28" s="142"/>
      <c r="U28" s="167"/>
      <c r="V28" s="168"/>
      <c r="W28" s="168"/>
      <c r="X28" s="168"/>
      <c r="Y28" s="168"/>
      <c r="Z28" s="168"/>
      <c r="AA28" s="168"/>
      <c r="AB28" s="168"/>
      <c r="AC28" s="169"/>
    </row>
    <row r="29" spans="1:29" x14ac:dyDescent="0.3">
      <c r="A29" s="142" t="s">
        <v>536</v>
      </c>
      <c r="B29" s="141" t="s">
        <v>405</v>
      </c>
      <c r="C29" s="141" t="s">
        <v>166</v>
      </c>
      <c r="D29" s="165">
        <v>9</v>
      </c>
      <c r="E29" s="142">
        <v>45.6</v>
      </c>
      <c r="F29" s="142">
        <v>14.8</v>
      </c>
      <c r="G29" s="142">
        <v>18.5</v>
      </c>
      <c r="H29" s="142">
        <v>11.310029498525072</v>
      </c>
      <c r="I29" s="166">
        <v>0.57663333333333333</v>
      </c>
      <c r="J29" s="142">
        <v>2.75</v>
      </c>
      <c r="K29" s="142">
        <v>20.052941176470586</v>
      </c>
      <c r="L29" s="142">
        <v>0.28124999999999994</v>
      </c>
      <c r="M29" s="142">
        <v>0.75624999999999998</v>
      </c>
      <c r="N29" s="142">
        <v>2.1395833333333334</v>
      </c>
      <c r="O29" s="142">
        <v>3.9072916666666662</v>
      </c>
      <c r="P29" s="142">
        <v>4.1895833333333323</v>
      </c>
      <c r="Q29" s="142">
        <v>3.3111780742187502</v>
      </c>
      <c r="R29" s="142">
        <v>2.4354166666666663</v>
      </c>
      <c r="S29" s="142">
        <v>324.0564705882353</v>
      </c>
      <c r="T29" s="142"/>
      <c r="U29" s="167"/>
      <c r="V29" s="168"/>
      <c r="W29" s="168"/>
      <c r="X29" s="168"/>
      <c r="Y29" s="168"/>
      <c r="Z29" s="168"/>
      <c r="AA29" s="168"/>
      <c r="AB29" s="168"/>
      <c r="AC29" s="169"/>
    </row>
    <row r="30" spans="1:29" x14ac:dyDescent="0.3">
      <c r="A30" s="142" t="s">
        <v>537</v>
      </c>
      <c r="B30" s="141" t="s">
        <v>406</v>
      </c>
      <c r="C30" s="141" t="s">
        <v>165</v>
      </c>
      <c r="D30" s="165">
        <v>11</v>
      </c>
      <c r="E30" s="142">
        <v>32.200000000000003</v>
      </c>
      <c r="F30" s="142">
        <v>13.2</v>
      </c>
      <c r="G30" s="142">
        <v>13.899999999999999</v>
      </c>
      <c r="H30" s="142">
        <v>8.4651032448377563</v>
      </c>
      <c r="I30" s="166">
        <v>0.7</v>
      </c>
      <c r="J30" s="142">
        <v>2.65</v>
      </c>
      <c r="K30" s="142">
        <v>23.770588235294124</v>
      </c>
      <c r="L30" s="142">
        <v>0.28124999999999994</v>
      </c>
      <c r="M30" s="142">
        <v>0.68958333333333321</v>
      </c>
      <c r="N30" s="142">
        <v>2.0729166666666665</v>
      </c>
      <c r="O30" s="142">
        <v>3.7072916666666664</v>
      </c>
      <c r="P30" s="142">
        <v>4.322916666666667</v>
      </c>
      <c r="Q30" s="142">
        <v>3.4004430595128672</v>
      </c>
      <c r="R30" s="142">
        <v>2.5020833333333332</v>
      </c>
      <c r="S30" s="142">
        <v>348.51294117647058</v>
      </c>
      <c r="T30" s="142"/>
      <c r="U30" s="167"/>
      <c r="V30" s="168"/>
      <c r="W30" s="168"/>
      <c r="X30" s="168"/>
      <c r="Y30" s="168"/>
      <c r="Z30" s="168"/>
      <c r="AA30" s="168"/>
      <c r="AB30" s="168"/>
      <c r="AC30" s="169"/>
    </row>
    <row r="31" spans="1:29" x14ac:dyDescent="0.3">
      <c r="A31" s="142" t="s">
        <v>538</v>
      </c>
      <c r="B31" s="141" t="s">
        <v>407</v>
      </c>
      <c r="C31" s="141" t="s">
        <v>167</v>
      </c>
      <c r="D31" s="165">
        <v>11</v>
      </c>
      <c r="E31" s="142">
        <v>42.2</v>
      </c>
      <c r="F31" s="142">
        <v>15.649999999999999</v>
      </c>
      <c r="G31" s="142">
        <v>20.3</v>
      </c>
      <c r="H31" s="142">
        <v>12.955870206489674</v>
      </c>
      <c r="I31" s="166">
        <v>0.56620000000000004</v>
      </c>
      <c r="J31" s="142">
        <v>2.8</v>
      </c>
      <c r="K31" s="142">
        <v>21.076470588235296</v>
      </c>
      <c r="L31" s="142">
        <v>0.28124999999999994</v>
      </c>
      <c r="M31" s="142">
        <v>0.75624999999999998</v>
      </c>
      <c r="N31" s="142">
        <v>2.2729166666666667</v>
      </c>
      <c r="O31" s="142">
        <v>4.1072916666666659</v>
      </c>
      <c r="P31" s="142">
        <v>4.0562499999999995</v>
      </c>
      <c r="Q31" s="142">
        <v>3.222680740885417</v>
      </c>
      <c r="R31" s="142">
        <v>2.3020833333333335</v>
      </c>
      <c r="S31" s="142">
        <v>328.01411764705881</v>
      </c>
      <c r="T31" s="142"/>
      <c r="U31" s="167"/>
      <c r="V31" s="168"/>
      <c r="W31" s="168"/>
      <c r="X31" s="168"/>
      <c r="Y31" s="168"/>
      <c r="Z31" s="168"/>
      <c r="AA31" s="168"/>
      <c r="AB31" s="168"/>
      <c r="AC31" s="169"/>
    </row>
    <row r="32" spans="1:29" x14ac:dyDescent="0.3">
      <c r="A32" s="142" t="s">
        <v>539</v>
      </c>
      <c r="B32" s="141" t="s">
        <v>408</v>
      </c>
      <c r="C32" s="141" t="s">
        <v>168</v>
      </c>
      <c r="D32" s="165">
        <v>6</v>
      </c>
      <c r="E32" s="142">
        <v>41.65</v>
      </c>
      <c r="F32" s="142">
        <v>13.9</v>
      </c>
      <c r="G32" s="142">
        <v>15.5</v>
      </c>
      <c r="H32" s="142">
        <v>9.1502949852507385</v>
      </c>
      <c r="I32" s="166">
        <v>0.64999999999999991</v>
      </c>
      <c r="J32" s="142">
        <v>2.7</v>
      </c>
      <c r="K32" s="142">
        <v>23.064705882352946</v>
      </c>
      <c r="L32" s="142">
        <v>0.21458333333333332</v>
      </c>
      <c r="M32" s="142">
        <v>0.68958333333333321</v>
      </c>
      <c r="N32" s="142">
        <v>1.9395833333333332</v>
      </c>
      <c r="O32" s="142">
        <v>3.640625</v>
      </c>
      <c r="P32" s="142">
        <v>4.4562499999999998</v>
      </c>
      <c r="Q32" s="142">
        <v>3.4974762065716916</v>
      </c>
      <c r="R32" s="142">
        <v>2.5687500000000001</v>
      </c>
      <c r="S32" s="142">
        <v>337.26588235294116</v>
      </c>
      <c r="T32" s="142"/>
      <c r="U32" s="167"/>
      <c r="V32" s="168"/>
      <c r="W32" s="168"/>
      <c r="X32" s="168"/>
      <c r="Y32" s="168"/>
      <c r="Z32" s="168"/>
      <c r="AA32" s="168"/>
      <c r="AB32" s="168"/>
      <c r="AC32" s="169"/>
    </row>
    <row r="33" spans="1:29" x14ac:dyDescent="0.3">
      <c r="A33" s="142" t="s">
        <v>540</v>
      </c>
      <c r="B33" s="141" t="s">
        <v>836</v>
      </c>
      <c r="C33" s="141" t="s">
        <v>171</v>
      </c>
      <c r="D33" s="165">
        <v>14</v>
      </c>
      <c r="E33" s="142">
        <v>39.150000000000006</v>
      </c>
      <c r="F33" s="142">
        <v>13.85</v>
      </c>
      <c r="G33" s="142">
        <v>17.45</v>
      </c>
      <c r="H33" s="142">
        <v>10.841622418879055</v>
      </c>
      <c r="I33" s="166">
        <v>0.7</v>
      </c>
      <c r="J33" s="142">
        <v>2.8</v>
      </c>
      <c r="K33" s="142">
        <v>21.329411764705888</v>
      </c>
      <c r="L33" s="142">
        <v>0.28124999999999994</v>
      </c>
      <c r="M33" s="142">
        <v>0.75624999999999998</v>
      </c>
      <c r="N33" s="142">
        <v>2.1395833333333334</v>
      </c>
      <c r="O33" s="142">
        <v>3.9072916666666662</v>
      </c>
      <c r="P33" s="142">
        <v>4.1229166666666659</v>
      </c>
      <c r="Q33" s="142">
        <v>3.3560140742187499</v>
      </c>
      <c r="R33" s="142">
        <v>2.4354166666666663</v>
      </c>
      <c r="S33" s="142">
        <v>333.7176470588235</v>
      </c>
      <c r="T33" s="142"/>
      <c r="U33" s="167"/>
      <c r="V33" s="168"/>
      <c r="W33" s="168"/>
      <c r="X33" s="168"/>
      <c r="Y33" s="168"/>
      <c r="Z33" s="168"/>
      <c r="AA33" s="168"/>
      <c r="AB33" s="168"/>
      <c r="AC33" s="169"/>
    </row>
    <row r="35" spans="1:29" x14ac:dyDescent="0.3">
      <c r="R35" s="169"/>
    </row>
    <row r="36" spans="1:29" x14ac:dyDescent="0.3">
      <c r="R36" s="169"/>
    </row>
    <row r="37" spans="1:29" x14ac:dyDescent="0.3">
      <c r="R37" s="169"/>
    </row>
    <row r="38" spans="1:29" x14ac:dyDescent="0.3">
      <c r="R38" s="169"/>
    </row>
    <row r="39" spans="1:29" x14ac:dyDescent="0.3">
      <c r="R39" s="169"/>
    </row>
    <row r="40" spans="1:29" x14ac:dyDescent="0.3">
      <c r="R40" s="169"/>
    </row>
    <row r="41" spans="1:29" x14ac:dyDescent="0.3">
      <c r="R41" s="169"/>
    </row>
    <row r="42" spans="1:29" x14ac:dyDescent="0.3">
      <c r="R42" s="169"/>
    </row>
    <row r="43" spans="1:29" x14ac:dyDescent="0.3">
      <c r="R43" s="169"/>
    </row>
    <row r="44" spans="1:29" x14ac:dyDescent="0.3">
      <c r="R44" s="169"/>
    </row>
    <row r="45" spans="1:29" x14ac:dyDescent="0.3">
      <c r="R45" s="169"/>
    </row>
    <row r="46" spans="1:29" x14ac:dyDescent="0.3">
      <c r="R46" s="169"/>
    </row>
    <row r="47" spans="1:29" x14ac:dyDescent="0.3">
      <c r="R47" s="169"/>
    </row>
    <row r="48" spans="1:29" x14ac:dyDescent="0.3">
      <c r="R48" s="169"/>
    </row>
    <row r="49" spans="18:18" x14ac:dyDescent="0.3">
      <c r="R49" s="169"/>
    </row>
    <row r="50" spans="18:18" x14ac:dyDescent="0.3">
      <c r="R50" s="169"/>
    </row>
    <row r="51" spans="18:18" x14ac:dyDescent="0.3">
      <c r="R51" s="169"/>
    </row>
    <row r="52" spans="18:18" x14ac:dyDescent="0.3">
      <c r="R52" s="169"/>
    </row>
    <row r="53" spans="18:18" x14ac:dyDescent="0.3">
      <c r="R53" s="169"/>
    </row>
    <row r="54" spans="18:18" x14ac:dyDescent="0.3">
      <c r="R54" s="169"/>
    </row>
    <row r="55" spans="18:18" x14ac:dyDescent="0.3">
      <c r="R55" s="169"/>
    </row>
    <row r="56" spans="18:18" x14ac:dyDescent="0.3">
      <c r="R56" s="169"/>
    </row>
    <row r="57" spans="18:18" x14ac:dyDescent="0.3">
      <c r="R57" s="169"/>
    </row>
    <row r="58" spans="18:18" x14ac:dyDescent="0.3">
      <c r="R58" s="169"/>
    </row>
    <row r="59" spans="18:18" x14ac:dyDescent="0.3">
      <c r="R59" s="169"/>
    </row>
    <row r="60" spans="18:18" x14ac:dyDescent="0.3">
      <c r="R60" s="169"/>
    </row>
    <row r="61" spans="18:18" x14ac:dyDescent="0.3">
      <c r="R61" s="169"/>
    </row>
    <row r="62" spans="18:18" x14ac:dyDescent="0.3">
      <c r="R62" s="169"/>
    </row>
    <row r="63" spans="18:18" x14ac:dyDescent="0.3">
      <c r="R63" s="169"/>
    </row>
    <row r="64" spans="18:18" x14ac:dyDescent="0.3">
      <c r="R64" s="169"/>
    </row>
    <row r="65" spans="18:18" x14ac:dyDescent="0.3">
      <c r="R65" s="169"/>
    </row>
    <row r="66" spans="18:18" x14ac:dyDescent="0.3">
      <c r="R66" s="169"/>
    </row>
  </sheetData>
  <sheetProtection sheet="1" selectLockedCells="1"/>
  <sortState xmlns:xlrd2="http://schemas.microsoft.com/office/spreadsheetml/2017/richdata2" ref="B2:T66">
    <sortCondition ref="B2:B66"/>
  </sortState>
  <phoneticPr fontId="16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>
    <tabColor rgb="FFF5DCFF"/>
  </sheetPr>
  <dimension ref="A1:BN326"/>
  <sheetViews>
    <sheetView showGridLines="0" tabSelected="1" zoomScale="85" zoomScaleNormal="85" workbookViewId="0">
      <pane ySplit="1" topLeftCell="A2" activePane="bottomLeft" state="frozen"/>
      <selection pane="bottomLeft" activeCell="AQ24" sqref="AQ24"/>
    </sheetView>
  </sheetViews>
  <sheetFormatPr defaultColWidth="4.6640625" defaultRowHeight="13.8" x14ac:dyDescent="0.3"/>
  <cols>
    <col min="1" max="1" width="4.109375" style="265" bestFit="1" customWidth="1"/>
    <col min="2" max="2" width="19.5546875" style="265" customWidth="1"/>
    <col min="3" max="3" width="5.33203125" style="265" bestFit="1" customWidth="1"/>
    <col min="4" max="4" width="4.33203125" style="265" bestFit="1" customWidth="1"/>
    <col min="5" max="5" width="8.6640625" style="266" customWidth="1"/>
    <col min="6" max="6" width="8.6640625" style="267" customWidth="1"/>
    <col min="7" max="7" width="4.6640625" style="265" customWidth="1"/>
    <col min="8" max="8" width="4.109375" style="265" bestFit="1" customWidth="1"/>
    <col min="9" max="9" width="22.33203125" style="265" bestFit="1" customWidth="1"/>
    <col min="10" max="10" width="5.33203125" style="265" bestFit="1" customWidth="1"/>
    <col min="11" max="11" width="4.33203125" style="265" bestFit="1" customWidth="1"/>
    <col min="12" max="13" width="8.6640625" style="266" customWidth="1"/>
    <col min="14" max="14" width="4.6640625" style="265" customWidth="1"/>
    <col min="15" max="15" width="4.109375" style="265" bestFit="1" customWidth="1"/>
    <col min="16" max="16" width="25.5546875" style="265" bestFit="1" customWidth="1"/>
    <col min="17" max="17" width="5.33203125" style="265" bestFit="1" customWidth="1"/>
    <col min="18" max="18" width="4.33203125" style="265" bestFit="1" customWidth="1"/>
    <col min="19" max="20" width="8.6640625" style="266" customWidth="1"/>
    <col min="21" max="21" width="4.6640625" style="265" customWidth="1"/>
    <col min="22" max="22" width="4.109375" style="265" bestFit="1" customWidth="1"/>
    <col min="23" max="23" width="21.44140625" style="265" bestFit="1" customWidth="1"/>
    <col min="24" max="24" width="5.33203125" style="265" bestFit="1" customWidth="1"/>
    <col min="25" max="25" width="4.33203125" style="265" bestFit="1" customWidth="1"/>
    <col min="26" max="27" width="8.6640625" style="266" customWidth="1"/>
    <col min="28" max="28" width="4.6640625" style="265" customWidth="1"/>
    <col min="29" max="29" width="6.109375" style="269" hidden="1" customWidth="1"/>
    <col min="30" max="30" width="4.5546875" style="269" hidden="1" customWidth="1"/>
    <col min="31" max="31" width="3.6640625" style="269" hidden="1" customWidth="1"/>
    <col min="32" max="32" width="4.5546875" style="269" hidden="1" customWidth="1"/>
    <col min="33" max="33" width="4.109375" style="269" hidden="1" customWidth="1"/>
    <col min="34" max="34" width="7.6640625" style="269" hidden="1" customWidth="1"/>
    <col min="35" max="35" width="25.5546875" style="269" hidden="1" customWidth="1"/>
    <col min="36" max="36" width="7.44140625" style="270" hidden="1" customWidth="1"/>
    <col min="37" max="37" width="4.33203125" style="270" hidden="1" customWidth="1"/>
    <col min="38" max="38" width="7.6640625" style="271" hidden="1" customWidth="1"/>
    <col min="39" max="39" width="7.109375" style="269" hidden="1" customWidth="1"/>
    <col min="40" max="40" width="6.109375" style="269" hidden="1" customWidth="1"/>
    <col min="41" max="41" width="4.109375" style="269" bestFit="1" customWidth="1"/>
    <col min="42" max="42" width="25.5546875" style="269" bestFit="1" customWidth="1"/>
    <col min="43" max="43" width="7.109375" style="270" bestFit="1" customWidth="1"/>
    <col min="44" max="44" width="4.6640625" style="270" bestFit="1" customWidth="1"/>
    <col min="45" max="45" width="8.6640625" style="269" customWidth="1"/>
    <col min="46" max="46" width="8.6640625" style="250" customWidth="1"/>
    <col min="47" max="47" width="4.6640625" style="265" customWidth="1"/>
    <col min="48" max="48" width="4.109375" style="265" bestFit="1" customWidth="1"/>
    <col min="49" max="49" width="25.5546875" style="265" bestFit="1" customWidth="1"/>
    <col min="50" max="50" width="8.88671875" style="265" bestFit="1" customWidth="1"/>
    <col min="51" max="51" width="4.33203125" style="266" bestFit="1" customWidth="1"/>
    <col min="52" max="52" width="8.6640625" style="266" customWidth="1"/>
    <col min="53" max="53" width="8.6640625" style="250" customWidth="1"/>
    <col min="54" max="54" width="0" style="250" hidden="1" customWidth="1"/>
    <col min="55" max="55" width="4.5546875" style="250" hidden="1" customWidth="1"/>
    <col min="56" max="56" width="4.109375" style="250" hidden="1" customWidth="1"/>
    <col min="57" max="57" width="7.6640625" style="250" hidden="1" customWidth="1"/>
    <col min="58" max="58" width="25.5546875" style="250" hidden="1" customWidth="1"/>
    <col min="59" max="60" width="7.44140625" style="250" hidden="1" customWidth="1"/>
    <col min="61" max="61" width="7.6640625" style="250" hidden="1" customWidth="1"/>
    <col min="62" max="62" width="7.109375" style="250" hidden="1" customWidth="1"/>
    <col min="63" max="63" width="4.6640625" style="250"/>
    <col min="64" max="64" width="0" style="250" hidden="1" customWidth="1"/>
    <col min="65" max="65" width="5.6640625" style="250" hidden="1" customWidth="1"/>
    <col min="66" max="16384" width="4.6640625" style="250"/>
  </cols>
  <sheetData>
    <row r="1" spans="1:66" s="240" customFormat="1" x14ac:dyDescent="0.3">
      <c r="A1" s="240" t="s">
        <v>191</v>
      </c>
      <c r="B1" s="240" t="s">
        <v>556</v>
      </c>
      <c r="C1" s="240" t="s">
        <v>136</v>
      </c>
      <c r="D1" s="240" t="s">
        <v>174</v>
      </c>
      <c r="E1" s="241" t="s">
        <v>169</v>
      </c>
      <c r="F1" s="242" t="s">
        <v>550</v>
      </c>
      <c r="H1" s="240" t="s">
        <v>191</v>
      </c>
      <c r="I1" s="240" t="s">
        <v>555</v>
      </c>
      <c r="J1" s="240" t="s">
        <v>136</v>
      </c>
      <c r="K1" s="240" t="s">
        <v>174</v>
      </c>
      <c r="L1" s="241" t="s">
        <v>169</v>
      </c>
      <c r="M1" s="242" t="s">
        <v>550</v>
      </c>
      <c r="O1" s="240" t="s">
        <v>191</v>
      </c>
      <c r="P1" s="240" t="s">
        <v>554</v>
      </c>
      <c r="Q1" s="240" t="s">
        <v>136</v>
      </c>
      <c r="R1" s="240" t="s">
        <v>174</v>
      </c>
      <c r="S1" s="241" t="s">
        <v>169</v>
      </c>
      <c r="T1" s="242" t="s">
        <v>550</v>
      </c>
      <c r="V1" s="240" t="s">
        <v>191</v>
      </c>
      <c r="W1" s="240" t="s">
        <v>553</v>
      </c>
      <c r="X1" s="240" t="s">
        <v>136</v>
      </c>
      <c r="Y1" s="240" t="s">
        <v>174</v>
      </c>
      <c r="Z1" s="241" t="s">
        <v>169</v>
      </c>
      <c r="AA1" s="242" t="s">
        <v>550</v>
      </c>
      <c r="AC1" s="240" t="s">
        <v>557</v>
      </c>
      <c r="AD1" s="240" t="s">
        <v>558</v>
      </c>
      <c r="AF1" s="240" t="s">
        <v>8</v>
      </c>
      <c r="AG1" s="240" t="s">
        <v>191</v>
      </c>
      <c r="AH1" s="240" t="s">
        <v>559</v>
      </c>
      <c r="AI1" s="240" t="s">
        <v>552</v>
      </c>
      <c r="AJ1" s="240" t="s">
        <v>561</v>
      </c>
      <c r="AK1" s="240" t="s">
        <v>174</v>
      </c>
      <c r="AL1" s="241" t="s">
        <v>503</v>
      </c>
      <c r="AM1" s="242" t="s">
        <v>550</v>
      </c>
      <c r="AO1" s="240" t="s">
        <v>191</v>
      </c>
      <c r="AP1" s="240" t="s">
        <v>552</v>
      </c>
      <c r="AQ1" s="240" t="s">
        <v>561</v>
      </c>
      <c r="AR1" s="240" t="s">
        <v>174</v>
      </c>
      <c r="AS1" s="241" t="s">
        <v>169</v>
      </c>
      <c r="AT1" s="242" t="s">
        <v>550</v>
      </c>
      <c r="AV1" s="240" t="s">
        <v>191</v>
      </c>
      <c r="AW1" s="240" t="s">
        <v>551</v>
      </c>
      <c r="AX1" s="240" t="s">
        <v>561</v>
      </c>
      <c r="AY1" s="240" t="s">
        <v>174</v>
      </c>
      <c r="AZ1" s="241" t="s">
        <v>169</v>
      </c>
      <c r="BA1" s="242" t="s">
        <v>550</v>
      </c>
      <c r="BC1" s="243" t="s">
        <v>8</v>
      </c>
      <c r="BD1" s="243" t="s">
        <v>191</v>
      </c>
      <c r="BE1" s="243" t="s">
        <v>559</v>
      </c>
      <c r="BF1" s="243" t="s">
        <v>552</v>
      </c>
      <c r="BG1" s="243" t="s">
        <v>561</v>
      </c>
      <c r="BH1" s="243" t="s">
        <v>174</v>
      </c>
      <c r="BI1" s="244" t="s">
        <v>503</v>
      </c>
      <c r="BJ1" s="245" t="s">
        <v>550</v>
      </c>
    </row>
    <row r="2" spans="1:66" x14ac:dyDescent="0.3">
      <c r="A2" s="246">
        <v>1</v>
      </c>
      <c r="B2" s="247" t="str">
        <f>IFERROR(INDEX(TableQBCalcPts[PLAYER],MATCH(TableQBVORP[[#This Row],[RK]],TableQBCalcPts[RK],0)),"")</f>
        <v>Josh Allen</v>
      </c>
      <c r="C2" s="247" t="str">
        <f>IFERROR(INDEX(TableQBCalcPts[TM],MATCH(TableQBVORP[[#This Row],[RK]],TableQBCalcPts[RK],0)),"")</f>
        <v>BUF</v>
      </c>
      <c r="D2" s="247">
        <f>IFERROR(INDEX(TableQBCalcPts[BYE],MATCH(TableQBVORP[[#This Row],[RK]],TableQBCalcPts[RK],0)),"")</f>
        <v>7</v>
      </c>
      <c r="E2" s="248">
        <f>IFERROR(INDEX(TableQBCalcPts[Custom],MATCH(TableQBVORP[[#This Row],[RK]],TableQBCalcPts[RK],0)),"")</f>
        <v>421.90619014402529</v>
      </c>
      <c r="F2" s="249">
        <f>(IFERROR((TableQBVORP[[#This Row],[FPS]]-INDEX(TableQBVORP[FPS],MATCH(QBVORPCalc,TableQBVORP[RK],0)))/INDEX(TableQBVORP[FPS],MATCH(QBVORPCalc,TableQBVORP[RK],0)),""))+(TableRBVORP[[#This Row],[VORP]]*0.45)</f>
        <v>0.9913825609525001</v>
      </c>
      <c r="G2" s="246"/>
      <c r="H2" s="246">
        <v>1</v>
      </c>
      <c r="I2" s="247" t="str">
        <f>IFERROR(INDEX(TableRBCalcPts[PLAYER],MATCH(TableRBVORP[[#This Row],[RK]],TableRBCalcPts[RK],0)),"")</f>
        <v>Jonathan Taylor</v>
      </c>
      <c r="J2" s="247" t="str">
        <f>IFERROR(INDEX(TableRBCalcPts[TM],MATCH(TableRBVORP[[#This Row],[RK]],TableRBCalcPts[RK],0)),"")</f>
        <v>IND</v>
      </c>
      <c r="K2" s="247">
        <f>IFERROR(INDEX(TableRBCalcPts[BYE],MATCH(TableRBVORP[[#This Row],[RK]],TableRBCalcPts[RK],0)),"")</f>
        <v>14</v>
      </c>
      <c r="L2" s="248">
        <f>IFERROR(INDEX(TableRBCalcPts[Custom],MATCH(TableRBVORP[[#This Row],[RK]],TableRBCalcPts[RK],0)),"")</f>
        <v>302.80832149563741</v>
      </c>
      <c r="M2" s="249">
        <f>IFERROR((TableRBVORP[[#This Row],[FPS]]-INDEX(TableRBVORP[FPS],MATCH(RBVORPCalc,TableRBVORP[RK],0)))/INDEX(TableRBVORP[FPS],MATCH(RBVORPCalc,TableRBVORP[RK],0)),"")</f>
        <v>1.9886577333480293</v>
      </c>
      <c r="N2" s="246"/>
      <c r="O2" s="246">
        <v>1</v>
      </c>
      <c r="P2" s="247" t="str">
        <f>IFERROR(INDEX(TableWRCalcPts[PLAYER],MATCH(TableWRVORP[[#This Row],[RK]],TableWRCalcPts[RK],0)),"")</f>
        <v>Cooper Kupp</v>
      </c>
      <c r="Q2" s="247" t="str">
        <f>IFERROR(INDEX(TableWRCalcPts[TM],MATCH(TableWRVORP[[#This Row],[RK]],TableWRCalcPts[RK],0)),"")</f>
        <v>LAR</v>
      </c>
      <c r="R2" s="247">
        <f>IFERROR(INDEX(TableWRCalcPts[BYE],MATCH(TableWRVORP[[#This Row],[RK]],TableWRCalcPts[RK],0)),"")</f>
        <v>7</v>
      </c>
      <c r="S2" s="248">
        <f>IFERROR(INDEX(TableWRCalcPts[Custom],MATCH(TableWRVORP[[#This Row],[RK]],TableWRCalcPts[RK],0)),"")</f>
        <v>238.89381844067441</v>
      </c>
      <c r="T2" s="249">
        <f>IFERROR((TableWRVORP[[#This Row],[FPS]]-INDEX(TableWRVORP[FPS],MATCH(WRVORPCalc,TableWRVORP[RK],0)))/INDEX(TableWRVORP[FPS],MATCH(WRVORPCalc,TableWRVORP[RK],0)),"")</f>
        <v>1.1922396419024333</v>
      </c>
      <c r="U2" s="246"/>
      <c r="V2" s="246">
        <v>1</v>
      </c>
      <c r="W2" s="247" t="str">
        <f>IFERROR(INDEX(TableTECalcPts[PLAYER],MATCH(TableTEVORP[[#This Row],[RK]],TableTECalcPts[RK],0)),"")</f>
        <v>Travis Kelce</v>
      </c>
      <c r="X2" s="247" t="str">
        <f>IFERROR(INDEX(TableTECalcPts[TM],MATCH(TableTEVORP[[#This Row],[RK]],TableTECalcPts[RK],0)),"")</f>
        <v>KC</v>
      </c>
      <c r="Y2" s="247">
        <f>IFERROR(INDEX(TableTECalcPts[BYE],MATCH(TableTEVORP[[#This Row],[RK]],TableTECalcPts[RK],0)),"")</f>
        <v>8</v>
      </c>
      <c r="Z2" s="248">
        <f>IFERROR(INDEX(TableTECalcPts[Custom],MATCH(TableTEVORP[[#This Row],[RK]],TableTECalcPts[RK],0)),"")</f>
        <v>168.01396248207141</v>
      </c>
      <c r="AA2" s="249">
        <f>IFERROR((TableTEVORP[[#This Row],[FPS]]-INDEX(TableTEVORP[FPS],MATCH(TEVORPCalc,TableTEVORP[RK],0)))/INDEX(TableTEVORP[FPS],MATCH(TEVORPCalc,TableTEVORP[RK],0)),"")</f>
        <v>0.63992228390660533</v>
      </c>
      <c r="AB2" s="246"/>
      <c r="AC2" s="250" t="s">
        <v>9</v>
      </c>
      <c r="AD2" s="251">
        <f>IF(STARTING_QB=2,((STARTING_QB*TEAMS)+(AD10)),IF(STARTING_SUPERFLEX=1,((STARTING_QB*(TEAMS*2))+(AD10)),IF(STARTING_SUPERFLEX=2,((STARTING_QB*(TEAMS*2))+(AD10)),((STARTING_QB*TEAMS)+(AD10-(TEAMS+3))))))</f>
        <v>3</v>
      </c>
      <c r="AE2" s="250"/>
      <c r="AF2" s="250" t="s">
        <v>9</v>
      </c>
      <c r="AG2" s="250">
        <v>1</v>
      </c>
      <c r="AH2" s="251">
        <f>RANK(TableOverallMaster[[#This Row],[VORP]],TableOverallMaster[VORP])+COUNTIF($AM$2:AM2,AM2)-1</f>
        <v>14</v>
      </c>
      <c r="AI2" s="252" t="str">
        <f>IFERROR(INDEX(TableQBVORP[QUARTERBACK],MATCH(TableOverallMaster[[#This Row],[RK]],TableQBVORP[RK],0)),"")</f>
        <v>Josh Allen</v>
      </c>
      <c r="AJ2" s="252" t="str">
        <f t="shared" ref="AJ2:AJ65" si="0">CONCATENATE(AF2,AG2)</f>
        <v>QB1</v>
      </c>
      <c r="AK2" s="252">
        <f>IFERROR(INDEX(TableQBVORP[BYE],MATCH(TableOverallMaster[[#This Row],[RK]],TableQBVORP[RK],0)),"")</f>
        <v>7</v>
      </c>
      <c r="AL2" s="253">
        <f>IFERROR(INDEX(TableQBVORP[FPS],MATCH(TableOverallMaster[[#This Row],[RK]],TableQBVORP[RK],0)),"")</f>
        <v>421.90619014402529</v>
      </c>
      <c r="AM2" s="254">
        <f>IFERROR(INDEX(TableQBVORP[VORP],MATCH(TableOverallMaster[[#This Row],[RK]],TableQBVORP[RK],0)),"")</f>
        <v>0.9913825609525001</v>
      </c>
      <c r="AN2" s="250"/>
      <c r="AO2" s="250">
        <v>1</v>
      </c>
      <c r="AP2" s="255" t="str">
        <f>IFERROR(INDEX(TableOverallMaster[OVERALL PLAYER],MATCH(TableOverallRank[[#This Row],[RK]],TableOverallMaster[OVR RK],0)),"")</f>
        <v>Jonathan Taylor</v>
      </c>
      <c r="AQ2" s="256" t="str">
        <f>IFERROR(INDEX(TableOverallMaster[POS RK],MATCH(TableOverallRank[[#This Row],[OVERALL PLAYER]],TableOverallMaster[OVERALL PLAYER],0)),"")</f>
        <v>RB1</v>
      </c>
      <c r="AR2" s="257">
        <f>IFERROR(INDEX(TableOverallMaster[BYE],MATCH(TableOverallRank[[#This Row],[OVERALL PLAYER]],TableOverallMaster[OVERALL PLAYER],0)),"")</f>
        <v>14</v>
      </c>
      <c r="AS2" s="258">
        <f>IFERROR(INDEX(TableOverallMaster[Custom],MATCH(TableOverallRank[[#This Row],[OVERALL PLAYER]],TableOverallMaster[OVERALL PLAYER],0)),"")</f>
        <v>302.80832149563741</v>
      </c>
      <c r="AT2" s="259">
        <f>IFERROR(INDEX(TableOverallMaster[VORP],MATCH(TableOverallRank[[#This Row],[OVERALL PLAYER]],TableOverallMaster[OVERALL PLAYER],0)),"")</f>
        <v>1.9886577333480293</v>
      </c>
      <c r="AU2" s="250"/>
      <c r="AV2" s="246">
        <v>1</v>
      </c>
      <c r="AW2" s="260" t="str">
        <f>IFERROR(INDEX(TableWRTECalcPts[PLAYER],MATCH(TableWRTERank[[#This Row],[RK]],TableWRTECalcPts[RK],0)),"")</f>
        <v>Cooper Kupp</v>
      </c>
      <c r="AX2" s="260" t="str">
        <f>IFERROR(INDEX(TableWRTECalcPts[POS RK],MATCH(TableWRTERank[[#This Row],[WR and TE COMBINED]],TableWRTECalcPts[PLAYER],0)),"")</f>
        <v>WR1</v>
      </c>
      <c r="AY2" s="260">
        <f>IFERROR(INDEX(TableWRTECalcPts[BYE],MATCH(TableWRTERank[[#This Row],[RK]],TableWRTECalcPts[RK],0)),"")</f>
        <v>7</v>
      </c>
      <c r="AZ2" s="261">
        <f>IFERROR(INDEX(TableWRTECalcPts[Custom],MATCH(TableWRTERank[[#This Row],[RK]],TableWRTECalcPts[RK],0)),"")</f>
        <v>238.89381844067441</v>
      </c>
      <c r="BA2" s="249">
        <f>IFERROR((TableWRTERank[[#This Row],[FPS]]-INDEX(TableWRTERank[FPS],MATCH(WRTEVORPCalc,TableWRTERank[RK],0)))/INDEX(TableWRTERank[FPS],MATCH(WRTEVORPCalc,TableWRTERank[RK],0)),"")</f>
        <v>1.0117347722865464</v>
      </c>
      <c r="BC2" s="124" t="s">
        <v>358</v>
      </c>
      <c r="BD2" s="124">
        <v>1</v>
      </c>
      <c r="BE2" s="262">
        <f>RANK(TableWRTEMaster[[#This Row],[VORP]],TableWRTEMaster[VORP])+COUNTIF($BJ$2:BJ2,BJ2)-1</f>
        <v>1</v>
      </c>
      <c r="BF2" s="263" t="str">
        <f>IFERROR(INDEX(TableWRVORP[WIDE RECEIVER],MATCH(TableWRTEMaster[[#This Row],[RK]],TableWRVORP[RK],0)),"")</f>
        <v>Cooper Kupp</v>
      </c>
      <c r="BG2" s="263" t="str">
        <f>_xlfn.CONCAT(TableWRTEMaster[[#This Row],[POS]],TableWRTEMaster[[#This Row],[RK]])</f>
        <v>WR1</v>
      </c>
      <c r="BH2" s="263">
        <f>IFERROR(INDEX(TableWRVORP[BYE],MATCH(TableWRTEMaster[[#This Row],[RK]],TableWRVORP[RK],0)),"")</f>
        <v>7</v>
      </c>
      <c r="BI2" s="264">
        <f>IFERROR(INDEX(TableWRVORP[FPS],MATCH(TableWRTEMaster[[#This Row],[RK]],TableWRVORP[RK],0)),"")</f>
        <v>238.89381844067441</v>
      </c>
      <c r="BJ2" s="254">
        <f>IFERROR(INDEX(TableWRVORP[VORP],MATCH(TableWRTEMaster[[#This Row],[RK]],TableWRVORP[RK],0)),"")</f>
        <v>1.1922396419024333</v>
      </c>
      <c r="BL2" s="250" t="s">
        <v>9</v>
      </c>
      <c r="BM2" s="282">
        <f>SUMIF(F:F,"&gt;0")</f>
        <v>8.0412177042650619</v>
      </c>
    </row>
    <row r="3" spans="1:66" x14ac:dyDescent="0.3">
      <c r="A3" s="246">
        <v>2</v>
      </c>
      <c r="B3" s="247" t="str">
        <f>IFERROR(INDEX(TableQBCalcPts[PLAYER],MATCH(TableQBVORP[[#This Row],[RK]],TableQBCalcPts[RK],0)),"")</f>
        <v>Jalen Hurts</v>
      </c>
      <c r="C3" s="247" t="str">
        <f>IFERROR(INDEX(TableQBCalcPts[TM],MATCH(TableQBVORP[[#This Row],[RK]],TableQBCalcPts[RK],0)),"")</f>
        <v>PHI</v>
      </c>
      <c r="D3" s="247">
        <f>IFERROR(INDEX(TableQBCalcPts[BYE],MATCH(TableQBVORP[[#This Row],[RK]],TableQBCalcPts[RK],0)),"")</f>
        <v>7</v>
      </c>
      <c r="E3" s="248">
        <f>IFERROR(INDEX(TableQBCalcPts[Custom],MATCH(TableQBVORP[[#This Row],[RK]],TableQBCalcPts[RK],0)),"")</f>
        <v>393.75142926100978</v>
      </c>
      <c r="F3" s="249">
        <f>(IFERROR((TableQBVORP[[#This Row],[FPS]]-INDEX(TableQBVORP[FPS],MATCH(QBVORPCalc,TableQBVORP[RK],0)))/INDEX(TableQBVORP[FPS],MATCH(QBVORPCalc,TableQBVORP[RK],0)),""))+(TableRBVORP[[#This Row],[VORP]]*0.45)</f>
        <v>0.858865858470092</v>
      </c>
      <c r="G3" s="246"/>
      <c r="H3" s="246">
        <v>2</v>
      </c>
      <c r="I3" s="247" t="str">
        <f>IFERROR(INDEX(TableRBCalcPts[PLAYER],MATCH(TableRBVORP[[#This Row],[RK]],TableRBCalcPts[RK],0)),"")</f>
        <v>Derrick Henry</v>
      </c>
      <c r="J3" s="247" t="str">
        <f>IFERROR(INDEX(TableRBCalcPts[TM],MATCH(TableRBVORP[[#This Row],[RK]],TableRBCalcPts[RK],0)),"")</f>
        <v>TEN</v>
      </c>
      <c r="K3" s="247">
        <f>IFERROR(INDEX(TableRBCalcPts[BYE],MATCH(TableRBVORP[[#This Row],[RK]],TableRBCalcPts[RK],0)),"")</f>
        <v>6</v>
      </c>
      <c r="L3" s="248">
        <f>IFERROR(INDEX(TableRBCalcPts[Custom],MATCH(TableRBVORP[[#This Row],[RK]],TableRBCalcPts[RK],0)),"")</f>
        <v>289.44642681060907</v>
      </c>
      <c r="M3" s="249">
        <f>IFERROR((TableRBVORP[[#This Row],[FPS]]-INDEX(TableRBVORP[FPS],MATCH(RBVORPCalc,TableRBVORP[RK],0)))/INDEX(TableRBVORP[FPS],MATCH(RBVORPCalc,TableRBVORP[RK],0)),"")</f>
        <v>1.8567784980438329</v>
      </c>
      <c r="N3" s="246"/>
      <c r="O3" s="246">
        <v>2</v>
      </c>
      <c r="P3" s="247" t="str">
        <f>IFERROR(INDEX(TableWRCalcPts[PLAYER],MATCH(TableWRVORP[[#This Row],[RK]],TableWRCalcPts[RK],0)),"")</f>
        <v>Ja'Marr Chase</v>
      </c>
      <c r="Q3" s="247" t="str">
        <f>IFERROR(INDEX(TableWRCalcPts[TM],MATCH(TableWRVORP[[#This Row],[RK]],TableWRCalcPts[RK],0)),"")</f>
        <v>CIN</v>
      </c>
      <c r="R3" s="247">
        <f>IFERROR(INDEX(TableWRCalcPts[BYE],MATCH(TableWRVORP[[#This Row],[RK]],TableWRCalcPts[RK],0)),"")</f>
        <v>10</v>
      </c>
      <c r="S3" s="248">
        <f>IFERROR(INDEX(TableWRCalcPts[Custom],MATCH(TableWRVORP[[#This Row],[RK]],TableWRCalcPts[RK],0)),"")</f>
        <v>233.9846437068403</v>
      </c>
      <c r="T3" s="249">
        <f>IFERROR((TableWRVORP[[#This Row],[FPS]]-INDEX(TableWRVORP[FPS],MATCH(WRVORPCalc,TableWRVORP[RK],0)))/INDEX(TableWRVORP[FPS],MATCH(WRVORPCalc,TableWRVORP[RK],0)),"")</f>
        <v>1.147189972845343</v>
      </c>
      <c r="U3" s="246"/>
      <c r="V3" s="246">
        <v>2</v>
      </c>
      <c r="W3" s="247" t="str">
        <f>IFERROR(INDEX(TableTECalcPts[PLAYER],MATCH(TableTEVORP[[#This Row],[RK]],TableTECalcPts[RK],0)),"")</f>
        <v>Mark Andrews</v>
      </c>
      <c r="X3" s="247" t="str">
        <f>IFERROR(INDEX(TableTECalcPts[TM],MATCH(TableTEVORP[[#This Row],[RK]],TableTECalcPts[RK],0)),"")</f>
        <v>BAL</v>
      </c>
      <c r="Y3" s="247">
        <f>IFERROR(INDEX(TableTECalcPts[BYE],MATCH(TableTEVORP[[#This Row],[RK]],TableTECalcPts[RK],0)),"")</f>
        <v>10</v>
      </c>
      <c r="Z3" s="248">
        <f>IFERROR(INDEX(TableTECalcPts[Custom],MATCH(TableTEVORP[[#This Row],[RK]],TableTECalcPts[RK],0)),"")</f>
        <v>159.94886032288994</v>
      </c>
      <c r="AA3" s="249">
        <f>IFERROR((TableTEVORP[[#This Row],[FPS]]-INDEX(TableTEVORP[FPS],MATCH(TEVORPCalc,TableTEVORP[RK],0)))/INDEX(TableTEVORP[FPS],MATCH(TEVORPCalc,TableTEVORP[RK],0)),"")</f>
        <v>0.56120179807652848</v>
      </c>
      <c r="AB3" s="246"/>
      <c r="AC3" s="250" t="s">
        <v>357</v>
      </c>
      <c r="AD3" s="251">
        <f>(TEAMS*STARTING_RB)+(STARTING_RB)+FLEXVORPCalc</f>
        <v>42</v>
      </c>
      <c r="AE3" s="250"/>
      <c r="AF3" s="250" t="s">
        <v>9</v>
      </c>
      <c r="AG3" s="250">
        <v>2</v>
      </c>
      <c r="AH3" s="251">
        <f>RANK(TableOverallMaster[[#This Row],[VORP]],TableOverallMaster[VORP])+COUNTIF($AM$2:AM3,AM3)-1</f>
        <v>24</v>
      </c>
      <c r="AI3" s="252" t="str">
        <f>IFERROR(INDEX(TableQBVORP[QUARTERBACK],MATCH(TableOverallMaster[[#This Row],[RK]],TableQBVORP[RK],0)),"")</f>
        <v>Jalen Hurts</v>
      </c>
      <c r="AJ3" s="252" t="str">
        <f t="shared" si="0"/>
        <v>QB2</v>
      </c>
      <c r="AK3" s="252">
        <f>IFERROR(INDEX(TableQBVORP[BYE],MATCH(TableOverallMaster[[#This Row],[RK]],TableQBVORP[RK],0)),"")</f>
        <v>7</v>
      </c>
      <c r="AL3" s="253">
        <f>IFERROR(INDEX(TableQBVORP[FPS],MATCH(TableOverallMaster[[#This Row],[RK]],TableQBVORP[RK],0)),"")</f>
        <v>393.75142926100978</v>
      </c>
      <c r="AM3" s="254">
        <f>IFERROR(INDEX(TableQBVORP[VORP],MATCH(TableOverallMaster[[#This Row],[RK]],TableQBVORP[RK],0)),"")</f>
        <v>0.858865858470092</v>
      </c>
      <c r="AN3" s="250"/>
      <c r="AO3" s="250">
        <v>2</v>
      </c>
      <c r="AP3" s="255" t="str">
        <f>IFERROR(INDEX(TableOverallMaster[OVERALL PLAYER],MATCH(TableOverallRank[[#This Row],[RK]],TableOverallMaster[OVR RK],0)),"")</f>
        <v>Derrick Henry</v>
      </c>
      <c r="AQ3" s="256" t="str">
        <f>IFERROR(INDEX(TableOverallMaster[POS RK],MATCH(TableOverallRank[[#This Row],[OVERALL PLAYER]],TableOverallMaster[OVERALL PLAYER],0)),"")</f>
        <v>RB2</v>
      </c>
      <c r="AR3" s="257">
        <f>IFERROR(INDEX(TableOverallMaster[BYE],MATCH(TableOverallRank[[#This Row],[OVERALL PLAYER]],TableOverallMaster[OVERALL PLAYER],0)),"")</f>
        <v>6</v>
      </c>
      <c r="AS3" s="258">
        <f>IFERROR(INDEX(TableOverallMaster[Custom],MATCH(TableOverallRank[[#This Row],[OVERALL PLAYER]],TableOverallMaster[OVERALL PLAYER],0)),"")</f>
        <v>289.44642681060907</v>
      </c>
      <c r="AT3" s="259">
        <f>IFERROR(INDEX(TableOverallMaster[VORP],MATCH(TableOverallRank[[#This Row],[OVERALL PLAYER]],TableOverallMaster[OVERALL PLAYER],0)),"")</f>
        <v>1.8567784980438329</v>
      </c>
      <c r="AU3" s="250"/>
      <c r="AV3" s="246">
        <v>2</v>
      </c>
      <c r="AW3" s="260" t="str">
        <f>IFERROR(INDEX(TableWRTECalcPts[PLAYER],MATCH(TableWRTERank[[#This Row],[RK]],TableWRTECalcPts[RK],0)),"")</f>
        <v>Ja'Marr Chase</v>
      </c>
      <c r="AX3" s="260" t="str">
        <f>IFERROR(INDEX(TableWRTECalcPts[POS RK],MATCH(TableWRTERank[[#This Row],[WR and TE COMBINED]],TableWRTECalcPts[PLAYER],0)),"")</f>
        <v>WR2</v>
      </c>
      <c r="AY3" s="260">
        <f>IFERROR(INDEX(TableWRTECalcPts[BYE],MATCH(TableWRTERank[[#This Row],[RK]],TableWRTECalcPts[RK],0)),"")</f>
        <v>10</v>
      </c>
      <c r="AZ3" s="261">
        <f>IFERROR(INDEX(TableWRTECalcPts[Custom],MATCH(TableWRTERank[[#This Row],[RK]],TableWRTECalcPts[RK],0)),"")</f>
        <v>233.9846437068403</v>
      </c>
      <c r="BA3" s="249">
        <f>IFERROR((TableWRTERank[[#This Row],[FPS]]-INDEX(TableWRTERank[FPS],MATCH(WRTEVORPCalc,TableWRTERank[RK],0)))/INDEX(TableWRTERank[FPS],MATCH(WRTEVORPCalc,TableWRTERank[RK],0)),"")</f>
        <v>0.97039440785289255</v>
      </c>
      <c r="BC3" s="124" t="s">
        <v>358</v>
      </c>
      <c r="BD3" s="124">
        <v>2</v>
      </c>
      <c r="BE3" s="262">
        <f>RANK(TableWRTEMaster[[#This Row],[VORP]],TableWRTEMaster[VORP])+COUNTIF($BJ$2:BJ3,BJ3)-1</f>
        <v>2</v>
      </c>
      <c r="BF3" s="263" t="str">
        <f>IFERROR(INDEX(TableWRVORP[WIDE RECEIVER],MATCH(TableWRTEMaster[[#This Row],[RK]],TableWRVORP[RK],0)),"")</f>
        <v>Ja'Marr Chase</v>
      </c>
      <c r="BG3" s="263" t="str">
        <f>_xlfn.CONCAT(TableWRTEMaster[[#This Row],[POS]],TableWRTEMaster[[#This Row],[RK]])</f>
        <v>WR2</v>
      </c>
      <c r="BH3" s="263">
        <f>IFERROR(INDEX(TableWRVORP[BYE],MATCH(TableWRTEMaster[[#This Row],[RK]],TableWRVORP[RK],0)),"")</f>
        <v>10</v>
      </c>
      <c r="BI3" s="264">
        <f>IFERROR(INDEX(TableWRVORP[FPS],MATCH(TableWRTEMaster[[#This Row],[RK]],TableWRVORP[RK],0)),"")</f>
        <v>233.9846437068403</v>
      </c>
      <c r="BJ3" s="254">
        <f>IFERROR(INDEX(TableWRVORP[VORP],MATCH(TableWRTEMaster[[#This Row],[RK]],TableWRVORP[RK],0)),"")</f>
        <v>1.147189972845343</v>
      </c>
      <c r="BL3" s="250" t="s">
        <v>357</v>
      </c>
      <c r="BM3" s="282">
        <f>SUMIF(M:M,"&gt;0")</f>
        <v>30.15584613729353</v>
      </c>
    </row>
    <row r="4" spans="1:66" x14ac:dyDescent="0.3">
      <c r="A4" s="246">
        <v>3</v>
      </c>
      <c r="B4" s="247" t="str">
        <f>IFERROR(INDEX(TableQBCalcPts[PLAYER],MATCH(TableQBVORP[[#This Row],[RK]],TableQBCalcPts[RK],0)),"")</f>
        <v>Justin Herbert</v>
      </c>
      <c r="C4" s="247" t="str">
        <f>IFERROR(INDEX(TableQBCalcPts[TM],MATCH(TableQBVORP[[#This Row],[RK]],TableQBCalcPts[RK],0)),"")</f>
        <v>LAC</v>
      </c>
      <c r="D4" s="247">
        <f>IFERROR(INDEX(TableQBCalcPts[BYE],MATCH(TableQBVORP[[#This Row],[RK]],TableQBCalcPts[RK],0)),"")</f>
        <v>8</v>
      </c>
      <c r="E4" s="248">
        <f>IFERROR(INDEX(TableQBCalcPts[Custom],MATCH(TableQBVORP[[#This Row],[RK]],TableQBCalcPts[RK],0)),"")</f>
        <v>384.78007617755509</v>
      </c>
      <c r="F4" s="249">
        <f>(IFERROR((TableQBVORP[[#This Row],[FPS]]-INDEX(TableQBVORP[FPS],MATCH(QBVORPCalc,TableQBVORP[RK],0)))/INDEX(TableQBVORP[FPS],MATCH(QBVORPCalc,TableQBVORP[RK],0)),""))+(TableRBVORP[[#This Row],[VORP]]*0.45)</f>
        <v>0.73363807622821087</v>
      </c>
      <c r="G4" s="246"/>
      <c r="H4" s="246">
        <v>3</v>
      </c>
      <c r="I4" s="247" t="str">
        <f>IFERROR(INDEX(TableRBCalcPts[PLAYER],MATCH(TableRBVORP[[#This Row],[RK]],TableRBCalcPts[RK],0)),"")</f>
        <v>Christian McCaffrey</v>
      </c>
      <c r="J4" s="247" t="str">
        <f>IFERROR(INDEX(TableRBCalcPts[TM],MATCH(TableRBVORP[[#This Row],[RK]],TableRBCalcPts[RK],0)),"")</f>
        <v>CAR</v>
      </c>
      <c r="K4" s="247">
        <f>IFERROR(INDEX(TableRBCalcPts[BYE],MATCH(TableRBVORP[[#This Row],[RK]],TableRBCalcPts[RK],0)),"")</f>
        <v>13</v>
      </c>
      <c r="L4" s="248">
        <f>IFERROR(INDEX(TableRBCalcPts[Custom],MATCH(TableRBVORP[[#This Row],[RK]],TableRBCalcPts[RK],0)),"")</f>
        <v>266.50050594933555</v>
      </c>
      <c r="M4" s="249">
        <f>IFERROR((TableRBVORP[[#This Row],[FPS]]-INDEX(TableRBVORP[FPS],MATCH(RBVORPCalc,TableRBVORP[RK],0)))/INDEX(TableRBVORP[FPS],MATCH(RBVORPCalc,TableRBVORP[RK],0)),"")</f>
        <v>1.6303068360626909</v>
      </c>
      <c r="N4" s="246"/>
      <c r="O4" s="246">
        <v>3</v>
      </c>
      <c r="P4" s="247" t="str">
        <f>IFERROR(INDEX(TableWRCalcPts[PLAYER],MATCH(TableWRVORP[[#This Row],[RK]],TableWRCalcPts[RK],0)),"")</f>
        <v>Deebo Samuel</v>
      </c>
      <c r="Q4" s="247" t="str">
        <f>IFERROR(INDEX(TableWRCalcPts[TM],MATCH(TableWRVORP[[#This Row],[RK]],TableWRCalcPts[RK],0)),"")</f>
        <v>SF</v>
      </c>
      <c r="R4" s="247">
        <f>IFERROR(INDEX(TableWRCalcPts[BYE],MATCH(TableWRVORP[[#This Row],[RK]],TableWRCalcPts[RK],0)),"")</f>
        <v>9</v>
      </c>
      <c r="S4" s="248">
        <f>IFERROR(INDEX(TableWRCalcPts[Custom],MATCH(TableWRVORP[[#This Row],[RK]],TableWRCalcPts[RK],0)),"")</f>
        <v>204.70306981913626</v>
      </c>
      <c r="T4" s="249">
        <f>IFERROR((TableWRVORP[[#This Row],[FPS]]-INDEX(TableWRVORP[FPS],MATCH(WRVORPCalc,TableWRVORP[RK],0)))/INDEX(TableWRVORP[FPS],MATCH(WRVORPCalc,TableWRVORP[RK],0)),"")</f>
        <v>0.8784838695525905</v>
      </c>
      <c r="U4" s="246"/>
      <c r="V4" s="246">
        <v>3</v>
      </c>
      <c r="W4" s="247" t="str">
        <f>IFERROR(INDEX(TableTECalcPts[PLAYER],MATCH(TableTEVORP[[#This Row],[RK]],TableTECalcPts[RK],0)),"")</f>
        <v>Kyle Pitts</v>
      </c>
      <c r="X4" s="247" t="str">
        <f>IFERROR(INDEX(TableTECalcPts[TM],MATCH(TableTEVORP[[#This Row],[RK]],TableTECalcPts[RK],0)),"")</f>
        <v>ATL</v>
      </c>
      <c r="Y4" s="247">
        <f>IFERROR(INDEX(TableTECalcPts[BYE],MATCH(TableTEVORP[[#This Row],[RK]],TableTECalcPts[RK],0)),"")</f>
        <v>14</v>
      </c>
      <c r="Z4" s="248">
        <f>IFERROR(INDEX(TableTECalcPts[Custom],MATCH(TableTEVORP[[#This Row],[RK]],TableTECalcPts[RK],0)),"")</f>
        <v>156.30374171587718</v>
      </c>
      <c r="AA4" s="249">
        <f>IFERROR((TableTEVORP[[#This Row],[FPS]]-INDEX(TableTEVORP[FPS],MATCH(TEVORPCalc,TableTEVORP[RK],0)))/INDEX(TableTEVORP[FPS],MATCH(TEVORPCalc,TableTEVORP[RK],0)),"")</f>
        <v>0.52562314054822512</v>
      </c>
      <c r="AB4" s="246"/>
      <c r="AC4" s="250" t="s">
        <v>358</v>
      </c>
      <c r="AD4" s="251">
        <f>(TEAMS*STARTING_WR)+(STARTING_WR*3)+(FLEXVORPCalc+(TEAMS-6))</f>
        <v>50</v>
      </c>
      <c r="AE4" s="250"/>
      <c r="AF4" s="250" t="s">
        <v>9</v>
      </c>
      <c r="AG4" s="250">
        <v>3</v>
      </c>
      <c r="AH4" s="251">
        <f>RANK(TableOverallMaster[[#This Row],[VORP]],TableOverallMaster[VORP])+COUNTIF($AM$2:AM4,AM4)-1</f>
        <v>27</v>
      </c>
      <c r="AI4" s="252" t="str">
        <f>IFERROR(INDEX(TableQBVORP[QUARTERBACK],MATCH(TableOverallMaster[[#This Row],[RK]],TableQBVORP[RK],0)),"")</f>
        <v>Justin Herbert</v>
      </c>
      <c r="AJ4" s="252" t="str">
        <f t="shared" si="0"/>
        <v>QB3</v>
      </c>
      <c r="AK4" s="252">
        <f>IFERROR(INDEX(TableQBVORP[BYE],MATCH(TableOverallMaster[[#This Row],[RK]],TableQBVORP[RK],0)),"")</f>
        <v>8</v>
      </c>
      <c r="AL4" s="253">
        <f>IFERROR(INDEX(TableQBVORP[FPS],MATCH(TableOverallMaster[[#This Row],[RK]],TableQBVORP[RK],0)),"")</f>
        <v>384.78007617755509</v>
      </c>
      <c r="AM4" s="254">
        <f>IFERROR(INDEX(TableQBVORP[VORP],MATCH(TableOverallMaster[[#This Row],[RK]],TableQBVORP[RK],0)),"")</f>
        <v>0.73363807622821087</v>
      </c>
      <c r="AN4" s="250"/>
      <c r="AO4" s="250">
        <v>3</v>
      </c>
      <c r="AP4" s="255" t="str">
        <f>IFERROR(INDEX(TableOverallMaster[OVERALL PLAYER],MATCH(TableOverallRank[[#This Row],[RK]],TableOverallMaster[OVR RK],0)),"")</f>
        <v>Christian McCaffrey</v>
      </c>
      <c r="AQ4" s="256" t="str">
        <f>IFERROR(INDEX(TableOverallMaster[POS RK],MATCH(TableOverallRank[[#This Row],[OVERALL PLAYER]],TableOverallMaster[OVERALL PLAYER],0)),"")</f>
        <v>RB3</v>
      </c>
      <c r="AR4" s="257">
        <f>IFERROR(INDEX(TableOverallMaster[BYE],MATCH(TableOverallRank[[#This Row],[OVERALL PLAYER]],TableOverallMaster[OVERALL PLAYER],0)),"")</f>
        <v>13</v>
      </c>
      <c r="AS4" s="258">
        <f>IFERROR(INDEX(TableOverallMaster[Custom],MATCH(TableOverallRank[[#This Row],[OVERALL PLAYER]],TableOverallMaster[OVERALL PLAYER],0)),"")</f>
        <v>266.50050594933555</v>
      </c>
      <c r="AT4" s="259">
        <f>IFERROR(INDEX(TableOverallMaster[VORP],MATCH(TableOverallRank[[#This Row],[OVERALL PLAYER]],TableOverallMaster[OVERALL PLAYER],0)),"")</f>
        <v>1.6303068360626909</v>
      </c>
      <c r="AU4" s="250"/>
      <c r="AV4" s="246">
        <v>3</v>
      </c>
      <c r="AW4" s="260" t="str">
        <f>IFERROR(INDEX(TableWRTECalcPts[PLAYER],MATCH(TableWRTERank[[#This Row],[RK]],TableWRTECalcPts[RK],0)),"")</f>
        <v>Deebo Samuel</v>
      </c>
      <c r="AX4" s="260" t="str">
        <f>IFERROR(INDEX(TableWRTECalcPts[POS RK],MATCH(TableWRTERank[[#This Row],[WR and TE COMBINED]],TableWRTECalcPts[PLAYER],0)),"")</f>
        <v>WR3</v>
      </c>
      <c r="AY4" s="260">
        <f>IFERROR(INDEX(TableWRTECalcPts[BYE],MATCH(TableWRTERank[[#This Row],[RK]],TableWRTECalcPts[RK],0)),"")</f>
        <v>9</v>
      </c>
      <c r="AZ4" s="261">
        <f>IFERROR(INDEX(TableWRTECalcPts[Custom],MATCH(TableWRTERank[[#This Row],[RK]],TableWRTECalcPts[RK],0)),"")</f>
        <v>204.70306981913626</v>
      </c>
      <c r="BA4" s="249">
        <f>IFERROR((TableWRTERank[[#This Row],[FPS]]-INDEX(TableWRTERank[FPS],MATCH(WRTEVORPCalc,TableWRTERank[RK],0)))/INDEX(TableWRTERank[FPS],MATCH(WRTEVORPCalc,TableWRTERank[RK],0)),"")</f>
        <v>0.72381305735302359</v>
      </c>
      <c r="BC4" s="124" t="s">
        <v>358</v>
      </c>
      <c r="BD4" s="124">
        <v>3</v>
      </c>
      <c r="BE4" s="262">
        <f>RANK(TableWRTEMaster[[#This Row],[VORP]],TableWRTEMaster[VORP])+COUNTIF($BJ$2:BJ4,BJ4)-1</f>
        <v>3</v>
      </c>
      <c r="BF4" s="263" t="str">
        <f>IFERROR(INDEX(TableWRVORP[WIDE RECEIVER],MATCH(TableWRTEMaster[[#This Row],[RK]],TableWRVORP[RK],0)),"")</f>
        <v>Deebo Samuel</v>
      </c>
      <c r="BG4" s="263" t="str">
        <f>_xlfn.CONCAT(TableWRTEMaster[[#This Row],[POS]],TableWRTEMaster[[#This Row],[RK]])</f>
        <v>WR3</v>
      </c>
      <c r="BH4" s="263">
        <f>IFERROR(INDEX(TableWRVORP[BYE],MATCH(TableWRTEMaster[[#This Row],[RK]],TableWRVORP[RK],0)),"")</f>
        <v>9</v>
      </c>
      <c r="BI4" s="264">
        <f>IFERROR(INDEX(TableWRVORP[FPS],MATCH(TableWRTEMaster[[#This Row],[RK]],TableWRVORP[RK],0)),"")</f>
        <v>204.70306981913626</v>
      </c>
      <c r="BJ4" s="254">
        <f>IFERROR(INDEX(TableWRVORP[VORP],MATCH(TableWRTEMaster[[#This Row],[RK]],TableWRVORP[RK],0)),"")</f>
        <v>0.8784838695525905</v>
      </c>
      <c r="BL4" s="250" t="s">
        <v>358</v>
      </c>
      <c r="BM4" s="282">
        <f>SUMIF(T:T,"&gt;0")</f>
        <v>17.639626466295176</v>
      </c>
    </row>
    <row r="5" spans="1:66" x14ac:dyDescent="0.3">
      <c r="A5" s="246">
        <v>4</v>
      </c>
      <c r="B5" s="247" t="str">
        <f>IFERROR(INDEX(TableQBCalcPts[PLAYER],MATCH(TableQBVORP[[#This Row],[RK]],TableQBCalcPts[RK],0)),"")</f>
        <v>Patrick Mahomes</v>
      </c>
      <c r="C5" s="247" t="str">
        <f>IFERROR(INDEX(TableQBCalcPts[TM],MATCH(TableQBVORP[[#This Row],[RK]],TableQBCalcPts[RK],0)),"")</f>
        <v>KC</v>
      </c>
      <c r="D5" s="247">
        <f>IFERROR(INDEX(TableQBCalcPts[BYE],MATCH(TableQBVORP[[#This Row],[RK]],TableQBCalcPts[RK],0)),"")</f>
        <v>8</v>
      </c>
      <c r="E5" s="248">
        <f>IFERROR(INDEX(TableQBCalcPts[Custom],MATCH(TableQBVORP[[#This Row],[RK]],TableQBCalcPts[RK],0)),"")</f>
        <v>384.34597458539344</v>
      </c>
      <c r="F5" s="249">
        <f>(IFERROR((TableQBVORP[[#This Row],[FPS]]-INDEX(TableQBVORP[FPS],MATCH(QBVORPCalc,TableQBVORP[RK],0)))/INDEX(TableQBVORP[FPS],MATCH(QBVORPCalc,TableQBVORP[RK],0)),""))+(TableRBVORP[[#This Row],[VORP]]*0.45)</f>
        <v>0.62439223670943589</v>
      </c>
      <c r="G5" s="246"/>
      <c r="H5" s="246">
        <v>4</v>
      </c>
      <c r="I5" s="247" t="str">
        <f>IFERROR(INDEX(TableRBCalcPts[PLAYER],MATCH(TableRBVORP[[#This Row],[RK]],TableRBCalcPts[RK],0)),"")</f>
        <v>Najee Harris</v>
      </c>
      <c r="J5" s="247" t="str">
        <f>IFERROR(INDEX(TableRBCalcPts[TM],MATCH(TableRBVORP[[#This Row],[RK]],TableRBCalcPts[RK],0)),"")</f>
        <v>PIT</v>
      </c>
      <c r="K5" s="247">
        <f>IFERROR(INDEX(TableRBCalcPts[BYE],MATCH(TableRBVORP[[#This Row],[RK]],TableRBCalcPts[RK],0)),"")</f>
        <v>9</v>
      </c>
      <c r="L5" s="248">
        <f>IFERROR(INDEX(TableRBCalcPts[Custom],MATCH(TableRBVORP[[#This Row],[RK]],TableRBCalcPts[RK],0)),"")</f>
        <v>242.15741386619138</v>
      </c>
      <c r="M5" s="249">
        <f>IFERROR((TableRBVORP[[#This Row],[FPS]]-INDEX(TableRBVORP[FPS],MATCH(RBVORPCalc,TableRBVORP[RK],0)))/INDEX(TableRBVORP[FPS],MATCH(RBVORPCalc,TableRBVORP[RK],0)),"")</f>
        <v>1.3900453728091453</v>
      </c>
      <c r="N5" s="246"/>
      <c r="O5" s="246">
        <v>4</v>
      </c>
      <c r="P5" s="247" t="str">
        <f>IFERROR(INDEX(TableWRCalcPts[PLAYER],MATCH(TableWRVORP[[#This Row],[RK]],TableWRCalcPts[RK],0)),"")</f>
        <v>Justin Jefferson</v>
      </c>
      <c r="Q5" s="247" t="str">
        <f>IFERROR(INDEX(TableWRCalcPts[TM],MATCH(TableWRVORP[[#This Row],[RK]],TableWRCalcPts[RK],0)),"")</f>
        <v>MIN</v>
      </c>
      <c r="R5" s="247">
        <f>IFERROR(INDEX(TableWRCalcPts[BYE],MATCH(TableWRVORP[[#This Row],[RK]],TableWRCalcPts[RK],0)),"")</f>
        <v>7</v>
      </c>
      <c r="S5" s="248">
        <f>IFERROR(INDEX(TableWRCalcPts[Custom],MATCH(TableWRVORP[[#This Row],[RK]],TableWRCalcPts[RK],0)),"")</f>
        <v>202.65658638405648</v>
      </c>
      <c r="T5" s="249">
        <f>IFERROR((TableWRVORP[[#This Row],[FPS]]-INDEX(TableWRVORP[FPS],MATCH(WRVORPCalc,TableWRVORP[RK],0)))/INDEX(TableWRVORP[FPS],MATCH(WRVORPCalc,TableWRVORP[RK],0)),"")</f>
        <v>0.85970405288691698</v>
      </c>
      <c r="U5" s="246"/>
      <c r="V5" s="246">
        <v>4</v>
      </c>
      <c r="W5" s="247" t="str">
        <f>IFERROR(INDEX(TableTECalcPts[PLAYER],MATCH(TableTEVORP[[#This Row],[RK]],TableTECalcPts[RK],0)),"")</f>
        <v>Darren Waller</v>
      </c>
      <c r="X5" s="247" t="str">
        <f>IFERROR(INDEX(TableTECalcPts[TM],MATCH(TableTEVORP[[#This Row],[RK]],TableTECalcPts[RK],0)),"")</f>
        <v>LV</v>
      </c>
      <c r="Y5" s="247">
        <f>IFERROR(INDEX(TableTECalcPts[BYE],MATCH(TableTEVORP[[#This Row],[RK]],TableTECalcPts[RK],0)),"")</f>
        <v>6</v>
      </c>
      <c r="Z5" s="248">
        <f>IFERROR(INDEX(TableTECalcPts[Custom],MATCH(TableTEVORP[[#This Row],[RK]],TableTECalcPts[RK],0)),"")</f>
        <v>131.83146212938658</v>
      </c>
      <c r="AA5" s="249">
        <f>IFERROR((TableTEVORP[[#This Row],[FPS]]-INDEX(TableTEVORP[FPS],MATCH(TEVORPCalc,TableTEVORP[RK],0)))/INDEX(TableTEVORP[FPS],MATCH(TEVORPCalc,TableTEVORP[RK],0)),"")</f>
        <v>0.28675825075574035</v>
      </c>
      <c r="AB5" s="246"/>
      <c r="AC5" s="250" t="s">
        <v>10</v>
      </c>
      <c r="AD5" s="251">
        <f>TEAMS*STARTING_TE</f>
        <v>10</v>
      </c>
      <c r="AE5" s="250"/>
      <c r="AF5" s="250" t="s">
        <v>9</v>
      </c>
      <c r="AG5" s="250">
        <v>4</v>
      </c>
      <c r="AH5" s="251">
        <f>RANK(TableOverallMaster[[#This Row],[VORP]],TableOverallMaster[VORP])+COUNTIF($AM$2:AM5,AM5)-1</f>
        <v>35</v>
      </c>
      <c r="AI5" s="252" t="str">
        <f>IFERROR(INDEX(TableQBVORP[QUARTERBACK],MATCH(TableOverallMaster[[#This Row],[RK]],TableQBVORP[RK],0)),"")</f>
        <v>Patrick Mahomes</v>
      </c>
      <c r="AJ5" s="252" t="str">
        <f t="shared" si="0"/>
        <v>QB4</v>
      </c>
      <c r="AK5" s="252">
        <f>IFERROR(INDEX(TableQBVORP[BYE],MATCH(TableOverallMaster[[#This Row],[RK]],TableQBVORP[RK],0)),"")</f>
        <v>8</v>
      </c>
      <c r="AL5" s="253">
        <f>IFERROR(INDEX(TableQBVORP[FPS],MATCH(TableOverallMaster[[#This Row],[RK]],TableQBVORP[RK],0)),"")</f>
        <v>384.34597458539344</v>
      </c>
      <c r="AM5" s="254">
        <f>IFERROR(INDEX(TableQBVORP[VORP],MATCH(TableOverallMaster[[#This Row],[RK]],TableQBVORP[RK],0)),"")</f>
        <v>0.62439223670943589</v>
      </c>
      <c r="AN5" s="250"/>
      <c r="AO5" s="250">
        <v>4</v>
      </c>
      <c r="AP5" s="255" t="str">
        <f>IFERROR(INDEX(TableOverallMaster[OVERALL PLAYER],MATCH(TableOverallRank[[#This Row],[RK]],TableOverallMaster[OVR RK],0)),"")</f>
        <v>Najee Harris</v>
      </c>
      <c r="AQ5" s="256" t="str">
        <f>IFERROR(INDEX(TableOverallMaster[POS RK],MATCH(TableOverallRank[[#This Row],[OVERALL PLAYER]],TableOverallMaster[OVERALL PLAYER],0)),"")</f>
        <v>RB4</v>
      </c>
      <c r="AR5" s="257">
        <f>IFERROR(INDEX(TableOverallMaster[BYE],MATCH(TableOverallRank[[#This Row],[OVERALL PLAYER]],TableOverallMaster[OVERALL PLAYER],0)),"")</f>
        <v>9</v>
      </c>
      <c r="AS5" s="258">
        <f>IFERROR(INDEX(TableOverallMaster[Custom],MATCH(TableOverallRank[[#This Row],[OVERALL PLAYER]],TableOverallMaster[OVERALL PLAYER],0)),"")</f>
        <v>242.15741386619138</v>
      </c>
      <c r="AT5" s="259">
        <f>IFERROR(INDEX(TableOverallMaster[VORP],MATCH(TableOverallRank[[#This Row],[OVERALL PLAYER]],TableOverallMaster[OVERALL PLAYER],0)),"")</f>
        <v>1.3900453728091453</v>
      </c>
      <c r="AU5" s="250"/>
      <c r="AV5" s="246">
        <v>4</v>
      </c>
      <c r="AW5" s="260" t="str">
        <f>IFERROR(INDEX(TableWRTECalcPts[PLAYER],MATCH(TableWRTERank[[#This Row],[RK]],TableWRTECalcPts[RK],0)),"")</f>
        <v>Justin Jefferson</v>
      </c>
      <c r="AX5" s="260" t="str">
        <f>IFERROR(INDEX(TableWRTECalcPts[POS RK],MATCH(TableWRTERank[[#This Row],[WR and TE COMBINED]],TableWRTECalcPts[PLAYER],0)),"")</f>
        <v>WR4</v>
      </c>
      <c r="AY5" s="260">
        <f>IFERROR(INDEX(TableWRTECalcPts[BYE],MATCH(TableWRTERank[[#This Row],[RK]],TableWRTECalcPts[RK],0)),"")</f>
        <v>7</v>
      </c>
      <c r="AZ5" s="261">
        <f>IFERROR(INDEX(TableWRTECalcPts[Custom],MATCH(TableWRTERank[[#This Row],[RK]],TableWRTECalcPts[RK],0)),"")</f>
        <v>202.65658638405648</v>
      </c>
      <c r="BA5" s="249">
        <f>IFERROR((TableWRTERank[[#This Row],[FPS]]-INDEX(TableWRTERank[FPS],MATCH(WRTEVORPCalc,TableWRTERank[RK],0)))/INDEX(TableWRTERank[FPS],MATCH(WRTEVORPCalc,TableWRTERank[RK],0)),"")</f>
        <v>0.70657953530489748</v>
      </c>
      <c r="BC5" s="124" t="s">
        <v>358</v>
      </c>
      <c r="BD5" s="124">
        <v>4</v>
      </c>
      <c r="BE5" s="262">
        <f>RANK(TableWRTEMaster[[#This Row],[VORP]],TableWRTEMaster[VORP])+COUNTIF($BJ$2:BJ5,BJ5)-1</f>
        <v>4</v>
      </c>
      <c r="BF5" s="263" t="str">
        <f>IFERROR(INDEX(TableWRVORP[WIDE RECEIVER],MATCH(TableWRTEMaster[[#This Row],[RK]],TableWRVORP[RK],0)),"")</f>
        <v>Justin Jefferson</v>
      </c>
      <c r="BG5" s="263" t="str">
        <f>_xlfn.CONCAT(TableWRTEMaster[[#This Row],[POS]],TableWRTEMaster[[#This Row],[RK]])</f>
        <v>WR4</v>
      </c>
      <c r="BH5" s="263">
        <f>IFERROR(INDEX(TableWRVORP[BYE],MATCH(TableWRTEMaster[[#This Row],[RK]],TableWRVORP[RK],0)),"")</f>
        <v>7</v>
      </c>
      <c r="BI5" s="264">
        <f>IFERROR(INDEX(TableWRVORP[FPS],MATCH(TableWRTEMaster[[#This Row],[RK]],TableWRVORP[RK],0)),"")</f>
        <v>202.65658638405648</v>
      </c>
      <c r="BJ5" s="254">
        <f>IFERROR(INDEX(TableWRVORP[VORP],MATCH(TableWRTEMaster[[#This Row],[RK]],TableWRVORP[RK],0)),"")</f>
        <v>0.85970405288691698</v>
      </c>
      <c r="BL5" s="250" t="s">
        <v>10</v>
      </c>
      <c r="BM5" s="282">
        <f>SUMIF(AA:AA,"&gt;0")</f>
        <v>2.6090314539526043</v>
      </c>
    </row>
    <row r="6" spans="1:66" x14ac:dyDescent="0.3">
      <c r="A6" s="246">
        <v>5</v>
      </c>
      <c r="B6" s="247" t="str">
        <f>IFERROR(INDEX(TableQBCalcPts[PLAYER],MATCH(TableQBVORP[[#This Row],[RK]],TableQBCalcPts[RK],0)),"")</f>
        <v>Lamar Jackson</v>
      </c>
      <c r="C6" s="247" t="str">
        <f>IFERROR(INDEX(TableQBCalcPts[TM],MATCH(TableQBVORP[[#This Row],[RK]],TableQBCalcPts[RK],0)),"")</f>
        <v>BAL</v>
      </c>
      <c r="D6" s="247">
        <f>IFERROR(INDEX(TableQBCalcPts[BYE],MATCH(TableQBVORP[[#This Row],[RK]],TableQBCalcPts[RK],0)),"")</f>
        <v>10</v>
      </c>
      <c r="E6" s="248">
        <f>IFERROR(INDEX(TableQBCalcPts[Custom],MATCH(TableQBVORP[[#This Row],[RK]],TableQBCalcPts[RK],0)),"")</f>
        <v>381.77774616144228</v>
      </c>
      <c r="F6" s="249">
        <f>(IFERROR((TableQBVORP[[#This Row],[FPS]]-INDEX(TableQBVORP[FPS],MATCH(QBVORPCalc,TableQBVORP[RK],0)))/INDEX(TableQBVORP[FPS],MATCH(QBVORPCalc,TableQBVORP[RK],0)),""))+(TableRBVORP[[#This Row],[VORP]]*0.45)</f>
        <v>0.57412262512358048</v>
      </c>
      <c r="G6" s="246"/>
      <c r="H6" s="246">
        <v>5</v>
      </c>
      <c r="I6" s="247" t="str">
        <f>IFERROR(INDEX(TableRBCalcPts[PLAYER],MATCH(TableRBVORP[[#This Row],[RK]],TableRBCalcPts[RK],0)),"")</f>
        <v>Austin Ekeler</v>
      </c>
      <c r="J6" s="247" t="str">
        <f>IFERROR(INDEX(TableRBCalcPts[TM],MATCH(TableRBVORP[[#This Row],[RK]],TableRBCalcPts[RK],0)),"")</f>
        <v>LAC</v>
      </c>
      <c r="K6" s="247">
        <f>IFERROR(INDEX(TableRBCalcPts[BYE],MATCH(TableRBVORP[[#This Row],[RK]],TableRBCalcPts[RK],0)),"")</f>
        <v>8</v>
      </c>
      <c r="L6" s="248">
        <f>IFERROR(INDEX(TableRBCalcPts[Custom],MATCH(TableRBVORP[[#This Row],[RK]],TableRBCalcPts[RK],0)),"")</f>
        <v>232.34182076714802</v>
      </c>
      <c r="M6" s="249">
        <f>IFERROR((TableRBVORP[[#This Row],[FPS]]-INDEX(TableRBVORP[FPS],MATCH(RBVORPCalc,TableRBVORP[RK],0)))/INDEX(TableRBVORP[FPS],MATCH(RBVORPCalc,TableRBVORP[RK],0)),"")</f>
        <v>1.2931674267937938</v>
      </c>
      <c r="N6" s="246"/>
      <c r="O6" s="246">
        <v>5</v>
      </c>
      <c r="P6" s="247" t="str">
        <f>IFERROR(INDEX(TableWRCalcPts[PLAYER],MATCH(TableWRVORP[[#This Row],[RK]],TableWRCalcPts[RK],0)),"")</f>
        <v>Stefon Diggs</v>
      </c>
      <c r="Q6" s="247" t="str">
        <f>IFERROR(INDEX(TableWRCalcPts[TM],MATCH(TableWRVORP[[#This Row],[RK]],TableWRCalcPts[RK],0)),"")</f>
        <v>BUF</v>
      </c>
      <c r="R6" s="247">
        <f>IFERROR(INDEX(TableWRCalcPts[BYE],MATCH(TableWRVORP[[#This Row],[RK]],TableWRCalcPts[RK],0)),"")</f>
        <v>7</v>
      </c>
      <c r="S6" s="248">
        <f>IFERROR(INDEX(TableWRCalcPts[Custom],MATCH(TableWRVORP[[#This Row],[RK]],TableWRCalcPts[RK],0)),"")</f>
        <v>187.79224518431042</v>
      </c>
      <c r="T6" s="249">
        <f>IFERROR((TableWRVORP[[#This Row],[FPS]]-INDEX(TableWRVORP[FPS],MATCH(WRVORPCalc,TableWRVORP[RK],0)))/INDEX(TableWRVORP[FPS],MATCH(WRVORPCalc,TableWRVORP[RK],0)),"")</f>
        <v>0.72329952705386713</v>
      </c>
      <c r="U6" s="246"/>
      <c r="V6" s="246">
        <v>5</v>
      </c>
      <c r="W6" s="247" t="str">
        <f>IFERROR(INDEX(TableTECalcPts[PLAYER],MATCH(TableTEVORP[[#This Row],[RK]],TableTECalcPts[RK],0)),"")</f>
        <v>George Kittle</v>
      </c>
      <c r="X6" s="247" t="str">
        <f>IFERROR(INDEX(TableTECalcPts[TM],MATCH(TableTEVORP[[#This Row],[RK]],TableTECalcPts[RK],0)),"")</f>
        <v>SF</v>
      </c>
      <c r="Y6" s="247">
        <f>IFERROR(INDEX(TableTECalcPts[BYE],MATCH(TableTEVORP[[#This Row],[RK]],TableTECalcPts[RK],0)),"")</f>
        <v>9</v>
      </c>
      <c r="Z6" s="248">
        <f>IFERROR(INDEX(TableTECalcPts[Custom],MATCH(TableTEVORP[[#This Row],[RK]],TableTECalcPts[RK],0)),"")</f>
        <v>126.30437701272027</v>
      </c>
      <c r="AA6" s="249">
        <f>IFERROR((TableTEVORP[[#This Row],[FPS]]-INDEX(TableTEVORP[FPS],MATCH(TEVORPCalc,TableTEVORP[RK],0)))/INDEX(TableTEVORP[FPS],MATCH(TEVORPCalc,TableTEVORP[RK],0)),"")</f>
        <v>0.23281041264772095</v>
      </c>
      <c r="AB6" s="246"/>
      <c r="AC6" s="250" t="s">
        <v>549</v>
      </c>
      <c r="AD6" s="251">
        <f>TEAMS*STARTING_FLEX</f>
        <v>20</v>
      </c>
      <c r="AE6" s="250"/>
      <c r="AF6" s="250" t="s">
        <v>9</v>
      </c>
      <c r="AG6" s="250">
        <v>5</v>
      </c>
      <c r="AH6" s="251">
        <f>RANK(TableOverallMaster[[#This Row],[VORP]],TableOverallMaster[VORP])+COUNTIF($AM$2:AM6,AM6)-1</f>
        <v>40</v>
      </c>
      <c r="AI6" s="252" t="str">
        <f>IFERROR(INDEX(TableQBVORP[QUARTERBACK],MATCH(TableOverallMaster[[#This Row],[RK]],TableQBVORP[RK],0)),"")</f>
        <v>Lamar Jackson</v>
      </c>
      <c r="AJ6" s="252" t="str">
        <f t="shared" si="0"/>
        <v>QB5</v>
      </c>
      <c r="AK6" s="252">
        <f>IFERROR(INDEX(TableQBVORP[BYE],MATCH(TableOverallMaster[[#This Row],[RK]],TableQBVORP[RK],0)),"")</f>
        <v>10</v>
      </c>
      <c r="AL6" s="253">
        <f>IFERROR(INDEX(TableQBVORP[FPS],MATCH(TableOverallMaster[[#This Row],[RK]],TableQBVORP[RK],0)),"")</f>
        <v>381.77774616144228</v>
      </c>
      <c r="AM6" s="254">
        <f>IFERROR(INDEX(TableQBVORP[VORP],MATCH(TableOverallMaster[[#This Row],[RK]],TableQBVORP[RK],0)),"")</f>
        <v>0.57412262512358048</v>
      </c>
      <c r="AN6" s="250"/>
      <c r="AO6" s="250">
        <v>5</v>
      </c>
      <c r="AP6" s="255" t="str">
        <f>IFERROR(INDEX(TableOverallMaster[OVERALL PLAYER],MATCH(TableOverallRank[[#This Row],[RK]],TableOverallMaster[OVR RK],0)),"")</f>
        <v>Austin Ekeler</v>
      </c>
      <c r="AQ6" s="256" t="str">
        <f>IFERROR(INDEX(TableOverallMaster[POS RK],MATCH(TableOverallRank[[#This Row],[OVERALL PLAYER]],TableOverallMaster[OVERALL PLAYER],0)),"")</f>
        <v>RB5</v>
      </c>
      <c r="AR6" s="257">
        <f>IFERROR(INDEX(TableOverallMaster[BYE],MATCH(TableOverallRank[[#This Row],[OVERALL PLAYER]],TableOverallMaster[OVERALL PLAYER],0)),"")</f>
        <v>8</v>
      </c>
      <c r="AS6" s="258">
        <f>IFERROR(INDEX(TableOverallMaster[Custom],MATCH(TableOverallRank[[#This Row],[OVERALL PLAYER]],TableOverallMaster[OVERALL PLAYER],0)),"")</f>
        <v>232.34182076714802</v>
      </c>
      <c r="AT6" s="259">
        <f>IFERROR(INDEX(TableOverallMaster[VORP],MATCH(TableOverallRank[[#This Row],[OVERALL PLAYER]],TableOverallMaster[OVERALL PLAYER],0)),"")</f>
        <v>1.2931674267937938</v>
      </c>
      <c r="AU6" s="250"/>
      <c r="AV6" s="246">
        <v>5</v>
      </c>
      <c r="AW6" s="260" t="str">
        <f>IFERROR(INDEX(TableWRTECalcPts[PLAYER],MATCH(TableWRTERank[[#This Row],[RK]],TableWRTECalcPts[RK],0)),"")</f>
        <v>Stefon Diggs</v>
      </c>
      <c r="AX6" s="260" t="str">
        <f>IFERROR(INDEX(TableWRTECalcPts[POS RK],MATCH(TableWRTERank[[#This Row],[WR and TE COMBINED]],TableWRTECalcPts[PLAYER],0)),"")</f>
        <v>WR5</v>
      </c>
      <c r="AY6" s="260">
        <f>IFERROR(INDEX(TableWRTECalcPts[BYE],MATCH(TableWRTERank[[#This Row],[RK]],TableWRTECalcPts[RK],0)),"")</f>
        <v>7</v>
      </c>
      <c r="AZ6" s="261">
        <f>IFERROR(INDEX(TableWRTECalcPts[Custom],MATCH(TableWRTERank[[#This Row],[RK]],TableWRTECalcPts[RK],0)),"")</f>
        <v>187.79224518431042</v>
      </c>
      <c r="BA6" s="249">
        <f>IFERROR((TableWRTERank[[#This Row],[FPS]]-INDEX(TableWRTERank[FPS],MATCH(WRTEVORPCalc,TableWRTERank[RK],0)))/INDEX(TableWRTERank[FPS],MATCH(WRTEVORPCalc,TableWRTERank[RK],0)),"")</f>
        <v>0.58140630037631491</v>
      </c>
      <c r="BC6" s="124" t="s">
        <v>358</v>
      </c>
      <c r="BD6" s="124">
        <v>5</v>
      </c>
      <c r="BE6" s="262">
        <f>RANK(TableWRTEMaster[[#This Row],[VORP]],TableWRTEMaster[VORP])+COUNTIF($BJ$2:BJ6,BJ6)-1</f>
        <v>5</v>
      </c>
      <c r="BF6" s="263" t="str">
        <f>IFERROR(INDEX(TableWRVORP[WIDE RECEIVER],MATCH(TableWRTEMaster[[#This Row],[RK]],TableWRVORP[RK],0)),"")</f>
        <v>Stefon Diggs</v>
      </c>
      <c r="BG6" s="263" t="str">
        <f>_xlfn.CONCAT(TableWRTEMaster[[#This Row],[POS]],TableWRTEMaster[[#This Row],[RK]])</f>
        <v>WR5</v>
      </c>
      <c r="BH6" s="263">
        <f>IFERROR(INDEX(TableWRVORP[BYE],MATCH(TableWRTEMaster[[#This Row],[RK]],TableWRVORP[RK],0)),"")</f>
        <v>7</v>
      </c>
      <c r="BI6" s="264">
        <f>IFERROR(INDEX(TableWRVORP[FPS],MATCH(TableWRTEMaster[[#This Row],[RK]],TableWRVORP[RK],0)),"")</f>
        <v>187.79224518431042</v>
      </c>
      <c r="BJ6" s="254">
        <f>IFERROR(INDEX(TableWRVORP[VORP],MATCH(TableWRTEMaster[[#This Row],[RK]],TableWRVORP[RK],0)),"")</f>
        <v>0.72329952705386713</v>
      </c>
      <c r="BM6" s="282">
        <f>SUM(BM2:BM5)</f>
        <v>58.445721761806368</v>
      </c>
      <c r="BN6" s="167"/>
    </row>
    <row r="7" spans="1:66" x14ac:dyDescent="0.3">
      <c r="A7" s="246">
        <v>6</v>
      </c>
      <c r="B7" s="247" t="str">
        <f>IFERROR(INDEX(TableQBCalcPts[PLAYER],MATCH(TableQBVORP[[#This Row],[RK]],TableQBCalcPts[RK],0)),"")</f>
        <v>Joe Burrow</v>
      </c>
      <c r="C7" s="247" t="str">
        <f>IFERROR(INDEX(TableQBCalcPts[TM],MATCH(TableQBVORP[[#This Row],[RK]],TableQBCalcPts[RK],0)),"")</f>
        <v>CIN</v>
      </c>
      <c r="D7" s="247">
        <f>IFERROR(INDEX(TableQBCalcPts[BYE],MATCH(TableQBVORP[[#This Row],[RK]],TableQBCalcPts[RK],0)),"")</f>
        <v>10</v>
      </c>
      <c r="E7" s="248">
        <f>IFERROR(INDEX(TableQBCalcPts[Custom],MATCH(TableQBVORP[[#This Row],[RK]],TableQBCalcPts[RK],0)),"")</f>
        <v>361.68235807563957</v>
      </c>
      <c r="F7" s="249">
        <f>(IFERROR((TableQBVORP[[#This Row],[FPS]]-INDEX(TableQBVORP[FPS],MATCH(QBVORPCalc,TableQBVORP[RK],0)))/INDEX(TableQBVORP[FPS],MATCH(QBVORPCalc,TableQBVORP[RK],0)),""))+(TableRBVORP[[#This Row],[VORP]]*0.45)</f>
        <v>0.48911243545299993</v>
      </c>
      <c r="G7" s="246"/>
      <c r="H7" s="246">
        <v>6</v>
      </c>
      <c r="I7" s="247" t="str">
        <f>IFERROR(INDEX(TableRBCalcPts[PLAYER],MATCH(TableRBVORP[[#This Row],[RK]],TableRBCalcPts[RK],0)),"")</f>
        <v>Joe Mixon</v>
      </c>
      <c r="J7" s="247" t="str">
        <f>IFERROR(INDEX(TableRBCalcPts[TM],MATCH(TableRBVORP[[#This Row],[RK]],TableRBCalcPts[RK],0)),"")</f>
        <v>CIN</v>
      </c>
      <c r="K7" s="247">
        <f>IFERROR(INDEX(TableRBCalcPts[BYE],MATCH(TableRBVORP[[#This Row],[RK]],TableRBCalcPts[RK],0)),"")</f>
        <v>10</v>
      </c>
      <c r="L7" s="248">
        <f>IFERROR(INDEX(TableRBCalcPts[Custom],MATCH(TableRBVORP[[#This Row],[RK]],TableRBCalcPts[RK],0)),"")</f>
        <v>224.96025910261358</v>
      </c>
      <c r="M7" s="249">
        <f>IFERROR((TableRBVORP[[#This Row],[FPS]]-INDEX(TableRBVORP[FPS],MATCH(RBVORPCalc,TableRBVORP[RK],0)))/INDEX(TableRBVORP[FPS],MATCH(RBVORPCalc,TableRBVORP[RK],0)),"")</f>
        <v>1.2203128855317433</v>
      </c>
      <c r="N7" s="246"/>
      <c r="O7" s="246">
        <v>6</v>
      </c>
      <c r="P7" s="247" t="str">
        <f>IFERROR(INDEX(TableWRCalcPts[PLAYER],MATCH(TableWRVORP[[#This Row],[RK]],TableWRCalcPts[RK],0)),"")</f>
        <v>Davante Adams</v>
      </c>
      <c r="Q7" s="247" t="str">
        <f>IFERROR(INDEX(TableWRCalcPts[TM],MATCH(TableWRVORP[[#This Row],[RK]],TableWRCalcPts[RK],0)),"")</f>
        <v>LV</v>
      </c>
      <c r="R7" s="247">
        <f>IFERROR(INDEX(TableWRCalcPts[BYE],MATCH(TableWRVORP[[#This Row],[RK]],TableWRCalcPts[RK],0)),"")</f>
        <v>6</v>
      </c>
      <c r="S7" s="248">
        <f>IFERROR(INDEX(TableWRCalcPts[Custom],MATCH(TableWRVORP[[#This Row],[RK]],TableWRCalcPts[RK],0)),"")</f>
        <v>186.68481728142513</v>
      </c>
      <c r="T7" s="249">
        <f>IFERROR((TableWRVORP[[#This Row],[FPS]]-INDEX(TableWRVORP[FPS],MATCH(WRVORPCalc,TableWRVORP[RK],0)))/INDEX(TableWRVORP[FPS],MATCH(WRVORPCalc,TableWRVORP[RK],0)),"")</f>
        <v>0.71313707343702348</v>
      </c>
      <c r="U7" s="246"/>
      <c r="V7" s="246">
        <v>6</v>
      </c>
      <c r="W7" s="247" t="str">
        <f>IFERROR(INDEX(TableTECalcPts[PLAYER],MATCH(TableTEVORP[[#This Row],[RK]],TableTECalcPts[RK],0)),"")</f>
        <v>Dallas Goedert</v>
      </c>
      <c r="X7" s="247" t="str">
        <f>IFERROR(INDEX(TableTECalcPts[TM],MATCH(TableTEVORP[[#This Row],[RK]],TableTECalcPts[RK],0)),"")</f>
        <v>PHI</v>
      </c>
      <c r="Y7" s="247">
        <f>IFERROR(INDEX(TableTECalcPts[BYE],MATCH(TableTEVORP[[#This Row],[RK]],TableTECalcPts[RK],0)),"")</f>
        <v>7</v>
      </c>
      <c r="Z7" s="248">
        <f>IFERROR(INDEX(TableTECalcPts[Custom],MATCH(TableTEVORP[[#This Row],[RK]],TableTECalcPts[RK],0)),"")</f>
        <v>119.68741678217346</v>
      </c>
      <c r="AA7" s="249">
        <f>IFERROR((TableTEVORP[[#This Row],[FPS]]-INDEX(TableTEVORP[FPS],MATCH(TEVORPCalc,TableTEVORP[RK],0)))/INDEX(TableTEVORP[FPS],MATCH(TEVORPCalc,TableTEVORP[RK],0)),"")</f>
        <v>0.16822470576067919</v>
      </c>
      <c r="AB7" s="246"/>
      <c r="AC7" s="250" t="s">
        <v>548</v>
      </c>
      <c r="AD7" s="251">
        <f>TEAMS*STARTING_SUPERFLEX</f>
        <v>0</v>
      </c>
      <c r="AE7" s="250"/>
      <c r="AF7" s="250" t="s">
        <v>9</v>
      </c>
      <c r="AG7" s="250">
        <v>6</v>
      </c>
      <c r="AH7" s="251">
        <f>RANK(TableOverallMaster[[#This Row],[VORP]],TableOverallMaster[VORP])+COUNTIF($AM$2:AM7,AM7)-1</f>
        <v>46</v>
      </c>
      <c r="AI7" s="252" t="str">
        <f>IFERROR(INDEX(TableQBVORP[QUARTERBACK],MATCH(TableOverallMaster[[#This Row],[RK]],TableQBVORP[RK],0)),"")</f>
        <v>Joe Burrow</v>
      </c>
      <c r="AJ7" s="252" t="str">
        <f t="shared" si="0"/>
        <v>QB6</v>
      </c>
      <c r="AK7" s="252">
        <f>IFERROR(INDEX(TableQBVORP[BYE],MATCH(TableOverallMaster[[#This Row],[RK]],TableQBVORP[RK],0)),"")</f>
        <v>10</v>
      </c>
      <c r="AL7" s="253">
        <f>IFERROR(INDEX(TableQBVORP[FPS],MATCH(TableOverallMaster[[#This Row],[RK]],TableQBVORP[RK],0)),"")</f>
        <v>361.68235807563957</v>
      </c>
      <c r="AM7" s="254">
        <f>IFERROR(INDEX(TableQBVORP[VORP],MATCH(TableOverallMaster[[#This Row],[RK]],TableQBVORP[RK],0)),"")</f>
        <v>0.48911243545299993</v>
      </c>
      <c r="AN7" s="250"/>
      <c r="AO7" s="250">
        <v>6</v>
      </c>
      <c r="AP7" s="255" t="str">
        <f>IFERROR(INDEX(TableOverallMaster[OVERALL PLAYER],MATCH(TableOverallRank[[#This Row],[RK]],TableOverallMaster[OVR RK],0)),"")</f>
        <v>Joe Mixon</v>
      </c>
      <c r="AQ7" s="256" t="str">
        <f>IFERROR(INDEX(TableOverallMaster[POS RK],MATCH(TableOverallRank[[#This Row],[OVERALL PLAYER]],TableOverallMaster[OVERALL PLAYER],0)),"")</f>
        <v>RB6</v>
      </c>
      <c r="AR7" s="257">
        <f>IFERROR(INDEX(TableOverallMaster[BYE],MATCH(TableOverallRank[[#This Row],[OVERALL PLAYER]],TableOverallMaster[OVERALL PLAYER],0)),"")</f>
        <v>10</v>
      </c>
      <c r="AS7" s="258">
        <f>IFERROR(INDEX(TableOverallMaster[Custom],MATCH(TableOverallRank[[#This Row],[OVERALL PLAYER]],TableOverallMaster[OVERALL PLAYER],0)),"")</f>
        <v>224.96025910261358</v>
      </c>
      <c r="AT7" s="259">
        <f>IFERROR(INDEX(TableOverallMaster[VORP],MATCH(TableOverallRank[[#This Row],[OVERALL PLAYER]],TableOverallMaster[OVERALL PLAYER],0)),"")</f>
        <v>1.2203128855317433</v>
      </c>
      <c r="AU7" s="250"/>
      <c r="AV7" s="246">
        <v>6</v>
      </c>
      <c r="AW7" s="260" t="str">
        <f>IFERROR(INDEX(TableWRTECalcPts[PLAYER],MATCH(TableWRTERank[[#This Row],[RK]],TableWRTECalcPts[RK],0)),"")</f>
        <v>Davante Adams</v>
      </c>
      <c r="AX7" s="260" t="str">
        <f>IFERROR(INDEX(TableWRTECalcPts[POS RK],MATCH(TableWRTERank[[#This Row],[WR and TE COMBINED]],TableWRTECalcPts[PLAYER],0)),"")</f>
        <v>WR6</v>
      </c>
      <c r="AY7" s="260">
        <f>IFERROR(INDEX(TableWRTECalcPts[BYE],MATCH(TableWRTERank[[#This Row],[RK]],TableWRTECalcPts[RK],0)),"")</f>
        <v>6</v>
      </c>
      <c r="AZ7" s="261">
        <f>IFERROR(INDEX(TableWRTECalcPts[Custom],MATCH(TableWRTERank[[#This Row],[RK]],TableWRTECalcPts[RK],0)),"")</f>
        <v>186.68481728142513</v>
      </c>
      <c r="BA7" s="249">
        <f>IFERROR((TableWRTERank[[#This Row],[FPS]]-INDEX(TableWRTERank[FPS],MATCH(WRTEVORPCalc,TableWRTERank[RK],0)))/INDEX(TableWRTERank[FPS],MATCH(WRTEVORPCalc,TableWRTERank[RK],0)),"")</f>
        <v>0.57208060398711369</v>
      </c>
      <c r="BC7" s="124" t="s">
        <v>358</v>
      </c>
      <c r="BD7" s="124">
        <v>6</v>
      </c>
      <c r="BE7" s="262">
        <f>RANK(TableWRTEMaster[[#This Row],[VORP]],TableWRTEMaster[VORP])+COUNTIF($BJ$2:BJ7,BJ7)-1</f>
        <v>6</v>
      </c>
      <c r="BF7" s="263" t="str">
        <f>IFERROR(INDEX(TableWRVORP[WIDE RECEIVER],MATCH(TableWRTEMaster[[#This Row],[RK]],TableWRVORP[RK],0)),"")</f>
        <v>Davante Adams</v>
      </c>
      <c r="BG7" s="263" t="str">
        <f>_xlfn.CONCAT(TableWRTEMaster[[#This Row],[POS]],TableWRTEMaster[[#This Row],[RK]])</f>
        <v>WR6</v>
      </c>
      <c r="BH7" s="263">
        <f>IFERROR(INDEX(TableWRVORP[BYE],MATCH(TableWRTEMaster[[#This Row],[RK]],TableWRVORP[RK],0)),"")</f>
        <v>6</v>
      </c>
      <c r="BI7" s="264">
        <f>IFERROR(INDEX(TableWRVORP[FPS],MATCH(TableWRTEMaster[[#This Row],[RK]],TableWRVORP[RK],0)),"")</f>
        <v>186.68481728142513</v>
      </c>
      <c r="BJ7" s="254">
        <f>IFERROR(INDEX(TableWRVORP[VORP],MATCH(TableWRTEMaster[[#This Row],[RK]],TableWRVORP[RK],0)),"")</f>
        <v>0.71313707343702348</v>
      </c>
    </row>
    <row r="8" spans="1:66" x14ac:dyDescent="0.3">
      <c r="A8" s="246">
        <v>7</v>
      </c>
      <c r="B8" s="247" t="str">
        <f>IFERROR(INDEX(TableQBCalcPts[PLAYER],MATCH(TableQBVORP[[#This Row],[RK]],TableQBCalcPts[RK],0)),"")</f>
        <v>Kyler Murray</v>
      </c>
      <c r="C8" s="247" t="str">
        <f>IFERROR(INDEX(TableQBCalcPts[TM],MATCH(TableQBVORP[[#This Row],[RK]],TableQBCalcPts[RK],0)),"")</f>
        <v>ARI</v>
      </c>
      <c r="D8" s="247">
        <f>IFERROR(INDEX(TableQBCalcPts[BYE],MATCH(TableQBVORP[[#This Row],[RK]],TableQBCalcPts[RK],0)),"")</f>
        <v>13</v>
      </c>
      <c r="E8" s="248">
        <f>IFERROR(INDEX(TableQBCalcPts[Custom],MATCH(TableQBVORP[[#This Row],[RK]],TableQBCalcPts[RK],0)),"")</f>
        <v>353.57371760134686</v>
      </c>
      <c r="F8" s="249">
        <f>(IFERROR((TableQBVORP[[#This Row],[FPS]]-INDEX(TableQBVORP[FPS],MATCH(QBVORPCalc,TableQBVORP[RK],0)))/INDEX(TableQBVORP[FPS],MATCH(QBVORPCalc,TableQBVORP[RK],0)),""))+(TableRBVORP[[#This Row],[VORP]]*0.45)</f>
        <v>0.43226493412377276</v>
      </c>
      <c r="G8" s="246"/>
      <c r="H8" s="246">
        <v>7</v>
      </c>
      <c r="I8" s="247" t="str">
        <f>IFERROR(INDEX(TableRBCalcPts[PLAYER],MATCH(TableRBVORP[[#This Row],[RK]],TableRBCalcPts[RK],0)),"")</f>
        <v>Nick Chubb</v>
      </c>
      <c r="J8" s="247" t="str">
        <f>IFERROR(INDEX(TableRBCalcPts[TM],MATCH(TableRBVORP[[#This Row],[RK]],TableRBCalcPts[RK],0)),"")</f>
        <v>CLE</v>
      </c>
      <c r="K8" s="247">
        <f>IFERROR(INDEX(TableRBCalcPts[BYE],MATCH(TableRBVORP[[#This Row],[RK]],TableRBCalcPts[RK],0)),"")</f>
        <v>9</v>
      </c>
      <c r="L8" s="248">
        <f>IFERROR(INDEX(TableRBCalcPts[Custom],MATCH(TableRBVORP[[#This Row],[RK]],TableRBCalcPts[RK],0)),"")</f>
        <v>216.90559678465985</v>
      </c>
      <c r="M8" s="249">
        <f>IFERROR((TableRBVORP[[#This Row],[FPS]]-INDEX(TableRBVORP[FPS],MATCH(RBVORPCalc,TableRBVORP[RK],0)))/INDEX(TableRBVORP[FPS],MATCH(RBVORPCalc,TableRBVORP[RK],0)),"")</f>
        <v>1.1408149750808041</v>
      </c>
      <c r="N8" s="246"/>
      <c r="O8" s="246">
        <v>7</v>
      </c>
      <c r="P8" s="247" t="str">
        <f>IFERROR(INDEX(TableWRCalcPts[PLAYER],MATCH(TableWRVORP[[#This Row],[RK]],TableWRCalcPts[RK],0)),"")</f>
        <v>CeeDee Lamb</v>
      </c>
      <c r="Q8" s="247" t="str">
        <f>IFERROR(INDEX(TableWRCalcPts[TM],MATCH(TableWRVORP[[#This Row],[RK]],TableWRCalcPts[RK],0)),"")</f>
        <v>DAL</v>
      </c>
      <c r="R8" s="247">
        <f>IFERROR(INDEX(TableWRCalcPts[BYE],MATCH(TableWRVORP[[#This Row],[RK]],TableWRCalcPts[RK],0)),"")</f>
        <v>9</v>
      </c>
      <c r="S8" s="248">
        <f>IFERROR(INDEX(TableWRCalcPts[Custom],MATCH(TableWRVORP[[#This Row],[RK]],TableWRCalcPts[RK],0)),"")</f>
        <v>183.36829122663792</v>
      </c>
      <c r="T8" s="249">
        <f>IFERROR((TableWRVORP[[#This Row],[FPS]]-INDEX(TableWRVORP[FPS],MATCH(WRVORPCalc,TableWRVORP[RK],0)))/INDEX(TableWRVORP[FPS],MATCH(WRVORPCalc,TableWRVORP[RK],0)),"")</f>
        <v>0.68270254843271772</v>
      </c>
      <c r="U8" s="246"/>
      <c r="V8" s="246">
        <v>7</v>
      </c>
      <c r="W8" s="247" t="str">
        <f>IFERROR(INDEX(TableTECalcPts[PLAYER],MATCH(TableTEVORP[[#This Row],[RK]],TableTECalcPts[RK],0)),"")</f>
        <v>Dalton Schultz</v>
      </c>
      <c r="X8" s="247" t="str">
        <f>IFERROR(INDEX(TableTECalcPts[TM],MATCH(TableTEVORP[[#This Row],[RK]],TableTECalcPts[RK],0)),"")</f>
        <v>DAL</v>
      </c>
      <c r="Y8" s="247">
        <f>IFERROR(INDEX(TableTECalcPts[BYE],MATCH(TableTEVORP[[#This Row],[RK]],TableTECalcPts[RK],0)),"")</f>
        <v>9</v>
      </c>
      <c r="Z8" s="248">
        <f>IFERROR(INDEX(TableTECalcPts[Custom],MATCH(TableTEVORP[[#This Row],[RK]],TableTECalcPts[RK],0)),"")</f>
        <v>119.58073410503061</v>
      </c>
      <c r="AA8" s="249">
        <f>IFERROR((TableTEVORP[[#This Row],[FPS]]-INDEX(TableTEVORP[FPS],MATCH(TEVORPCalc,TableTEVORP[RK],0)))/INDEX(TableTEVORP[FPS],MATCH(TEVORPCalc,TableTEVORP[RK],0)),"")</f>
        <v>0.16718341551926827</v>
      </c>
      <c r="AB8" s="246"/>
      <c r="AC8" s="250" t="s">
        <v>563</v>
      </c>
      <c r="AD8" s="251">
        <f>(TEAMS*STARTING_WR)+(TEAMS*STARTING_TE)+(TEAMS*STARTING_FLEX)</f>
        <v>50</v>
      </c>
      <c r="AE8" s="250"/>
      <c r="AF8" s="250" t="s">
        <v>9</v>
      </c>
      <c r="AG8" s="250">
        <v>7</v>
      </c>
      <c r="AH8" s="251">
        <f>RANK(TableOverallMaster[[#This Row],[VORP]],TableOverallMaster[VORP])+COUNTIF($AM$2:AM8,AM8)-1</f>
        <v>50</v>
      </c>
      <c r="AI8" s="252" t="str">
        <f>IFERROR(INDEX(TableQBVORP[QUARTERBACK],MATCH(TableOverallMaster[[#This Row],[RK]],TableQBVORP[RK],0)),"")</f>
        <v>Kyler Murray</v>
      </c>
      <c r="AJ8" s="252" t="str">
        <f t="shared" si="0"/>
        <v>QB7</v>
      </c>
      <c r="AK8" s="252">
        <f>IFERROR(INDEX(TableQBVORP[BYE],MATCH(TableOverallMaster[[#This Row],[RK]],TableQBVORP[RK],0)),"")</f>
        <v>13</v>
      </c>
      <c r="AL8" s="253">
        <f>IFERROR(INDEX(TableQBVORP[FPS],MATCH(TableOverallMaster[[#This Row],[RK]],TableQBVORP[RK],0)),"")</f>
        <v>353.57371760134686</v>
      </c>
      <c r="AM8" s="254">
        <f>IFERROR(INDEX(TableQBVORP[VORP],MATCH(TableOverallMaster[[#This Row],[RK]],TableQBVORP[RK],0)),"")</f>
        <v>0.43226493412377276</v>
      </c>
      <c r="AN8" s="250"/>
      <c r="AO8" s="250">
        <v>7</v>
      </c>
      <c r="AP8" s="255" t="str">
        <f>IFERROR(INDEX(TableOverallMaster[OVERALL PLAYER],MATCH(TableOverallRank[[#This Row],[RK]],TableOverallMaster[OVR RK],0)),"")</f>
        <v>Cooper Kupp</v>
      </c>
      <c r="AQ8" s="256" t="str">
        <f>IFERROR(INDEX(TableOverallMaster[POS RK],MATCH(TableOverallRank[[#This Row],[OVERALL PLAYER]],TableOverallMaster[OVERALL PLAYER],0)),"")</f>
        <v>WR1</v>
      </c>
      <c r="AR8" s="257">
        <f>IFERROR(INDEX(TableOverallMaster[BYE],MATCH(TableOverallRank[[#This Row],[OVERALL PLAYER]],TableOverallMaster[OVERALL PLAYER],0)),"")</f>
        <v>7</v>
      </c>
      <c r="AS8" s="258">
        <f>IFERROR(INDEX(TableOverallMaster[Custom],MATCH(TableOverallRank[[#This Row],[OVERALL PLAYER]],TableOverallMaster[OVERALL PLAYER],0)),"")</f>
        <v>238.89381844067441</v>
      </c>
      <c r="AT8" s="259">
        <f>IFERROR(INDEX(TableOverallMaster[VORP],MATCH(TableOverallRank[[#This Row],[OVERALL PLAYER]],TableOverallMaster[OVERALL PLAYER],0)),"")</f>
        <v>1.1922396419024333</v>
      </c>
      <c r="AU8" s="250"/>
      <c r="AV8" s="246">
        <v>7</v>
      </c>
      <c r="AW8" s="260" t="str">
        <f>IFERROR(INDEX(TableWRTECalcPts[PLAYER],MATCH(TableWRTERank[[#This Row],[RK]],TableWRTECalcPts[RK],0)),"")</f>
        <v>CeeDee Lamb</v>
      </c>
      <c r="AX8" s="260" t="str">
        <f>IFERROR(INDEX(TableWRTECalcPts[POS RK],MATCH(TableWRTERank[[#This Row],[WR and TE COMBINED]],TableWRTECalcPts[PLAYER],0)),"")</f>
        <v>WR7</v>
      </c>
      <c r="AY8" s="260">
        <f>IFERROR(INDEX(TableWRTECalcPts[BYE],MATCH(TableWRTERank[[#This Row],[RK]],TableWRTECalcPts[RK],0)),"")</f>
        <v>9</v>
      </c>
      <c r="AZ8" s="261">
        <f>IFERROR(INDEX(TableWRTECalcPts[Custom],MATCH(TableWRTERank[[#This Row],[RK]],TableWRTECalcPts[RK],0)),"")</f>
        <v>183.36829122663792</v>
      </c>
      <c r="BA8" s="249">
        <f>IFERROR((TableWRTERank[[#This Row],[FPS]]-INDEX(TableWRTERank[FPS],MATCH(WRTEVORPCalc,TableWRTERank[RK],0)))/INDEX(TableWRTERank[FPS],MATCH(WRTEVORPCalc,TableWRTERank[RK],0)),"")</f>
        <v>0.54415200026199628</v>
      </c>
      <c r="BC8" s="124" t="s">
        <v>358</v>
      </c>
      <c r="BD8" s="124">
        <v>7</v>
      </c>
      <c r="BE8" s="262">
        <f>RANK(TableWRTEMaster[[#This Row],[VORP]],TableWRTEMaster[VORP])+COUNTIF($BJ$2:BJ8,BJ8)-1</f>
        <v>7</v>
      </c>
      <c r="BF8" s="263" t="str">
        <f>IFERROR(INDEX(TableWRVORP[WIDE RECEIVER],MATCH(TableWRTEMaster[[#This Row],[RK]],TableWRVORP[RK],0)),"")</f>
        <v>CeeDee Lamb</v>
      </c>
      <c r="BG8" s="263" t="str">
        <f>_xlfn.CONCAT(TableWRTEMaster[[#This Row],[POS]],TableWRTEMaster[[#This Row],[RK]])</f>
        <v>WR7</v>
      </c>
      <c r="BH8" s="263">
        <f>IFERROR(INDEX(TableWRVORP[BYE],MATCH(TableWRTEMaster[[#This Row],[RK]],TableWRVORP[RK],0)),"")</f>
        <v>9</v>
      </c>
      <c r="BI8" s="264">
        <f>IFERROR(INDEX(TableWRVORP[FPS],MATCH(TableWRTEMaster[[#This Row],[RK]],TableWRVORP[RK],0)),"")</f>
        <v>183.36829122663792</v>
      </c>
      <c r="BJ8" s="254">
        <f>IFERROR(INDEX(TableWRVORP[VORP],MATCH(TableWRTEMaster[[#This Row],[RK]],TableWRVORP[RK],0)),"")</f>
        <v>0.68270254843271772</v>
      </c>
    </row>
    <row r="9" spans="1:66" x14ac:dyDescent="0.3">
      <c r="A9" s="246">
        <v>8</v>
      </c>
      <c r="B9" s="247" t="str">
        <f>IFERROR(INDEX(TableQBCalcPts[PLAYER],MATCH(TableQBVORP[[#This Row],[RK]],TableQBCalcPts[RK],0)),"")</f>
        <v>Tom Brady</v>
      </c>
      <c r="C9" s="247" t="str">
        <f>IFERROR(INDEX(TableQBCalcPts[TM],MATCH(TableQBVORP[[#This Row],[RK]],TableQBCalcPts[RK],0)),"")</f>
        <v>TB</v>
      </c>
      <c r="D9" s="247">
        <f>IFERROR(INDEX(TableQBCalcPts[BYE],MATCH(TableQBVORP[[#This Row],[RK]],TableQBCalcPts[RK],0)),"")</f>
        <v>11</v>
      </c>
      <c r="E9" s="248">
        <f>IFERROR(INDEX(TableQBCalcPts[Custom],MATCH(TableQBVORP[[#This Row],[RK]],TableQBCalcPts[RK],0)),"")</f>
        <v>352.86881815129311</v>
      </c>
      <c r="F9" s="249">
        <f>(IFERROR((TableQBVORP[[#This Row],[FPS]]-INDEX(TableQBVORP[FPS],MATCH(QBVORPCalc,TableQBVORP[RK],0)))/INDEX(TableQBVORP[FPS],MATCH(QBVORPCalc,TableQBVORP[RK],0)),""))+(TableRBVORP[[#This Row],[VORP]]*0.45)</f>
        <v>0.42938461519684168</v>
      </c>
      <c r="G9" s="246"/>
      <c r="H9" s="246">
        <v>8</v>
      </c>
      <c r="I9" s="247" t="str">
        <f>IFERROR(INDEX(TableRBCalcPts[PLAYER],MATCH(TableRBVORP[[#This Row],[RK]],TableRBCalcPts[RK],0)),"")</f>
        <v>Dalvin Cook</v>
      </c>
      <c r="J9" s="247" t="str">
        <f>IFERROR(INDEX(TableRBCalcPts[TM],MATCH(TableRBVORP[[#This Row],[RK]],TableRBCalcPts[RK],0)),"")</f>
        <v>MIN</v>
      </c>
      <c r="K9" s="247">
        <f>IFERROR(INDEX(TableRBCalcPts[BYE],MATCH(TableRBVORP[[#This Row],[RK]],TableRBCalcPts[RK],0)),"")</f>
        <v>7</v>
      </c>
      <c r="L9" s="248">
        <f>IFERROR(INDEX(TableRBCalcPts[Custom],MATCH(TableRBVORP[[#This Row],[RK]],TableRBCalcPts[RK],0)),"")</f>
        <v>216.66955355982242</v>
      </c>
      <c r="M9" s="249">
        <f>IFERROR((TableRBVORP[[#This Row],[FPS]]-INDEX(TableRBVORP[FPS],MATCH(RBVORPCalc,TableRBVORP[RK],0)))/INDEX(TableRBVORP[FPS],MATCH(RBVORPCalc,TableRBVORP[RK],0)),"")</f>
        <v>1.138485275534139</v>
      </c>
      <c r="N9" s="246"/>
      <c r="O9" s="246">
        <v>8</v>
      </c>
      <c r="P9" s="247" t="str">
        <f>IFERROR(INDEX(TableWRCalcPts[PLAYER],MATCH(TableWRVORP[[#This Row],[RK]],TableWRCalcPts[RK],0)),"")</f>
        <v>Mike Evans</v>
      </c>
      <c r="Q9" s="247" t="str">
        <f>IFERROR(INDEX(TableWRCalcPts[TM],MATCH(TableWRVORP[[#This Row],[RK]],TableWRCalcPts[RK],0)),"")</f>
        <v>TB</v>
      </c>
      <c r="R9" s="247">
        <f>IFERROR(INDEX(TableWRCalcPts[BYE],MATCH(TableWRVORP[[#This Row],[RK]],TableWRCalcPts[RK],0)),"")</f>
        <v>11</v>
      </c>
      <c r="S9" s="248">
        <f>IFERROR(INDEX(TableWRCalcPts[Custom],MATCH(TableWRVORP[[#This Row],[RK]],TableWRCalcPts[RK],0)),"")</f>
        <v>179.06376440282733</v>
      </c>
      <c r="T9" s="249">
        <f>IFERROR((TableWRVORP[[#This Row],[FPS]]-INDEX(TableWRVORP[FPS],MATCH(WRVORPCalc,TableWRVORP[RK],0)))/INDEX(TableWRVORP[FPS],MATCH(WRVORPCalc,TableWRVORP[RK],0)),"")</f>
        <v>0.64320150816141675</v>
      </c>
      <c r="U9" s="246"/>
      <c r="V9" s="246">
        <v>8</v>
      </c>
      <c r="W9" s="247" t="str">
        <f>IFERROR(INDEX(TableTECalcPts[PLAYER],MATCH(TableTEVORP[[#This Row],[RK]],TableTECalcPts[RK],0)),"")</f>
        <v>Irv Smith</v>
      </c>
      <c r="X9" s="247" t="str">
        <f>IFERROR(INDEX(TableTECalcPts[TM],MATCH(TableTEVORP[[#This Row],[RK]],TableTECalcPts[RK],0)),"")</f>
        <v>MIN</v>
      </c>
      <c r="Y9" s="247">
        <f>IFERROR(INDEX(TableTECalcPts[BYE],MATCH(TableTEVORP[[#This Row],[RK]],TableTECalcPts[RK],0)),"")</f>
        <v>7</v>
      </c>
      <c r="Z9" s="248">
        <f>IFERROR(INDEX(TableTECalcPts[Custom],MATCH(TableTEVORP[[#This Row],[RK]],TableTECalcPts[RK],0)),"")</f>
        <v>104.82297141661108</v>
      </c>
      <c r="AA9" s="249">
        <f>IFERROR((TableTEVORP[[#This Row],[FPS]]-INDEX(TableTEVORP[FPS],MATCH(TEVORPCalc,TableTEVORP[RK],0)))/INDEX(TableTEVORP[FPS],MATCH(TEVORPCalc,TableTEVORP[RK],0)),"")</f>
        <v>2.3138340123066176E-2</v>
      </c>
      <c r="AB9" s="246"/>
      <c r="AC9" s="250"/>
      <c r="AD9" s="250"/>
      <c r="AE9" s="250"/>
      <c r="AF9" s="250" t="s">
        <v>9</v>
      </c>
      <c r="AG9" s="250">
        <v>8</v>
      </c>
      <c r="AH9" s="251">
        <f>RANK(TableOverallMaster[[#This Row],[VORP]],TableOverallMaster[VORP])+COUNTIF($AM$2:AM9,AM9)-1</f>
        <v>51</v>
      </c>
      <c r="AI9" s="252" t="str">
        <f>IFERROR(INDEX(TableQBVORP[QUARTERBACK],MATCH(TableOverallMaster[[#This Row],[RK]],TableQBVORP[RK],0)),"")</f>
        <v>Tom Brady</v>
      </c>
      <c r="AJ9" s="252" t="str">
        <f t="shared" si="0"/>
        <v>QB8</v>
      </c>
      <c r="AK9" s="252">
        <f>IFERROR(INDEX(TableQBVORP[BYE],MATCH(TableOverallMaster[[#This Row],[RK]],TableQBVORP[RK],0)),"")</f>
        <v>11</v>
      </c>
      <c r="AL9" s="253">
        <f>IFERROR(INDEX(TableQBVORP[FPS],MATCH(TableOverallMaster[[#This Row],[RK]],TableQBVORP[RK],0)),"")</f>
        <v>352.86881815129311</v>
      </c>
      <c r="AM9" s="254">
        <f>IFERROR(INDEX(TableQBVORP[VORP],MATCH(TableOverallMaster[[#This Row],[RK]],TableQBVORP[RK],0)),"")</f>
        <v>0.42938461519684168</v>
      </c>
      <c r="AN9" s="250"/>
      <c r="AO9" s="250">
        <v>8</v>
      </c>
      <c r="AP9" s="255" t="str">
        <f>IFERROR(INDEX(TableOverallMaster[OVERALL PLAYER],MATCH(TableOverallRank[[#This Row],[RK]],TableOverallMaster[OVR RK],0)),"")</f>
        <v>Ja'Marr Chase</v>
      </c>
      <c r="AQ9" s="256" t="str">
        <f>IFERROR(INDEX(TableOverallMaster[POS RK],MATCH(TableOverallRank[[#This Row],[OVERALL PLAYER]],TableOverallMaster[OVERALL PLAYER],0)),"")</f>
        <v>WR2</v>
      </c>
      <c r="AR9" s="257">
        <f>IFERROR(INDEX(TableOverallMaster[BYE],MATCH(TableOverallRank[[#This Row],[OVERALL PLAYER]],TableOverallMaster[OVERALL PLAYER],0)),"")</f>
        <v>10</v>
      </c>
      <c r="AS9" s="258">
        <f>IFERROR(INDEX(TableOverallMaster[Custom],MATCH(TableOverallRank[[#This Row],[OVERALL PLAYER]],TableOverallMaster[OVERALL PLAYER],0)),"")</f>
        <v>233.9846437068403</v>
      </c>
      <c r="AT9" s="259">
        <f>IFERROR(INDEX(TableOverallMaster[VORP],MATCH(TableOverallRank[[#This Row],[OVERALL PLAYER]],TableOverallMaster[OVERALL PLAYER],0)),"")</f>
        <v>1.147189972845343</v>
      </c>
      <c r="AU9" s="250"/>
      <c r="AV9" s="246">
        <v>8</v>
      </c>
      <c r="AW9" s="260" t="str">
        <f>IFERROR(INDEX(TableWRTECalcPts[PLAYER],MATCH(TableWRTERank[[#This Row],[RK]],TableWRTECalcPts[RK],0)),"")</f>
        <v>Mike Evans</v>
      </c>
      <c r="AX9" s="260" t="str">
        <f>IFERROR(INDEX(TableWRTECalcPts[POS RK],MATCH(TableWRTERank[[#This Row],[WR and TE COMBINED]],TableWRTECalcPts[PLAYER],0)),"")</f>
        <v>WR8</v>
      </c>
      <c r="AY9" s="260">
        <f>IFERROR(INDEX(TableWRTECalcPts[BYE],MATCH(TableWRTERank[[#This Row],[RK]],TableWRTECalcPts[RK],0)),"")</f>
        <v>11</v>
      </c>
      <c r="AZ9" s="261">
        <f>IFERROR(INDEX(TableWRTECalcPts[Custom],MATCH(TableWRTERank[[#This Row],[RK]],TableWRTECalcPts[RK],0)),"")</f>
        <v>179.06376440282733</v>
      </c>
      <c r="BA9" s="249">
        <f>IFERROR((TableWRTERank[[#This Row],[FPS]]-INDEX(TableWRTERank[FPS],MATCH(WRTEVORPCalc,TableWRTERank[RK],0)))/INDEX(TableWRTERank[FPS],MATCH(WRTEVORPCalc,TableWRTERank[RK],0)),"")</f>
        <v>0.50790340100470577</v>
      </c>
      <c r="BC9" s="124" t="s">
        <v>358</v>
      </c>
      <c r="BD9" s="124">
        <v>8</v>
      </c>
      <c r="BE9" s="262">
        <f>RANK(TableWRTEMaster[[#This Row],[VORP]],TableWRTEMaster[VORP])+COUNTIF($BJ$2:BJ9,BJ9)-1</f>
        <v>8</v>
      </c>
      <c r="BF9" s="263" t="str">
        <f>IFERROR(INDEX(TableWRVORP[WIDE RECEIVER],MATCH(TableWRTEMaster[[#This Row],[RK]],TableWRVORP[RK],0)),"")</f>
        <v>Mike Evans</v>
      </c>
      <c r="BG9" s="263" t="str">
        <f>_xlfn.CONCAT(TableWRTEMaster[[#This Row],[POS]],TableWRTEMaster[[#This Row],[RK]])</f>
        <v>WR8</v>
      </c>
      <c r="BH9" s="263">
        <f>IFERROR(INDEX(TableWRVORP[BYE],MATCH(TableWRTEMaster[[#This Row],[RK]],TableWRVORP[RK],0)),"")</f>
        <v>11</v>
      </c>
      <c r="BI9" s="264">
        <f>IFERROR(INDEX(TableWRVORP[FPS],MATCH(TableWRTEMaster[[#This Row],[RK]],TableWRVORP[RK],0)),"")</f>
        <v>179.06376440282733</v>
      </c>
      <c r="BJ9" s="254">
        <f>IFERROR(INDEX(TableWRVORP[VORP],MATCH(TableWRTEMaster[[#This Row],[RK]],TableWRVORP[RK],0)),"")</f>
        <v>0.64320150816141675</v>
      </c>
    </row>
    <row r="10" spans="1:66" x14ac:dyDescent="0.3">
      <c r="A10" s="246">
        <v>9</v>
      </c>
      <c r="B10" s="247" t="str">
        <f>IFERROR(INDEX(TableQBCalcPts[PLAYER],MATCH(TableQBVORP[[#This Row],[RK]],TableQBCalcPts[RK],0)),"")</f>
        <v>Aaron Rodgers</v>
      </c>
      <c r="C10" s="247" t="str">
        <f>IFERROR(INDEX(TableQBCalcPts[TM],MATCH(TableQBVORP[[#This Row],[RK]],TableQBCalcPts[RK],0)),"")</f>
        <v>GB</v>
      </c>
      <c r="D10" s="247">
        <f>IFERROR(INDEX(TableQBCalcPts[BYE],MATCH(TableQBVORP[[#This Row],[RK]],TableQBCalcPts[RK],0)),"")</f>
        <v>14</v>
      </c>
      <c r="E10" s="248">
        <f>IFERROR(INDEX(TableQBCalcPts[Custom],MATCH(TableQBVORP[[#This Row],[RK]],TableQBCalcPts[RK],0)),"")</f>
        <v>337.00673385001676</v>
      </c>
      <c r="F10" s="249">
        <f>(IFERROR((TableQBVORP[[#This Row],[FPS]]-INDEX(TableQBVORP[FPS],MATCH(QBVORPCalc,TableQBVORP[RK],0)))/INDEX(TableQBVORP[FPS],MATCH(QBVORPCalc,TableQBVORP[RK],0)),""))+(TableRBVORP[[#This Row],[VORP]]*0.45)</f>
        <v>0.36270877724935235</v>
      </c>
      <c r="G10" s="246"/>
      <c r="H10" s="246">
        <v>9</v>
      </c>
      <c r="I10" s="247" t="str">
        <f>IFERROR(INDEX(TableRBCalcPts[PLAYER],MATCH(TableRBVORP[[#This Row],[RK]],TableRBCalcPts[RK],0)),"")</f>
        <v>James Conner</v>
      </c>
      <c r="J10" s="247" t="str">
        <f>IFERROR(INDEX(TableRBCalcPts[TM],MATCH(TableRBVORP[[#This Row],[RK]],TableRBCalcPts[RK],0)),"")</f>
        <v>ARI</v>
      </c>
      <c r="K10" s="247">
        <f>IFERROR(INDEX(TableRBCalcPts[BYE],MATCH(TableRBVORP[[#This Row],[RK]],TableRBCalcPts[RK],0)),"")</f>
        <v>13</v>
      </c>
      <c r="L10" s="248">
        <f>IFERROR(INDEX(TableRBCalcPts[Custom],MATCH(TableRBVORP[[#This Row],[RK]],TableRBCalcPts[RK],0)),"")</f>
        <v>210.93892537574453</v>
      </c>
      <c r="M10" s="249">
        <f>IFERROR((TableRBVORP[[#This Row],[FPS]]-INDEX(TableRBVORP[FPS],MATCH(RBVORPCalc,TableRBVORP[RK],0)))/INDEX(TableRBVORP[FPS],MATCH(RBVORPCalc,TableRBVORP[RK],0)),"")</f>
        <v>1.0819251184199188</v>
      </c>
      <c r="N10" s="246"/>
      <c r="O10" s="246">
        <v>9</v>
      </c>
      <c r="P10" s="247" t="str">
        <f>IFERROR(INDEX(TableWRCalcPts[PLAYER],MATCH(TableWRVORP[[#This Row],[RK]],TableWRCalcPts[RK],0)),"")</f>
        <v>Tee Higgins</v>
      </c>
      <c r="Q10" s="247" t="str">
        <f>IFERROR(INDEX(TableWRCalcPts[TM],MATCH(TableWRVORP[[#This Row],[RK]],TableWRCalcPts[RK],0)),"")</f>
        <v>CIN</v>
      </c>
      <c r="R10" s="247">
        <f>IFERROR(INDEX(TableWRCalcPts[BYE],MATCH(TableWRVORP[[#This Row],[RK]],TableWRCalcPts[RK],0)),"")</f>
        <v>10</v>
      </c>
      <c r="S10" s="248">
        <f>IFERROR(INDEX(TableWRCalcPts[Custom],MATCH(TableWRVORP[[#This Row],[RK]],TableWRCalcPts[RK],0)),"")</f>
        <v>173.13026472375194</v>
      </c>
      <c r="T10" s="249">
        <f>IFERROR((TableWRVORP[[#This Row],[FPS]]-INDEX(TableWRVORP[FPS],MATCH(WRVORPCalc,TableWRVORP[RK],0)))/INDEX(TableWRVORP[FPS],MATCH(WRVORPCalc,TableWRVORP[RK],0)),"")</f>
        <v>0.5887519903941133</v>
      </c>
      <c r="U10" s="246"/>
      <c r="V10" s="246">
        <v>9</v>
      </c>
      <c r="W10" s="247" t="str">
        <f>IFERROR(INDEX(TableTECalcPts[PLAYER],MATCH(TableTEVORP[[#This Row],[RK]],TableTECalcPts[RK],0)),"")</f>
        <v>Dawson Knox</v>
      </c>
      <c r="X10" s="247" t="str">
        <f>IFERROR(INDEX(TableTECalcPts[TM],MATCH(TableTEVORP[[#This Row],[RK]],TableTECalcPts[RK],0)),"")</f>
        <v>BUF</v>
      </c>
      <c r="Y10" s="247">
        <f>IFERROR(INDEX(TableTECalcPts[BYE],MATCH(TableTEVORP[[#This Row],[RK]],TableTECalcPts[RK],0)),"")</f>
        <v>7</v>
      </c>
      <c r="Z10" s="248">
        <f>IFERROR(INDEX(TableTECalcPts[Custom],MATCH(TableTEVORP[[#This Row],[RK]],TableTECalcPts[RK],0)),"")</f>
        <v>102.87952804843867</v>
      </c>
      <c r="AA10" s="249">
        <f>IFERROR((TableTEVORP[[#This Row],[FPS]]-INDEX(TableTEVORP[FPS],MATCH(TEVORPCalc,TableTEVORP[RK],0)))/INDEX(TableTEVORP[FPS],MATCH(TEVORPCalc,TableTEVORP[RK],0)),"")</f>
        <v>4.1691066147704807E-3</v>
      </c>
      <c r="AB10" s="246"/>
      <c r="AC10" s="250"/>
      <c r="AD10" s="250">
        <f>IF(AND(TEAMS&gt;0,TEAMS&lt;8),8,IF(AND(TEAMS&gt;7,TEAMS&lt;12),6,IF(AND(TEAMS&gt;11,TEAMS&lt;14),4,4)))</f>
        <v>6</v>
      </c>
      <c r="AE10" s="250"/>
      <c r="AF10" s="250" t="s">
        <v>9</v>
      </c>
      <c r="AG10" s="250">
        <v>9</v>
      </c>
      <c r="AH10" s="251">
        <f>RANK(TableOverallMaster[[#This Row],[VORP]],TableOverallMaster[VORP])+COUNTIF($AM$2:AM10,AM10)-1</f>
        <v>60</v>
      </c>
      <c r="AI10" s="252" t="str">
        <f>IFERROR(INDEX(TableQBVORP[QUARTERBACK],MATCH(TableOverallMaster[[#This Row],[RK]],TableQBVORP[RK],0)),"")</f>
        <v>Aaron Rodgers</v>
      </c>
      <c r="AJ10" s="252" t="str">
        <f t="shared" si="0"/>
        <v>QB9</v>
      </c>
      <c r="AK10" s="252">
        <f>IFERROR(INDEX(TableQBVORP[BYE],MATCH(TableOverallMaster[[#This Row],[RK]],TableQBVORP[RK],0)),"")</f>
        <v>14</v>
      </c>
      <c r="AL10" s="253">
        <f>IFERROR(INDEX(TableQBVORP[FPS],MATCH(TableOverallMaster[[#This Row],[RK]],TableQBVORP[RK],0)),"")</f>
        <v>337.00673385001676</v>
      </c>
      <c r="AM10" s="254">
        <f>IFERROR(INDEX(TableQBVORP[VORP],MATCH(TableOverallMaster[[#This Row],[RK]],TableQBVORP[RK],0)),"")</f>
        <v>0.36270877724935235</v>
      </c>
      <c r="AN10" s="250"/>
      <c r="AO10" s="250">
        <v>9</v>
      </c>
      <c r="AP10" s="255" t="str">
        <f>IFERROR(INDEX(TableOverallMaster[OVERALL PLAYER],MATCH(TableOverallRank[[#This Row],[RK]],TableOverallMaster[OVR RK],0)),"")</f>
        <v>Nick Chubb</v>
      </c>
      <c r="AQ10" s="256" t="str">
        <f>IFERROR(INDEX(TableOverallMaster[POS RK],MATCH(TableOverallRank[[#This Row],[OVERALL PLAYER]],TableOverallMaster[OVERALL PLAYER],0)),"")</f>
        <v>RB7</v>
      </c>
      <c r="AR10" s="257">
        <f>IFERROR(INDEX(TableOverallMaster[BYE],MATCH(TableOverallRank[[#This Row],[OVERALL PLAYER]],TableOverallMaster[OVERALL PLAYER],0)),"")</f>
        <v>9</v>
      </c>
      <c r="AS10" s="258">
        <f>IFERROR(INDEX(TableOverallMaster[Custom],MATCH(TableOverallRank[[#This Row],[OVERALL PLAYER]],TableOverallMaster[OVERALL PLAYER],0)),"")</f>
        <v>216.90559678465985</v>
      </c>
      <c r="AT10" s="259">
        <f>IFERROR(INDEX(TableOverallMaster[VORP],MATCH(TableOverallRank[[#This Row],[OVERALL PLAYER]],TableOverallMaster[OVERALL PLAYER],0)),"")</f>
        <v>1.1408149750808041</v>
      </c>
      <c r="AU10" s="250"/>
      <c r="AV10" s="246">
        <v>9</v>
      </c>
      <c r="AW10" s="260" t="str">
        <f>IFERROR(INDEX(TableWRTECalcPts[PLAYER],MATCH(TableWRTERank[[#This Row],[RK]],TableWRTECalcPts[RK],0)),"")</f>
        <v>Tee Higgins</v>
      </c>
      <c r="AX10" s="260" t="str">
        <f>IFERROR(INDEX(TableWRTECalcPts[POS RK],MATCH(TableWRTERank[[#This Row],[WR and TE COMBINED]],TableWRTECalcPts[PLAYER],0)),"")</f>
        <v>WR9</v>
      </c>
      <c r="AY10" s="260">
        <f>IFERROR(INDEX(TableWRTECalcPts[BYE],MATCH(TableWRTERank[[#This Row],[RK]],TableWRTECalcPts[RK],0)),"")</f>
        <v>10</v>
      </c>
      <c r="AZ10" s="261">
        <f>IFERROR(INDEX(TableWRTECalcPts[Custom],MATCH(TableWRTERank[[#This Row],[RK]],TableWRTECalcPts[RK],0)),"")</f>
        <v>173.13026472375194</v>
      </c>
      <c r="BA10" s="249">
        <f>IFERROR((TableWRTERank[[#This Row],[FPS]]-INDEX(TableWRTERank[FPS],MATCH(WRTEVORPCalc,TableWRTERank[RK],0)))/INDEX(TableWRTERank[FPS],MATCH(WRTEVORPCalc,TableWRTERank[RK],0)),"")</f>
        <v>0.45793715364150195</v>
      </c>
      <c r="BC10" s="124" t="s">
        <v>358</v>
      </c>
      <c r="BD10" s="124">
        <v>9</v>
      </c>
      <c r="BE10" s="262">
        <f>RANK(TableWRTEMaster[[#This Row],[VORP]],TableWRTEMaster[VORP])+COUNTIF($BJ$2:BJ10,BJ10)-1</f>
        <v>10</v>
      </c>
      <c r="BF10" s="263" t="str">
        <f>IFERROR(INDEX(TableWRVORP[WIDE RECEIVER],MATCH(TableWRTEMaster[[#This Row],[RK]],TableWRVORP[RK],0)),"")</f>
        <v>Tee Higgins</v>
      </c>
      <c r="BG10" s="263" t="str">
        <f>_xlfn.CONCAT(TableWRTEMaster[[#This Row],[POS]],TableWRTEMaster[[#This Row],[RK]])</f>
        <v>WR9</v>
      </c>
      <c r="BH10" s="263">
        <f>IFERROR(INDEX(TableWRVORP[BYE],MATCH(TableWRTEMaster[[#This Row],[RK]],TableWRVORP[RK],0)),"")</f>
        <v>10</v>
      </c>
      <c r="BI10" s="264">
        <f>IFERROR(INDEX(TableWRVORP[FPS],MATCH(TableWRTEMaster[[#This Row],[RK]],TableWRVORP[RK],0)),"")</f>
        <v>173.13026472375194</v>
      </c>
      <c r="BJ10" s="254">
        <f>IFERROR(INDEX(TableWRVORP[VORP],MATCH(TableWRTEMaster[[#This Row],[RK]],TableWRVORP[RK],0)),"")</f>
        <v>0.5887519903941133</v>
      </c>
    </row>
    <row r="11" spans="1:66" x14ac:dyDescent="0.3">
      <c r="A11" s="246">
        <v>10</v>
      </c>
      <c r="B11" s="247" t="str">
        <f>IFERROR(INDEX(TableQBCalcPts[PLAYER],MATCH(TableQBVORP[[#This Row],[RK]],TableQBCalcPts[RK],0)),"")</f>
        <v>Matthew Stafford</v>
      </c>
      <c r="C11" s="247" t="str">
        <f>IFERROR(INDEX(TableQBCalcPts[TM],MATCH(TableQBVORP[[#This Row],[RK]],TableQBCalcPts[RK],0)),"")</f>
        <v>LAR</v>
      </c>
      <c r="D11" s="247">
        <f>IFERROR(INDEX(TableQBCalcPts[BYE],MATCH(TableQBVORP[[#This Row],[RK]],TableQBCalcPts[RK],0)),"")</f>
        <v>7</v>
      </c>
      <c r="E11" s="248">
        <f>IFERROR(INDEX(TableQBCalcPts[Custom],MATCH(TableQBVORP[[#This Row],[RK]],TableQBCalcPts[RK],0)),"")</f>
        <v>334.82539842089091</v>
      </c>
      <c r="F11" s="249">
        <f>(IFERROR((TableQBVORP[[#This Row],[FPS]]-INDEX(TableQBVORP[FPS],MATCH(QBVORPCalc,TableQBVORP[RK],0)))/INDEX(TableQBVORP[FPS],MATCH(QBVORPCalc,TableQBVORP[RK],0)),""))+(TableRBVORP[[#This Row],[VORP]]*0.45)</f>
        <v>0.3547682680854064</v>
      </c>
      <c r="G11" s="246"/>
      <c r="H11" s="246">
        <v>10</v>
      </c>
      <c r="I11" s="247" t="str">
        <f>IFERROR(INDEX(TableRBCalcPts[PLAYER],MATCH(TableRBVORP[[#This Row],[RK]],TableRBCalcPts[RK],0)),"")</f>
        <v>Cam Akers</v>
      </c>
      <c r="J11" s="247" t="str">
        <f>IFERROR(INDEX(TableRBCalcPts[TM],MATCH(TableRBVORP[[#This Row],[RK]],TableRBCalcPts[RK],0)),"")</f>
        <v>LAR</v>
      </c>
      <c r="K11" s="247">
        <f>IFERROR(INDEX(TableRBCalcPts[BYE],MATCH(TableRBVORP[[#This Row],[RK]],TableRBCalcPts[RK],0)),"")</f>
        <v>7</v>
      </c>
      <c r="L11" s="248">
        <f>IFERROR(INDEX(TableRBCalcPts[Custom],MATCH(TableRBVORP[[#This Row],[RK]],TableRBCalcPts[RK],0)),"")</f>
        <v>210.42749670801629</v>
      </c>
      <c r="M11" s="249">
        <f>IFERROR((TableRBVORP[[#This Row],[FPS]]-INDEX(TableRBVORP[FPS],MATCH(RBVORPCalc,TableRBVORP[RK],0)))/INDEX(TableRBVORP[FPS],MATCH(RBVORPCalc,TableRBVORP[RK],0)),"")</f>
        <v>1.0768774194818171</v>
      </c>
      <c r="N11" s="246"/>
      <c r="O11" s="246">
        <v>10</v>
      </c>
      <c r="P11" s="247" t="str">
        <f>IFERROR(INDEX(TableWRCalcPts[PLAYER],MATCH(TableWRVORP[[#This Row],[RK]],TableWRCalcPts[RK],0)),"")</f>
        <v>Tyreek Hill</v>
      </c>
      <c r="Q11" s="247" t="str">
        <f>IFERROR(INDEX(TableWRCalcPts[TM],MATCH(TableWRVORP[[#This Row],[RK]],TableWRCalcPts[RK],0)),"")</f>
        <v>MIA</v>
      </c>
      <c r="R11" s="247">
        <f>IFERROR(INDEX(TableWRCalcPts[BYE],MATCH(TableWRVORP[[#This Row],[RK]],TableWRCalcPts[RK],0)),"")</f>
        <v>11</v>
      </c>
      <c r="S11" s="248">
        <f>IFERROR(INDEX(TableWRCalcPts[Custom],MATCH(TableWRVORP[[#This Row],[RK]],TableWRCalcPts[RK],0)),"")</f>
        <v>170.43250907909703</v>
      </c>
      <c r="T11" s="249">
        <f>IFERROR((TableWRVORP[[#This Row],[FPS]]-INDEX(TableWRVORP[FPS],MATCH(WRVORPCalc,TableWRVORP[RK],0)))/INDEX(TableWRVORP[FPS],MATCH(WRVORPCalc,TableWRVORP[RK],0)),"")</f>
        <v>0.56399569110189363</v>
      </c>
      <c r="U11" s="246"/>
      <c r="V11" s="246">
        <v>10</v>
      </c>
      <c r="W11" s="247" t="str">
        <f>IFERROR(INDEX(TableTECalcPts[PLAYER],MATCH(TableTEVORP[[#This Row],[RK]],TableTECalcPts[RK],0)),"")</f>
        <v>T.J. Hockenson</v>
      </c>
      <c r="X11" s="247" t="str">
        <f>IFERROR(INDEX(TableTECalcPts[TM],MATCH(TableTEVORP[[#This Row],[RK]],TableTECalcPts[RK],0)),"")</f>
        <v>DET</v>
      </c>
      <c r="Y11" s="247">
        <f>IFERROR(INDEX(TableTECalcPts[BYE],MATCH(TableTEVORP[[#This Row],[RK]],TableTECalcPts[RK],0)),"")</f>
        <v>6</v>
      </c>
      <c r="Z11" s="248">
        <f>IFERROR(INDEX(TableTECalcPts[Custom],MATCH(TableTEVORP[[#This Row],[RK]],TableTECalcPts[RK],0)),"")</f>
        <v>102.45239309867193</v>
      </c>
      <c r="AA11" s="249">
        <f>IFERROR((TableTEVORP[[#This Row],[FPS]]-INDEX(TableTEVORP[FPS],MATCH(TEVORPCalc,TableTEVORP[RK],0)))/INDEX(TableTEVORP[FPS],MATCH(TEVORPCalc,TableTEVORP[RK],0)),"")</f>
        <v>0</v>
      </c>
      <c r="AB11" s="246"/>
      <c r="AC11" s="250"/>
      <c r="AD11" s="250"/>
      <c r="AE11" s="250"/>
      <c r="AF11" s="250" t="s">
        <v>9</v>
      </c>
      <c r="AG11" s="250">
        <v>10</v>
      </c>
      <c r="AH11" s="251">
        <f>RANK(TableOverallMaster[[#This Row],[VORP]],TableOverallMaster[VORP])+COUNTIF($AM$2:AM11,AM11)-1</f>
        <v>63</v>
      </c>
      <c r="AI11" s="252" t="str">
        <f>IFERROR(INDEX(TableQBVORP[QUARTERBACK],MATCH(TableOverallMaster[[#This Row],[RK]],TableQBVORP[RK],0)),"")</f>
        <v>Matthew Stafford</v>
      </c>
      <c r="AJ11" s="252" t="str">
        <f t="shared" si="0"/>
        <v>QB10</v>
      </c>
      <c r="AK11" s="252">
        <f>IFERROR(INDEX(TableQBVORP[BYE],MATCH(TableOverallMaster[[#This Row],[RK]],TableQBVORP[RK],0)),"")</f>
        <v>7</v>
      </c>
      <c r="AL11" s="253">
        <f>IFERROR(INDEX(TableQBVORP[FPS],MATCH(TableOverallMaster[[#This Row],[RK]],TableQBVORP[RK],0)),"")</f>
        <v>334.82539842089091</v>
      </c>
      <c r="AM11" s="254">
        <f>IFERROR(INDEX(TableQBVORP[VORP],MATCH(TableOverallMaster[[#This Row],[RK]],TableQBVORP[RK],0)),"")</f>
        <v>0.3547682680854064</v>
      </c>
      <c r="AN11" s="250"/>
      <c r="AO11" s="250">
        <v>10</v>
      </c>
      <c r="AP11" s="255" t="str">
        <f>IFERROR(INDEX(TableOverallMaster[OVERALL PLAYER],MATCH(TableOverallRank[[#This Row],[RK]],TableOverallMaster[OVR RK],0)),"")</f>
        <v>Dalvin Cook</v>
      </c>
      <c r="AQ11" s="256" t="str">
        <f>IFERROR(INDEX(TableOverallMaster[POS RK],MATCH(TableOverallRank[[#This Row],[OVERALL PLAYER]],TableOverallMaster[OVERALL PLAYER],0)),"")</f>
        <v>RB8</v>
      </c>
      <c r="AR11" s="257">
        <f>IFERROR(INDEX(TableOverallMaster[BYE],MATCH(TableOverallRank[[#This Row],[OVERALL PLAYER]],TableOverallMaster[OVERALL PLAYER],0)),"")</f>
        <v>7</v>
      </c>
      <c r="AS11" s="258">
        <f>IFERROR(INDEX(TableOverallMaster[Custom],MATCH(TableOverallRank[[#This Row],[OVERALL PLAYER]],TableOverallMaster[OVERALL PLAYER],0)),"")</f>
        <v>216.66955355982242</v>
      </c>
      <c r="AT11" s="259">
        <f>IFERROR(INDEX(TableOverallMaster[VORP],MATCH(TableOverallRank[[#This Row],[OVERALL PLAYER]],TableOverallMaster[OVERALL PLAYER],0)),"")</f>
        <v>1.138485275534139</v>
      </c>
      <c r="AU11" s="250"/>
      <c r="AV11" s="246">
        <v>10</v>
      </c>
      <c r="AW11" s="260" t="str">
        <f>IFERROR(INDEX(TableWRTECalcPts[PLAYER],MATCH(TableWRTERank[[#This Row],[RK]],TableWRTECalcPts[RK],0)),"")</f>
        <v>Tyreek Hill</v>
      </c>
      <c r="AX11" s="260" t="str">
        <f>IFERROR(INDEX(TableWRTECalcPts[POS RK],MATCH(TableWRTERank[[#This Row],[WR and TE COMBINED]],TableWRTECalcPts[PLAYER],0)),"")</f>
        <v>WR10</v>
      </c>
      <c r="AY11" s="260">
        <f>IFERROR(INDEX(TableWRTECalcPts[BYE],MATCH(TableWRTERank[[#This Row],[RK]],TableWRTECalcPts[RK],0)),"")</f>
        <v>11</v>
      </c>
      <c r="AZ11" s="261">
        <f>IFERROR(INDEX(TableWRTECalcPts[Custom],MATCH(TableWRTERank[[#This Row],[RK]],TableWRTECalcPts[RK],0)),"")</f>
        <v>170.43250907909703</v>
      </c>
      <c r="BA11" s="249">
        <f>IFERROR((TableWRTERank[[#This Row],[FPS]]-INDEX(TableWRTERank[FPS],MATCH(WRTEVORPCalc,TableWRTERank[RK],0)))/INDEX(TableWRTERank[FPS],MATCH(WRTEVORPCalc,TableWRTERank[RK],0)),"")</f>
        <v>0.43521924125302242</v>
      </c>
      <c r="BC11" s="124" t="s">
        <v>358</v>
      </c>
      <c r="BD11" s="124">
        <v>10</v>
      </c>
      <c r="BE11" s="262">
        <f>RANK(TableWRTEMaster[[#This Row],[VORP]],TableWRTEMaster[VORP])+COUNTIF($BJ$2:BJ11,BJ11)-1</f>
        <v>11</v>
      </c>
      <c r="BF11" s="263" t="str">
        <f>IFERROR(INDEX(TableWRVORP[WIDE RECEIVER],MATCH(TableWRTEMaster[[#This Row],[RK]],TableWRVORP[RK],0)),"")</f>
        <v>Tyreek Hill</v>
      </c>
      <c r="BG11" s="263" t="str">
        <f>_xlfn.CONCAT(TableWRTEMaster[[#This Row],[POS]],TableWRTEMaster[[#This Row],[RK]])</f>
        <v>WR10</v>
      </c>
      <c r="BH11" s="263">
        <f>IFERROR(INDEX(TableWRVORP[BYE],MATCH(TableWRTEMaster[[#This Row],[RK]],TableWRVORP[RK],0)),"")</f>
        <v>11</v>
      </c>
      <c r="BI11" s="264">
        <f>IFERROR(INDEX(TableWRVORP[FPS],MATCH(TableWRTEMaster[[#This Row],[RK]],TableWRVORP[RK],0)),"")</f>
        <v>170.43250907909703</v>
      </c>
      <c r="BJ11" s="254">
        <f>IFERROR(INDEX(TableWRVORP[VORP],MATCH(TableWRTEMaster[[#This Row],[RK]],TableWRVORP[RK],0)),"")</f>
        <v>0.56399569110189363</v>
      </c>
    </row>
    <row r="12" spans="1:66" x14ac:dyDescent="0.3">
      <c r="A12" s="246">
        <v>11</v>
      </c>
      <c r="B12" s="247" t="str">
        <f>IFERROR(INDEX(TableQBCalcPts[PLAYER],MATCH(TableQBVORP[[#This Row],[RK]],TableQBCalcPts[RK],0)),"")</f>
        <v>Dak Prescott</v>
      </c>
      <c r="C12" s="247" t="str">
        <f>IFERROR(INDEX(TableQBCalcPts[TM],MATCH(TableQBVORP[[#This Row],[RK]],TableQBCalcPts[RK],0)),"")</f>
        <v>DAL</v>
      </c>
      <c r="D12" s="247">
        <f>IFERROR(INDEX(TableQBCalcPts[BYE],MATCH(TableQBVORP[[#This Row],[RK]],TableQBCalcPts[RK],0)),"")</f>
        <v>9</v>
      </c>
      <c r="E12" s="248">
        <f>IFERROR(INDEX(TableQBCalcPts[Custom],MATCH(TableQBVORP[[#This Row],[RK]],TableQBCalcPts[RK],0)),"")</f>
        <v>334.42955697750307</v>
      </c>
      <c r="F12" s="249">
        <f>(IFERROR((TableQBVORP[[#This Row],[FPS]]-INDEX(TableQBVORP[FPS],MATCH(QBVORPCalc,TableQBVORP[RK],0)))/INDEX(TableQBVORP[FPS],MATCH(QBVORPCalc,TableQBVORP[RK],0)),""))+(TableRBVORP[[#This Row],[VORP]]*0.45)</f>
        <v>0.34665149770062642</v>
      </c>
      <c r="G12" s="246"/>
      <c r="H12" s="246">
        <v>11</v>
      </c>
      <c r="I12" s="247" t="str">
        <f>IFERROR(INDEX(TableRBCalcPts[PLAYER],MATCH(TableRBVORP[[#This Row],[RK]],TableRBCalcPts[RK],0)),"")</f>
        <v>Saquon Barkley</v>
      </c>
      <c r="J12" s="247" t="str">
        <f>IFERROR(INDEX(TableRBCalcPts[TM],MATCH(TableRBVORP[[#This Row],[RK]],TableRBCalcPts[RK],0)),"")</f>
        <v>NYG</v>
      </c>
      <c r="K12" s="247">
        <f>IFERROR(INDEX(TableRBCalcPts[BYE],MATCH(TableRBVORP[[#This Row],[RK]],TableRBCalcPts[RK],0)),"")</f>
        <v>9</v>
      </c>
      <c r="L12" s="248">
        <f>IFERROR(INDEX(TableRBCalcPts[Custom],MATCH(TableRBVORP[[#This Row],[RK]],TableRBCalcPts[RK],0)),"")</f>
        <v>208.83160199086635</v>
      </c>
      <c r="M12" s="249">
        <f>IFERROR((TableRBVORP[[#This Row],[FPS]]-INDEX(TableRBVORP[FPS],MATCH(RBVORPCalc,TableRBVORP[RK],0)))/INDEX(TableRBVORP[FPS],MATCH(RBVORPCalc,TableRBVORP[RK],0)),"")</f>
        <v>1.0611262569494884</v>
      </c>
      <c r="N12" s="246"/>
      <c r="O12" s="246">
        <v>11</v>
      </c>
      <c r="P12" s="247" t="str">
        <f>IFERROR(INDEX(TableWRCalcPts[PLAYER],MATCH(TableWRVORP[[#This Row],[RK]],TableWRCalcPts[RK],0)),"")</f>
        <v>A.J. Brown</v>
      </c>
      <c r="Q12" s="247" t="str">
        <f>IFERROR(INDEX(TableWRCalcPts[TM],MATCH(TableWRVORP[[#This Row],[RK]],TableWRCalcPts[RK],0)),"")</f>
        <v>PHI</v>
      </c>
      <c r="R12" s="247">
        <f>IFERROR(INDEX(TableWRCalcPts[BYE],MATCH(TableWRVORP[[#This Row],[RK]],TableWRCalcPts[RK],0)),"")</f>
        <v>7</v>
      </c>
      <c r="S12" s="248">
        <f>IFERROR(INDEX(TableWRCalcPts[Custom],MATCH(TableWRVORP[[#This Row],[RK]],TableWRCalcPts[RK],0)),"")</f>
        <v>169.4104360268131</v>
      </c>
      <c r="T12" s="249">
        <f>IFERROR((TableWRVORP[[#This Row],[FPS]]-INDEX(TableWRVORP[FPS],MATCH(WRVORPCalc,TableWRVORP[RK],0)))/INDEX(TableWRVORP[FPS],MATCH(WRVORPCalc,TableWRVORP[RK],0)),"")</f>
        <v>0.55461650717506683</v>
      </c>
      <c r="U12" s="246"/>
      <c r="V12" s="246">
        <v>11</v>
      </c>
      <c r="W12" s="247" t="str">
        <f>IFERROR(INDEX(TableTECalcPts[PLAYER],MATCH(TableTEVORP[[#This Row],[RK]],TableTECalcPts[RK],0)),"")</f>
        <v>Zach Ertz</v>
      </c>
      <c r="X12" s="247" t="str">
        <f>IFERROR(INDEX(TableTECalcPts[TM],MATCH(TableTEVORP[[#This Row],[RK]],TableTECalcPts[RK],0)),"")</f>
        <v>ARI</v>
      </c>
      <c r="Y12" s="247">
        <f>IFERROR(INDEX(TableTECalcPts[BYE],MATCH(TableTEVORP[[#This Row],[RK]],TableTECalcPts[RK],0)),"")</f>
        <v>13</v>
      </c>
      <c r="Z12" s="248">
        <f>IFERROR(INDEX(TableTECalcPts[Custom],MATCH(TableTEVORP[[#This Row],[RK]],TableTECalcPts[RK],0)),"")</f>
        <v>99.340220639314538</v>
      </c>
      <c r="AA12" s="249">
        <f>IFERROR((TableTEVORP[[#This Row],[FPS]]-INDEX(TableTEVORP[FPS],MATCH(TEVORPCalc,TableTEVORP[RK],0)))/INDEX(TableTEVORP[FPS],MATCH(TEVORPCalc,TableTEVORP[RK],0)),"")</f>
        <v>-3.0376766859511631E-2</v>
      </c>
      <c r="AB12" s="246"/>
      <c r="AC12" s="250"/>
      <c r="AD12" s="250"/>
      <c r="AE12" s="250"/>
      <c r="AF12" s="250" t="s">
        <v>9</v>
      </c>
      <c r="AG12" s="250">
        <v>11</v>
      </c>
      <c r="AH12" s="251">
        <f>RANK(TableOverallMaster[[#This Row],[VORP]],TableOverallMaster[VORP])+COUNTIF($AM$2:AM12,AM12)-1</f>
        <v>64</v>
      </c>
      <c r="AI12" s="252" t="str">
        <f>IFERROR(INDEX(TableQBVORP[QUARTERBACK],MATCH(TableOverallMaster[[#This Row],[RK]],TableQBVORP[RK],0)),"")</f>
        <v>Dak Prescott</v>
      </c>
      <c r="AJ12" s="252" t="str">
        <f t="shared" si="0"/>
        <v>QB11</v>
      </c>
      <c r="AK12" s="252">
        <f>IFERROR(INDEX(TableQBVORP[BYE],MATCH(TableOverallMaster[[#This Row],[RK]],TableQBVORP[RK],0)),"")</f>
        <v>9</v>
      </c>
      <c r="AL12" s="253">
        <f>IFERROR(INDEX(TableQBVORP[FPS],MATCH(TableOverallMaster[[#This Row],[RK]],TableQBVORP[RK],0)),"")</f>
        <v>334.42955697750307</v>
      </c>
      <c r="AM12" s="254">
        <f>IFERROR(INDEX(TableQBVORP[VORP],MATCH(TableOverallMaster[[#This Row],[RK]],TableQBVORP[RK],0)),"")</f>
        <v>0.34665149770062642</v>
      </c>
      <c r="AN12" s="250"/>
      <c r="AO12" s="250">
        <v>11</v>
      </c>
      <c r="AP12" s="255" t="str">
        <f>IFERROR(INDEX(TableOverallMaster[OVERALL PLAYER],MATCH(TableOverallRank[[#This Row],[RK]],TableOverallMaster[OVR RK],0)),"")</f>
        <v>James Conner</v>
      </c>
      <c r="AQ12" s="256" t="str">
        <f>IFERROR(INDEX(TableOverallMaster[POS RK],MATCH(TableOverallRank[[#This Row],[OVERALL PLAYER]],TableOverallMaster[OVERALL PLAYER],0)),"")</f>
        <v>RB9</v>
      </c>
      <c r="AR12" s="257">
        <f>IFERROR(INDEX(TableOverallMaster[BYE],MATCH(TableOverallRank[[#This Row],[OVERALL PLAYER]],TableOverallMaster[OVERALL PLAYER],0)),"")</f>
        <v>13</v>
      </c>
      <c r="AS12" s="258">
        <f>IFERROR(INDEX(TableOverallMaster[Custom],MATCH(TableOverallRank[[#This Row],[OVERALL PLAYER]],TableOverallMaster[OVERALL PLAYER],0)),"")</f>
        <v>210.93892537574453</v>
      </c>
      <c r="AT12" s="259">
        <f>IFERROR(INDEX(TableOverallMaster[VORP],MATCH(TableOverallRank[[#This Row],[OVERALL PLAYER]],TableOverallMaster[OVERALL PLAYER],0)),"")</f>
        <v>1.0819251184199188</v>
      </c>
      <c r="AU12" s="250"/>
      <c r="AV12" s="246">
        <v>11</v>
      </c>
      <c r="AW12" s="260" t="str">
        <f>IFERROR(INDEX(TableWRTECalcPts[PLAYER],MATCH(TableWRTERank[[#This Row],[RK]],TableWRTECalcPts[RK],0)),"")</f>
        <v>A.J. Brown</v>
      </c>
      <c r="AX12" s="260" t="str">
        <f>IFERROR(INDEX(TableWRTECalcPts[POS RK],MATCH(TableWRTERank[[#This Row],[WR and TE COMBINED]],TableWRTECalcPts[PLAYER],0)),"")</f>
        <v>WR11</v>
      </c>
      <c r="AY12" s="260">
        <f>IFERROR(INDEX(TableWRTECalcPts[BYE],MATCH(TableWRTERank[[#This Row],[RK]],TableWRTECalcPts[RK],0)),"")</f>
        <v>7</v>
      </c>
      <c r="AZ12" s="261">
        <f>IFERROR(INDEX(TableWRTECalcPts[Custom],MATCH(TableWRTERank[[#This Row],[RK]],TableWRTECalcPts[RK],0)),"")</f>
        <v>169.4104360268131</v>
      </c>
      <c r="BA12" s="249">
        <f>IFERROR((TableWRTERank[[#This Row],[FPS]]-INDEX(TableWRTERank[FPS],MATCH(WRTEVORPCalc,TableWRTERank[RK],0)))/INDEX(TableWRTERank[FPS],MATCH(WRTEVORPCalc,TableWRTERank[RK],0)),"")</f>
        <v>0.42661232160764345</v>
      </c>
      <c r="BC12" s="124" t="s">
        <v>358</v>
      </c>
      <c r="BD12" s="124">
        <v>11</v>
      </c>
      <c r="BE12" s="262">
        <f>RANK(TableWRTEMaster[[#This Row],[VORP]],TableWRTEMaster[VORP])+COUNTIF($BJ$2:BJ12,BJ12)-1</f>
        <v>13</v>
      </c>
      <c r="BF12" s="263" t="str">
        <f>IFERROR(INDEX(TableWRVORP[WIDE RECEIVER],MATCH(TableWRTEMaster[[#This Row],[RK]],TableWRVORP[RK],0)),"")</f>
        <v>A.J. Brown</v>
      </c>
      <c r="BG12" s="263" t="str">
        <f>_xlfn.CONCAT(TableWRTEMaster[[#This Row],[POS]],TableWRTEMaster[[#This Row],[RK]])</f>
        <v>WR11</v>
      </c>
      <c r="BH12" s="263">
        <f>IFERROR(INDEX(TableWRVORP[BYE],MATCH(TableWRTEMaster[[#This Row],[RK]],TableWRVORP[RK],0)),"")</f>
        <v>7</v>
      </c>
      <c r="BI12" s="264">
        <f>IFERROR(INDEX(TableWRVORP[FPS],MATCH(TableWRTEMaster[[#This Row],[RK]],TableWRVORP[RK],0)),"")</f>
        <v>169.4104360268131</v>
      </c>
      <c r="BJ12" s="254">
        <f>IFERROR(INDEX(TableWRVORP[VORP],MATCH(TableWRTEMaster[[#This Row],[RK]],TableWRVORP[RK],0)),"")</f>
        <v>0.55461650717506683</v>
      </c>
    </row>
    <row r="13" spans="1:66" x14ac:dyDescent="0.3">
      <c r="A13" s="246">
        <v>12</v>
      </c>
      <c r="B13" s="247" t="str">
        <f>IFERROR(INDEX(TableQBCalcPts[PLAYER],MATCH(TableQBVORP[[#This Row],[RK]],TableQBCalcPts[RK],0)),"")</f>
        <v>Trey Lance</v>
      </c>
      <c r="C13" s="247" t="str">
        <f>IFERROR(INDEX(TableQBCalcPts[TM],MATCH(TableQBVORP[[#This Row],[RK]],TableQBCalcPts[RK],0)),"")</f>
        <v>SF</v>
      </c>
      <c r="D13" s="247">
        <f>IFERROR(INDEX(TableQBCalcPts[BYE],MATCH(TableQBVORP[[#This Row],[RK]],TableQBCalcPts[RK],0)),"")</f>
        <v>9</v>
      </c>
      <c r="E13" s="248">
        <f>IFERROR(INDEX(TableQBCalcPts[Custom],MATCH(TableQBVORP[[#This Row],[RK]],TableQBCalcPts[RK],0)),"")</f>
        <v>324.0209681257009</v>
      </c>
      <c r="F13" s="249">
        <f>(IFERROR((TableQBVORP[[#This Row],[FPS]]-INDEX(TableQBVORP[FPS],MATCH(QBVORPCalc,TableQBVORP[RK],0)))/INDEX(TableQBVORP[FPS],MATCH(QBVORPCalc,TableQBVORP[RK],0)),""))+(TableRBVORP[[#This Row],[VORP]]*0.45)</f>
        <v>0.28170314359239351</v>
      </c>
      <c r="G13" s="246"/>
      <c r="H13" s="246">
        <v>12</v>
      </c>
      <c r="I13" s="247" t="str">
        <f>IFERROR(INDEX(TableRBCalcPts[PLAYER],MATCH(TableRBVORP[[#This Row],[RK]],TableRBCalcPts[RK],0)),"")</f>
        <v>J.K. Dobbins</v>
      </c>
      <c r="J13" s="247" t="str">
        <f>IFERROR(INDEX(TableRBCalcPts[TM],MATCH(TableRBVORP[[#This Row],[RK]],TableRBCalcPts[RK],0)),"")</f>
        <v>BAL</v>
      </c>
      <c r="K13" s="247">
        <f>IFERROR(INDEX(TableRBCalcPts[BYE],MATCH(TableRBVORP[[#This Row],[RK]],TableRBCalcPts[RK],0)),"")</f>
        <v>10</v>
      </c>
      <c r="L13" s="248">
        <f>IFERROR(INDEX(TableRBCalcPts[Custom],MATCH(TableRBVORP[[#This Row],[RK]],TableRBCalcPts[RK],0)),"")</f>
        <v>200.29881530397194</v>
      </c>
      <c r="M13" s="249">
        <f>IFERROR((TableRBVORP[[#This Row],[FPS]]-INDEX(TableRBVORP[FPS],MATCH(RBVORPCalc,TableRBVORP[RK],0)))/INDEX(TableRBVORP[FPS],MATCH(RBVORPCalc,TableRBVORP[RK],0)),"")</f>
        <v>0.97690935434642201</v>
      </c>
      <c r="N13" s="246"/>
      <c r="O13" s="246">
        <v>12</v>
      </c>
      <c r="P13" s="247" t="str">
        <f>IFERROR(INDEX(TableWRCalcPts[PLAYER],MATCH(TableWRVORP[[#This Row],[RK]],TableWRCalcPts[RK],0)),"")</f>
        <v>Mike Williams</v>
      </c>
      <c r="Q13" s="247" t="str">
        <f>IFERROR(INDEX(TableWRCalcPts[TM],MATCH(TableWRVORP[[#This Row],[RK]],TableWRCalcPts[RK],0)),"")</f>
        <v>LAC</v>
      </c>
      <c r="R13" s="247">
        <f>IFERROR(INDEX(TableWRCalcPts[BYE],MATCH(TableWRVORP[[#This Row],[RK]],TableWRCalcPts[RK],0)),"")</f>
        <v>8</v>
      </c>
      <c r="S13" s="248">
        <f>IFERROR(INDEX(TableWRCalcPts[Custom],MATCH(TableWRVORP[[#This Row],[RK]],TableWRCalcPts[RK],0)),"")</f>
        <v>161.21370314796229</v>
      </c>
      <c r="T13" s="249">
        <f>IFERROR((TableWRVORP[[#This Row],[FPS]]-INDEX(TableWRVORP[FPS],MATCH(WRVORPCalc,TableWRVORP[RK],0)))/INDEX(TableWRVORP[FPS],MATCH(WRVORPCalc,TableWRVORP[RK],0)),"")</f>
        <v>0.47939814083812382</v>
      </c>
      <c r="U13" s="246"/>
      <c r="V13" s="246">
        <v>12</v>
      </c>
      <c r="W13" s="247" t="str">
        <f>IFERROR(INDEX(TableTECalcPts[PLAYER],MATCH(TableTEVORP[[#This Row],[RK]],TableTECalcPts[RK],0)),"")</f>
        <v>Cameron Brate</v>
      </c>
      <c r="X13" s="247" t="str">
        <f>IFERROR(INDEX(TableTECalcPts[TM],MATCH(TableTEVORP[[#This Row],[RK]],TableTECalcPts[RK],0)),"")</f>
        <v>TB</v>
      </c>
      <c r="Y13" s="247">
        <f>IFERROR(INDEX(TableTECalcPts[BYE],MATCH(TableTEVORP[[#This Row],[RK]],TableTECalcPts[RK],0)),"")</f>
        <v>11</v>
      </c>
      <c r="Z13" s="248">
        <f>IFERROR(INDEX(TableTECalcPts[Custom],MATCH(TableTEVORP[[#This Row],[RK]],TableTECalcPts[RK],0)),"")</f>
        <v>99.231125452288012</v>
      </c>
      <c r="AA13" s="249">
        <f>IFERROR((TableTEVORP[[#This Row],[FPS]]-INDEX(TableTEVORP[FPS],MATCH(TEVORPCalc,TableTEVORP[RK],0)))/INDEX(TableTEVORP[FPS],MATCH(TEVORPCalc,TableTEVORP[RK],0)),"")</f>
        <v>-3.1441604719584418E-2</v>
      </c>
      <c r="AB13" s="246"/>
      <c r="AC13" s="250"/>
      <c r="AD13" s="250"/>
      <c r="AE13" s="250"/>
      <c r="AF13" s="250" t="s">
        <v>9</v>
      </c>
      <c r="AG13" s="250">
        <v>12</v>
      </c>
      <c r="AH13" s="251">
        <f>RANK(TableOverallMaster[[#This Row],[VORP]],TableOverallMaster[VORP])+COUNTIF($AM$2:AM13,AM13)-1</f>
        <v>75</v>
      </c>
      <c r="AI13" s="252" t="str">
        <f>IFERROR(INDEX(TableQBVORP[QUARTERBACK],MATCH(TableOverallMaster[[#This Row],[RK]],TableQBVORP[RK],0)),"")</f>
        <v>Trey Lance</v>
      </c>
      <c r="AJ13" s="252" t="str">
        <f t="shared" si="0"/>
        <v>QB12</v>
      </c>
      <c r="AK13" s="252">
        <f>IFERROR(INDEX(TableQBVORP[BYE],MATCH(TableOverallMaster[[#This Row],[RK]],TableQBVORP[RK],0)),"")</f>
        <v>9</v>
      </c>
      <c r="AL13" s="253">
        <f>IFERROR(INDEX(TableQBVORP[FPS],MATCH(TableOverallMaster[[#This Row],[RK]],TableQBVORP[RK],0)),"")</f>
        <v>324.0209681257009</v>
      </c>
      <c r="AM13" s="254">
        <f>IFERROR(INDEX(TableQBVORP[VORP],MATCH(TableOverallMaster[[#This Row],[RK]],TableQBVORP[RK],0)),"")</f>
        <v>0.28170314359239351</v>
      </c>
      <c r="AN13" s="250"/>
      <c r="AO13" s="250">
        <v>12</v>
      </c>
      <c r="AP13" s="255" t="str">
        <f>IFERROR(INDEX(TableOverallMaster[OVERALL PLAYER],MATCH(TableOverallRank[[#This Row],[RK]],TableOverallMaster[OVR RK],0)),"")</f>
        <v>Cam Akers</v>
      </c>
      <c r="AQ13" s="256" t="str">
        <f>IFERROR(INDEX(TableOverallMaster[POS RK],MATCH(TableOverallRank[[#This Row],[OVERALL PLAYER]],TableOverallMaster[OVERALL PLAYER],0)),"")</f>
        <v>RB10</v>
      </c>
      <c r="AR13" s="257">
        <f>IFERROR(INDEX(TableOverallMaster[BYE],MATCH(TableOverallRank[[#This Row],[OVERALL PLAYER]],TableOverallMaster[OVERALL PLAYER],0)),"")</f>
        <v>7</v>
      </c>
      <c r="AS13" s="258">
        <f>IFERROR(INDEX(TableOverallMaster[Custom],MATCH(TableOverallRank[[#This Row],[OVERALL PLAYER]],TableOverallMaster[OVERALL PLAYER],0)),"")</f>
        <v>210.42749670801629</v>
      </c>
      <c r="AT13" s="259">
        <f>IFERROR(INDEX(TableOverallMaster[VORP],MATCH(TableOverallRank[[#This Row],[OVERALL PLAYER]],TableOverallMaster[OVERALL PLAYER],0)),"")</f>
        <v>1.0768774194818171</v>
      </c>
      <c r="AU13" s="250"/>
      <c r="AV13" s="246">
        <v>12</v>
      </c>
      <c r="AW13" s="260" t="str">
        <f>IFERROR(INDEX(TableWRTECalcPts[PLAYER],MATCH(TableWRTERank[[#This Row],[RK]],TableWRTECalcPts[RK],0)),"")</f>
        <v>Travis Kelce</v>
      </c>
      <c r="AX13" s="260" t="str">
        <f>IFERROR(INDEX(TableWRTECalcPts[POS RK],MATCH(TableWRTERank[[#This Row],[WR and TE COMBINED]],TableWRTECalcPts[PLAYER],0)),"")</f>
        <v>TE1</v>
      </c>
      <c r="AY13" s="260">
        <f>IFERROR(INDEX(TableWRTECalcPts[BYE],MATCH(TableWRTERank[[#This Row],[RK]],TableWRTECalcPts[RK],0)),"")</f>
        <v>8</v>
      </c>
      <c r="AZ13" s="261">
        <f>IFERROR(INDEX(TableWRTECalcPts[Custom],MATCH(TableWRTERank[[#This Row],[RK]],TableWRTECalcPts[RK],0)),"")</f>
        <v>168.01396248207141</v>
      </c>
      <c r="BA13" s="249">
        <f>IFERROR((TableWRTERank[[#This Row],[FPS]]-INDEX(TableWRTERank[FPS],MATCH(WRTEVORPCalc,TableWRTERank[RK],0)))/INDEX(TableWRTERank[FPS],MATCH(WRTEVORPCalc,TableWRTERank[RK],0)),"")</f>
        <v>0.41485255985712011</v>
      </c>
      <c r="BC13" s="124" t="s">
        <v>358</v>
      </c>
      <c r="BD13" s="124">
        <v>12</v>
      </c>
      <c r="BE13" s="262">
        <f>RANK(TableWRTEMaster[[#This Row],[VORP]],TableWRTEMaster[VORP])+COUNTIF($BJ$2:BJ13,BJ13)-1</f>
        <v>15</v>
      </c>
      <c r="BF13" s="263" t="str">
        <f>IFERROR(INDEX(TableWRVORP[WIDE RECEIVER],MATCH(TableWRTEMaster[[#This Row],[RK]],TableWRVORP[RK],0)),"")</f>
        <v>Mike Williams</v>
      </c>
      <c r="BG13" s="263" t="str">
        <f>_xlfn.CONCAT(TableWRTEMaster[[#This Row],[POS]],TableWRTEMaster[[#This Row],[RK]])</f>
        <v>WR12</v>
      </c>
      <c r="BH13" s="263">
        <f>IFERROR(INDEX(TableWRVORP[BYE],MATCH(TableWRTEMaster[[#This Row],[RK]],TableWRVORP[RK],0)),"")</f>
        <v>8</v>
      </c>
      <c r="BI13" s="264">
        <f>IFERROR(INDEX(TableWRVORP[FPS],MATCH(TableWRTEMaster[[#This Row],[RK]],TableWRVORP[RK],0)),"")</f>
        <v>161.21370314796229</v>
      </c>
      <c r="BJ13" s="254">
        <f>IFERROR(INDEX(TableWRVORP[VORP],MATCH(TableWRTEMaster[[#This Row],[RK]],TableWRVORP[RK],0)),"")</f>
        <v>0.47939814083812382</v>
      </c>
    </row>
    <row r="14" spans="1:66" x14ac:dyDescent="0.3">
      <c r="A14" s="246">
        <v>13</v>
      </c>
      <c r="B14" s="247" t="str">
        <f>IFERROR(INDEX(TableQBCalcPts[PLAYER],MATCH(TableQBVORP[[#This Row],[RK]],TableQBCalcPts[RK],0)),"")</f>
        <v>Russell Wilson</v>
      </c>
      <c r="C14" s="247" t="str">
        <f>IFERROR(INDEX(TableQBCalcPts[TM],MATCH(TableQBVORP[[#This Row],[RK]],TableQBCalcPts[RK],0)),"")</f>
        <v>DEN</v>
      </c>
      <c r="D14" s="247">
        <f>IFERROR(INDEX(TableQBCalcPts[BYE],MATCH(TableQBVORP[[#This Row],[RK]],TableQBCalcPts[RK],0)),"")</f>
        <v>9</v>
      </c>
      <c r="E14" s="248">
        <f>IFERROR(INDEX(TableQBCalcPts[Custom],MATCH(TableQBVORP[[#This Row],[RK]],TableQBCalcPts[RK],0)),"")</f>
        <v>321.28473990032666</v>
      </c>
      <c r="F14" s="249">
        <f>(IFERROR((TableQBVORP[[#This Row],[FPS]]-INDEX(TableQBVORP[FPS],MATCH(QBVORPCalc,TableQBVORP[RK],0)))/INDEX(TableQBVORP[FPS],MATCH(QBVORPCalc,TableQBVORP[RK],0)),""))+(TableRBVORP[[#This Row],[VORP]]*0.45)</f>
        <v>0.27430692658026878</v>
      </c>
      <c r="G14" s="246"/>
      <c r="H14" s="246">
        <v>13</v>
      </c>
      <c r="I14" s="247" t="str">
        <f>IFERROR(INDEX(TableRBCalcPts[PLAYER],MATCH(TableRBVORP[[#This Row],[RK]],TableRBCalcPts[RK],0)),"")</f>
        <v>Leonard Fournette</v>
      </c>
      <c r="J14" s="247" t="str">
        <f>IFERROR(INDEX(TableRBCalcPts[TM],MATCH(TableRBVORP[[#This Row],[RK]],TableRBCalcPts[RK],0)),"")</f>
        <v>TB</v>
      </c>
      <c r="K14" s="247">
        <f>IFERROR(INDEX(TableRBCalcPts[BYE],MATCH(TableRBVORP[[#This Row],[RK]],TableRBCalcPts[RK],0)),"")</f>
        <v>11</v>
      </c>
      <c r="L14" s="248">
        <f>IFERROR(INDEX(TableRBCalcPts[Custom],MATCH(TableRBVORP[[#This Row],[RK]],TableRBCalcPts[RK],0)),"")</f>
        <v>200.23463104926964</v>
      </c>
      <c r="M14" s="249">
        <f>IFERROR((TableRBVORP[[#This Row],[FPS]]-INDEX(TableRBVORP[FPS],MATCH(RBVORPCalc,TableRBVORP[RK],0)))/INDEX(TableRBVORP[FPS],MATCH(RBVORPCalc,TableRBVORP[RK],0)),"")</f>
        <v>0.97627586855505499</v>
      </c>
      <c r="N14" s="246"/>
      <c r="O14" s="246">
        <v>13</v>
      </c>
      <c r="P14" s="247" t="str">
        <f>IFERROR(INDEX(TableWRCalcPts[PLAYER],MATCH(TableWRVORP[[#This Row],[RK]],TableWRCalcPts[RK],0)),"")</f>
        <v>Michael Pittman</v>
      </c>
      <c r="Q14" s="247" t="str">
        <f>IFERROR(INDEX(TableWRCalcPts[TM],MATCH(TableWRVORP[[#This Row],[RK]],TableWRCalcPts[RK],0)),"")</f>
        <v>IND</v>
      </c>
      <c r="R14" s="247">
        <f>IFERROR(INDEX(TableWRCalcPts[BYE],MATCH(TableWRVORP[[#This Row],[RK]],TableWRCalcPts[RK],0)),"")</f>
        <v>14</v>
      </c>
      <c r="S14" s="248">
        <f>IFERROR(INDEX(TableWRCalcPts[Custom],MATCH(TableWRVORP[[#This Row],[RK]],TableWRCalcPts[RK],0)),"")</f>
        <v>157.32741468517131</v>
      </c>
      <c r="T14" s="249">
        <f>IFERROR((TableWRVORP[[#This Row],[FPS]]-INDEX(TableWRVORP[FPS],MATCH(WRVORPCalc,TableWRVORP[RK],0)))/INDEX(TableWRVORP[FPS],MATCH(WRVORPCalc,TableWRVORP[RK],0)),"")</f>
        <v>0.44373511831368712</v>
      </c>
      <c r="U14" s="246"/>
      <c r="V14" s="246">
        <v>13</v>
      </c>
      <c r="W14" s="247" t="str">
        <f>IFERROR(INDEX(TableTECalcPts[PLAYER],MATCH(TableTEVORP[[#This Row],[RK]],TableTECalcPts[RK],0)),"")</f>
        <v>David Njoku</v>
      </c>
      <c r="X14" s="247" t="str">
        <f>IFERROR(INDEX(TableTECalcPts[TM],MATCH(TableTEVORP[[#This Row],[RK]],TableTECalcPts[RK],0)),"")</f>
        <v>CLE</v>
      </c>
      <c r="Y14" s="247">
        <f>IFERROR(INDEX(TableTECalcPts[BYE],MATCH(TableTEVORP[[#This Row],[RK]],TableTECalcPts[RK],0)),"")</f>
        <v>9</v>
      </c>
      <c r="Z14" s="248">
        <f>IFERROR(INDEX(TableTECalcPts[Custom],MATCH(TableTEVORP[[#This Row],[RK]],TableTECalcPts[RK],0)),"")</f>
        <v>98.103124524733062</v>
      </c>
      <c r="AA14" s="249">
        <f>IFERROR((TableTEVORP[[#This Row],[FPS]]-INDEX(TableTEVORP[FPS],MATCH(TEVORPCalc,TableTEVORP[RK],0)))/INDEX(TableTEVORP[FPS],MATCH(TEVORPCalc,TableTEVORP[RK],0)),"")</f>
        <v>-4.245160549593107E-2</v>
      </c>
      <c r="AB14" s="246"/>
      <c r="AC14" s="250"/>
      <c r="AD14" s="250"/>
      <c r="AE14" s="250"/>
      <c r="AF14" s="250" t="s">
        <v>9</v>
      </c>
      <c r="AG14" s="250">
        <v>13</v>
      </c>
      <c r="AH14" s="251">
        <f>RANK(TableOverallMaster[[#This Row],[VORP]],TableOverallMaster[VORP])+COUNTIF($AM$2:AM14,AM14)-1</f>
        <v>76</v>
      </c>
      <c r="AI14" s="252" t="str">
        <f>IFERROR(INDEX(TableQBVORP[QUARTERBACK],MATCH(TableOverallMaster[[#This Row],[RK]],TableQBVORP[RK],0)),"")</f>
        <v>Russell Wilson</v>
      </c>
      <c r="AJ14" s="252" t="str">
        <f t="shared" si="0"/>
        <v>QB13</v>
      </c>
      <c r="AK14" s="252">
        <f>IFERROR(INDEX(TableQBVORP[BYE],MATCH(TableOverallMaster[[#This Row],[RK]],TableQBVORP[RK],0)),"")</f>
        <v>9</v>
      </c>
      <c r="AL14" s="253">
        <f>IFERROR(INDEX(TableQBVORP[FPS],MATCH(TableOverallMaster[[#This Row],[RK]],TableQBVORP[RK],0)),"")</f>
        <v>321.28473990032666</v>
      </c>
      <c r="AM14" s="254">
        <f>IFERROR(INDEX(TableQBVORP[VORP],MATCH(TableOverallMaster[[#This Row],[RK]],TableQBVORP[RK],0)),"")</f>
        <v>0.27430692658026878</v>
      </c>
      <c r="AN14" s="250"/>
      <c r="AO14" s="250">
        <v>13</v>
      </c>
      <c r="AP14" s="255" t="str">
        <f>IFERROR(INDEX(TableOverallMaster[OVERALL PLAYER],MATCH(TableOverallRank[[#This Row],[RK]],TableOverallMaster[OVR RK],0)),"")</f>
        <v>Saquon Barkley</v>
      </c>
      <c r="AQ14" s="256" t="str">
        <f>IFERROR(INDEX(TableOverallMaster[POS RK],MATCH(TableOverallRank[[#This Row],[OVERALL PLAYER]],TableOverallMaster[OVERALL PLAYER],0)),"")</f>
        <v>RB11</v>
      </c>
      <c r="AR14" s="257">
        <f>IFERROR(INDEX(TableOverallMaster[BYE],MATCH(TableOverallRank[[#This Row],[OVERALL PLAYER]],TableOverallMaster[OVERALL PLAYER],0)),"")</f>
        <v>9</v>
      </c>
      <c r="AS14" s="258">
        <f>IFERROR(INDEX(TableOverallMaster[Custom],MATCH(TableOverallRank[[#This Row],[OVERALL PLAYER]],TableOverallMaster[OVERALL PLAYER],0)),"")</f>
        <v>208.83160199086635</v>
      </c>
      <c r="AT14" s="259">
        <f>IFERROR(INDEX(TableOverallMaster[VORP],MATCH(TableOverallRank[[#This Row],[OVERALL PLAYER]],TableOverallMaster[OVERALL PLAYER],0)),"")</f>
        <v>1.0611262569494884</v>
      </c>
      <c r="AU14" s="250"/>
      <c r="AV14" s="246">
        <v>13</v>
      </c>
      <c r="AW14" s="260" t="str">
        <f>IFERROR(INDEX(TableWRTECalcPts[PLAYER],MATCH(TableWRTERank[[#This Row],[RK]],TableWRTECalcPts[RK],0)),"")</f>
        <v>Mike Williams</v>
      </c>
      <c r="AX14" s="260" t="str">
        <f>IFERROR(INDEX(TableWRTECalcPts[POS RK],MATCH(TableWRTERank[[#This Row],[WR and TE COMBINED]],TableWRTECalcPts[PLAYER],0)),"")</f>
        <v>WR12</v>
      </c>
      <c r="AY14" s="260">
        <f>IFERROR(INDEX(TableWRTECalcPts[BYE],MATCH(TableWRTERank[[#This Row],[RK]],TableWRTECalcPts[RK],0)),"")</f>
        <v>8</v>
      </c>
      <c r="AZ14" s="261">
        <f>IFERROR(INDEX(TableWRTECalcPts[Custom],MATCH(TableWRTERank[[#This Row],[RK]],TableWRTECalcPts[RK],0)),"")</f>
        <v>161.21370314796229</v>
      </c>
      <c r="BA14" s="249">
        <f>IFERROR((TableWRTERank[[#This Row],[FPS]]-INDEX(TableWRTERank[FPS],MATCH(WRTEVORPCalc,TableWRTERank[RK],0)))/INDEX(TableWRTERank[FPS],MATCH(WRTEVORPCalc,TableWRTERank[RK],0)),"")</f>
        <v>0.35758729342080686</v>
      </c>
      <c r="BC14" s="124" t="s">
        <v>358</v>
      </c>
      <c r="BD14" s="124">
        <v>13</v>
      </c>
      <c r="BE14" s="262">
        <f>RANK(TableWRTEMaster[[#This Row],[VORP]],TableWRTEMaster[VORP])+COUNTIF($BJ$2:BJ14,BJ14)-1</f>
        <v>16</v>
      </c>
      <c r="BF14" s="263" t="str">
        <f>IFERROR(INDEX(TableWRVORP[WIDE RECEIVER],MATCH(TableWRTEMaster[[#This Row],[RK]],TableWRVORP[RK],0)),"")</f>
        <v>Michael Pittman</v>
      </c>
      <c r="BG14" s="263" t="str">
        <f>_xlfn.CONCAT(TableWRTEMaster[[#This Row],[POS]],TableWRTEMaster[[#This Row],[RK]])</f>
        <v>WR13</v>
      </c>
      <c r="BH14" s="263">
        <f>IFERROR(INDEX(TableWRVORP[BYE],MATCH(TableWRTEMaster[[#This Row],[RK]],TableWRVORP[RK],0)),"")</f>
        <v>14</v>
      </c>
      <c r="BI14" s="264">
        <f>IFERROR(INDEX(TableWRVORP[FPS],MATCH(TableWRTEMaster[[#This Row],[RK]],TableWRVORP[RK],0)),"")</f>
        <v>157.32741468517131</v>
      </c>
      <c r="BJ14" s="254">
        <f>IFERROR(INDEX(TableWRVORP[VORP],MATCH(TableWRTEMaster[[#This Row],[RK]],TableWRVORP[RK],0)),"")</f>
        <v>0.44373511831368712</v>
      </c>
    </row>
    <row r="15" spans="1:66" x14ac:dyDescent="0.3">
      <c r="A15" s="246">
        <v>14</v>
      </c>
      <c r="B15" s="247" t="str">
        <f>IFERROR(INDEX(TableQBCalcPts[PLAYER],MATCH(TableQBVORP[[#This Row],[RK]],TableQBCalcPts[RK],0)),"")</f>
        <v>Trevor Lawrence</v>
      </c>
      <c r="C15" s="247" t="str">
        <f>IFERROR(INDEX(TableQBCalcPts[TM],MATCH(TableQBVORP[[#This Row],[RK]],TableQBCalcPts[RK],0)),"")</f>
        <v>JAX</v>
      </c>
      <c r="D15" s="247">
        <f>IFERROR(INDEX(TableQBCalcPts[BYE],MATCH(TableQBVORP[[#This Row],[RK]],TableQBCalcPts[RK],0)),"")</f>
        <v>11</v>
      </c>
      <c r="E15" s="248">
        <f>IFERROR(INDEX(TableQBCalcPts[Custom],MATCH(TableQBVORP[[#This Row],[RK]],TableQBCalcPts[RK],0)),"")</f>
        <v>317.61171397799848</v>
      </c>
      <c r="F15" s="249">
        <f>(IFERROR((TableQBVORP[[#This Row],[FPS]]-INDEX(TableQBVORP[FPS],MATCH(QBVORPCalc,TableQBVORP[RK],0)))/INDEX(TableQBVORP[FPS],MATCH(QBVORPCalc,TableQBVORP[RK],0)),""))+(TableRBVORP[[#This Row],[VORP]]*0.45)</f>
        <v>0.26391930683581044</v>
      </c>
      <c r="G15" s="246"/>
      <c r="H15" s="246">
        <v>14</v>
      </c>
      <c r="I15" s="247" t="str">
        <f>IFERROR(INDEX(TableRBCalcPts[PLAYER],MATCH(TableRBVORP[[#This Row],[RK]],TableRBCalcPts[RK],0)),"")</f>
        <v>Antonio Gibson</v>
      </c>
      <c r="J15" s="247" t="str">
        <f>IFERROR(INDEX(TableRBCalcPts[TM],MATCH(TableRBVORP[[#This Row],[RK]],TableRBCalcPts[RK],0)),"")</f>
        <v>WSH</v>
      </c>
      <c r="K15" s="247">
        <f>IFERROR(INDEX(TableRBCalcPts[BYE],MATCH(TableRBVORP[[#This Row],[RK]],TableRBCalcPts[RK],0)),"")</f>
        <v>14</v>
      </c>
      <c r="L15" s="248">
        <f>IFERROR(INDEX(TableRBCalcPts[Custom],MATCH(TableRBVORP[[#This Row],[RK]],TableRBCalcPts[RK],0)),"")</f>
        <v>200.04508768685292</v>
      </c>
      <c r="M15" s="249">
        <f>IFERROR((TableRBVORP[[#This Row],[FPS]]-INDEX(TableRBVORP[FPS],MATCH(RBVORPCalc,TableRBVORP[RK],0)))/INDEX(TableRBVORP[FPS],MATCH(RBVORPCalc,TableRBVORP[RK],0)),"")</f>
        <v>0.97440511337536395</v>
      </c>
      <c r="N15" s="246"/>
      <c r="O15" s="246">
        <v>14</v>
      </c>
      <c r="P15" s="247" t="str">
        <f>IFERROR(INDEX(TableWRCalcPts[PLAYER],MATCH(TableWRVORP[[#This Row],[RK]],TableWRCalcPts[RK],0)),"")</f>
        <v>Amari Cooper</v>
      </c>
      <c r="Q15" s="247" t="str">
        <f>IFERROR(INDEX(TableWRCalcPts[TM],MATCH(TableWRVORP[[#This Row],[RK]],TableWRCalcPts[RK],0)),"")</f>
        <v>CLE</v>
      </c>
      <c r="R15" s="247">
        <f>IFERROR(INDEX(TableWRCalcPts[BYE],MATCH(TableWRVORP[[#This Row],[RK]],TableWRCalcPts[RK],0)),"")</f>
        <v>9</v>
      </c>
      <c r="S15" s="248">
        <f>IFERROR(INDEX(TableWRCalcPts[Custom],MATCH(TableWRVORP[[#This Row],[RK]],TableWRCalcPts[RK],0)),"")</f>
        <v>156.91573129483072</v>
      </c>
      <c r="T15" s="249">
        <f>IFERROR((TableWRVORP[[#This Row],[FPS]]-INDEX(TableWRVORP[FPS],MATCH(WRVORPCalc,TableWRVORP[RK],0)))/INDEX(TableWRVORP[FPS],MATCH(WRVORPCalc,TableWRVORP[RK],0)),"")</f>
        <v>0.43995725309260958</v>
      </c>
      <c r="U15" s="246"/>
      <c r="V15" s="246">
        <v>14</v>
      </c>
      <c r="W15" s="247" t="str">
        <f>IFERROR(INDEX(TableTECalcPts[PLAYER],MATCH(TableTEVORP[[#This Row],[RK]],TableTECalcPts[RK],0)),"")</f>
        <v>Pat Freiermuth</v>
      </c>
      <c r="X15" s="247" t="str">
        <f>IFERROR(INDEX(TableTECalcPts[TM],MATCH(TableTEVORP[[#This Row],[RK]],TableTECalcPts[RK],0)),"")</f>
        <v>PIT</v>
      </c>
      <c r="Y15" s="247">
        <f>IFERROR(INDEX(TableTECalcPts[BYE],MATCH(TableTEVORP[[#This Row],[RK]],TableTECalcPts[RK],0)),"")</f>
        <v>9</v>
      </c>
      <c r="Z15" s="248">
        <f>IFERROR(INDEX(TableTECalcPts[Custom],MATCH(TableTEVORP[[#This Row],[RK]],TableTECalcPts[RK],0)),"")</f>
        <v>95.849834967367968</v>
      </c>
      <c r="AA15" s="249">
        <f>IFERROR((TableTEVORP[[#This Row],[FPS]]-INDEX(TableTEVORP[FPS],MATCH(TEVORPCalc,TableTEVORP[RK],0)))/INDEX(TableTEVORP[FPS],MATCH(TEVORPCalc,TableTEVORP[RK],0)),"")</f>
        <v>-6.4445133311283806E-2</v>
      </c>
      <c r="AB15" s="246"/>
      <c r="AC15" s="250"/>
      <c r="AD15" s="250"/>
      <c r="AE15" s="250"/>
      <c r="AF15" s="250" t="s">
        <v>9</v>
      </c>
      <c r="AG15" s="250">
        <v>14</v>
      </c>
      <c r="AH15" s="251">
        <f>RANK(TableOverallMaster[[#This Row],[VORP]],TableOverallMaster[VORP])+COUNTIF($AM$2:AM15,AM15)-1</f>
        <v>79</v>
      </c>
      <c r="AI15" s="252" t="str">
        <f>IFERROR(INDEX(TableQBVORP[QUARTERBACK],MATCH(TableOverallMaster[[#This Row],[RK]],TableQBVORP[RK],0)),"")</f>
        <v>Trevor Lawrence</v>
      </c>
      <c r="AJ15" s="252" t="str">
        <f t="shared" si="0"/>
        <v>QB14</v>
      </c>
      <c r="AK15" s="252">
        <f>IFERROR(INDEX(TableQBVORP[BYE],MATCH(TableOverallMaster[[#This Row],[RK]],TableQBVORP[RK],0)),"")</f>
        <v>11</v>
      </c>
      <c r="AL15" s="253">
        <f>IFERROR(INDEX(TableQBVORP[FPS],MATCH(TableOverallMaster[[#This Row],[RK]],TableQBVORP[RK],0)),"")</f>
        <v>317.61171397799848</v>
      </c>
      <c r="AM15" s="254">
        <f>IFERROR(INDEX(TableQBVORP[VORP],MATCH(TableOverallMaster[[#This Row],[RK]],TableQBVORP[RK],0)),"")</f>
        <v>0.26391930683581044</v>
      </c>
      <c r="AN15" s="250"/>
      <c r="AO15" s="250">
        <v>14</v>
      </c>
      <c r="AP15" s="255" t="str">
        <f>IFERROR(INDEX(TableOverallMaster[OVERALL PLAYER],MATCH(TableOverallRank[[#This Row],[RK]],TableOverallMaster[OVR RK],0)),"")</f>
        <v>Josh Allen</v>
      </c>
      <c r="AQ15" s="256" t="str">
        <f>IFERROR(INDEX(TableOverallMaster[POS RK],MATCH(TableOverallRank[[#This Row],[OVERALL PLAYER]],TableOverallMaster[OVERALL PLAYER],0)),"")</f>
        <v>QB1</v>
      </c>
      <c r="AR15" s="257">
        <f>IFERROR(INDEX(TableOverallMaster[BYE],MATCH(TableOverallRank[[#This Row],[OVERALL PLAYER]],TableOverallMaster[OVERALL PLAYER],0)),"")</f>
        <v>7</v>
      </c>
      <c r="AS15" s="258">
        <f>IFERROR(INDEX(TableOverallMaster[Custom],MATCH(TableOverallRank[[#This Row],[OVERALL PLAYER]],TableOverallMaster[OVERALL PLAYER],0)),"")</f>
        <v>421.90619014402529</v>
      </c>
      <c r="AT15" s="259">
        <f>IFERROR(INDEX(TableOverallMaster[VORP],MATCH(TableOverallRank[[#This Row],[OVERALL PLAYER]],TableOverallMaster[OVERALL PLAYER],0)),"")</f>
        <v>0.9913825609525001</v>
      </c>
      <c r="AU15" s="250"/>
      <c r="AV15" s="246">
        <v>14</v>
      </c>
      <c r="AW15" s="260" t="str">
        <f>IFERROR(INDEX(TableWRTECalcPts[PLAYER],MATCH(TableWRTERank[[#This Row],[RK]],TableWRTECalcPts[RK],0)),"")</f>
        <v>Mark Andrews</v>
      </c>
      <c r="AX15" s="260" t="str">
        <f>IFERROR(INDEX(TableWRTECalcPts[POS RK],MATCH(TableWRTERank[[#This Row],[WR and TE COMBINED]],TableWRTECalcPts[PLAYER],0)),"")</f>
        <v>TE2</v>
      </c>
      <c r="AY15" s="260">
        <f>IFERROR(INDEX(TableWRTECalcPts[BYE],MATCH(TableWRTERank[[#This Row],[RK]],TableWRTECalcPts[RK],0)),"")</f>
        <v>10</v>
      </c>
      <c r="AZ15" s="261">
        <f>IFERROR(INDEX(TableWRTECalcPts[Custom],MATCH(TableWRTERank[[#This Row],[RK]],TableWRTECalcPts[RK],0)),"")</f>
        <v>159.94886032288994</v>
      </c>
      <c r="BA15" s="249">
        <f>IFERROR((TableWRTERank[[#This Row],[FPS]]-INDEX(TableWRTERank[FPS],MATCH(WRTEVORPCalc,TableWRTERank[RK],0)))/INDEX(TableWRTERank[FPS],MATCH(WRTEVORPCalc,TableWRTERank[RK],0)),"")</f>
        <v>0.34693599943051429</v>
      </c>
      <c r="BC15" s="124" t="s">
        <v>358</v>
      </c>
      <c r="BD15" s="124">
        <v>14</v>
      </c>
      <c r="BE15" s="262">
        <f>RANK(TableWRTEMaster[[#This Row],[VORP]],TableWRTEMaster[VORP])+COUNTIF($BJ$2:BJ15,BJ15)-1</f>
        <v>17</v>
      </c>
      <c r="BF15" s="263" t="str">
        <f>IFERROR(INDEX(TableWRVORP[WIDE RECEIVER],MATCH(TableWRTEMaster[[#This Row],[RK]],TableWRVORP[RK],0)),"")</f>
        <v>Amari Cooper</v>
      </c>
      <c r="BG15" s="263" t="str">
        <f>_xlfn.CONCAT(TableWRTEMaster[[#This Row],[POS]],TableWRTEMaster[[#This Row],[RK]])</f>
        <v>WR14</v>
      </c>
      <c r="BH15" s="263">
        <f>IFERROR(INDEX(TableWRVORP[BYE],MATCH(TableWRTEMaster[[#This Row],[RK]],TableWRVORP[RK],0)),"")</f>
        <v>9</v>
      </c>
      <c r="BI15" s="264">
        <f>IFERROR(INDEX(TableWRVORP[FPS],MATCH(TableWRTEMaster[[#This Row],[RK]],TableWRVORP[RK],0)),"")</f>
        <v>156.91573129483072</v>
      </c>
      <c r="BJ15" s="254">
        <f>IFERROR(INDEX(TableWRVORP[VORP],MATCH(TableWRTEMaster[[#This Row],[RK]],TableWRVORP[RK],0)),"")</f>
        <v>0.43995725309260958</v>
      </c>
    </row>
    <row r="16" spans="1:66" x14ac:dyDescent="0.3">
      <c r="A16" s="246">
        <v>15</v>
      </c>
      <c r="B16" s="247" t="str">
        <f>IFERROR(INDEX(TableQBCalcPts[PLAYER],MATCH(TableQBVORP[[#This Row],[RK]],TableQBCalcPts[RK],0)),"")</f>
        <v>Justin Fields</v>
      </c>
      <c r="C16" s="247" t="str">
        <f>IFERROR(INDEX(TableQBCalcPts[TM],MATCH(TableQBVORP[[#This Row],[RK]],TableQBCalcPts[RK],0)),"")</f>
        <v>CHI</v>
      </c>
      <c r="D16" s="247">
        <f>IFERROR(INDEX(TableQBCalcPts[BYE],MATCH(TableQBVORP[[#This Row],[RK]],TableQBCalcPts[RK],0)),"")</f>
        <v>14</v>
      </c>
      <c r="E16" s="248">
        <f>IFERROR(INDEX(TableQBCalcPts[Custom],MATCH(TableQBVORP[[#This Row],[RK]],TableQBCalcPts[RK],0)),"")</f>
        <v>309.50928958655686</v>
      </c>
      <c r="F16" s="249">
        <f>(IFERROR((TableQBVORP[[#This Row],[FPS]]-INDEX(TableQBVORP[FPS],MATCH(QBVORPCalc,TableQBVORP[RK],0)))/INDEX(TableQBVORP[FPS],MATCH(QBVORPCalc,TableQBVORP[RK],0)),""))+(TableRBVORP[[#This Row],[VORP]]*0.45)</f>
        <v>0.2313653334859942</v>
      </c>
      <c r="G16" s="246"/>
      <c r="H16" s="246">
        <v>15</v>
      </c>
      <c r="I16" s="247" t="str">
        <f>IFERROR(INDEX(TableRBCalcPts[PLAYER],MATCH(TableRBVORP[[#This Row],[RK]],TableRBCalcPts[RK],0)),"")</f>
        <v>D'Andre Swift</v>
      </c>
      <c r="J16" s="247" t="str">
        <f>IFERROR(INDEX(TableRBCalcPts[TM],MATCH(TableRBVORP[[#This Row],[RK]],TableRBCalcPts[RK],0)),"")</f>
        <v>DET</v>
      </c>
      <c r="K16" s="247">
        <f>IFERROR(INDEX(TableRBCalcPts[BYE],MATCH(TableRBVORP[[#This Row],[RK]],TableRBCalcPts[RK],0)),"")</f>
        <v>6</v>
      </c>
      <c r="L16" s="248">
        <f>IFERROR(INDEX(TableRBCalcPts[Custom],MATCH(TableRBVORP[[#This Row],[RK]],TableRBCalcPts[RK],0)),"")</f>
        <v>197.4565660239515</v>
      </c>
      <c r="M16" s="249">
        <f>IFERROR((TableRBVORP[[#This Row],[FPS]]-INDEX(TableRBVORP[FPS],MATCH(RBVORPCalc,TableRBVORP[RK],0)))/INDEX(TableRBVORP[FPS],MATCH(RBVORPCalc,TableRBVORP[RK],0)),"")</f>
        <v>0.94885692088330031</v>
      </c>
      <c r="N16" s="246"/>
      <c r="O16" s="246">
        <v>15</v>
      </c>
      <c r="P16" s="247" t="str">
        <f>IFERROR(INDEX(TableWRCalcPts[PLAYER],MATCH(TableWRVORP[[#This Row],[RK]],TableWRCalcPts[RK],0)),"")</f>
        <v>Keenan Allen</v>
      </c>
      <c r="Q16" s="247" t="str">
        <f>IFERROR(INDEX(TableWRCalcPts[TM],MATCH(TableWRVORP[[#This Row],[RK]],TableWRCalcPts[RK],0)),"")</f>
        <v>LAC</v>
      </c>
      <c r="R16" s="247">
        <f>IFERROR(INDEX(TableWRCalcPts[BYE],MATCH(TableWRVORP[[#This Row],[RK]],TableWRCalcPts[RK],0)),"")</f>
        <v>8</v>
      </c>
      <c r="S16" s="248">
        <f>IFERROR(INDEX(TableWRCalcPts[Custom],MATCH(TableWRVORP[[#This Row],[RK]],TableWRCalcPts[RK],0)),"")</f>
        <v>151.05767453585224</v>
      </c>
      <c r="T16" s="249">
        <f>IFERROR((TableWRVORP[[#This Row],[FPS]]-INDEX(TableWRVORP[FPS],MATCH(WRVORPCalc,TableWRVORP[RK],0)))/INDEX(TableWRVORP[FPS],MATCH(WRVORPCalc,TableWRVORP[RK],0)),"")</f>
        <v>0.38620004691887061</v>
      </c>
      <c r="U16" s="246"/>
      <c r="V16" s="246">
        <v>15</v>
      </c>
      <c r="W16" s="247" t="str">
        <f>IFERROR(INDEX(TableTECalcPts[PLAYER],MATCH(TableTEVORP[[#This Row],[RK]],TableTECalcPts[RK],0)),"")</f>
        <v>Hunter Henry</v>
      </c>
      <c r="X16" s="247" t="str">
        <f>IFERROR(INDEX(TableTECalcPts[TM],MATCH(TableTEVORP[[#This Row],[RK]],TableTECalcPts[RK],0)),"")</f>
        <v>NE</v>
      </c>
      <c r="Y16" s="247">
        <f>IFERROR(INDEX(TableTECalcPts[BYE],MATCH(TableTEVORP[[#This Row],[RK]],TableTECalcPts[RK],0)),"")</f>
        <v>10</v>
      </c>
      <c r="Z16" s="248">
        <f>IFERROR(INDEX(TableTECalcPts[Custom],MATCH(TableTEVORP[[#This Row],[RK]],TableTECalcPts[RK],0)),"")</f>
        <v>95.676800335250789</v>
      </c>
      <c r="AA16" s="249">
        <f>IFERROR((TableTEVORP[[#This Row],[FPS]]-INDEX(TableTEVORP[FPS],MATCH(TEVORPCalc,TableTEVORP[RK],0)))/INDEX(TableTEVORP[FPS],MATCH(TEVORPCalc,TableTEVORP[RK],0)),"")</f>
        <v>-6.613406049867053E-2</v>
      </c>
      <c r="AB16" s="246"/>
      <c r="AC16" s="250"/>
      <c r="AD16" s="250"/>
      <c r="AE16" s="250"/>
      <c r="AF16" s="250" t="s">
        <v>9</v>
      </c>
      <c r="AG16" s="250">
        <v>15</v>
      </c>
      <c r="AH16" s="251">
        <f>RANK(TableOverallMaster[[#This Row],[VORP]],TableOverallMaster[VORP])+COUNTIF($AM$2:AM16,AM16)-1</f>
        <v>85</v>
      </c>
      <c r="AI16" s="252" t="str">
        <f>IFERROR(INDEX(TableQBVORP[QUARTERBACK],MATCH(TableOverallMaster[[#This Row],[RK]],TableQBVORP[RK],0)),"")</f>
        <v>Justin Fields</v>
      </c>
      <c r="AJ16" s="252" t="str">
        <f t="shared" si="0"/>
        <v>QB15</v>
      </c>
      <c r="AK16" s="252">
        <f>IFERROR(INDEX(TableQBVORP[BYE],MATCH(TableOverallMaster[[#This Row],[RK]],TableQBVORP[RK],0)),"")</f>
        <v>14</v>
      </c>
      <c r="AL16" s="253">
        <f>IFERROR(INDEX(TableQBVORP[FPS],MATCH(TableOverallMaster[[#This Row],[RK]],TableQBVORP[RK],0)),"")</f>
        <v>309.50928958655686</v>
      </c>
      <c r="AM16" s="254">
        <f>IFERROR(INDEX(TableQBVORP[VORP],MATCH(TableOverallMaster[[#This Row],[RK]],TableQBVORP[RK],0)),"")</f>
        <v>0.2313653334859942</v>
      </c>
      <c r="AN16" s="250"/>
      <c r="AO16" s="250">
        <v>15</v>
      </c>
      <c r="AP16" s="255" t="str">
        <f>IFERROR(INDEX(TableOverallMaster[OVERALL PLAYER],MATCH(TableOverallRank[[#This Row],[RK]],TableOverallMaster[OVR RK],0)),"")</f>
        <v>J.K. Dobbins</v>
      </c>
      <c r="AQ16" s="256" t="str">
        <f>IFERROR(INDEX(TableOverallMaster[POS RK],MATCH(TableOverallRank[[#This Row],[OVERALL PLAYER]],TableOverallMaster[OVERALL PLAYER],0)),"")</f>
        <v>RB12</v>
      </c>
      <c r="AR16" s="257">
        <f>IFERROR(INDEX(TableOverallMaster[BYE],MATCH(TableOverallRank[[#This Row],[OVERALL PLAYER]],TableOverallMaster[OVERALL PLAYER],0)),"")</f>
        <v>10</v>
      </c>
      <c r="AS16" s="258">
        <f>IFERROR(INDEX(TableOverallMaster[Custom],MATCH(TableOverallRank[[#This Row],[OVERALL PLAYER]],TableOverallMaster[OVERALL PLAYER],0)),"")</f>
        <v>200.29881530397194</v>
      </c>
      <c r="AT16" s="259">
        <f>IFERROR(INDEX(TableOverallMaster[VORP],MATCH(TableOverallRank[[#This Row],[OVERALL PLAYER]],TableOverallMaster[OVERALL PLAYER],0)),"")</f>
        <v>0.97690935434642201</v>
      </c>
      <c r="AU16" s="250"/>
      <c r="AV16" s="246">
        <v>15</v>
      </c>
      <c r="AW16" s="260" t="str">
        <f>IFERROR(INDEX(TableWRTECalcPts[PLAYER],MATCH(TableWRTERank[[#This Row],[RK]],TableWRTECalcPts[RK],0)),"")</f>
        <v>Michael Pittman</v>
      </c>
      <c r="AX16" s="260" t="str">
        <f>IFERROR(INDEX(TableWRTECalcPts[POS RK],MATCH(TableWRTERank[[#This Row],[WR and TE COMBINED]],TableWRTECalcPts[PLAYER],0)),"")</f>
        <v>WR13</v>
      </c>
      <c r="AY16" s="260">
        <f>IFERROR(INDEX(TableWRTECalcPts[BYE],MATCH(TableWRTERank[[#This Row],[RK]],TableWRTECalcPts[RK],0)),"")</f>
        <v>14</v>
      </c>
      <c r="AZ16" s="261">
        <f>IFERROR(INDEX(TableWRTECalcPts[Custom],MATCH(TableWRTERank[[#This Row],[RK]],TableWRTECalcPts[RK],0)),"")</f>
        <v>157.32741468517131</v>
      </c>
      <c r="BA16" s="249">
        <f>IFERROR((TableWRTERank[[#This Row],[FPS]]-INDEX(TableWRTERank[FPS],MATCH(WRTEVORPCalc,TableWRTERank[RK],0)))/INDEX(TableWRTERank[FPS],MATCH(WRTEVORPCalc,TableWRTERank[RK],0)),"")</f>
        <v>0.32486069678149621</v>
      </c>
      <c r="BC16" s="124" t="s">
        <v>358</v>
      </c>
      <c r="BD16" s="124">
        <v>15</v>
      </c>
      <c r="BE16" s="262">
        <f>RANK(TableWRTEMaster[[#This Row],[VORP]],TableWRTEMaster[VORP])+COUNTIF($BJ$2:BJ16,BJ16)-1</f>
        <v>18</v>
      </c>
      <c r="BF16" s="263" t="str">
        <f>IFERROR(INDEX(TableWRVORP[WIDE RECEIVER],MATCH(TableWRTEMaster[[#This Row],[RK]],TableWRVORP[RK],0)),"")</f>
        <v>Keenan Allen</v>
      </c>
      <c r="BG16" s="263" t="str">
        <f>_xlfn.CONCAT(TableWRTEMaster[[#This Row],[POS]],TableWRTEMaster[[#This Row],[RK]])</f>
        <v>WR15</v>
      </c>
      <c r="BH16" s="263">
        <f>IFERROR(INDEX(TableWRVORP[BYE],MATCH(TableWRTEMaster[[#This Row],[RK]],TableWRVORP[RK],0)),"")</f>
        <v>8</v>
      </c>
      <c r="BI16" s="264">
        <f>IFERROR(INDEX(TableWRVORP[FPS],MATCH(TableWRTEMaster[[#This Row],[RK]],TableWRVORP[RK],0)),"")</f>
        <v>151.05767453585224</v>
      </c>
      <c r="BJ16" s="254">
        <f>IFERROR(INDEX(TableWRVORP[VORP],MATCH(TableWRTEMaster[[#This Row],[RK]],TableWRVORP[RK],0)),"")</f>
        <v>0.38620004691887061</v>
      </c>
    </row>
    <row r="17" spans="1:62" x14ac:dyDescent="0.3">
      <c r="A17" s="246">
        <v>16</v>
      </c>
      <c r="B17" s="247" t="str">
        <f>IFERROR(INDEX(TableQBCalcPts[PLAYER],MATCH(TableQBVORP[[#This Row],[RK]],TableQBCalcPts[RK],0)),"")</f>
        <v>Derek Carr</v>
      </c>
      <c r="C17" s="247" t="str">
        <f>IFERROR(INDEX(TableQBCalcPts[TM],MATCH(TableQBVORP[[#This Row],[RK]],TableQBCalcPts[RK],0)),"")</f>
        <v>LV</v>
      </c>
      <c r="D17" s="247">
        <f>IFERROR(INDEX(TableQBCalcPts[BYE],MATCH(TableQBVORP[[#This Row],[RK]],TableQBCalcPts[RK],0)),"")</f>
        <v>6</v>
      </c>
      <c r="E17" s="248">
        <f>IFERROR(INDEX(TableQBCalcPts[Custom],MATCH(TableQBVORP[[#This Row],[RK]],TableQBCalcPts[RK],0)),"")</f>
        <v>302.05894196246436</v>
      </c>
      <c r="F17" s="249">
        <f>(IFERROR((TableQBVORP[[#This Row],[FPS]]-INDEX(TableQBVORP[FPS],MATCH(QBVORPCalc,TableQBVORP[RK],0)))/INDEX(TableQBVORP[FPS],MATCH(QBVORPCalc,TableQBVORP[RK],0)),""))+(TableRBVORP[[#This Row],[VORP]]*0.45)</f>
        <v>0.20781090294432306</v>
      </c>
      <c r="G17" s="246"/>
      <c r="H17" s="246">
        <v>16</v>
      </c>
      <c r="I17" s="247" t="str">
        <f>IFERROR(INDEX(TableRBCalcPts[PLAYER],MATCH(TableRBVORP[[#This Row],[RK]],TableRBCalcPts[RK],0)),"")</f>
        <v>Aaron Jones</v>
      </c>
      <c r="J17" s="247" t="str">
        <f>IFERROR(INDEX(TableRBCalcPts[TM],MATCH(TableRBVORP[[#This Row],[RK]],TableRBCalcPts[RK],0)),"")</f>
        <v>GB</v>
      </c>
      <c r="K17" s="247">
        <f>IFERROR(INDEX(TableRBCalcPts[BYE],MATCH(TableRBVORP[[#This Row],[RK]],TableRBCalcPts[RK],0)),"")</f>
        <v>14</v>
      </c>
      <c r="L17" s="248">
        <f>IFERROR(INDEX(TableRBCalcPts[Custom],MATCH(TableRBVORP[[#This Row],[RK]],TableRBCalcPts[RK],0)),"")</f>
        <v>196.51276269904162</v>
      </c>
      <c r="M17" s="249">
        <f>IFERROR((TableRBVORP[[#This Row],[FPS]]-INDEX(TableRBVORP[FPS],MATCH(RBVORPCalc,TableRBVORP[RK],0)))/INDEX(TableRBVORP[FPS],MATCH(RBVORPCalc,TableRBVORP[RK],0)),"")</f>
        <v>0.93954177032264397</v>
      </c>
      <c r="N17" s="246"/>
      <c r="O17" s="246">
        <v>16</v>
      </c>
      <c r="P17" s="247" t="str">
        <f>IFERROR(INDEX(TableWRCalcPts[PLAYER],MATCH(TableWRVORP[[#This Row],[RK]],TableWRCalcPts[RK],0)),"")</f>
        <v>Diontae Johnson</v>
      </c>
      <c r="Q17" s="247" t="str">
        <f>IFERROR(INDEX(TableWRCalcPts[TM],MATCH(TableWRVORP[[#This Row],[RK]],TableWRCalcPts[RK],0)),"")</f>
        <v>PIT</v>
      </c>
      <c r="R17" s="247">
        <f>IFERROR(INDEX(TableWRCalcPts[BYE],MATCH(TableWRVORP[[#This Row],[RK]],TableWRCalcPts[RK],0)),"")</f>
        <v>9</v>
      </c>
      <c r="S17" s="248">
        <f>IFERROR(INDEX(TableWRCalcPts[Custom],MATCH(TableWRVORP[[#This Row],[RK]],TableWRCalcPts[RK],0)),"")</f>
        <v>150.82650522066166</v>
      </c>
      <c r="T17" s="249">
        <f>IFERROR((TableWRVORP[[#This Row],[FPS]]-INDEX(TableWRVORP[FPS],MATCH(WRVORPCalc,TableWRVORP[RK],0)))/INDEX(TableWRVORP[FPS],MATCH(WRVORPCalc,TableWRVORP[RK],0)),"")</f>
        <v>0.38407869216779283</v>
      </c>
      <c r="U17" s="246"/>
      <c r="V17" s="246">
        <v>16</v>
      </c>
      <c r="W17" s="247" t="str">
        <f>IFERROR(INDEX(TableTECalcPts[PLAYER],MATCH(TableTEVORP[[#This Row],[RK]],TableTECalcPts[RK],0)),"")</f>
        <v>Cole Kmet</v>
      </c>
      <c r="X17" s="247" t="str">
        <f>IFERROR(INDEX(TableTECalcPts[TM],MATCH(TableTEVORP[[#This Row],[RK]],TableTECalcPts[RK],0)),"")</f>
        <v>CHI</v>
      </c>
      <c r="Y17" s="247">
        <f>IFERROR(INDEX(TableTECalcPts[BYE],MATCH(TableTEVORP[[#This Row],[RK]],TableTECalcPts[RK],0)),"")</f>
        <v>14</v>
      </c>
      <c r="Z17" s="248">
        <f>IFERROR(INDEX(TableTECalcPts[Custom],MATCH(TableTEVORP[[#This Row],[RK]],TableTECalcPts[RK],0)),"")</f>
        <v>92.695204078308137</v>
      </c>
      <c r="AA17" s="249">
        <f>IFERROR((TableTEVORP[[#This Row],[FPS]]-INDEX(TableTEVORP[FPS],MATCH(TEVORPCalc,TableTEVORP[RK],0)))/INDEX(TableTEVORP[FPS],MATCH(TEVORPCalc,TableTEVORP[RK],0)),"")</f>
        <v>-9.5236321234259944E-2</v>
      </c>
      <c r="AB17" s="246"/>
      <c r="AC17" s="250"/>
      <c r="AD17" s="250"/>
      <c r="AE17" s="250"/>
      <c r="AF17" s="250" t="s">
        <v>9</v>
      </c>
      <c r="AG17" s="250">
        <v>16</v>
      </c>
      <c r="AH17" s="251">
        <f>RANK(TableOverallMaster[[#This Row],[VORP]],TableOverallMaster[VORP])+COUNTIF($AM$2:AM17,AM17)-1</f>
        <v>92</v>
      </c>
      <c r="AI17" s="252" t="str">
        <f>IFERROR(INDEX(TableQBVORP[QUARTERBACK],MATCH(TableOverallMaster[[#This Row],[RK]],TableQBVORP[RK],0)),"")</f>
        <v>Derek Carr</v>
      </c>
      <c r="AJ17" s="252" t="str">
        <f t="shared" si="0"/>
        <v>QB16</v>
      </c>
      <c r="AK17" s="252">
        <f>IFERROR(INDEX(TableQBVORP[BYE],MATCH(TableOverallMaster[[#This Row],[RK]],TableQBVORP[RK],0)),"")</f>
        <v>6</v>
      </c>
      <c r="AL17" s="253">
        <f>IFERROR(INDEX(TableQBVORP[FPS],MATCH(TableOverallMaster[[#This Row],[RK]],TableQBVORP[RK],0)),"")</f>
        <v>302.05894196246436</v>
      </c>
      <c r="AM17" s="254">
        <f>IFERROR(INDEX(TableQBVORP[VORP],MATCH(TableOverallMaster[[#This Row],[RK]],TableQBVORP[RK],0)),"")</f>
        <v>0.20781090294432306</v>
      </c>
      <c r="AN17" s="250"/>
      <c r="AO17" s="250">
        <v>16</v>
      </c>
      <c r="AP17" s="255" t="str">
        <f>IFERROR(INDEX(TableOverallMaster[OVERALL PLAYER],MATCH(TableOverallRank[[#This Row],[RK]],TableOverallMaster[OVR RK],0)),"")</f>
        <v>Leonard Fournette</v>
      </c>
      <c r="AQ17" s="256" t="str">
        <f>IFERROR(INDEX(TableOverallMaster[POS RK],MATCH(TableOverallRank[[#This Row],[OVERALL PLAYER]],TableOverallMaster[OVERALL PLAYER],0)),"")</f>
        <v>RB13</v>
      </c>
      <c r="AR17" s="257">
        <f>IFERROR(INDEX(TableOverallMaster[BYE],MATCH(TableOverallRank[[#This Row],[OVERALL PLAYER]],TableOverallMaster[OVERALL PLAYER],0)),"")</f>
        <v>11</v>
      </c>
      <c r="AS17" s="258">
        <f>IFERROR(INDEX(TableOverallMaster[Custom],MATCH(TableOverallRank[[#This Row],[OVERALL PLAYER]],TableOverallMaster[OVERALL PLAYER],0)),"")</f>
        <v>200.23463104926964</v>
      </c>
      <c r="AT17" s="259">
        <f>IFERROR(INDEX(TableOverallMaster[VORP],MATCH(TableOverallRank[[#This Row],[OVERALL PLAYER]],TableOverallMaster[OVERALL PLAYER],0)),"")</f>
        <v>0.97627586855505499</v>
      </c>
      <c r="AU17" s="250"/>
      <c r="AV17" s="246">
        <v>16</v>
      </c>
      <c r="AW17" s="260" t="str">
        <f>IFERROR(INDEX(TableWRTECalcPts[PLAYER],MATCH(TableWRTERank[[#This Row],[RK]],TableWRTECalcPts[RK],0)),"")</f>
        <v>Amari Cooper</v>
      </c>
      <c r="AX17" s="260" t="str">
        <f>IFERROR(INDEX(TableWRTECalcPts[POS RK],MATCH(TableWRTERank[[#This Row],[WR and TE COMBINED]],TableWRTECalcPts[PLAYER],0)),"")</f>
        <v>WR14</v>
      </c>
      <c r="AY17" s="260">
        <f>IFERROR(INDEX(TableWRTECalcPts[BYE],MATCH(TableWRTERank[[#This Row],[RK]],TableWRTECalcPts[RK],0)),"")</f>
        <v>9</v>
      </c>
      <c r="AZ17" s="261">
        <f>IFERROR(INDEX(TableWRTECalcPts[Custom],MATCH(TableWRTERank[[#This Row],[RK]],TableWRTECalcPts[RK],0)),"")</f>
        <v>156.91573129483072</v>
      </c>
      <c r="BA17" s="249">
        <f>IFERROR((TableWRTERank[[#This Row],[FPS]]-INDEX(TableWRTERank[FPS],MATCH(WRTEVORPCalc,TableWRTERank[RK],0)))/INDEX(TableWRTERank[FPS],MATCH(WRTEVORPCalc,TableWRTERank[RK],0)),"")</f>
        <v>0.32139389384399519</v>
      </c>
      <c r="BC17" s="124" t="s">
        <v>358</v>
      </c>
      <c r="BD17" s="124">
        <v>16</v>
      </c>
      <c r="BE17" s="262">
        <f>RANK(TableWRTEMaster[[#This Row],[VORP]],TableWRTEMaster[VORP])+COUNTIF($BJ$2:BJ17,BJ17)-1</f>
        <v>19</v>
      </c>
      <c r="BF17" s="263" t="str">
        <f>IFERROR(INDEX(TableWRVORP[WIDE RECEIVER],MATCH(TableWRTEMaster[[#This Row],[RK]],TableWRVORP[RK],0)),"")</f>
        <v>Diontae Johnson</v>
      </c>
      <c r="BG17" s="263" t="str">
        <f>_xlfn.CONCAT(TableWRTEMaster[[#This Row],[POS]],TableWRTEMaster[[#This Row],[RK]])</f>
        <v>WR16</v>
      </c>
      <c r="BH17" s="263">
        <f>IFERROR(INDEX(TableWRVORP[BYE],MATCH(TableWRTEMaster[[#This Row],[RK]],TableWRVORP[RK],0)),"")</f>
        <v>9</v>
      </c>
      <c r="BI17" s="264">
        <f>IFERROR(INDEX(TableWRVORP[FPS],MATCH(TableWRTEMaster[[#This Row],[RK]],TableWRVORP[RK],0)),"")</f>
        <v>150.82650522066166</v>
      </c>
      <c r="BJ17" s="254">
        <f>IFERROR(INDEX(TableWRVORP[VORP],MATCH(TableWRTEMaster[[#This Row],[RK]],TableWRVORP[RK],0)),"")</f>
        <v>0.38407869216779283</v>
      </c>
    </row>
    <row r="18" spans="1:62" x14ac:dyDescent="0.3">
      <c r="A18" s="246">
        <v>17</v>
      </c>
      <c r="B18" s="247" t="str">
        <f>IFERROR(INDEX(TableQBCalcPts[PLAYER],MATCH(TableQBVORP[[#This Row],[RK]],TableQBCalcPts[RK],0)),"")</f>
        <v>Kirk Cousins</v>
      </c>
      <c r="C18" s="247" t="str">
        <f>IFERROR(INDEX(TableQBCalcPts[TM],MATCH(TableQBVORP[[#This Row],[RK]],TableQBCalcPts[RK],0)),"")</f>
        <v>MIN</v>
      </c>
      <c r="D18" s="247">
        <f>IFERROR(INDEX(TableQBCalcPts[BYE],MATCH(TableQBVORP[[#This Row],[RK]],TableQBCalcPts[RK],0)),"")</f>
        <v>7</v>
      </c>
      <c r="E18" s="248">
        <f>IFERROR(INDEX(TableQBCalcPts[Custom],MATCH(TableQBVORP[[#This Row],[RK]],TableQBCalcPts[RK],0)),"")</f>
        <v>301.93338591922918</v>
      </c>
      <c r="F18" s="249">
        <f>(IFERROR((TableQBVORP[[#This Row],[FPS]]-INDEX(TableQBVORP[FPS],MATCH(QBVORPCalc,TableQBVORP[RK],0)))/INDEX(TableQBVORP[FPS],MATCH(QBVORPCalc,TableQBVORP[RK],0)),""))+(TableRBVORP[[#This Row],[VORP]]*0.45)</f>
        <v>0.19071176129430775</v>
      </c>
      <c r="G18" s="246"/>
      <c r="H18" s="246">
        <v>17</v>
      </c>
      <c r="I18" s="247" t="str">
        <f>IFERROR(INDEX(TableRBCalcPts[PLAYER],MATCH(TableRBVORP[[#This Row],[RK]],TableRBCalcPts[RK],0)),"")</f>
        <v>Javonte Williams</v>
      </c>
      <c r="J18" s="247" t="str">
        <f>IFERROR(INDEX(TableRBCalcPts[TM],MATCH(TableRBVORP[[#This Row],[RK]],TableRBCalcPts[RK],0)),"")</f>
        <v>DEN</v>
      </c>
      <c r="K18" s="247">
        <f>IFERROR(INDEX(TableRBCalcPts[BYE],MATCH(TableRBVORP[[#This Row],[RK]],TableRBCalcPts[RK],0)),"")</f>
        <v>9</v>
      </c>
      <c r="L18" s="248">
        <f>IFERROR(INDEX(TableRBCalcPts[Custom],MATCH(TableRBVORP[[#This Row],[RK]],TableRBCalcPts[RK],0)),"")</f>
        <v>192.73629649734781</v>
      </c>
      <c r="M18" s="249">
        <f>IFERROR((TableRBVORP[[#This Row],[FPS]]-INDEX(TableRBVORP[FPS],MATCH(RBVORPCalc,TableRBVORP[RK],0)))/INDEX(TableRBVORP[FPS],MATCH(RBVORPCalc,TableRBVORP[RK],0)),"")</f>
        <v>0.9022688021866534</v>
      </c>
      <c r="N18" s="246"/>
      <c r="O18" s="246">
        <v>17</v>
      </c>
      <c r="P18" s="247" t="str">
        <f>IFERROR(INDEX(TableWRCalcPts[PLAYER],MATCH(TableWRVORP[[#This Row],[RK]],TableWRCalcPts[RK],0)),"")</f>
        <v>Allen Robinson</v>
      </c>
      <c r="Q18" s="247" t="str">
        <f>IFERROR(INDEX(TableWRCalcPts[TM],MATCH(TableWRVORP[[#This Row],[RK]],TableWRCalcPts[RK],0)),"")</f>
        <v>LAR</v>
      </c>
      <c r="R18" s="247">
        <f>IFERROR(INDEX(TableWRCalcPts[BYE],MATCH(TableWRVORP[[#This Row],[RK]],TableWRCalcPts[RK],0)),"")</f>
        <v>7</v>
      </c>
      <c r="S18" s="248">
        <f>IFERROR(INDEX(TableWRCalcPts[Custom],MATCH(TableWRVORP[[#This Row],[RK]],TableWRCalcPts[RK],0)),"")</f>
        <v>150.34659128848409</v>
      </c>
      <c r="T18" s="249">
        <f>IFERROR((TableWRVORP[[#This Row],[FPS]]-INDEX(TableWRVORP[FPS],MATCH(WRVORPCalc,TableWRVORP[RK],0)))/INDEX(TableWRVORP[FPS],MATCH(WRVORPCalc,TableWRVORP[RK],0)),"")</f>
        <v>0.37967470066358316</v>
      </c>
      <c r="U18" s="246"/>
      <c r="V18" s="246">
        <v>17</v>
      </c>
      <c r="W18" s="247" t="str">
        <f>IFERROR(INDEX(TableTECalcPts[PLAYER],MATCH(TableTEVORP[[#This Row],[RK]],TableTECalcPts[RK],0)),"")</f>
        <v>Brevin Jordan</v>
      </c>
      <c r="X18" s="247" t="str">
        <f>IFERROR(INDEX(TableTECalcPts[TM],MATCH(TableTEVORP[[#This Row],[RK]],TableTECalcPts[RK],0)),"")</f>
        <v>HOU</v>
      </c>
      <c r="Y18" s="247">
        <f>IFERROR(INDEX(TableTECalcPts[BYE],MATCH(TableTEVORP[[#This Row],[RK]],TableTECalcPts[RK],0)),"")</f>
        <v>6</v>
      </c>
      <c r="Z18" s="248">
        <f>IFERROR(INDEX(TableTECalcPts[Custom],MATCH(TableTEVORP[[#This Row],[RK]],TableTECalcPts[RK],0)),"")</f>
        <v>87.480985240276397</v>
      </c>
      <c r="AA18" s="249">
        <f>IFERROR((TableTEVORP[[#This Row],[FPS]]-INDEX(TableTEVORP[FPS],MATCH(TEVORPCalc,TableTEVORP[RK],0)))/INDEX(TableTEVORP[FPS],MATCH(TEVORPCalc,TableTEVORP[RK],0)),"")</f>
        <v>-0.14613038705671394</v>
      </c>
      <c r="AB18" s="246"/>
      <c r="AC18" s="250"/>
      <c r="AD18" s="250"/>
      <c r="AE18" s="250"/>
      <c r="AF18" s="250" t="s">
        <v>9</v>
      </c>
      <c r="AG18" s="250">
        <v>17</v>
      </c>
      <c r="AH18" s="251">
        <f>RANK(TableOverallMaster[[#This Row],[VORP]],TableOverallMaster[VORP])+COUNTIF($AM$2:AM18,AM18)-1</f>
        <v>94</v>
      </c>
      <c r="AI18" s="252" t="str">
        <f>IFERROR(INDEX(TableQBVORP[QUARTERBACK],MATCH(TableOverallMaster[[#This Row],[RK]],TableQBVORP[RK],0)),"")</f>
        <v>Kirk Cousins</v>
      </c>
      <c r="AJ18" s="252" t="str">
        <f t="shared" si="0"/>
        <v>QB17</v>
      </c>
      <c r="AK18" s="252">
        <f>IFERROR(INDEX(TableQBVORP[BYE],MATCH(TableOverallMaster[[#This Row],[RK]],TableQBVORP[RK],0)),"")</f>
        <v>7</v>
      </c>
      <c r="AL18" s="253">
        <f>IFERROR(INDEX(TableQBVORP[FPS],MATCH(TableOverallMaster[[#This Row],[RK]],TableQBVORP[RK],0)),"")</f>
        <v>301.93338591922918</v>
      </c>
      <c r="AM18" s="254">
        <f>IFERROR(INDEX(TableQBVORP[VORP],MATCH(TableOverallMaster[[#This Row],[RK]],TableQBVORP[RK],0)),"")</f>
        <v>0.19071176129430775</v>
      </c>
      <c r="AN18" s="250"/>
      <c r="AO18" s="250">
        <v>17</v>
      </c>
      <c r="AP18" s="255" t="str">
        <f>IFERROR(INDEX(TableOverallMaster[OVERALL PLAYER],MATCH(TableOverallRank[[#This Row],[RK]],TableOverallMaster[OVR RK],0)),"")</f>
        <v>Antonio Gibson</v>
      </c>
      <c r="AQ18" s="256" t="str">
        <f>IFERROR(INDEX(TableOverallMaster[POS RK],MATCH(TableOverallRank[[#This Row],[OVERALL PLAYER]],TableOverallMaster[OVERALL PLAYER],0)),"")</f>
        <v>RB14</v>
      </c>
      <c r="AR18" s="257">
        <f>IFERROR(INDEX(TableOverallMaster[BYE],MATCH(TableOverallRank[[#This Row],[OVERALL PLAYER]],TableOverallMaster[OVERALL PLAYER],0)),"")</f>
        <v>14</v>
      </c>
      <c r="AS18" s="258">
        <f>IFERROR(INDEX(TableOverallMaster[Custom],MATCH(TableOverallRank[[#This Row],[OVERALL PLAYER]],TableOverallMaster[OVERALL PLAYER],0)),"")</f>
        <v>200.04508768685292</v>
      </c>
      <c r="AT18" s="259">
        <f>IFERROR(INDEX(TableOverallMaster[VORP],MATCH(TableOverallRank[[#This Row],[OVERALL PLAYER]],TableOverallMaster[OVERALL PLAYER],0)),"")</f>
        <v>0.97440511337536395</v>
      </c>
      <c r="AU18" s="250"/>
      <c r="AV18" s="246">
        <v>17</v>
      </c>
      <c r="AW18" s="260" t="str">
        <f>IFERROR(INDEX(TableWRTECalcPts[PLAYER],MATCH(TableWRTERank[[#This Row],[RK]],TableWRTECalcPts[RK],0)),"")</f>
        <v>Kyle Pitts</v>
      </c>
      <c r="AX18" s="260" t="str">
        <f>IFERROR(INDEX(TableWRTECalcPts[POS RK],MATCH(TableWRTERank[[#This Row],[WR and TE COMBINED]],TableWRTECalcPts[PLAYER],0)),"")</f>
        <v>TE3</v>
      </c>
      <c r="AY18" s="260">
        <f>IFERROR(INDEX(TableWRTECalcPts[BYE],MATCH(TableWRTERank[[#This Row],[RK]],TableWRTECalcPts[RK],0)),"")</f>
        <v>14</v>
      </c>
      <c r="AZ18" s="261">
        <f>IFERROR(INDEX(TableWRTECalcPts[Custom],MATCH(TableWRTERank[[#This Row],[RK]],TableWRTECalcPts[RK],0)),"")</f>
        <v>156.30374171587718</v>
      </c>
      <c r="BA18" s="249">
        <f>IFERROR((TableWRTERank[[#This Row],[FPS]]-INDEX(TableWRTERank[FPS],MATCH(WRTEVORPCalc,TableWRTERank[RK],0)))/INDEX(TableWRTERank[FPS],MATCH(WRTEVORPCalc,TableWRTERank[RK],0)),"")</f>
        <v>0.31624030416849014</v>
      </c>
      <c r="BC18" s="124" t="s">
        <v>358</v>
      </c>
      <c r="BD18" s="124">
        <v>17</v>
      </c>
      <c r="BE18" s="262">
        <f>RANK(TableWRTEMaster[[#This Row],[VORP]],TableWRTEMaster[VORP])+COUNTIF($BJ$2:BJ18,BJ18)-1</f>
        <v>20</v>
      </c>
      <c r="BF18" s="263" t="str">
        <f>IFERROR(INDEX(TableWRVORP[WIDE RECEIVER],MATCH(TableWRTEMaster[[#This Row],[RK]],TableWRVORP[RK],0)),"")</f>
        <v>Allen Robinson</v>
      </c>
      <c r="BG18" s="263" t="str">
        <f>_xlfn.CONCAT(TableWRTEMaster[[#This Row],[POS]],TableWRTEMaster[[#This Row],[RK]])</f>
        <v>WR17</v>
      </c>
      <c r="BH18" s="263">
        <f>IFERROR(INDEX(TableWRVORP[BYE],MATCH(TableWRTEMaster[[#This Row],[RK]],TableWRVORP[RK],0)),"")</f>
        <v>7</v>
      </c>
      <c r="BI18" s="264">
        <f>IFERROR(INDEX(TableWRVORP[FPS],MATCH(TableWRTEMaster[[#This Row],[RK]],TableWRVORP[RK],0)),"")</f>
        <v>150.34659128848409</v>
      </c>
      <c r="BJ18" s="254">
        <f>IFERROR(INDEX(TableWRVORP[VORP],MATCH(TableWRTEMaster[[#This Row],[RK]],TableWRVORP[RK],0)),"")</f>
        <v>0.37967470066358316</v>
      </c>
    </row>
    <row r="19" spans="1:62" x14ac:dyDescent="0.3">
      <c r="A19" s="246">
        <v>18</v>
      </c>
      <c r="B19" s="247" t="str">
        <f>IFERROR(INDEX(TableQBCalcPts[PLAYER],MATCH(TableQBVORP[[#This Row],[RK]],TableQBCalcPts[RK],0)),"")</f>
        <v>Tua Tagovailoa</v>
      </c>
      <c r="C19" s="247" t="str">
        <f>IFERROR(INDEX(TableQBCalcPts[TM],MATCH(TableQBVORP[[#This Row],[RK]],TableQBCalcPts[RK],0)),"")</f>
        <v>MIA</v>
      </c>
      <c r="D19" s="247">
        <f>IFERROR(INDEX(TableQBCalcPts[BYE],MATCH(TableQBVORP[[#This Row],[RK]],TableQBCalcPts[RK],0)),"")</f>
        <v>11</v>
      </c>
      <c r="E19" s="248">
        <f>IFERROR(INDEX(TableQBCalcPts[Custom],MATCH(TableQBVORP[[#This Row],[RK]],TableQBCalcPts[RK],0)),"")</f>
        <v>298.54252678254943</v>
      </c>
      <c r="F19" s="249">
        <f>(IFERROR((TableQBVORP[[#This Row],[FPS]]-INDEX(TableQBVORP[FPS],MATCH(QBVORPCalc,TableQBVORP[RK],0)))/INDEX(TableQBVORP[FPS],MATCH(QBVORPCalc,TableQBVORP[RK],0)),""))+(TableRBVORP[[#This Row],[VORP]]*0.45)</f>
        <v>0.17063537921250532</v>
      </c>
      <c r="G19" s="246"/>
      <c r="H19" s="246">
        <v>18</v>
      </c>
      <c r="I19" s="247" t="str">
        <f>IFERROR(INDEX(TableRBCalcPts[PLAYER],MATCH(TableRBVORP[[#This Row],[RK]],TableRBCalcPts[RK],0)),"")</f>
        <v>Alvin Kamara</v>
      </c>
      <c r="J19" s="247" t="str">
        <f>IFERROR(INDEX(TableRBCalcPts[TM],MATCH(TableRBVORP[[#This Row],[RK]],TableRBCalcPts[RK],0)),"")</f>
        <v>NO</v>
      </c>
      <c r="K19" s="247">
        <f>IFERROR(INDEX(TableRBCalcPts[BYE],MATCH(TableRBVORP[[#This Row],[RK]],TableRBCalcPts[RK],0)),"")</f>
        <v>14</v>
      </c>
      <c r="L19" s="248">
        <f>IFERROR(INDEX(TableRBCalcPts[Custom],MATCH(TableRBVORP[[#This Row],[RK]],TableRBCalcPts[RK],0)),"")</f>
        <v>190.20018269680975</v>
      </c>
      <c r="M19" s="249">
        <f>IFERROR((TableRBVORP[[#This Row],[FPS]]-INDEX(TableRBVORP[FPS],MATCH(RBVORPCalc,TableRBVORP[RK],0)))/INDEX(TableRBVORP[FPS],MATCH(RBVORPCalc,TableRBVORP[RK],0)),"")</f>
        <v>0.87723786484255561</v>
      </c>
      <c r="N19" s="246"/>
      <c r="O19" s="246">
        <v>18</v>
      </c>
      <c r="P19" s="247" t="str">
        <f>IFERROR(INDEX(TableWRCalcPts[PLAYER],MATCH(TableWRVORP[[#This Row],[RK]],TableWRCalcPts[RK],0)),"")</f>
        <v>DK Metcalf</v>
      </c>
      <c r="Q19" s="247" t="str">
        <f>IFERROR(INDEX(TableWRCalcPts[TM],MATCH(TableWRVORP[[#This Row],[RK]],TableWRCalcPts[RK],0)),"")</f>
        <v>SEA</v>
      </c>
      <c r="R19" s="247">
        <f>IFERROR(INDEX(TableWRCalcPts[BYE],MATCH(TableWRVORP[[#This Row],[RK]],TableWRCalcPts[RK],0)),"")</f>
        <v>11</v>
      </c>
      <c r="S19" s="248">
        <f>IFERROR(INDEX(TableWRCalcPts[Custom],MATCH(TableWRVORP[[#This Row],[RK]],TableWRCalcPts[RK],0)),"")</f>
        <v>150.29995128334309</v>
      </c>
      <c r="T19" s="249">
        <f>IFERROR((TableWRVORP[[#This Row],[FPS]]-INDEX(TableWRVORP[FPS],MATCH(WRVORPCalc,TableWRVORP[RK],0)))/INDEX(TableWRVORP[FPS],MATCH(WRVORPCalc,TableWRVORP[RK],0)),"")</f>
        <v>0.37924670269847871</v>
      </c>
      <c r="U19" s="246"/>
      <c r="V19" s="246">
        <v>18</v>
      </c>
      <c r="W19" s="247" t="str">
        <f>IFERROR(INDEX(TableTECalcPts[PLAYER],MATCH(TableTEVORP[[#This Row],[RK]],TableTECalcPts[RK],0)),"")</f>
        <v>Gerald Everett</v>
      </c>
      <c r="X19" s="247" t="str">
        <f>IFERROR(INDEX(TableTECalcPts[TM],MATCH(TableTEVORP[[#This Row],[RK]],TableTECalcPts[RK],0)),"")</f>
        <v>LAC</v>
      </c>
      <c r="Y19" s="247">
        <f>IFERROR(INDEX(TableTECalcPts[BYE],MATCH(TableTEVORP[[#This Row],[RK]],TableTECalcPts[RK],0)),"")</f>
        <v>8</v>
      </c>
      <c r="Z19" s="248">
        <f>IFERROR(INDEX(TableTECalcPts[Custom],MATCH(TableTEVORP[[#This Row],[RK]],TableTECalcPts[RK],0)),"")</f>
        <v>86.501515712526853</v>
      </c>
      <c r="AA19" s="249">
        <f>IFERROR((TableTEVORP[[#This Row],[FPS]]-INDEX(TableTEVORP[FPS],MATCH(TEVORPCalc,TableTEVORP[RK],0)))/INDEX(TableTEVORP[FPS],MATCH(TEVORPCalc,TableTEVORP[RK],0)),"")</f>
        <v>-0.15569062765359504</v>
      </c>
      <c r="AB19" s="246"/>
      <c r="AC19" s="250"/>
      <c r="AD19" s="250"/>
      <c r="AE19" s="250"/>
      <c r="AF19" s="250" t="s">
        <v>9</v>
      </c>
      <c r="AG19" s="250">
        <v>18</v>
      </c>
      <c r="AH19" s="251">
        <f>RANK(TableOverallMaster[[#This Row],[VORP]],TableOverallMaster[VORP])+COUNTIF($AM$2:AM19,AM19)-1</f>
        <v>95</v>
      </c>
      <c r="AI19" s="252" t="str">
        <f>IFERROR(INDEX(TableQBVORP[QUARTERBACK],MATCH(TableOverallMaster[[#This Row],[RK]],TableQBVORP[RK],0)),"")</f>
        <v>Tua Tagovailoa</v>
      </c>
      <c r="AJ19" s="252" t="str">
        <f t="shared" si="0"/>
        <v>QB18</v>
      </c>
      <c r="AK19" s="252">
        <f>IFERROR(INDEX(TableQBVORP[BYE],MATCH(TableOverallMaster[[#This Row],[RK]],TableQBVORP[RK],0)),"")</f>
        <v>11</v>
      </c>
      <c r="AL19" s="253">
        <f>IFERROR(INDEX(TableQBVORP[FPS],MATCH(TableOverallMaster[[#This Row],[RK]],TableQBVORP[RK],0)),"")</f>
        <v>298.54252678254943</v>
      </c>
      <c r="AM19" s="254">
        <f>IFERROR(INDEX(TableQBVORP[VORP],MATCH(TableOverallMaster[[#This Row],[RK]],TableQBVORP[RK],0)),"")</f>
        <v>0.17063537921250532</v>
      </c>
      <c r="AN19" s="250"/>
      <c r="AO19" s="250">
        <v>18</v>
      </c>
      <c r="AP19" s="255" t="str">
        <f>IFERROR(INDEX(TableOverallMaster[OVERALL PLAYER],MATCH(TableOverallRank[[#This Row],[RK]],TableOverallMaster[OVR RK],0)),"")</f>
        <v>D'Andre Swift</v>
      </c>
      <c r="AQ19" s="256" t="str">
        <f>IFERROR(INDEX(TableOverallMaster[POS RK],MATCH(TableOverallRank[[#This Row],[OVERALL PLAYER]],TableOverallMaster[OVERALL PLAYER],0)),"")</f>
        <v>RB15</v>
      </c>
      <c r="AR19" s="257">
        <f>IFERROR(INDEX(TableOverallMaster[BYE],MATCH(TableOverallRank[[#This Row],[OVERALL PLAYER]],TableOverallMaster[OVERALL PLAYER],0)),"")</f>
        <v>6</v>
      </c>
      <c r="AS19" s="258">
        <f>IFERROR(INDEX(TableOverallMaster[Custom],MATCH(TableOverallRank[[#This Row],[OVERALL PLAYER]],TableOverallMaster[OVERALL PLAYER],0)),"")</f>
        <v>197.4565660239515</v>
      </c>
      <c r="AT19" s="259">
        <f>IFERROR(INDEX(TableOverallMaster[VORP],MATCH(TableOverallRank[[#This Row],[OVERALL PLAYER]],TableOverallMaster[OVERALL PLAYER],0)),"")</f>
        <v>0.94885692088330031</v>
      </c>
      <c r="AU19" s="250"/>
      <c r="AV19" s="246">
        <v>18</v>
      </c>
      <c r="AW19" s="260" t="str">
        <f>IFERROR(INDEX(TableWRTECalcPts[PLAYER],MATCH(TableWRTERank[[#This Row],[RK]],TableWRTECalcPts[RK],0)),"")</f>
        <v>Keenan Allen</v>
      </c>
      <c r="AX19" s="260" t="str">
        <f>IFERROR(INDEX(TableWRTECalcPts[POS RK],MATCH(TableWRTERank[[#This Row],[WR and TE COMBINED]],TableWRTECalcPts[PLAYER],0)),"")</f>
        <v>WR15</v>
      </c>
      <c r="AY19" s="260">
        <f>IFERROR(INDEX(TableWRTECalcPts[BYE],MATCH(TableWRTERank[[#This Row],[RK]],TableWRTECalcPts[RK],0)),"")</f>
        <v>8</v>
      </c>
      <c r="AZ19" s="261">
        <f>IFERROR(INDEX(TableWRTECalcPts[Custom],MATCH(TableWRTERank[[#This Row],[RK]],TableWRTECalcPts[RK],0)),"")</f>
        <v>151.05767453585224</v>
      </c>
      <c r="BA19" s="249">
        <f>IFERROR((TableWRTERank[[#This Row],[FPS]]-INDEX(TableWRTERank[FPS],MATCH(WRTEVORPCalc,TableWRTERank[RK],0)))/INDEX(TableWRTERank[FPS],MATCH(WRTEVORPCalc,TableWRTERank[RK],0)),"")</f>
        <v>0.27206295444594703</v>
      </c>
      <c r="BC19" s="124" t="s">
        <v>358</v>
      </c>
      <c r="BD19" s="124">
        <v>18</v>
      </c>
      <c r="BE19" s="262">
        <f>RANK(TableWRTEMaster[[#This Row],[VORP]],TableWRTEMaster[VORP])+COUNTIF($BJ$2:BJ19,BJ19)-1</f>
        <v>21</v>
      </c>
      <c r="BF19" s="263" t="str">
        <f>IFERROR(INDEX(TableWRVORP[WIDE RECEIVER],MATCH(TableWRTEMaster[[#This Row],[RK]],TableWRVORP[RK],0)),"")</f>
        <v>DK Metcalf</v>
      </c>
      <c r="BG19" s="263" t="str">
        <f>_xlfn.CONCAT(TableWRTEMaster[[#This Row],[POS]],TableWRTEMaster[[#This Row],[RK]])</f>
        <v>WR18</v>
      </c>
      <c r="BH19" s="263">
        <f>IFERROR(INDEX(TableWRVORP[BYE],MATCH(TableWRTEMaster[[#This Row],[RK]],TableWRVORP[RK],0)),"")</f>
        <v>11</v>
      </c>
      <c r="BI19" s="264">
        <f>IFERROR(INDEX(TableWRVORP[FPS],MATCH(TableWRTEMaster[[#This Row],[RK]],TableWRVORP[RK],0)),"")</f>
        <v>150.29995128334309</v>
      </c>
      <c r="BJ19" s="254">
        <f>IFERROR(INDEX(TableWRVORP[VORP],MATCH(TableWRTEMaster[[#This Row],[RK]],TableWRVORP[RK],0)),"")</f>
        <v>0.37924670269847871</v>
      </c>
    </row>
    <row r="20" spans="1:62" x14ac:dyDescent="0.3">
      <c r="A20" s="246">
        <v>19</v>
      </c>
      <c r="B20" s="247" t="str">
        <f>IFERROR(INDEX(TableQBCalcPts[PLAYER],MATCH(TableQBVORP[[#This Row],[RK]],TableQBCalcPts[RK],0)),"")</f>
        <v>Carson Wentz</v>
      </c>
      <c r="C20" s="247" t="str">
        <f>IFERROR(INDEX(TableQBCalcPts[TM],MATCH(TableQBVORP[[#This Row],[RK]],TableQBCalcPts[RK],0)),"")</f>
        <v>WSH</v>
      </c>
      <c r="D20" s="247">
        <f>IFERROR(INDEX(TableQBCalcPts[BYE],MATCH(TableQBVORP[[#This Row],[RK]],TableQBCalcPts[RK],0)),"")</f>
        <v>14</v>
      </c>
      <c r="E20" s="248">
        <f>IFERROR(INDEX(TableQBCalcPts[Custom],MATCH(TableQBVORP[[#This Row],[RK]],TableQBCalcPts[RK],0)),"")</f>
        <v>278.04589293460975</v>
      </c>
      <c r="F20" s="249">
        <f>(IFERROR((TableQBVORP[[#This Row],[FPS]]-INDEX(TableQBVORP[FPS],MATCH(QBVORPCalc,TableQBVORP[RK],0)))/INDEX(TableQBVORP[FPS],MATCH(QBVORPCalc,TableQBVORP[RK],0)),""))+(TableRBVORP[[#This Row],[VORP]]*0.45)</f>
        <v>0.10841234573495362</v>
      </c>
      <c r="G20" s="246"/>
      <c r="H20" s="246">
        <v>19</v>
      </c>
      <c r="I20" s="247" t="str">
        <f>IFERROR(INDEX(TableRBCalcPts[PLAYER],MATCH(TableRBVORP[[#This Row],[RK]],TableRBCalcPts[RK],0)),"")</f>
        <v>Josh Jacobs</v>
      </c>
      <c r="J20" s="247" t="str">
        <f>IFERROR(INDEX(TableRBCalcPts[TM],MATCH(TableRBVORP[[#This Row],[RK]],TableRBCalcPts[RK],0)),"")</f>
        <v>LV</v>
      </c>
      <c r="K20" s="247">
        <f>IFERROR(INDEX(TableRBCalcPts[BYE],MATCH(TableRBVORP[[#This Row],[RK]],TableRBCalcPts[RK],0)),"")</f>
        <v>6</v>
      </c>
      <c r="L20" s="248">
        <f>IFERROR(INDEX(TableRBCalcPts[Custom],MATCH(TableRBVORP[[#This Row],[RK]],TableRBCalcPts[RK],0)),"")</f>
        <v>188.18402241660306</v>
      </c>
      <c r="M20" s="249">
        <f>IFERROR((TableRBVORP[[#This Row],[FPS]]-INDEX(TableRBVORP[FPS],MATCH(RBVORPCalc,TableRBVORP[RK],0)))/INDEX(TableRBVORP[FPS],MATCH(RBVORPCalc,TableRBVORP[RK],0)),"")</f>
        <v>0.85733876503133832</v>
      </c>
      <c r="N20" s="246"/>
      <c r="O20" s="246">
        <v>19</v>
      </c>
      <c r="P20" s="247" t="str">
        <f>IFERROR(INDEX(TableWRCalcPts[PLAYER],MATCH(TableWRVORP[[#This Row],[RK]],TableWRCalcPts[RK],0)),"")</f>
        <v>Gabriel Davis</v>
      </c>
      <c r="Q20" s="247" t="str">
        <f>IFERROR(INDEX(TableWRCalcPts[TM],MATCH(TableWRVORP[[#This Row],[RK]],TableWRCalcPts[RK],0)),"")</f>
        <v>BUF</v>
      </c>
      <c r="R20" s="247">
        <f>IFERROR(INDEX(TableWRCalcPts[BYE],MATCH(TableWRVORP[[#This Row],[RK]],TableWRCalcPts[RK],0)),"")</f>
        <v>7</v>
      </c>
      <c r="S20" s="248">
        <f>IFERROR(INDEX(TableWRCalcPts[Custom],MATCH(TableWRVORP[[#This Row],[RK]],TableWRCalcPts[RK],0)),"")</f>
        <v>149.8562933454524</v>
      </c>
      <c r="T20" s="249">
        <f>IFERROR((TableWRVORP[[#This Row],[FPS]]-INDEX(TableWRVORP[FPS],MATCH(WRVORPCalc,TableWRVORP[RK],0)))/INDEX(TableWRVORP[FPS],MATCH(WRVORPCalc,TableWRVORP[RK],0)),"")</f>
        <v>0.37517541895728729</v>
      </c>
      <c r="U20" s="246"/>
      <c r="V20" s="246">
        <v>19</v>
      </c>
      <c r="W20" s="247" t="str">
        <f>IFERROR(INDEX(TableTECalcPts[PLAYER],MATCH(TableTEVORP[[#This Row],[RK]],TableTECalcPts[RK],0)),"")</f>
        <v>Mike Gesicki</v>
      </c>
      <c r="X20" s="247" t="str">
        <f>IFERROR(INDEX(TableTECalcPts[TM],MATCH(TableTEVORP[[#This Row],[RK]],TableTECalcPts[RK],0)),"")</f>
        <v>MIA</v>
      </c>
      <c r="Y20" s="247">
        <f>IFERROR(INDEX(TableTECalcPts[BYE],MATCH(TableTEVORP[[#This Row],[RK]],TableTECalcPts[RK],0)),"")</f>
        <v>11</v>
      </c>
      <c r="Z20" s="248">
        <f>IFERROR(INDEX(TableTECalcPts[Custom],MATCH(TableTEVORP[[#This Row],[RK]],TableTECalcPts[RK],0)),"")</f>
        <v>85.63439943178301</v>
      </c>
      <c r="AA20" s="249">
        <f>IFERROR((TableTEVORP[[#This Row],[FPS]]-INDEX(TableTEVORP[FPS],MATCH(TEVORPCalc,TableTEVORP[RK],0)))/INDEX(TableTEVORP[FPS],MATCH(TEVORPCalc,TableTEVORP[RK],0)),"")</f>
        <v>-0.16415422966930121</v>
      </c>
      <c r="AB20" s="246"/>
      <c r="AC20" s="250"/>
      <c r="AD20" s="250"/>
      <c r="AE20" s="250"/>
      <c r="AF20" s="250" t="s">
        <v>9</v>
      </c>
      <c r="AG20" s="250">
        <v>19</v>
      </c>
      <c r="AH20" s="251">
        <f>RANK(TableOverallMaster[[#This Row],[VORP]],TableOverallMaster[VORP])+COUNTIF($AM$2:AM20,AM20)-1</f>
        <v>105</v>
      </c>
      <c r="AI20" s="252" t="str">
        <f>IFERROR(INDEX(TableQBVORP[QUARTERBACK],MATCH(TableOverallMaster[[#This Row],[RK]],TableQBVORP[RK],0)),"")</f>
        <v>Carson Wentz</v>
      </c>
      <c r="AJ20" s="252" t="str">
        <f t="shared" si="0"/>
        <v>QB19</v>
      </c>
      <c r="AK20" s="252">
        <f>IFERROR(INDEX(TableQBVORP[BYE],MATCH(TableOverallMaster[[#This Row],[RK]],TableQBVORP[RK],0)),"")</f>
        <v>14</v>
      </c>
      <c r="AL20" s="253">
        <f>IFERROR(INDEX(TableQBVORP[FPS],MATCH(TableOverallMaster[[#This Row],[RK]],TableQBVORP[RK],0)),"")</f>
        <v>278.04589293460975</v>
      </c>
      <c r="AM20" s="254">
        <f>IFERROR(INDEX(TableQBVORP[VORP],MATCH(TableOverallMaster[[#This Row],[RK]],TableQBVORP[RK],0)),"")</f>
        <v>0.10841234573495362</v>
      </c>
      <c r="AN20" s="250"/>
      <c r="AO20" s="250">
        <v>19</v>
      </c>
      <c r="AP20" s="255" t="str">
        <f>IFERROR(INDEX(TableOverallMaster[OVERALL PLAYER],MATCH(TableOverallRank[[#This Row],[RK]],TableOverallMaster[OVR RK],0)),"")</f>
        <v>Aaron Jones</v>
      </c>
      <c r="AQ20" s="256" t="str">
        <f>IFERROR(INDEX(TableOverallMaster[POS RK],MATCH(TableOverallRank[[#This Row],[OVERALL PLAYER]],TableOverallMaster[OVERALL PLAYER],0)),"")</f>
        <v>RB16</v>
      </c>
      <c r="AR20" s="257">
        <f>IFERROR(INDEX(TableOverallMaster[BYE],MATCH(TableOverallRank[[#This Row],[OVERALL PLAYER]],TableOverallMaster[OVERALL PLAYER],0)),"")</f>
        <v>14</v>
      </c>
      <c r="AS20" s="258">
        <f>IFERROR(INDEX(TableOverallMaster[Custom],MATCH(TableOverallRank[[#This Row],[OVERALL PLAYER]],TableOverallMaster[OVERALL PLAYER],0)),"")</f>
        <v>196.51276269904162</v>
      </c>
      <c r="AT20" s="259">
        <f>IFERROR(INDEX(TableOverallMaster[VORP],MATCH(TableOverallRank[[#This Row],[OVERALL PLAYER]],TableOverallMaster[OVERALL PLAYER],0)),"")</f>
        <v>0.93954177032264397</v>
      </c>
      <c r="AU20" s="250"/>
      <c r="AV20" s="246">
        <v>19</v>
      </c>
      <c r="AW20" s="260" t="str">
        <f>IFERROR(INDEX(TableWRTECalcPts[PLAYER],MATCH(TableWRTERank[[#This Row],[RK]],TableWRTECalcPts[RK],0)),"")</f>
        <v>Diontae Johnson</v>
      </c>
      <c r="AX20" s="260" t="str">
        <f>IFERROR(INDEX(TableWRTECalcPts[POS RK],MATCH(TableWRTERank[[#This Row],[WR and TE COMBINED]],TableWRTECalcPts[PLAYER],0)),"")</f>
        <v>WR16</v>
      </c>
      <c r="AY20" s="260">
        <f>IFERROR(INDEX(TableWRTECalcPts[BYE],MATCH(TableWRTERank[[#This Row],[RK]],TableWRTECalcPts[RK],0)),"")</f>
        <v>9</v>
      </c>
      <c r="AZ20" s="261">
        <f>IFERROR(INDEX(TableWRTECalcPts[Custom],MATCH(TableWRTERank[[#This Row],[RK]],TableWRTECalcPts[RK],0)),"")</f>
        <v>150.82650522066166</v>
      </c>
      <c r="BA20" s="249">
        <f>IFERROR((TableWRTERank[[#This Row],[FPS]]-INDEX(TableWRTERank[FPS],MATCH(WRTEVORPCalc,TableWRTERank[RK],0)))/INDEX(TableWRTERank[FPS],MATCH(WRTEVORPCalc,TableWRTERank[RK],0)),"")</f>
        <v>0.27011626803652006</v>
      </c>
      <c r="BC20" s="124" t="s">
        <v>358</v>
      </c>
      <c r="BD20" s="124">
        <v>19</v>
      </c>
      <c r="BE20" s="262">
        <f>RANK(TableWRTEMaster[[#This Row],[VORP]],TableWRTEMaster[VORP])+COUNTIF($BJ$2:BJ20,BJ20)-1</f>
        <v>22</v>
      </c>
      <c r="BF20" s="263" t="str">
        <f>IFERROR(INDEX(TableWRVORP[WIDE RECEIVER],MATCH(TableWRTEMaster[[#This Row],[RK]],TableWRVORP[RK],0)),"")</f>
        <v>Gabriel Davis</v>
      </c>
      <c r="BG20" s="263" t="str">
        <f>_xlfn.CONCAT(TableWRTEMaster[[#This Row],[POS]],TableWRTEMaster[[#This Row],[RK]])</f>
        <v>WR19</v>
      </c>
      <c r="BH20" s="263">
        <f>IFERROR(INDEX(TableWRVORP[BYE],MATCH(TableWRTEMaster[[#This Row],[RK]],TableWRVORP[RK],0)),"")</f>
        <v>7</v>
      </c>
      <c r="BI20" s="264">
        <f>IFERROR(INDEX(TableWRVORP[FPS],MATCH(TableWRTEMaster[[#This Row],[RK]],TableWRVORP[RK],0)),"")</f>
        <v>149.8562933454524</v>
      </c>
      <c r="BJ20" s="254">
        <f>IFERROR(INDEX(TableWRVORP[VORP],MATCH(TableWRTEMaster[[#This Row],[RK]],TableWRVORP[RK],0)),"")</f>
        <v>0.37517541895728729</v>
      </c>
    </row>
    <row r="21" spans="1:62" x14ac:dyDescent="0.3">
      <c r="A21" s="246">
        <v>20</v>
      </c>
      <c r="B21" s="247" t="str">
        <f>IFERROR(INDEX(TableQBCalcPts[PLAYER],MATCH(TableQBVORP[[#This Row],[RK]],TableQBCalcPts[RK],0)),"")</f>
        <v>Matt Ryan</v>
      </c>
      <c r="C21" s="247" t="str">
        <f>IFERROR(INDEX(TableQBCalcPts[TM],MATCH(TableQBVORP[[#This Row],[RK]],TableQBCalcPts[RK],0)),"")</f>
        <v>IND</v>
      </c>
      <c r="D21" s="247">
        <f>IFERROR(INDEX(TableQBCalcPts[BYE],MATCH(TableQBVORP[[#This Row],[RK]],TableQBCalcPts[RK],0)),"")</f>
        <v>14</v>
      </c>
      <c r="E21" s="248">
        <f>IFERROR(INDEX(TableQBCalcPts[Custom],MATCH(TableQBVORP[[#This Row],[RK]],TableQBCalcPts[RK],0)),"")</f>
        <v>276.76416065824327</v>
      </c>
      <c r="F21" s="249">
        <f>(IFERROR((TableQBVORP[[#This Row],[FPS]]-INDEX(TableQBVORP[FPS],MATCH(QBVORPCalc,TableQBVORP[RK],0)))/INDEX(TableQBVORP[FPS],MATCH(QBVORPCalc,TableQBVORP[RK],0)),""))+(TableRBVORP[[#This Row],[VORP]]*0.45)</f>
        <v>7.9228594351669179E-2</v>
      </c>
      <c r="G21" s="246"/>
      <c r="H21" s="246">
        <v>20</v>
      </c>
      <c r="I21" s="247" t="str">
        <f>IFERROR(INDEX(TableRBCalcPts[PLAYER],MATCH(TableRBVORP[[#This Row],[RK]],TableRBCalcPts[RK],0)),"")</f>
        <v>Ezekiel Elliott</v>
      </c>
      <c r="J21" s="247" t="str">
        <f>IFERROR(INDEX(TableRBCalcPts[TM],MATCH(TableRBVORP[[#This Row],[RK]],TableRBCalcPts[RK],0)),"")</f>
        <v>DAL</v>
      </c>
      <c r="K21" s="247">
        <f>IFERROR(INDEX(TableRBCalcPts[BYE],MATCH(TableRBVORP[[#This Row],[RK]],TableRBCalcPts[RK],0)),"")</f>
        <v>9</v>
      </c>
      <c r="L21" s="248">
        <f>IFERROR(INDEX(TableRBCalcPts[Custom],MATCH(TableRBVORP[[#This Row],[RK]],TableRBCalcPts[RK],0)),"")</f>
        <v>182.36319695224904</v>
      </c>
      <c r="M21" s="249">
        <f>IFERROR((TableRBVORP[[#This Row],[FPS]]-INDEX(TableRBVORP[FPS],MATCH(RBVORPCalc,TableRBVORP[RK],0)))/INDEX(TableRBVORP[FPS],MATCH(RBVORPCalc,TableRBVORP[RK],0)),"")</f>
        <v>0.79988837875203855</v>
      </c>
      <c r="N21" s="246"/>
      <c r="O21" s="246">
        <v>20</v>
      </c>
      <c r="P21" s="247" t="str">
        <f>IFERROR(INDEX(TableWRCalcPts[PLAYER],MATCH(TableWRVORP[[#This Row],[RK]],TableWRCalcPts[RK],0)),"")</f>
        <v>Rashod Bateman</v>
      </c>
      <c r="Q21" s="247" t="str">
        <f>IFERROR(INDEX(TableWRCalcPts[TM],MATCH(TableWRVORP[[#This Row],[RK]],TableWRCalcPts[RK],0)),"")</f>
        <v>BAL</v>
      </c>
      <c r="R21" s="247">
        <f>IFERROR(INDEX(TableWRCalcPts[BYE],MATCH(TableWRVORP[[#This Row],[RK]],TableWRCalcPts[RK],0)),"")</f>
        <v>10</v>
      </c>
      <c r="S21" s="248">
        <f>IFERROR(INDEX(TableWRCalcPts[Custom],MATCH(TableWRVORP[[#This Row],[RK]],TableWRCalcPts[RK],0)),"")</f>
        <v>148.63992321748958</v>
      </c>
      <c r="T21" s="249">
        <f>IFERROR((TableWRVORP[[#This Row],[FPS]]-INDEX(TableWRVORP[FPS],MATCH(WRVORPCalc,TableWRVORP[RK],0)))/INDEX(TableWRVORP[FPS],MATCH(WRVORPCalc,TableWRVORP[RK],0)),"")</f>
        <v>0.36401324309542743</v>
      </c>
      <c r="U21" s="246"/>
      <c r="V21" s="246">
        <v>20</v>
      </c>
      <c r="W21" s="247" t="str">
        <f>IFERROR(INDEX(TableTECalcPts[PLAYER],MATCH(TableTEVORP[[#This Row],[RK]],TableTECalcPts[RK],0)),"")</f>
        <v>Albert Okwuegbunam</v>
      </c>
      <c r="X21" s="247" t="str">
        <f>IFERROR(INDEX(TableTECalcPts[TM],MATCH(TableTEVORP[[#This Row],[RK]],TableTECalcPts[RK],0)),"")</f>
        <v>DEN</v>
      </c>
      <c r="Y21" s="247">
        <f>IFERROR(INDEX(TableTECalcPts[BYE],MATCH(TableTEVORP[[#This Row],[RK]],TableTECalcPts[RK],0)),"")</f>
        <v>9</v>
      </c>
      <c r="Z21" s="248">
        <f>IFERROR(INDEX(TableTECalcPts[Custom],MATCH(TableTEVORP[[#This Row],[RK]],TableTECalcPts[RK],0)),"")</f>
        <v>85.353394830706264</v>
      </c>
      <c r="AA21" s="249">
        <f>IFERROR((TableTEVORP[[#This Row],[FPS]]-INDEX(TableTEVORP[FPS],MATCH(TEVORPCalc,TableTEVORP[RK],0)))/INDEX(TableTEVORP[FPS],MATCH(TEVORPCalc,TableTEVORP[RK],0)),"")</f>
        <v>-0.16689701187845968</v>
      </c>
      <c r="AB21" s="246"/>
      <c r="AC21" s="250"/>
      <c r="AD21" s="250"/>
      <c r="AE21" s="250"/>
      <c r="AF21" s="250" t="s">
        <v>9</v>
      </c>
      <c r="AG21" s="250">
        <v>20</v>
      </c>
      <c r="AH21" s="251">
        <f>RANK(TableOverallMaster[[#This Row],[VORP]],TableOverallMaster[VORP])+COUNTIF($AM$2:AM21,AM21)-1</f>
        <v>110</v>
      </c>
      <c r="AI21" s="252" t="str">
        <f>IFERROR(INDEX(TableQBVORP[QUARTERBACK],MATCH(TableOverallMaster[[#This Row],[RK]],TableQBVORP[RK],0)),"")</f>
        <v>Matt Ryan</v>
      </c>
      <c r="AJ21" s="252" t="str">
        <f t="shared" si="0"/>
        <v>QB20</v>
      </c>
      <c r="AK21" s="252">
        <f>IFERROR(INDEX(TableQBVORP[BYE],MATCH(TableOverallMaster[[#This Row],[RK]],TableQBVORP[RK],0)),"")</f>
        <v>14</v>
      </c>
      <c r="AL21" s="253">
        <f>IFERROR(INDEX(TableQBVORP[FPS],MATCH(TableOverallMaster[[#This Row],[RK]],TableQBVORP[RK],0)),"")</f>
        <v>276.76416065824327</v>
      </c>
      <c r="AM21" s="254">
        <f>IFERROR(INDEX(TableQBVORP[VORP],MATCH(TableOverallMaster[[#This Row],[RK]],TableQBVORP[RK],0)),"")</f>
        <v>7.9228594351669179E-2</v>
      </c>
      <c r="AN21" s="250"/>
      <c r="AO21" s="250">
        <v>20</v>
      </c>
      <c r="AP21" s="255" t="str">
        <f>IFERROR(INDEX(TableOverallMaster[OVERALL PLAYER],MATCH(TableOverallRank[[#This Row],[RK]],TableOverallMaster[OVR RK],0)),"")</f>
        <v>Javonte Williams</v>
      </c>
      <c r="AQ21" s="256" t="str">
        <f>IFERROR(INDEX(TableOverallMaster[POS RK],MATCH(TableOverallRank[[#This Row],[OVERALL PLAYER]],TableOverallMaster[OVERALL PLAYER],0)),"")</f>
        <v>RB17</v>
      </c>
      <c r="AR21" s="257">
        <f>IFERROR(INDEX(TableOverallMaster[BYE],MATCH(TableOverallRank[[#This Row],[OVERALL PLAYER]],TableOverallMaster[OVERALL PLAYER],0)),"")</f>
        <v>9</v>
      </c>
      <c r="AS21" s="258">
        <f>IFERROR(INDEX(TableOverallMaster[Custom],MATCH(TableOverallRank[[#This Row],[OVERALL PLAYER]],TableOverallMaster[OVERALL PLAYER],0)),"")</f>
        <v>192.73629649734781</v>
      </c>
      <c r="AT21" s="259">
        <f>IFERROR(INDEX(TableOverallMaster[VORP],MATCH(TableOverallRank[[#This Row],[OVERALL PLAYER]],TableOverallMaster[OVERALL PLAYER],0)),"")</f>
        <v>0.9022688021866534</v>
      </c>
      <c r="AU21" s="250"/>
      <c r="AV21" s="246">
        <v>20</v>
      </c>
      <c r="AW21" s="260" t="str">
        <f>IFERROR(INDEX(TableWRTECalcPts[PLAYER],MATCH(TableWRTERank[[#This Row],[RK]],TableWRTECalcPts[RK],0)),"")</f>
        <v>Allen Robinson</v>
      </c>
      <c r="AX21" s="260" t="str">
        <f>IFERROR(INDEX(TableWRTECalcPts[POS RK],MATCH(TableWRTERank[[#This Row],[WR and TE COMBINED]],TableWRTECalcPts[PLAYER],0)),"")</f>
        <v>WR17</v>
      </c>
      <c r="AY21" s="260">
        <f>IFERROR(INDEX(TableWRTECalcPts[BYE],MATCH(TableWRTERank[[#This Row],[RK]],TableWRTECalcPts[RK],0)),"")</f>
        <v>7</v>
      </c>
      <c r="AZ21" s="261">
        <f>IFERROR(INDEX(TableWRTECalcPts[Custom],MATCH(TableWRTERank[[#This Row],[RK]],TableWRTECalcPts[RK],0)),"")</f>
        <v>150.34659128848409</v>
      </c>
      <c r="BA21" s="249">
        <f>IFERROR((TableWRTERank[[#This Row],[FPS]]-INDEX(TableWRTERank[FPS],MATCH(WRTEVORPCalc,TableWRTERank[RK],0)))/INDEX(TableWRTERank[FPS],MATCH(WRTEVORPCalc,TableWRTERank[RK],0)),"")</f>
        <v>0.26607489287089964</v>
      </c>
      <c r="BC21" s="124" t="s">
        <v>358</v>
      </c>
      <c r="BD21" s="124">
        <v>20</v>
      </c>
      <c r="BE21" s="262">
        <f>RANK(TableWRTEMaster[[#This Row],[VORP]],TableWRTEMaster[VORP])+COUNTIF($BJ$2:BJ21,BJ21)-1</f>
        <v>23</v>
      </c>
      <c r="BF21" s="263" t="str">
        <f>IFERROR(INDEX(TableWRVORP[WIDE RECEIVER],MATCH(TableWRTEMaster[[#This Row],[RK]],TableWRVORP[RK],0)),"")</f>
        <v>Rashod Bateman</v>
      </c>
      <c r="BG21" s="263" t="str">
        <f>_xlfn.CONCAT(TableWRTEMaster[[#This Row],[POS]],TableWRTEMaster[[#This Row],[RK]])</f>
        <v>WR20</v>
      </c>
      <c r="BH21" s="263">
        <f>IFERROR(INDEX(TableWRVORP[BYE],MATCH(TableWRTEMaster[[#This Row],[RK]],TableWRVORP[RK],0)),"")</f>
        <v>10</v>
      </c>
      <c r="BI21" s="264">
        <f>IFERROR(INDEX(TableWRVORP[FPS],MATCH(TableWRTEMaster[[#This Row],[RK]],TableWRVORP[RK],0)),"")</f>
        <v>148.63992321748958</v>
      </c>
      <c r="BJ21" s="254">
        <f>IFERROR(INDEX(TableWRVORP[VORP],MATCH(TableWRTEMaster[[#This Row],[RK]],TableWRVORP[RK],0)),"")</f>
        <v>0.36401324309542743</v>
      </c>
    </row>
    <row r="22" spans="1:62" x14ac:dyDescent="0.3">
      <c r="A22" s="246">
        <v>21</v>
      </c>
      <c r="B22" s="247" t="str">
        <f>IFERROR(INDEX(TableQBCalcPts[PLAYER],MATCH(TableQBVORP[[#This Row],[RK]],TableQBCalcPts[RK],0)),"")</f>
        <v>Zach Wilson</v>
      </c>
      <c r="C22" s="247" t="str">
        <f>IFERROR(INDEX(TableQBCalcPts[TM],MATCH(TableQBVORP[[#This Row],[RK]],TableQBCalcPts[RK],0)),"")</f>
        <v>NYJ</v>
      </c>
      <c r="D22" s="247">
        <f>IFERROR(INDEX(TableQBCalcPts[BYE],MATCH(TableQBVORP[[#This Row],[RK]],TableQBCalcPts[RK],0)),"")</f>
        <v>10</v>
      </c>
      <c r="E22" s="248">
        <f>IFERROR(INDEX(TableQBCalcPts[Custom],MATCH(TableQBVORP[[#This Row],[RK]],TableQBCalcPts[RK],0)),"")</f>
        <v>276.60231184125121</v>
      </c>
      <c r="F22" s="249">
        <f>(IFERROR((TableQBVORP[[#This Row],[FPS]]-INDEX(TableQBVORP[FPS],MATCH(QBVORPCalc,TableQBVORP[RK],0)))/INDEX(TableQBVORP[FPS],MATCH(QBVORPCalc,TableQBVORP[RK],0)),""))+(TableRBVORP[[#This Row],[VORP]]*0.45)</f>
        <v>3.5832124940017529E-2</v>
      </c>
      <c r="G22" s="246"/>
      <c r="H22" s="246">
        <v>21</v>
      </c>
      <c r="I22" s="247" t="str">
        <f>IFERROR(INDEX(TableRBCalcPts[PLAYER],MATCH(TableRBVORP[[#This Row],[RK]],TableRBCalcPts[RK],0)),"")</f>
        <v>Damien Harris</v>
      </c>
      <c r="J22" s="247" t="str">
        <f>IFERROR(INDEX(TableRBCalcPts[TM],MATCH(TableRBVORP[[#This Row],[RK]],TableRBCalcPts[RK],0)),"")</f>
        <v>NE</v>
      </c>
      <c r="K22" s="247">
        <f>IFERROR(INDEX(TableRBCalcPts[BYE],MATCH(TableRBVORP[[#This Row],[RK]],TableRBCalcPts[RK],0)),"")</f>
        <v>10</v>
      </c>
      <c r="L22" s="248">
        <f>IFERROR(INDEX(TableRBCalcPts[Custom],MATCH(TableRBVORP[[#This Row],[RK]],TableRBCalcPts[RK],0)),"")</f>
        <v>172.68702648572901</v>
      </c>
      <c r="M22" s="249">
        <f>IFERROR((TableRBVORP[[#This Row],[FPS]]-INDEX(TableRBVORP[FPS],MATCH(RBVORPCalc,TableRBVORP[RK],0)))/INDEX(TableRBVORP[FPS],MATCH(RBVORPCalc,TableRBVORP[RK],0)),"")</f>
        <v>0.70438650630968713</v>
      </c>
      <c r="N22" s="246"/>
      <c r="O22" s="246">
        <v>21</v>
      </c>
      <c r="P22" s="247" t="str">
        <f>IFERROR(INDEX(TableWRCalcPts[PLAYER],MATCH(TableWRVORP[[#This Row],[RK]],TableWRCalcPts[RK],0)),"")</f>
        <v>Jaylen Waddle</v>
      </c>
      <c r="Q22" s="247" t="str">
        <f>IFERROR(INDEX(TableWRCalcPts[TM],MATCH(TableWRVORP[[#This Row],[RK]],TableWRCalcPts[RK],0)),"")</f>
        <v>MIA</v>
      </c>
      <c r="R22" s="247">
        <f>IFERROR(INDEX(TableWRCalcPts[BYE],MATCH(TableWRVORP[[#This Row],[RK]],TableWRCalcPts[RK],0)),"")</f>
        <v>11</v>
      </c>
      <c r="S22" s="248">
        <f>IFERROR(INDEX(TableWRCalcPts[Custom],MATCH(TableWRVORP[[#This Row],[RK]],TableWRCalcPts[RK],0)),"")</f>
        <v>147.75272085722844</v>
      </c>
      <c r="T22" s="249">
        <f>IFERROR((TableWRVORP[[#This Row],[FPS]]-INDEX(TableWRVORP[FPS],MATCH(WRVORPCalc,TableWRVORP[RK],0)))/INDEX(TableWRVORP[FPS],MATCH(WRVORPCalc,TableWRVORP[RK],0)),"")</f>
        <v>0.35587171730271677</v>
      </c>
      <c r="U22" s="246"/>
      <c r="V22" s="246">
        <v>21</v>
      </c>
      <c r="W22" s="247" t="str">
        <f>IFERROR(INDEX(TableTECalcPts[PLAYER],MATCH(TableTEVORP[[#This Row],[RK]],TableTECalcPts[RK],0)),"")</f>
        <v>Noah Fant</v>
      </c>
      <c r="X22" s="247" t="str">
        <f>IFERROR(INDEX(TableTECalcPts[TM],MATCH(TableTEVORP[[#This Row],[RK]],TableTECalcPts[RK],0)),"")</f>
        <v>SEA</v>
      </c>
      <c r="Y22" s="247">
        <f>IFERROR(INDEX(TableTECalcPts[BYE],MATCH(TableTEVORP[[#This Row],[RK]],TableTECalcPts[RK],0)),"")</f>
        <v>11</v>
      </c>
      <c r="Z22" s="248">
        <f>IFERROR(INDEX(TableTECalcPts[Custom],MATCH(TableTEVORP[[#This Row],[RK]],TableTECalcPts[RK],0)),"")</f>
        <v>84.555063158015798</v>
      </c>
      <c r="AA22" s="249">
        <f>IFERROR((TableTEVORP[[#This Row],[FPS]]-INDEX(TableTEVORP[FPS],MATCH(TEVORPCalc,TableTEVORP[RK],0)))/INDEX(TableTEVORP[FPS],MATCH(TEVORPCalc,TableTEVORP[RK],0)),"")</f>
        <v>-0.17468923271923195</v>
      </c>
      <c r="AB22" s="246"/>
      <c r="AC22" s="250"/>
      <c r="AD22" s="250"/>
      <c r="AE22" s="250"/>
      <c r="AF22" s="250" t="s">
        <v>9</v>
      </c>
      <c r="AG22" s="250">
        <v>21</v>
      </c>
      <c r="AH22" s="251">
        <f>RANK(TableOverallMaster[[#This Row],[VORP]],TableOverallMaster[VORP])+COUNTIF($AM$2:AM22,AM22)-1</f>
        <v>113</v>
      </c>
      <c r="AI22" s="252" t="str">
        <f>IFERROR(INDEX(TableQBVORP[QUARTERBACK],MATCH(TableOverallMaster[[#This Row],[RK]],TableQBVORP[RK],0)),"")</f>
        <v>Zach Wilson</v>
      </c>
      <c r="AJ22" s="252" t="str">
        <f t="shared" si="0"/>
        <v>QB21</v>
      </c>
      <c r="AK22" s="252">
        <f>IFERROR(INDEX(TableQBVORP[BYE],MATCH(TableOverallMaster[[#This Row],[RK]],TableQBVORP[RK],0)),"")</f>
        <v>10</v>
      </c>
      <c r="AL22" s="253">
        <f>IFERROR(INDEX(TableQBVORP[FPS],MATCH(TableOverallMaster[[#This Row],[RK]],TableQBVORP[RK],0)),"")</f>
        <v>276.60231184125121</v>
      </c>
      <c r="AM22" s="254">
        <f>IFERROR(INDEX(TableQBVORP[VORP],MATCH(TableOverallMaster[[#This Row],[RK]],TableQBVORP[RK],0)),"")</f>
        <v>3.5832124940017529E-2</v>
      </c>
      <c r="AN22" s="250"/>
      <c r="AO22" s="250">
        <v>21</v>
      </c>
      <c r="AP22" s="255" t="str">
        <f>IFERROR(INDEX(TableOverallMaster[OVERALL PLAYER],MATCH(TableOverallRank[[#This Row],[RK]],TableOverallMaster[OVR RK],0)),"")</f>
        <v>Deebo Samuel</v>
      </c>
      <c r="AQ22" s="256" t="str">
        <f>IFERROR(INDEX(TableOverallMaster[POS RK],MATCH(TableOverallRank[[#This Row],[OVERALL PLAYER]],TableOverallMaster[OVERALL PLAYER],0)),"")</f>
        <v>WR3</v>
      </c>
      <c r="AR22" s="257">
        <f>IFERROR(INDEX(TableOverallMaster[BYE],MATCH(TableOverallRank[[#This Row],[OVERALL PLAYER]],TableOverallMaster[OVERALL PLAYER],0)),"")</f>
        <v>9</v>
      </c>
      <c r="AS22" s="258">
        <f>IFERROR(INDEX(TableOverallMaster[Custom],MATCH(TableOverallRank[[#This Row],[OVERALL PLAYER]],TableOverallMaster[OVERALL PLAYER],0)),"")</f>
        <v>204.70306981913626</v>
      </c>
      <c r="AT22" s="259">
        <f>IFERROR(INDEX(TableOverallMaster[VORP],MATCH(TableOverallRank[[#This Row],[OVERALL PLAYER]],TableOverallMaster[OVERALL PLAYER],0)),"")</f>
        <v>0.8784838695525905</v>
      </c>
      <c r="AU22" s="250"/>
      <c r="AV22" s="246">
        <v>21</v>
      </c>
      <c r="AW22" s="260" t="str">
        <f>IFERROR(INDEX(TableWRTECalcPts[PLAYER],MATCH(TableWRTERank[[#This Row],[RK]],TableWRTECalcPts[RK],0)),"")</f>
        <v>DK Metcalf</v>
      </c>
      <c r="AX22" s="260" t="str">
        <f>IFERROR(INDEX(TableWRTECalcPts[POS RK],MATCH(TableWRTERank[[#This Row],[WR and TE COMBINED]],TableWRTECalcPts[PLAYER],0)),"")</f>
        <v>WR18</v>
      </c>
      <c r="AY22" s="260">
        <f>IFERROR(INDEX(TableWRTECalcPts[BYE],MATCH(TableWRTERank[[#This Row],[RK]],TableWRTECalcPts[RK],0)),"")</f>
        <v>11</v>
      </c>
      <c r="AZ22" s="261">
        <f>IFERROR(INDEX(TableWRTECalcPts[Custom],MATCH(TableWRTERank[[#This Row],[RK]],TableWRTECalcPts[RK],0)),"")</f>
        <v>150.29995128334309</v>
      </c>
      <c r="BA22" s="249">
        <f>IFERROR((TableWRTERank[[#This Row],[FPS]]-INDEX(TableWRTERank[FPS],MATCH(WRTEVORPCalc,TableWRTERank[RK],0)))/INDEX(TableWRTERank[FPS],MATCH(WRTEVORPCalc,TableWRTERank[RK],0)),"")</f>
        <v>0.26568213544948871</v>
      </c>
      <c r="BC22" s="124" t="s">
        <v>358</v>
      </c>
      <c r="BD22" s="124">
        <v>21</v>
      </c>
      <c r="BE22" s="262">
        <f>RANK(TableWRTEMaster[[#This Row],[VORP]],TableWRTEMaster[VORP])+COUNTIF($BJ$2:BJ22,BJ22)-1</f>
        <v>24</v>
      </c>
      <c r="BF22" s="263" t="str">
        <f>IFERROR(INDEX(TableWRVORP[WIDE RECEIVER],MATCH(TableWRTEMaster[[#This Row],[RK]],TableWRVORP[RK],0)),"")</f>
        <v>Jaylen Waddle</v>
      </c>
      <c r="BG22" s="263" t="str">
        <f>_xlfn.CONCAT(TableWRTEMaster[[#This Row],[POS]],TableWRTEMaster[[#This Row],[RK]])</f>
        <v>WR21</v>
      </c>
      <c r="BH22" s="263">
        <f>IFERROR(INDEX(TableWRVORP[BYE],MATCH(TableWRTEMaster[[#This Row],[RK]],TableWRVORP[RK],0)),"")</f>
        <v>11</v>
      </c>
      <c r="BI22" s="264">
        <f>IFERROR(INDEX(TableWRVORP[FPS],MATCH(TableWRTEMaster[[#This Row],[RK]],TableWRVORP[RK],0)),"")</f>
        <v>147.75272085722844</v>
      </c>
      <c r="BJ22" s="254">
        <f>IFERROR(INDEX(TableWRVORP[VORP],MATCH(TableWRTEMaster[[#This Row],[RK]],TableWRVORP[RK],0)),"")</f>
        <v>0.35587171730271677</v>
      </c>
    </row>
    <row r="23" spans="1:62" x14ac:dyDescent="0.3">
      <c r="A23" s="246">
        <v>22</v>
      </c>
      <c r="B23" s="247" t="str">
        <f>IFERROR(INDEX(TableQBCalcPts[PLAYER],MATCH(TableQBVORP[[#This Row],[RK]],TableQBCalcPts[RK],0)),"")</f>
        <v>Daniel Jones</v>
      </c>
      <c r="C23" s="247" t="str">
        <f>IFERROR(INDEX(TableQBCalcPts[TM],MATCH(TableQBVORP[[#This Row],[RK]],TableQBCalcPts[RK],0)),"")</f>
        <v>NYG</v>
      </c>
      <c r="D23" s="247">
        <f>IFERROR(INDEX(TableQBCalcPts[BYE],MATCH(TableQBVORP[[#This Row],[RK]],TableQBCalcPts[RK],0)),"")</f>
        <v>9</v>
      </c>
      <c r="E23" s="248">
        <f>IFERROR(INDEX(TableQBCalcPts[Custom],MATCH(TableQBVORP[[#This Row],[RK]],TableQBCalcPts[RK],0)),"")</f>
        <v>272.32576236876167</v>
      </c>
      <c r="F23" s="249">
        <f>(IFERROR((TableQBVORP[[#This Row],[FPS]]-INDEX(TableQBVORP[FPS],MATCH(QBVORPCalc,TableQBVORP[RK],0)))/INDEX(TableQBVORP[FPS],MATCH(QBVORPCalc,TableQBVORP[RK],0)),""))+(TableRBVORP[[#This Row],[VORP]]*0.45)</f>
        <v>-8.2967989652485419E-3</v>
      </c>
      <c r="G23" s="246"/>
      <c r="H23" s="246">
        <v>22</v>
      </c>
      <c r="I23" s="247" t="str">
        <f>IFERROR(INDEX(TableRBCalcPts[PLAYER],MATCH(TableRBVORP[[#This Row],[RK]],TableRBCalcPts[RK],0)),"")</f>
        <v>Elijah Mitchell</v>
      </c>
      <c r="J23" s="247" t="str">
        <f>IFERROR(INDEX(TableRBCalcPts[TM],MATCH(TableRBVORP[[#This Row],[RK]],TableRBCalcPts[RK],0)),"")</f>
        <v>SF</v>
      </c>
      <c r="K23" s="247">
        <f>IFERROR(INDEX(TableRBCalcPts[BYE],MATCH(TableRBVORP[[#This Row],[RK]],TableRBCalcPts[RK],0)),"")</f>
        <v>9</v>
      </c>
      <c r="L23" s="248">
        <f>IFERROR(INDEX(TableRBCalcPts[Custom],MATCH(TableRBVORP[[#This Row],[RK]],TableRBCalcPts[RK],0)),"")</f>
        <v>165.25365451656748</v>
      </c>
      <c r="M23" s="249">
        <f>IFERROR((TableRBVORP[[#This Row],[FPS]]-INDEX(TableRBVORP[FPS],MATCH(RBVORPCalc,TableRBVORP[RK],0)))/INDEX(TableRBVORP[FPS],MATCH(RBVORPCalc,TableRBVORP[RK],0)),"")</f>
        <v>0.63102060767533552</v>
      </c>
      <c r="N23" s="246"/>
      <c r="O23" s="246">
        <v>22</v>
      </c>
      <c r="P23" s="247" t="str">
        <f>IFERROR(INDEX(TableWRCalcPts[PLAYER],MATCH(TableWRVORP[[#This Row],[RK]],TableWRCalcPts[RK],0)),"")</f>
        <v>DJ Moore</v>
      </c>
      <c r="Q23" s="247" t="str">
        <f>IFERROR(INDEX(TableWRCalcPts[TM],MATCH(TableWRVORP[[#This Row],[RK]],TableWRCalcPts[RK],0)),"")</f>
        <v>CAR</v>
      </c>
      <c r="R23" s="247">
        <f>IFERROR(INDEX(TableWRCalcPts[BYE],MATCH(TableWRVORP[[#This Row],[RK]],TableWRCalcPts[RK],0)),"")</f>
        <v>13</v>
      </c>
      <c r="S23" s="248">
        <f>IFERROR(INDEX(TableWRCalcPts[Custom],MATCH(TableWRVORP[[#This Row],[RK]],TableWRCalcPts[RK],0)),"")</f>
        <v>145.62594698031444</v>
      </c>
      <c r="T23" s="249">
        <f>IFERROR((TableWRVORP[[#This Row],[FPS]]-INDEX(TableWRVORP[FPS],MATCH(WRVORPCalc,TableWRVORP[RK],0)))/INDEX(TableWRVORP[FPS],MATCH(WRVORPCalc,TableWRVORP[RK],0)),"")</f>
        <v>0.33635510514102024</v>
      </c>
      <c r="U23" s="246"/>
      <c r="V23" s="246">
        <v>22</v>
      </c>
      <c r="W23" s="247" t="str">
        <f>IFERROR(INDEX(TableTECalcPts[PLAYER],MATCH(TableTEVORP[[#This Row],[RK]],TableTECalcPts[RK],0)),"")</f>
        <v>Logan Thomas</v>
      </c>
      <c r="X23" s="247" t="str">
        <f>IFERROR(INDEX(TableTECalcPts[TM],MATCH(TableTEVORP[[#This Row],[RK]],TableTECalcPts[RK],0)),"")</f>
        <v>WSH</v>
      </c>
      <c r="Y23" s="247">
        <f>IFERROR(INDEX(TableTECalcPts[BYE],MATCH(TableTEVORP[[#This Row],[RK]],TableTECalcPts[RK],0)),"")</f>
        <v>14</v>
      </c>
      <c r="Z23" s="248">
        <f>IFERROR(INDEX(TableTECalcPts[Custom],MATCH(TableTEVORP[[#This Row],[RK]],TableTECalcPts[RK],0)),"")</f>
        <v>84.483769417527256</v>
      </c>
      <c r="AA23" s="249">
        <f>IFERROR((TableTEVORP[[#This Row],[FPS]]-INDEX(TableTEVORP[FPS],MATCH(TEVORPCalc,TableTEVORP[RK],0)))/INDEX(TableTEVORP[FPS],MATCH(TEVORPCalc,TableTEVORP[RK],0)),"")</f>
        <v>-0.17538510460989515</v>
      </c>
      <c r="AB23" s="246"/>
      <c r="AC23" s="250"/>
      <c r="AD23" s="250"/>
      <c r="AE23" s="250"/>
      <c r="AF23" s="250" t="s">
        <v>9</v>
      </c>
      <c r="AG23" s="250">
        <v>22</v>
      </c>
      <c r="AH23" s="251">
        <f>RANK(TableOverallMaster[[#This Row],[VORP]],TableOverallMaster[VORP])+COUNTIF($AM$2:AM23,AM23)-1</f>
        <v>124</v>
      </c>
      <c r="AI23" s="252" t="str">
        <f>IFERROR(INDEX(TableQBVORP[QUARTERBACK],MATCH(TableOverallMaster[[#This Row],[RK]],TableQBVORP[RK],0)),"")</f>
        <v>Daniel Jones</v>
      </c>
      <c r="AJ23" s="252" t="str">
        <f t="shared" si="0"/>
        <v>QB22</v>
      </c>
      <c r="AK23" s="252">
        <f>IFERROR(INDEX(TableQBVORP[BYE],MATCH(TableOverallMaster[[#This Row],[RK]],TableQBVORP[RK],0)),"")</f>
        <v>9</v>
      </c>
      <c r="AL23" s="253">
        <f>IFERROR(INDEX(TableQBVORP[FPS],MATCH(TableOverallMaster[[#This Row],[RK]],TableQBVORP[RK],0)),"")</f>
        <v>272.32576236876167</v>
      </c>
      <c r="AM23" s="254">
        <f>IFERROR(INDEX(TableQBVORP[VORP],MATCH(TableOverallMaster[[#This Row],[RK]],TableQBVORP[RK],0)),"")</f>
        <v>-8.2967989652485419E-3</v>
      </c>
      <c r="AN23" s="250"/>
      <c r="AO23" s="250">
        <v>22</v>
      </c>
      <c r="AP23" s="255" t="str">
        <f>IFERROR(INDEX(TableOverallMaster[OVERALL PLAYER],MATCH(TableOverallRank[[#This Row],[RK]],TableOverallMaster[OVR RK],0)),"")</f>
        <v>Alvin Kamara</v>
      </c>
      <c r="AQ23" s="256" t="str">
        <f>IFERROR(INDEX(TableOverallMaster[POS RK],MATCH(TableOverallRank[[#This Row],[OVERALL PLAYER]],TableOverallMaster[OVERALL PLAYER],0)),"")</f>
        <v>RB18</v>
      </c>
      <c r="AR23" s="257">
        <f>IFERROR(INDEX(TableOverallMaster[BYE],MATCH(TableOverallRank[[#This Row],[OVERALL PLAYER]],TableOverallMaster[OVERALL PLAYER],0)),"")</f>
        <v>14</v>
      </c>
      <c r="AS23" s="258">
        <f>IFERROR(INDEX(TableOverallMaster[Custom],MATCH(TableOverallRank[[#This Row],[OVERALL PLAYER]],TableOverallMaster[OVERALL PLAYER],0)),"")</f>
        <v>190.20018269680975</v>
      </c>
      <c r="AT23" s="259">
        <f>IFERROR(INDEX(TableOverallMaster[VORP],MATCH(TableOverallRank[[#This Row],[OVERALL PLAYER]],TableOverallMaster[OVERALL PLAYER],0)),"")</f>
        <v>0.87723786484255561</v>
      </c>
      <c r="AU23" s="250"/>
      <c r="AV23" s="246">
        <v>22</v>
      </c>
      <c r="AW23" s="260" t="str">
        <f>IFERROR(INDEX(TableWRTECalcPts[PLAYER],MATCH(TableWRTERank[[#This Row],[RK]],TableWRTECalcPts[RK],0)),"")</f>
        <v>Gabriel Davis</v>
      </c>
      <c r="AX23" s="260" t="str">
        <f>IFERROR(INDEX(TableWRTECalcPts[POS RK],MATCH(TableWRTERank[[#This Row],[WR and TE COMBINED]],TableWRTECalcPts[PLAYER],0)),"")</f>
        <v>WR19</v>
      </c>
      <c r="AY23" s="260">
        <f>IFERROR(INDEX(TableWRTECalcPts[BYE],MATCH(TableWRTERank[[#This Row],[RK]],TableWRTECalcPts[RK],0)),"")</f>
        <v>7</v>
      </c>
      <c r="AZ23" s="261">
        <f>IFERROR(INDEX(TableWRTECalcPts[Custom],MATCH(TableWRTERank[[#This Row],[RK]],TableWRTECalcPts[RK],0)),"")</f>
        <v>149.8562933454524</v>
      </c>
      <c r="BA23" s="249">
        <f>IFERROR((TableWRTERank[[#This Row],[FPS]]-INDEX(TableWRTERank[FPS],MATCH(WRTEVORPCalc,TableWRTERank[RK],0)))/INDEX(TableWRTERank[FPS],MATCH(WRTEVORPCalc,TableWRTERank[RK],0)),"")</f>
        <v>0.26194607351837057</v>
      </c>
      <c r="BC23" s="124" t="s">
        <v>358</v>
      </c>
      <c r="BD23" s="124">
        <v>22</v>
      </c>
      <c r="BE23" s="262">
        <f>RANK(TableWRTEMaster[[#This Row],[VORP]],TableWRTEMaster[VORP])+COUNTIF($BJ$2:BJ23,BJ23)-1</f>
        <v>25</v>
      </c>
      <c r="BF23" s="263" t="str">
        <f>IFERROR(INDEX(TableWRVORP[WIDE RECEIVER],MATCH(TableWRTEMaster[[#This Row],[RK]],TableWRVORP[RK],0)),"")</f>
        <v>DJ Moore</v>
      </c>
      <c r="BG23" s="263" t="str">
        <f>_xlfn.CONCAT(TableWRTEMaster[[#This Row],[POS]],TableWRTEMaster[[#This Row],[RK]])</f>
        <v>WR22</v>
      </c>
      <c r="BH23" s="263">
        <f>IFERROR(INDEX(TableWRVORP[BYE],MATCH(TableWRTEMaster[[#This Row],[RK]],TableWRVORP[RK],0)),"")</f>
        <v>13</v>
      </c>
      <c r="BI23" s="264">
        <f>IFERROR(INDEX(TableWRVORP[FPS],MATCH(TableWRTEMaster[[#This Row],[RK]],TableWRVORP[RK],0)),"")</f>
        <v>145.62594698031444</v>
      </c>
      <c r="BJ23" s="254">
        <f>IFERROR(INDEX(TableWRVORP[VORP],MATCH(TableWRTEMaster[[#This Row],[RK]],TableWRVORP[RK],0)),"")</f>
        <v>0.33635510514102024</v>
      </c>
    </row>
    <row r="24" spans="1:62" x14ac:dyDescent="0.3">
      <c r="A24" s="246">
        <v>23</v>
      </c>
      <c r="B24" s="247" t="str">
        <f>IFERROR(INDEX(TableQBCalcPts[PLAYER],MATCH(TableQBVORP[[#This Row],[RK]],TableQBCalcPts[RK],0)),"")</f>
        <v>Ryan Tannehill</v>
      </c>
      <c r="C24" s="247" t="str">
        <f>IFERROR(INDEX(TableQBCalcPts[TM],MATCH(TableQBVORP[[#This Row],[RK]],TableQBCalcPts[RK],0)),"")</f>
        <v>TEN</v>
      </c>
      <c r="D24" s="247">
        <f>IFERROR(INDEX(TableQBCalcPts[BYE],MATCH(TableQBVORP[[#This Row],[RK]],TableQBCalcPts[RK],0)),"")</f>
        <v>6</v>
      </c>
      <c r="E24" s="248">
        <f>IFERROR(INDEX(TableQBCalcPts[Custom],MATCH(TableQBVORP[[#This Row],[RK]],TableQBCalcPts[RK],0)),"")</f>
        <v>271.12275313928944</v>
      </c>
      <c r="F24" s="249">
        <f>(IFERROR((TableQBVORP[[#This Row],[FPS]]-INDEX(TableQBVORP[FPS],MATCH(QBVORPCalc,TableQBVORP[RK],0)))/INDEX(TableQBVORP[FPS],MATCH(QBVORPCalc,TableQBVORP[RK],0)),""))+(TableRBVORP[[#This Row],[VORP]]*0.45)</f>
        <v>-2.9230283939149615E-2</v>
      </c>
      <c r="G24" s="246"/>
      <c r="H24" s="246">
        <v>23</v>
      </c>
      <c r="I24" s="247" t="str">
        <f>IFERROR(INDEX(TableRBCalcPts[PLAYER],MATCH(TableRBVORP[[#This Row],[RK]],TableRBCalcPts[RK],0)),"")</f>
        <v>David Montgomery</v>
      </c>
      <c r="J24" s="247" t="str">
        <f>IFERROR(INDEX(TableRBCalcPts[TM],MATCH(TableRBVORP[[#This Row],[RK]],TableRBCalcPts[RK],0)),"")</f>
        <v>CHI</v>
      </c>
      <c r="K24" s="247">
        <f>IFERROR(INDEX(TableRBCalcPts[BYE],MATCH(TableRBVORP[[#This Row],[RK]],TableRBCalcPts[RK],0)),"")</f>
        <v>14</v>
      </c>
      <c r="L24" s="248">
        <f>IFERROR(INDEX(TableRBCalcPts[Custom],MATCH(TableRBVORP[[#This Row],[RK]],TableRBCalcPts[RK],0)),"")</f>
        <v>161.24434243597648</v>
      </c>
      <c r="M24" s="249">
        <f>IFERROR((TableRBVORP[[#This Row],[FPS]]-INDEX(TableRBVORP[FPS],MATCH(RBVORPCalc,TableRBVORP[RK],0)))/INDEX(TableRBVORP[FPS],MATCH(RBVORPCalc,TableRBVORP[RK],0)),"")</f>
        <v>0.59144949715934991</v>
      </c>
      <c r="N24" s="246"/>
      <c r="O24" s="246">
        <v>23</v>
      </c>
      <c r="P24" s="247" t="str">
        <f>IFERROR(INDEX(TableWRCalcPts[PLAYER],MATCH(TableWRVORP[[#This Row],[RK]],TableWRCalcPts[RK],0)),"")</f>
        <v>Terry McLaurin</v>
      </c>
      <c r="Q24" s="247" t="str">
        <f>IFERROR(INDEX(TableWRCalcPts[TM],MATCH(TableWRVORP[[#This Row],[RK]],TableWRCalcPts[RK],0)),"")</f>
        <v>WSH</v>
      </c>
      <c r="R24" s="247">
        <f>IFERROR(INDEX(TableWRCalcPts[BYE],MATCH(TableWRVORP[[#This Row],[RK]],TableWRCalcPts[RK],0)),"")</f>
        <v>14</v>
      </c>
      <c r="S24" s="248">
        <f>IFERROR(INDEX(TableWRCalcPts[Custom],MATCH(TableWRVORP[[#This Row],[RK]],TableWRCalcPts[RK],0)),"")</f>
        <v>144.79369367514585</v>
      </c>
      <c r="T24" s="249">
        <f>IFERROR((TableWRVORP[[#This Row],[FPS]]-INDEX(TableWRVORP[FPS],MATCH(WRVORPCalc,TableWRVORP[RK],0)))/INDEX(TableWRVORP[FPS],MATCH(WRVORPCalc,TableWRVORP[RK],0)),"")</f>
        <v>0.32871782637171626</v>
      </c>
      <c r="U24" s="246"/>
      <c r="V24" s="246">
        <v>23</v>
      </c>
      <c r="W24" s="247" t="str">
        <f>IFERROR(INDEX(TableTECalcPts[PLAYER],MATCH(TableTEVORP[[#This Row],[RK]],TableTECalcPts[RK],0)),"")</f>
        <v>Robert Tonyan</v>
      </c>
      <c r="X24" s="247" t="str">
        <f>IFERROR(INDEX(TableTECalcPts[TM],MATCH(TableTEVORP[[#This Row],[RK]],TableTECalcPts[RK],0)),"")</f>
        <v>GB</v>
      </c>
      <c r="Y24" s="247">
        <f>IFERROR(INDEX(TableTECalcPts[BYE],MATCH(TableTEVORP[[#This Row],[RK]],TableTECalcPts[RK],0)),"")</f>
        <v>14</v>
      </c>
      <c r="Z24" s="248">
        <f>IFERROR(INDEX(TableTECalcPts[Custom],MATCH(TableTEVORP[[#This Row],[RK]],TableTECalcPts[RK],0)),"")</f>
        <v>81.128898794421957</v>
      </c>
      <c r="AA24" s="249">
        <f>IFERROR((TableTEVORP[[#This Row],[FPS]]-INDEX(TableTEVORP[FPS],MATCH(TEVORPCalc,TableTEVORP[RK],0)))/INDEX(TableTEVORP[FPS],MATCH(TEVORPCalc,TableTEVORP[RK],0)),"")</f>
        <v>-0.2081307586804079</v>
      </c>
      <c r="AB24" s="246"/>
      <c r="AC24" s="250"/>
      <c r="AD24" s="250"/>
      <c r="AE24" s="250"/>
      <c r="AF24" s="250" t="s">
        <v>9</v>
      </c>
      <c r="AG24" s="250">
        <v>23</v>
      </c>
      <c r="AH24" s="251">
        <f>RANK(TableOverallMaster[[#This Row],[VORP]],TableOverallMaster[VORP])+COUNTIF($AM$2:AM24,AM24)-1</f>
        <v>131</v>
      </c>
      <c r="AI24" s="252" t="str">
        <f>IFERROR(INDEX(TableQBVORP[QUARTERBACK],MATCH(TableOverallMaster[[#This Row],[RK]],TableQBVORP[RK],0)),"")</f>
        <v>Ryan Tannehill</v>
      </c>
      <c r="AJ24" s="252" t="str">
        <f t="shared" si="0"/>
        <v>QB23</v>
      </c>
      <c r="AK24" s="252">
        <f>IFERROR(INDEX(TableQBVORP[BYE],MATCH(TableOverallMaster[[#This Row],[RK]],TableQBVORP[RK],0)),"")</f>
        <v>6</v>
      </c>
      <c r="AL24" s="253">
        <f>IFERROR(INDEX(TableQBVORP[FPS],MATCH(TableOverallMaster[[#This Row],[RK]],TableQBVORP[RK],0)),"")</f>
        <v>271.12275313928944</v>
      </c>
      <c r="AM24" s="254">
        <f>IFERROR(INDEX(TableQBVORP[VORP],MATCH(TableOverallMaster[[#This Row],[RK]],TableQBVORP[RK],0)),"")</f>
        <v>-2.9230283939149615E-2</v>
      </c>
      <c r="AN24" s="250"/>
      <c r="AO24" s="250">
        <v>23</v>
      </c>
      <c r="AP24" s="255" t="str">
        <f>IFERROR(INDEX(TableOverallMaster[OVERALL PLAYER],MATCH(TableOverallRank[[#This Row],[RK]],TableOverallMaster[OVR RK],0)),"")</f>
        <v>Justin Jefferson</v>
      </c>
      <c r="AQ24" s="256" t="str">
        <f>IFERROR(INDEX(TableOverallMaster[POS RK],MATCH(TableOverallRank[[#This Row],[OVERALL PLAYER]],TableOverallMaster[OVERALL PLAYER],0)),"")</f>
        <v>WR4</v>
      </c>
      <c r="AR24" s="257">
        <f>IFERROR(INDEX(TableOverallMaster[BYE],MATCH(TableOverallRank[[#This Row],[OVERALL PLAYER]],TableOverallMaster[OVERALL PLAYER],0)),"")</f>
        <v>7</v>
      </c>
      <c r="AS24" s="258">
        <f>IFERROR(INDEX(TableOverallMaster[Custom],MATCH(TableOverallRank[[#This Row],[OVERALL PLAYER]],TableOverallMaster[OVERALL PLAYER],0)),"")</f>
        <v>202.65658638405648</v>
      </c>
      <c r="AT24" s="259">
        <f>IFERROR(INDEX(TableOverallMaster[VORP],MATCH(TableOverallRank[[#This Row],[OVERALL PLAYER]],TableOverallMaster[OVERALL PLAYER],0)),"")</f>
        <v>0.85970405288691698</v>
      </c>
      <c r="AU24" s="250"/>
      <c r="AV24" s="246">
        <v>23</v>
      </c>
      <c r="AW24" s="260" t="str">
        <f>IFERROR(INDEX(TableWRTECalcPts[PLAYER],MATCH(TableWRTERank[[#This Row],[RK]],TableWRTECalcPts[RK],0)),"")</f>
        <v>Rashod Bateman</v>
      </c>
      <c r="AX24" s="260" t="str">
        <f>IFERROR(INDEX(TableWRTECalcPts[POS RK],MATCH(TableWRTERank[[#This Row],[WR and TE COMBINED]],TableWRTECalcPts[PLAYER],0)),"")</f>
        <v>WR20</v>
      </c>
      <c r="AY24" s="260">
        <f>IFERROR(INDEX(TableWRTECalcPts[BYE],MATCH(TableWRTERank[[#This Row],[RK]],TableWRTECalcPts[RK],0)),"")</f>
        <v>10</v>
      </c>
      <c r="AZ24" s="261">
        <f>IFERROR(INDEX(TableWRTECalcPts[Custom],MATCH(TableWRTERank[[#This Row],[RK]],TableWRTECalcPts[RK],0)),"")</f>
        <v>148.63992321748958</v>
      </c>
      <c r="BA24" s="249">
        <f>IFERROR((TableWRTERank[[#This Row],[FPS]]-INDEX(TableWRTERank[FPS],MATCH(WRTEVORPCalc,TableWRTERank[RK],0)))/INDEX(TableWRTERank[FPS],MATCH(WRTEVORPCalc,TableWRTERank[RK],0)),"")</f>
        <v>0.25170297012471321</v>
      </c>
      <c r="BC24" s="124" t="s">
        <v>358</v>
      </c>
      <c r="BD24" s="124">
        <v>23</v>
      </c>
      <c r="BE24" s="262">
        <f>RANK(TableWRTEMaster[[#This Row],[VORP]],TableWRTEMaster[VORP])+COUNTIF($BJ$2:BJ24,BJ24)-1</f>
        <v>26</v>
      </c>
      <c r="BF24" s="263" t="str">
        <f>IFERROR(INDEX(TableWRVORP[WIDE RECEIVER],MATCH(TableWRTEMaster[[#This Row],[RK]],TableWRVORP[RK],0)),"")</f>
        <v>Terry McLaurin</v>
      </c>
      <c r="BG24" s="263" t="str">
        <f>_xlfn.CONCAT(TableWRTEMaster[[#This Row],[POS]],TableWRTEMaster[[#This Row],[RK]])</f>
        <v>WR23</v>
      </c>
      <c r="BH24" s="263">
        <f>IFERROR(INDEX(TableWRVORP[BYE],MATCH(TableWRTEMaster[[#This Row],[RK]],TableWRVORP[RK],0)),"")</f>
        <v>14</v>
      </c>
      <c r="BI24" s="264">
        <f>IFERROR(INDEX(TableWRVORP[FPS],MATCH(TableWRTEMaster[[#This Row],[RK]],TableWRVORP[RK],0)),"")</f>
        <v>144.79369367514585</v>
      </c>
      <c r="BJ24" s="254">
        <f>IFERROR(INDEX(TableWRVORP[VORP],MATCH(TableWRTEMaster[[#This Row],[RK]],TableWRVORP[RK],0)),"")</f>
        <v>0.32871782637171626</v>
      </c>
    </row>
    <row r="25" spans="1:62" x14ac:dyDescent="0.3">
      <c r="A25" s="246">
        <v>24</v>
      </c>
      <c r="B25" s="247" t="str">
        <f>IFERROR(INDEX(TableQBCalcPts[PLAYER],MATCH(TableQBVORP[[#This Row],[RK]],TableQBCalcPts[RK],0)),"")</f>
        <v>Jared Goff</v>
      </c>
      <c r="C25" s="247" t="str">
        <f>IFERROR(INDEX(TableQBCalcPts[TM],MATCH(TableQBVORP[[#This Row],[RK]],TableQBCalcPts[RK],0)),"")</f>
        <v>DET</v>
      </c>
      <c r="D25" s="247">
        <f>IFERROR(INDEX(TableQBCalcPts[BYE],MATCH(TableQBVORP[[#This Row],[RK]],TableQBCalcPts[RK],0)),"")</f>
        <v>6</v>
      </c>
      <c r="E25" s="248">
        <f>IFERROR(INDEX(TableQBCalcPts[Custom],MATCH(TableQBVORP[[#This Row],[RK]],TableQBCalcPts[RK],0)),"")</f>
        <v>258.14716946765958</v>
      </c>
      <c r="F25" s="249">
        <f>(IFERROR((TableQBVORP[[#This Row],[FPS]]-INDEX(TableQBVORP[FPS],MATCH(QBVORPCalc,TableQBVORP[RK],0)))/INDEX(TableQBVORP[FPS],MATCH(QBVORPCalc,TableQBVORP[RK],0)),""))+(TableRBVORP[[#This Row],[VORP]]*0.45)</f>
        <v>-6.8349977383674432E-2</v>
      </c>
      <c r="G25" s="246"/>
      <c r="H25" s="246">
        <v>24</v>
      </c>
      <c r="I25" s="247" t="str">
        <f>IFERROR(INDEX(TableRBCalcPts[PLAYER],MATCH(TableRBVORP[[#This Row],[RK]],TableRBCalcPts[RK],0)),"")</f>
        <v>Breece Hall</v>
      </c>
      <c r="J25" s="247" t="str">
        <f>IFERROR(INDEX(TableRBCalcPts[TM],MATCH(TableRBVORP[[#This Row],[RK]],TableRBCalcPts[RK],0)),"")</f>
        <v>NYJ</v>
      </c>
      <c r="K25" s="247">
        <f>IFERROR(INDEX(TableRBCalcPts[BYE],MATCH(TableRBVORP[[#This Row],[RK]],TableRBCalcPts[RK],0)),"")</f>
        <v>10</v>
      </c>
      <c r="L25" s="248">
        <f>IFERROR(INDEX(TableRBCalcPts[Custom],MATCH(TableRBVORP[[#This Row],[RK]],TableRBCalcPts[RK],0)),"")</f>
        <v>160.02904924432423</v>
      </c>
      <c r="M25" s="249">
        <f>IFERROR((TableRBVORP[[#This Row],[FPS]]-INDEX(TableRBVORP[FPS],MATCH(RBVORPCalc,TableRBVORP[RK],0)))/INDEX(TableRBVORP[FPS],MATCH(RBVORPCalc,TableRBVORP[RK],0)),"")</f>
        <v>0.57945479576680903</v>
      </c>
      <c r="N25" s="246"/>
      <c r="O25" s="246">
        <v>24</v>
      </c>
      <c r="P25" s="247" t="str">
        <f>IFERROR(INDEX(TableWRCalcPts[PLAYER],MATCH(TableWRVORP[[#This Row],[RK]],TableWRCalcPts[RK],0)),"")</f>
        <v>Brandin Cooks</v>
      </c>
      <c r="Q25" s="247" t="str">
        <f>IFERROR(INDEX(TableWRCalcPts[TM],MATCH(TableWRVORP[[#This Row],[RK]],TableWRCalcPts[RK],0)),"")</f>
        <v>HOU</v>
      </c>
      <c r="R25" s="247">
        <f>IFERROR(INDEX(TableWRCalcPts[BYE],MATCH(TableWRVORP[[#This Row],[RK]],TableWRCalcPts[RK],0)),"")</f>
        <v>6</v>
      </c>
      <c r="S25" s="248">
        <f>IFERROR(INDEX(TableWRCalcPts[Custom],MATCH(TableWRVORP[[#This Row],[RK]],TableWRCalcPts[RK],0)),"")</f>
        <v>143.01669018608655</v>
      </c>
      <c r="T25" s="249">
        <f>IFERROR((TableWRVORP[[#This Row],[FPS]]-INDEX(TableWRVORP[FPS],MATCH(WRVORPCalc,TableWRVORP[RK],0)))/INDEX(TableWRVORP[FPS],MATCH(WRVORPCalc,TableWRVORP[RK],0)),"")</f>
        <v>0.31241092685484101</v>
      </c>
      <c r="U25" s="246"/>
      <c r="V25" s="246">
        <v>24</v>
      </c>
      <c r="W25" s="247" t="str">
        <f>IFERROR(INDEX(TableTECalcPts[PLAYER],MATCH(TableTEVORP[[#This Row],[RK]],TableTECalcPts[RK],0)),"")</f>
        <v>Mo Alie-Cox</v>
      </c>
      <c r="X25" s="247" t="str">
        <f>IFERROR(INDEX(TableTECalcPts[TM],MATCH(TableTEVORP[[#This Row],[RK]],TableTECalcPts[RK],0)),"")</f>
        <v>IND</v>
      </c>
      <c r="Y25" s="247">
        <f>IFERROR(INDEX(TableTECalcPts[BYE],MATCH(TableTEVORP[[#This Row],[RK]],TableTECalcPts[RK],0)),"")</f>
        <v>14</v>
      </c>
      <c r="Z25" s="248">
        <f>IFERROR(INDEX(TableTECalcPts[Custom],MATCH(TableTEVORP[[#This Row],[RK]],TableTECalcPts[RK],0)),"")</f>
        <v>80.481520247403466</v>
      </c>
      <c r="AA25" s="249">
        <f>IFERROR((TableTEVORP[[#This Row],[FPS]]-INDEX(TableTEVORP[FPS],MATCH(TEVORPCalc,TableTEVORP[RK],0)))/INDEX(TableTEVORP[FPS],MATCH(TEVORPCalc,TableTEVORP[RK],0)),"")</f>
        <v>-0.21444958176924489</v>
      </c>
      <c r="AB25" s="246"/>
      <c r="AC25" s="250"/>
      <c r="AD25" s="250"/>
      <c r="AE25" s="250"/>
      <c r="AF25" s="250" t="s">
        <v>9</v>
      </c>
      <c r="AG25" s="250">
        <v>24</v>
      </c>
      <c r="AH25" s="251">
        <f>RANK(TableOverallMaster[[#This Row],[VORP]],TableOverallMaster[VORP])+COUNTIF($AM$2:AM25,AM25)-1</f>
        <v>142</v>
      </c>
      <c r="AI25" s="252" t="str">
        <f>IFERROR(INDEX(TableQBVORP[QUARTERBACK],MATCH(TableOverallMaster[[#This Row],[RK]],TableQBVORP[RK],0)),"")</f>
        <v>Jared Goff</v>
      </c>
      <c r="AJ25" s="252" t="str">
        <f t="shared" si="0"/>
        <v>QB24</v>
      </c>
      <c r="AK25" s="252">
        <f>IFERROR(INDEX(TableQBVORP[BYE],MATCH(TableOverallMaster[[#This Row],[RK]],TableQBVORP[RK],0)),"")</f>
        <v>6</v>
      </c>
      <c r="AL25" s="253">
        <f>IFERROR(INDEX(TableQBVORP[FPS],MATCH(TableOverallMaster[[#This Row],[RK]],TableQBVORP[RK],0)),"")</f>
        <v>258.14716946765958</v>
      </c>
      <c r="AM25" s="254">
        <f>IFERROR(INDEX(TableQBVORP[VORP],MATCH(TableOverallMaster[[#This Row],[RK]],TableQBVORP[RK],0)),"")</f>
        <v>-6.8349977383674432E-2</v>
      </c>
      <c r="AN25" s="250"/>
      <c r="AO25" s="250">
        <v>24</v>
      </c>
      <c r="AP25" s="255" t="str">
        <f>IFERROR(INDEX(TableOverallMaster[OVERALL PLAYER],MATCH(TableOverallRank[[#This Row],[RK]],TableOverallMaster[OVR RK],0)),"")</f>
        <v>Jalen Hurts</v>
      </c>
      <c r="AQ25" s="256" t="str">
        <f>IFERROR(INDEX(TableOverallMaster[POS RK],MATCH(TableOverallRank[[#This Row],[OVERALL PLAYER]],TableOverallMaster[OVERALL PLAYER],0)),"")</f>
        <v>QB2</v>
      </c>
      <c r="AR25" s="257">
        <f>IFERROR(INDEX(TableOverallMaster[BYE],MATCH(TableOverallRank[[#This Row],[OVERALL PLAYER]],TableOverallMaster[OVERALL PLAYER],0)),"")</f>
        <v>7</v>
      </c>
      <c r="AS25" s="258">
        <f>IFERROR(INDEX(TableOverallMaster[Custom],MATCH(TableOverallRank[[#This Row],[OVERALL PLAYER]],TableOverallMaster[OVERALL PLAYER],0)),"")</f>
        <v>393.75142926100978</v>
      </c>
      <c r="AT25" s="259">
        <f>IFERROR(INDEX(TableOverallMaster[VORP],MATCH(TableOverallRank[[#This Row],[OVERALL PLAYER]],TableOverallMaster[OVERALL PLAYER],0)),"")</f>
        <v>0.858865858470092</v>
      </c>
      <c r="AU25" s="250"/>
      <c r="AV25" s="246">
        <v>24</v>
      </c>
      <c r="AW25" s="260" t="str">
        <f>IFERROR(INDEX(TableWRTECalcPts[PLAYER],MATCH(TableWRTERank[[#This Row],[RK]],TableWRTECalcPts[RK],0)),"")</f>
        <v>Jaylen Waddle</v>
      </c>
      <c r="AX25" s="260" t="str">
        <f>IFERROR(INDEX(TableWRTECalcPts[POS RK],MATCH(TableWRTERank[[#This Row],[WR and TE COMBINED]],TableWRTECalcPts[PLAYER],0)),"")</f>
        <v>WR21</v>
      </c>
      <c r="AY25" s="260">
        <f>IFERROR(INDEX(TableWRTECalcPts[BYE],MATCH(TableWRTERank[[#This Row],[RK]],TableWRTECalcPts[RK],0)),"")</f>
        <v>11</v>
      </c>
      <c r="AZ25" s="261">
        <f>IFERROR(INDEX(TableWRTECalcPts[Custom],MATCH(TableWRTERank[[#This Row],[RK]],TableWRTECalcPts[RK],0)),"")</f>
        <v>147.75272085722844</v>
      </c>
      <c r="BA25" s="249">
        <f>IFERROR((TableWRTERank[[#This Row],[FPS]]-INDEX(TableWRTERank[FPS],MATCH(WRTEVORPCalc,TableWRTERank[RK],0)))/INDEX(TableWRTERank[FPS],MATCH(WRTEVORPCalc,TableWRTERank[RK],0)),"")</f>
        <v>0.24423180218139004</v>
      </c>
      <c r="BC25" s="124" t="s">
        <v>358</v>
      </c>
      <c r="BD25" s="124">
        <v>24</v>
      </c>
      <c r="BE25" s="262">
        <f>RANK(TableWRTEMaster[[#This Row],[VORP]],TableWRTEMaster[VORP])+COUNTIF($BJ$2:BJ25,BJ25)-1</f>
        <v>27</v>
      </c>
      <c r="BF25" s="263" t="str">
        <f>IFERROR(INDEX(TableWRVORP[WIDE RECEIVER],MATCH(TableWRTEMaster[[#This Row],[RK]],TableWRVORP[RK],0)),"")</f>
        <v>Brandin Cooks</v>
      </c>
      <c r="BG25" s="263" t="str">
        <f>_xlfn.CONCAT(TableWRTEMaster[[#This Row],[POS]],TableWRTEMaster[[#This Row],[RK]])</f>
        <v>WR24</v>
      </c>
      <c r="BH25" s="263">
        <f>IFERROR(INDEX(TableWRVORP[BYE],MATCH(TableWRTEMaster[[#This Row],[RK]],TableWRVORP[RK],0)),"")</f>
        <v>6</v>
      </c>
      <c r="BI25" s="264">
        <f>IFERROR(INDEX(TableWRVORP[FPS],MATCH(TableWRTEMaster[[#This Row],[RK]],TableWRVORP[RK],0)),"")</f>
        <v>143.01669018608655</v>
      </c>
      <c r="BJ25" s="254">
        <f>IFERROR(INDEX(TableWRVORP[VORP],MATCH(TableWRTEMaster[[#This Row],[RK]],TableWRVORP[RK],0)),"")</f>
        <v>0.31241092685484101</v>
      </c>
    </row>
    <row r="26" spans="1:62" x14ac:dyDescent="0.3">
      <c r="A26" s="246">
        <v>25</v>
      </c>
      <c r="B26" s="247" t="str">
        <f>IFERROR(INDEX(TableQBCalcPts[PLAYER],MATCH(TableQBVORP[[#This Row],[RK]],TableQBCalcPts[RK],0)),"")</f>
        <v>Jameis Winston</v>
      </c>
      <c r="C26" s="247" t="str">
        <f>IFERROR(INDEX(TableQBCalcPts[TM],MATCH(TableQBVORP[[#This Row],[RK]],TableQBCalcPts[RK],0)),"")</f>
        <v>NO</v>
      </c>
      <c r="D26" s="247">
        <f>IFERROR(INDEX(TableQBCalcPts[BYE],MATCH(TableQBVORP[[#This Row],[RK]],TableQBCalcPts[RK],0)),"")</f>
        <v>14</v>
      </c>
      <c r="E26" s="248">
        <f>IFERROR(INDEX(TableQBCalcPts[Custom],MATCH(TableQBVORP[[#This Row],[RK]],TableQBCalcPts[RK],0)),"")</f>
        <v>258.137240167492</v>
      </c>
      <c r="F26" s="249">
        <f>(IFERROR((TableQBVORP[[#This Row],[FPS]]-INDEX(TableQBVORP[FPS],MATCH(QBVORPCalc,TableQBVORP[RK],0)))/INDEX(TableQBVORP[FPS],MATCH(QBVORPCalc,TableQBVORP[RK],0)),""))+(TableRBVORP[[#This Row],[VORP]]*0.45)</f>
        <v>-6.9557367814451043E-2</v>
      </c>
      <c r="G26" s="246"/>
      <c r="H26" s="246">
        <v>25</v>
      </c>
      <c r="I26" s="247" t="str">
        <f>IFERROR(INDEX(TableRBCalcPts[PLAYER],MATCH(TableRBVORP[[#This Row],[RK]],TableRBCalcPts[RK],0)),"")</f>
        <v>Travis Etienne</v>
      </c>
      <c r="J26" s="247" t="str">
        <f>IFERROR(INDEX(TableRBCalcPts[TM],MATCH(TableRBVORP[[#This Row],[RK]],TableRBCalcPts[RK],0)),"")</f>
        <v>JAX</v>
      </c>
      <c r="K26" s="247">
        <f>IFERROR(INDEX(TableRBCalcPts[BYE],MATCH(TableRBVORP[[#This Row],[RK]],TableRBCalcPts[RK],0)),"")</f>
        <v>11</v>
      </c>
      <c r="L26" s="248">
        <f>IFERROR(INDEX(TableRBCalcPts[Custom],MATCH(TableRBVORP[[#This Row],[RK]],TableRBCalcPts[RK],0)),"")</f>
        <v>159.76301092855081</v>
      </c>
      <c r="M26" s="249">
        <f>IFERROR((TableRBVORP[[#This Row],[FPS]]-INDEX(TableRBVORP[FPS],MATCH(RBVORPCalc,TableRBVORP[RK],0)))/INDEX(TableRBVORP[FPS],MATCH(RBVORPCalc,TableRBVORP[RK],0)),"")</f>
        <v>0.57682905065559165</v>
      </c>
      <c r="N26" s="246"/>
      <c r="O26" s="246">
        <v>25</v>
      </c>
      <c r="P26" s="247" t="str">
        <f>IFERROR(INDEX(TableWRCalcPts[PLAYER],MATCH(TableWRVORP[[#This Row],[RK]],TableWRCalcPts[RK],0)),"")</f>
        <v>DeVonta Smith</v>
      </c>
      <c r="Q26" s="247" t="str">
        <f>IFERROR(INDEX(TableWRCalcPts[TM],MATCH(TableWRVORP[[#This Row],[RK]],TableWRCalcPts[RK],0)),"")</f>
        <v>PHI</v>
      </c>
      <c r="R26" s="247">
        <f>IFERROR(INDEX(TableWRCalcPts[BYE],MATCH(TableWRVORP[[#This Row],[RK]],TableWRCalcPts[RK],0)),"")</f>
        <v>7</v>
      </c>
      <c r="S26" s="248">
        <f>IFERROR(INDEX(TableWRCalcPts[Custom],MATCH(TableWRVORP[[#This Row],[RK]],TableWRCalcPts[RK],0)),"")</f>
        <v>141.82410304289172</v>
      </c>
      <c r="T26" s="249">
        <f>IFERROR((TableWRVORP[[#This Row],[FPS]]-INDEX(TableWRVORP[FPS],MATCH(WRVORPCalc,TableWRVORP[RK],0)))/INDEX(TableWRVORP[FPS],MATCH(WRVORPCalc,TableWRVORP[RK],0)),"")</f>
        <v>0.30146699859081127</v>
      </c>
      <c r="U26" s="246"/>
      <c r="V26" s="246">
        <v>25</v>
      </c>
      <c r="W26" s="247" t="str">
        <f>IFERROR(INDEX(TableTECalcPts[PLAYER],MATCH(TableTEVORP[[#This Row],[RK]],TableTECalcPts[RK],0)),"")</f>
        <v>Hayden Hurst</v>
      </c>
      <c r="X26" s="247" t="str">
        <f>IFERROR(INDEX(TableTECalcPts[TM],MATCH(TableTEVORP[[#This Row],[RK]],TableTECalcPts[RK],0)),"")</f>
        <v>CIN</v>
      </c>
      <c r="Y26" s="247">
        <f>IFERROR(INDEX(TableTECalcPts[BYE],MATCH(TableTEVORP[[#This Row],[RK]],TableTECalcPts[RK],0)),"")</f>
        <v>10</v>
      </c>
      <c r="Z26" s="248">
        <f>IFERROR(INDEX(TableTECalcPts[Custom],MATCH(TableTEVORP[[#This Row],[RK]],TableTECalcPts[RK],0)),"")</f>
        <v>79.091408704172068</v>
      </c>
      <c r="AA26" s="249">
        <f>IFERROR((TableTEVORP[[#This Row],[FPS]]-INDEX(TableTEVORP[FPS],MATCH(TEVORPCalc,TableTEVORP[RK],0)))/INDEX(TableTEVORP[FPS],MATCH(TEVORPCalc,TableTEVORP[RK],0)),"")</f>
        <v>-0.22801794753589499</v>
      </c>
      <c r="AB26" s="246"/>
      <c r="AC26" s="250"/>
      <c r="AD26" s="250"/>
      <c r="AE26" s="250"/>
      <c r="AF26" s="250" t="s">
        <v>9</v>
      </c>
      <c r="AG26" s="250">
        <v>25</v>
      </c>
      <c r="AH26" s="251">
        <f>RANK(TableOverallMaster[[#This Row],[VORP]],TableOverallMaster[VORP])+COUNTIF($AM$2:AM26,AM26)-1</f>
        <v>145</v>
      </c>
      <c r="AI26" s="252" t="str">
        <f>IFERROR(INDEX(TableQBVORP[QUARTERBACK],MATCH(TableOverallMaster[[#This Row],[RK]],TableQBVORP[RK],0)),"")</f>
        <v>Jameis Winston</v>
      </c>
      <c r="AJ26" s="252" t="str">
        <f t="shared" si="0"/>
        <v>QB25</v>
      </c>
      <c r="AK26" s="252">
        <f>IFERROR(INDEX(TableQBVORP[BYE],MATCH(TableOverallMaster[[#This Row],[RK]],TableQBVORP[RK],0)),"")</f>
        <v>14</v>
      </c>
      <c r="AL26" s="253">
        <f>IFERROR(INDEX(TableQBVORP[FPS],MATCH(TableOverallMaster[[#This Row],[RK]],TableQBVORP[RK],0)),"")</f>
        <v>258.137240167492</v>
      </c>
      <c r="AM26" s="254">
        <f>IFERROR(INDEX(TableQBVORP[VORP],MATCH(TableOverallMaster[[#This Row],[RK]],TableQBVORP[RK],0)),"")</f>
        <v>-6.9557367814451043E-2</v>
      </c>
      <c r="AN26" s="250"/>
      <c r="AO26" s="250">
        <v>25</v>
      </c>
      <c r="AP26" s="255" t="str">
        <f>IFERROR(INDEX(TableOverallMaster[OVERALL PLAYER],MATCH(TableOverallRank[[#This Row],[RK]],TableOverallMaster[OVR RK],0)),"")</f>
        <v>Josh Jacobs</v>
      </c>
      <c r="AQ26" s="256" t="str">
        <f>IFERROR(INDEX(TableOverallMaster[POS RK],MATCH(TableOverallRank[[#This Row],[OVERALL PLAYER]],TableOverallMaster[OVERALL PLAYER],0)),"")</f>
        <v>RB19</v>
      </c>
      <c r="AR26" s="257">
        <f>IFERROR(INDEX(TableOverallMaster[BYE],MATCH(TableOverallRank[[#This Row],[OVERALL PLAYER]],TableOverallMaster[OVERALL PLAYER],0)),"")</f>
        <v>6</v>
      </c>
      <c r="AS26" s="258">
        <f>IFERROR(INDEX(TableOverallMaster[Custom],MATCH(TableOverallRank[[#This Row],[OVERALL PLAYER]],TableOverallMaster[OVERALL PLAYER],0)),"")</f>
        <v>188.18402241660306</v>
      </c>
      <c r="AT26" s="259">
        <f>IFERROR(INDEX(TableOverallMaster[VORP],MATCH(TableOverallRank[[#This Row],[OVERALL PLAYER]],TableOverallMaster[OVERALL PLAYER],0)),"")</f>
        <v>0.85733876503133832</v>
      </c>
      <c r="AU26" s="250"/>
      <c r="AV26" s="246">
        <v>25</v>
      </c>
      <c r="AW26" s="260" t="str">
        <f>IFERROR(INDEX(TableWRTECalcPts[PLAYER],MATCH(TableWRTERank[[#This Row],[RK]],TableWRTECalcPts[RK],0)),"")</f>
        <v>DJ Moore</v>
      </c>
      <c r="AX26" s="260" t="str">
        <f>IFERROR(INDEX(TableWRTECalcPts[POS RK],MATCH(TableWRTERank[[#This Row],[WR and TE COMBINED]],TableWRTECalcPts[PLAYER],0)),"")</f>
        <v>WR22</v>
      </c>
      <c r="AY26" s="260">
        <f>IFERROR(INDEX(TableWRTECalcPts[BYE],MATCH(TableWRTERank[[#This Row],[RK]],TableWRTECalcPts[RK],0)),"")</f>
        <v>13</v>
      </c>
      <c r="AZ26" s="261">
        <f>IFERROR(INDEX(TableWRTECalcPts[Custom],MATCH(TableWRTERank[[#This Row],[RK]],TableWRTECalcPts[RK],0)),"")</f>
        <v>145.62594698031444</v>
      </c>
      <c r="BA26" s="249">
        <f>IFERROR((TableWRTERank[[#This Row],[FPS]]-INDEX(TableWRTERank[FPS],MATCH(WRTEVORPCalc,TableWRTERank[RK],0)))/INDEX(TableWRTERank[FPS],MATCH(WRTEVORPCalc,TableWRTERank[RK],0)),"")</f>
        <v>0.22632215098612035</v>
      </c>
      <c r="BC26" s="124" t="s">
        <v>358</v>
      </c>
      <c r="BD26" s="124">
        <v>25</v>
      </c>
      <c r="BE26" s="262">
        <f>RANK(TableWRTEMaster[[#This Row],[VORP]],TableWRTEMaster[VORP])+COUNTIF($BJ$2:BJ26,BJ26)-1</f>
        <v>28</v>
      </c>
      <c r="BF26" s="263" t="str">
        <f>IFERROR(INDEX(TableWRVORP[WIDE RECEIVER],MATCH(TableWRTEMaster[[#This Row],[RK]],TableWRVORP[RK],0)),"")</f>
        <v>DeVonta Smith</v>
      </c>
      <c r="BG26" s="263" t="str">
        <f>_xlfn.CONCAT(TableWRTEMaster[[#This Row],[POS]],TableWRTEMaster[[#This Row],[RK]])</f>
        <v>WR25</v>
      </c>
      <c r="BH26" s="263">
        <f>IFERROR(INDEX(TableWRVORP[BYE],MATCH(TableWRTEMaster[[#This Row],[RK]],TableWRVORP[RK],0)),"")</f>
        <v>7</v>
      </c>
      <c r="BI26" s="264">
        <f>IFERROR(INDEX(TableWRVORP[FPS],MATCH(TableWRTEMaster[[#This Row],[RK]],TableWRVORP[RK],0)),"")</f>
        <v>141.82410304289172</v>
      </c>
      <c r="BJ26" s="254">
        <f>IFERROR(INDEX(TableWRVORP[VORP],MATCH(TableWRTEMaster[[#This Row],[RK]],TableWRVORP[RK],0)),"")</f>
        <v>0.30146699859081127</v>
      </c>
    </row>
    <row r="27" spans="1:62" x14ac:dyDescent="0.3">
      <c r="A27" s="246">
        <v>26</v>
      </c>
      <c r="B27" s="247" t="str">
        <f>IFERROR(INDEX(TableQBCalcPts[PLAYER],MATCH(TableQBVORP[[#This Row],[RK]],TableQBCalcPts[RK],0)),"")</f>
        <v>Mac Jones</v>
      </c>
      <c r="C27" s="247" t="str">
        <f>IFERROR(INDEX(TableQBCalcPts[TM],MATCH(TableQBVORP[[#This Row],[RK]],TableQBCalcPts[RK],0)),"")</f>
        <v>NE</v>
      </c>
      <c r="D27" s="247">
        <f>IFERROR(INDEX(TableQBCalcPts[BYE],MATCH(TableQBVORP[[#This Row],[RK]],TableQBCalcPts[RK],0)),"")</f>
        <v>10</v>
      </c>
      <c r="E27" s="248">
        <f>IFERROR(INDEX(TableQBCalcPts[Custom],MATCH(TableQBVORP[[#This Row],[RK]],TableQBCalcPts[RK],0)),"")</f>
        <v>243.25766741524433</v>
      </c>
      <c r="F27" s="249">
        <f>(IFERROR((TableQBVORP[[#This Row],[FPS]]-INDEX(TableQBVORP[FPS],MATCH(QBVORPCalc,TableQBVORP[RK],0)))/INDEX(TableQBVORP[FPS],MATCH(QBVORPCalc,TableQBVORP[RK],0)),""))+(TableRBVORP[[#This Row],[VORP]]*0.45)</f>
        <v>-0.1164337441149037</v>
      </c>
      <c r="G27" s="246"/>
      <c r="H27" s="246">
        <v>26</v>
      </c>
      <c r="I27" s="247" t="str">
        <f>IFERROR(INDEX(TableRBCalcPts[PLAYER],MATCH(TableRBVORP[[#This Row],[RK]],TableRBCalcPts[RK],0)),"")</f>
        <v>AJ Dillon</v>
      </c>
      <c r="J27" s="247" t="str">
        <f>IFERROR(INDEX(TableRBCalcPts[TM],MATCH(TableRBVORP[[#This Row],[RK]],TableRBCalcPts[RK],0)),"")</f>
        <v>GB</v>
      </c>
      <c r="K27" s="247">
        <f>IFERROR(INDEX(TableRBCalcPts[BYE],MATCH(TableRBVORP[[#This Row],[RK]],TableRBCalcPts[RK],0)),"")</f>
        <v>14</v>
      </c>
      <c r="L27" s="248">
        <f>IFERROR(INDEX(TableRBCalcPts[Custom],MATCH(TableRBVORP[[#This Row],[RK]],TableRBCalcPts[RK],0)),"")</f>
        <v>157.91538928118763</v>
      </c>
      <c r="M27" s="249">
        <f>IFERROR((TableRBVORP[[#This Row],[FPS]]-INDEX(TableRBVORP[FPS],MATCH(RBVORPCalc,TableRBVORP[RK],0)))/INDEX(TableRBVORP[FPS],MATCH(RBVORPCalc,TableRBVORP[RK],0)),"")</f>
        <v>0.55859339353289672</v>
      </c>
      <c r="N27" s="246"/>
      <c r="O27" s="246">
        <v>26</v>
      </c>
      <c r="P27" s="247" t="str">
        <f>IFERROR(INDEX(TableWRCalcPts[PLAYER],MATCH(TableWRVORP[[#This Row],[RK]],TableWRCalcPts[RK],0)),"")</f>
        <v>JuJu Smith-Schuster</v>
      </c>
      <c r="Q27" s="247" t="str">
        <f>IFERROR(INDEX(TableWRCalcPts[TM],MATCH(TableWRVORP[[#This Row],[RK]],TableWRCalcPts[RK],0)),"")</f>
        <v>KC</v>
      </c>
      <c r="R27" s="247">
        <f>IFERROR(INDEX(TableWRCalcPts[BYE],MATCH(TableWRVORP[[#This Row],[RK]],TableWRCalcPts[RK],0)),"")</f>
        <v>8</v>
      </c>
      <c r="S27" s="248">
        <f>IFERROR(INDEX(TableWRCalcPts[Custom],MATCH(TableWRVORP[[#This Row],[RK]],TableWRCalcPts[RK],0)),"")</f>
        <v>141.77739977868507</v>
      </c>
      <c r="T27" s="249">
        <f>IFERROR((TableWRVORP[[#This Row],[FPS]]-INDEX(TableWRVORP[FPS],MATCH(WRVORPCalc,TableWRVORP[RK],0)))/INDEX(TableWRVORP[FPS],MATCH(WRVORPCalc,TableWRVORP[RK],0)),"")</f>
        <v>0.30103842012081</v>
      </c>
      <c r="U27" s="246"/>
      <c r="V27" s="246">
        <v>26</v>
      </c>
      <c r="W27" s="247" t="str">
        <f>IFERROR(INDEX(TableTECalcPts[PLAYER],MATCH(TableTEVORP[[#This Row],[RK]],TableTECalcPts[RK],0)),"")</f>
        <v>Evan Engram</v>
      </c>
      <c r="X27" s="247" t="str">
        <f>IFERROR(INDEX(TableTECalcPts[TM],MATCH(TableTEVORP[[#This Row],[RK]],TableTECalcPts[RK],0)),"")</f>
        <v>JAX</v>
      </c>
      <c r="Y27" s="247">
        <f>IFERROR(INDEX(TableTECalcPts[BYE],MATCH(TableTEVORP[[#This Row],[RK]],TableTECalcPts[RK],0)),"")</f>
        <v>11</v>
      </c>
      <c r="Z27" s="248">
        <f>IFERROR(INDEX(TableTECalcPts[Custom],MATCH(TableTEVORP[[#This Row],[RK]],TableTECalcPts[RK],0)),"")</f>
        <v>79.044237431345721</v>
      </c>
      <c r="AA27" s="249">
        <f>IFERROR((TableTEVORP[[#This Row],[FPS]]-INDEX(TableTEVORP[FPS],MATCH(TEVORPCalc,TableTEVORP[RK],0)))/INDEX(TableTEVORP[FPS],MATCH(TEVORPCalc,TableTEVORP[RK],0)),"")</f>
        <v>-0.22847836892186413</v>
      </c>
      <c r="AB27" s="246"/>
      <c r="AC27" s="250"/>
      <c r="AD27" s="250"/>
      <c r="AE27" s="250"/>
      <c r="AF27" s="250" t="s">
        <v>9</v>
      </c>
      <c r="AG27" s="250">
        <v>26</v>
      </c>
      <c r="AH27" s="251">
        <f>RANK(TableOverallMaster[[#This Row],[VORP]],TableOverallMaster[VORP])+COUNTIF($AM$2:AM27,AM27)-1</f>
        <v>157</v>
      </c>
      <c r="AI27" s="252" t="str">
        <f>IFERROR(INDEX(TableQBVORP[QUARTERBACK],MATCH(TableOverallMaster[[#This Row],[RK]],TableQBVORP[RK],0)),"")</f>
        <v>Mac Jones</v>
      </c>
      <c r="AJ27" s="252" t="str">
        <f t="shared" si="0"/>
        <v>QB26</v>
      </c>
      <c r="AK27" s="252">
        <f>IFERROR(INDEX(TableQBVORP[BYE],MATCH(TableOverallMaster[[#This Row],[RK]],TableQBVORP[RK],0)),"")</f>
        <v>10</v>
      </c>
      <c r="AL27" s="253">
        <f>IFERROR(INDEX(TableQBVORP[FPS],MATCH(TableOverallMaster[[#This Row],[RK]],TableQBVORP[RK],0)),"")</f>
        <v>243.25766741524433</v>
      </c>
      <c r="AM27" s="254">
        <f>IFERROR(INDEX(TableQBVORP[VORP],MATCH(TableOverallMaster[[#This Row],[RK]],TableQBVORP[RK],0)),"")</f>
        <v>-0.1164337441149037</v>
      </c>
      <c r="AN27" s="250"/>
      <c r="AO27" s="250">
        <v>26</v>
      </c>
      <c r="AP27" s="255" t="str">
        <f>IFERROR(INDEX(TableOverallMaster[OVERALL PLAYER],MATCH(TableOverallRank[[#This Row],[RK]],TableOverallMaster[OVR RK],0)),"")</f>
        <v>Ezekiel Elliott</v>
      </c>
      <c r="AQ27" s="256" t="str">
        <f>IFERROR(INDEX(TableOverallMaster[POS RK],MATCH(TableOverallRank[[#This Row],[OVERALL PLAYER]],TableOverallMaster[OVERALL PLAYER],0)),"")</f>
        <v>RB20</v>
      </c>
      <c r="AR27" s="257">
        <f>IFERROR(INDEX(TableOverallMaster[BYE],MATCH(TableOverallRank[[#This Row],[OVERALL PLAYER]],TableOverallMaster[OVERALL PLAYER],0)),"")</f>
        <v>9</v>
      </c>
      <c r="AS27" s="258">
        <f>IFERROR(INDEX(TableOverallMaster[Custom],MATCH(TableOverallRank[[#This Row],[OVERALL PLAYER]],TableOverallMaster[OVERALL PLAYER],0)),"")</f>
        <v>182.36319695224904</v>
      </c>
      <c r="AT27" s="259">
        <f>IFERROR(INDEX(TableOverallMaster[VORP],MATCH(TableOverallRank[[#This Row],[OVERALL PLAYER]],TableOverallMaster[OVERALL PLAYER],0)),"")</f>
        <v>0.79988837875203855</v>
      </c>
      <c r="AU27" s="250"/>
      <c r="AV27" s="246">
        <v>26</v>
      </c>
      <c r="AW27" s="260" t="str">
        <f>IFERROR(INDEX(TableWRTECalcPts[PLAYER],MATCH(TableWRTERank[[#This Row],[RK]],TableWRTECalcPts[RK],0)),"")</f>
        <v>Terry McLaurin</v>
      </c>
      <c r="AX27" s="260" t="str">
        <f>IFERROR(INDEX(TableWRTECalcPts[POS RK],MATCH(TableWRTERank[[#This Row],[WR and TE COMBINED]],TableWRTECalcPts[PLAYER],0)),"")</f>
        <v>WR23</v>
      </c>
      <c r="AY27" s="260">
        <f>IFERROR(INDEX(TableWRTECalcPts[BYE],MATCH(TableWRTERank[[#This Row],[RK]],TableWRTECalcPts[RK],0)),"")</f>
        <v>14</v>
      </c>
      <c r="AZ27" s="261">
        <f>IFERROR(INDEX(TableWRTECalcPts[Custom],MATCH(TableWRTERank[[#This Row],[RK]],TableWRTECalcPts[RK],0)),"")</f>
        <v>144.79369367514585</v>
      </c>
      <c r="BA27" s="249">
        <f>IFERROR((TableWRTERank[[#This Row],[FPS]]-INDEX(TableWRTERank[FPS],MATCH(WRTEVORPCalc,TableWRTERank[RK],0)))/INDEX(TableWRTERank[FPS],MATCH(WRTEVORPCalc,TableWRTERank[RK],0)),"")</f>
        <v>0.21931371131913147</v>
      </c>
      <c r="BC27" s="124" t="s">
        <v>358</v>
      </c>
      <c r="BD27" s="124">
        <v>26</v>
      </c>
      <c r="BE27" s="262">
        <f>RANK(TableWRTEMaster[[#This Row],[VORP]],TableWRTEMaster[VORP])+COUNTIF($BJ$2:BJ27,BJ27)-1</f>
        <v>29</v>
      </c>
      <c r="BF27" s="263" t="str">
        <f>IFERROR(INDEX(TableWRVORP[WIDE RECEIVER],MATCH(TableWRTEMaster[[#This Row],[RK]],TableWRVORP[RK],0)),"")</f>
        <v>JuJu Smith-Schuster</v>
      </c>
      <c r="BG27" s="263" t="str">
        <f>_xlfn.CONCAT(TableWRTEMaster[[#This Row],[POS]],TableWRTEMaster[[#This Row],[RK]])</f>
        <v>WR26</v>
      </c>
      <c r="BH27" s="263">
        <f>IFERROR(INDEX(TableWRVORP[BYE],MATCH(TableWRTEMaster[[#This Row],[RK]],TableWRVORP[RK],0)),"")</f>
        <v>8</v>
      </c>
      <c r="BI27" s="264">
        <f>IFERROR(INDEX(TableWRVORP[FPS],MATCH(TableWRTEMaster[[#This Row],[RK]],TableWRVORP[RK],0)),"")</f>
        <v>141.77739977868507</v>
      </c>
      <c r="BJ27" s="254">
        <f>IFERROR(INDEX(TableWRVORP[VORP],MATCH(TableWRTEMaster[[#This Row],[RK]],TableWRVORP[RK],0)),"")</f>
        <v>0.30103842012081</v>
      </c>
    </row>
    <row r="28" spans="1:62" x14ac:dyDescent="0.3">
      <c r="A28" s="246">
        <v>27</v>
      </c>
      <c r="B28" s="247" t="str">
        <f>IFERROR(INDEX(TableQBCalcPts[PLAYER],MATCH(TableQBVORP[[#This Row],[RK]],TableQBCalcPts[RK],0)),"")</f>
        <v>Davis Mills</v>
      </c>
      <c r="C28" s="247" t="str">
        <f>IFERROR(INDEX(TableQBCalcPts[TM],MATCH(TableQBVORP[[#This Row],[RK]],TableQBCalcPts[RK],0)),"")</f>
        <v>HOU</v>
      </c>
      <c r="D28" s="247">
        <f>IFERROR(INDEX(TableQBCalcPts[BYE],MATCH(TableQBVORP[[#This Row],[RK]],TableQBCalcPts[RK],0)),"")</f>
        <v>6</v>
      </c>
      <c r="E28" s="248">
        <f>IFERROR(INDEX(TableQBCalcPts[Custom],MATCH(TableQBVORP[[#This Row],[RK]],TableQBCalcPts[RK],0)),"")</f>
        <v>238.21543876703646</v>
      </c>
      <c r="F28" s="249">
        <f>(IFERROR((TableQBVORP[[#This Row],[FPS]]-INDEX(TableQBVORP[FPS],MATCH(QBVORPCalc,TableQBVORP[RK],0)))/INDEX(TableQBVORP[FPS],MATCH(QBVORPCalc,TableQBVORP[RK],0)),""))+(TableRBVORP[[#This Row],[VORP]]*0.45)</f>
        <v>-0.19898588994089006</v>
      </c>
      <c r="G28" s="246"/>
      <c r="H28" s="246">
        <v>27</v>
      </c>
      <c r="I28" s="247" t="str">
        <f>IFERROR(INDEX(TableRBCalcPts[PLAYER],MATCH(TableRBVORP[[#This Row],[RK]],TableRBCalcPts[RK],0)),"")</f>
        <v>Ken Walker</v>
      </c>
      <c r="J28" s="247" t="str">
        <f>IFERROR(INDEX(TableRBCalcPts[TM],MATCH(TableRBVORP[[#This Row],[RK]],TableRBCalcPts[RK],0)),"")</f>
        <v>SEA</v>
      </c>
      <c r="K28" s="247">
        <f>IFERROR(INDEX(TableRBCalcPts[BYE],MATCH(TableRBVORP[[#This Row],[RK]],TableRBCalcPts[RK],0)),"")</f>
        <v>11</v>
      </c>
      <c r="L28" s="248">
        <f>IFERROR(INDEX(TableRBCalcPts[Custom],MATCH(TableRBVORP[[#This Row],[RK]],TableRBCalcPts[RK],0)),"")</f>
        <v>142.27892276141387</v>
      </c>
      <c r="M28" s="249">
        <f>IFERROR((TableRBVORP[[#This Row],[FPS]]-INDEX(TableRBVORP[FPS],MATCH(RBVORPCalc,TableRBVORP[RK],0)))/INDEX(TableRBVORP[FPS],MATCH(RBVORPCalc,TableRBVORP[RK],0)),"")</f>
        <v>0.40426458791837644</v>
      </c>
      <c r="N28" s="246"/>
      <c r="O28" s="246">
        <v>27</v>
      </c>
      <c r="P28" s="247" t="str">
        <f>IFERROR(INDEX(TableWRCalcPts[PLAYER],MATCH(TableWRVORP[[#This Row],[RK]],TableWRCalcPts[RK],0)),"")</f>
        <v>Elijah Moore</v>
      </c>
      <c r="Q28" s="247" t="str">
        <f>IFERROR(INDEX(TableWRCalcPts[TM],MATCH(TableWRVORP[[#This Row],[RK]],TableWRCalcPts[RK],0)),"")</f>
        <v>NYJ</v>
      </c>
      <c r="R28" s="247">
        <f>IFERROR(INDEX(TableWRCalcPts[BYE],MATCH(TableWRVORP[[#This Row],[RK]],TableWRCalcPts[RK],0)),"")</f>
        <v>10</v>
      </c>
      <c r="S28" s="248">
        <f>IFERROR(INDEX(TableWRCalcPts[Custom],MATCH(TableWRVORP[[#This Row],[RK]],TableWRCalcPts[RK],0)),"")</f>
        <v>140.30061800932492</v>
      </c>
      <c r="T28" s="249">
        <f>IFERROR((TableWRVORP[[#This Row],[FPS]]-INDEX(TableWRVORP[FPS],MATCH(WRVORPCalc,TableWRVORP[RK],0)))/INDEX(TableWRVORP[FPS],MATCH(WRVORPCalc,TableWRVORP[RK],0)),"")</f>
        <v>0.28748654356593756</v>
      </c>
      <c r="U28" s="246"/>
      <c r="V28" s="246">
        <v>27</v>
      </c>
      <c r="W28" s="247" t="str">
        <f>IFERROR(INDEX(TableTECalcPts[PLAYER],MATCH(TableTEVORP[[#This Row],[RK]],TableTECalcPts[RK],0)),"")</f>
        <v>Tyler Higbee</v>
      </c>
      <c r="X28" s="247" t="str">
        <f>IFERROR(INDEX(TableTECalcPts[TM],MATCH(TableTEVORP[[#This Row],[RK]],TableTECalcPts[RK],0)),"")</f>
        <v>LAR</v>
      </c>
      <c r="Y28" s="247">
        <f>IFERROR(INDEX(TableTECalcPts[BYE],MATCH(TableTEVORP[[#This Row],[RK]],TableTECalcPts[RK],0)),"")</f>
        <v>7</v>
      </c>
      <c r="Z28" s="248">
        <f>IFERROR(INDEX(TableTECalcPts[Custom],MATCH(TableTEVORP[[#This Row],[RK]],TableTECalcPts[RK],0)),"")</f>
        <v>77.95767368469582</v>
      </c>
      <c r="AA28" s="249">
        <f>IFERROR((TableTEVORP[[#This Row],[FPS]]-INDEX(TableTEVORP[FPS],MATCH(TEVORPCalc,TableTEVORP[RK],0)))/INDEX(TableTEVORP[FPS],MATCH(TEVORPCalc,TableTEVORP[RK],0)),"")</f>
        <v>-0.23908391666737586</v>
      </c>
      <c r="AB28" s="246"/>
      <c r="AC28" s="250"/>
      <c r="AD28" s="250"/>
      <c r="AE28" s="250"/>
      <c r="AF28" s="250" t="s">
        <v>9</v>
      </c>
      <c r="AG28" s="250">
        <v>27</v>
      </c>
      <c r="AH28" s="251">
        <f>RANK(TableOverallMaster[[#This Row],[VORP]],TableOverallMaster[VORP])+COUNTIF($AM$2:AM28,AM28)-1</f>
        <v>174</v>
      </c>
      <c r="AI28" s="252" t="str">
        <f>IFERROR(INDEX(TableQBVORP[QUARTERBACK],MATCH(TableOverallMaster[[#This Row],[RK]],TableQBVORP[RK],0)),"")</f>
        <v>Davis Mills</v>
      </c>
      <c r="AJ28" s="252" t="str">
        <f t="shared" si="0"/>
        <v>QB27</v>
      </c>
      <c r="AK28" s="252">
        <f>IFERROR(INDEX(TableQBVORP[BYE],MATCH(TableOverallMaster[[#This Row],[RK]],TableQBVORP[RK],0)),"")</f>
        <v>6</v>
      </c>
      <c r="AL28" s="253">
        <f>IFERROR(INDEX(TableQBVORP[FPS],MATCH(TableOverallMaster[[#This Row],[RK]],TableQBVORP[RK],0)),"")</f>
        <v>238.21543876703646</v>
      </c>
      <c r="AM28" s="254">
        <f>IFERROR(INDEX(TableQBVORP[VORP],MATCH(TableOverallMaster[[#This Row],[RK]],TableQBVORP[RK],0)),"")</f>
        <v>-0.19898588994089006</v>
      </c>
      <c r="AN28" s="250"/>
      <c r="AO28" s="250">
        <v>27</v>
      </c>
      <c r="AP28" s="255" t="str">
        <f>IFERROR(INDEX(TableOverallMaster[OVERALL PLAYER],MATCH(TableOverallRank[[#This Row],[RK]],TableOverallMaster[OVR RK],0)),"")</f>
        <v>Justin Herbert</v>
      </c>
      <c r="AQ28" s="256" t="str">
        <f>IFERROR(INDEX(TableOverallMaster[POS RK],MATCH(TableOverallRank[[#This Row],[OVERALL PLAYER]],TableOverallMaster[OVERALL PLAYER],0)),"")</f>
        <v>QB3</v>
      </c>
      <c r="AR28" s="257">
        <f>IFERROR(INDEX(TableOverallMaster[BYE],MATCH(TableOverallRank[[#This Row],[OVERALL PLAYER]],TableOverallMaster[OVERALL PLAYER],0)),"")</f>
        <v>8</v>
      </c>
      <c r="AS28" s="258">
        <f>IFERROR(INDEX(TableOverallMaster[Custom],MATCH(TableOverallRank[[#This Row],[OVERALL PLAYER]],TableOverallMaster[OVERALL PLAYER],0)),"")</f>
        <v>384.78007617755509</v>
      </c>
      <c r="AT28" s="259">
        <f>IFERROR(INDEX(TableOverallMaster[VORP],MATCH(TableOverallRank[[#This Row],[OVERALL PLAYER]],TableOverallMaster[OVERALL PLAYER],0)),"")</f>
        <v>0.73363807622821087</v>
      </c>
      <c r="AU28" s="250"/>
      <c r="AV28" s="246">
        <v>27</v>
      </c>
      <c r="AW28" s="260" t="str">
        <f>IFERROR(INDEX(TableWRTECalcPts[PLAYER],MATCH(TableWRTERank[[#This Row],[RK]],TableWRTECalcPts[RK],0)),"")</f>
        <v>Brandin Cooks</v>
      </c>
      <c r="AX28" s="260" t="str">
        <f>IFERROR(INDEX(TableWRTECalcPts[POS RK],MATCH(TableWRTERank[[#This Row],[WR and TE COMBINED]],TableWRTECalcPts[PLAYER],0)),"")</f>
        <v>WR24</v>
      </c>
      <c r="AY28" s="260">
        <f>IFERROR(INDEX(TableWRTECalcPts[BYE],MATCH(TableWRTERank[[#This Row],[RK]],TableWRTECalcPts[RK],0)),"")</f>
        <v>6</v>
      </c>
      <c r="AZ28" s="261">
        <f>IFERROR(INDEX(TableWRTECalcPts[Custom],MATCH(TableWRTERank[[#This Row],[RK]],TableWRTECalcPts[RK],0)),"")</f>
        <v>143.01669018608655</v>
      </c>
      <c r="BA28" s="249">
        <f>IFERROR((TableWRTERank[[#This Row],[FPS]]-INDEX(TableWRTERank[FPS],MATCH(WRTEVORPCalc,TableWRTERank[RK],0)))/INDEX(TableWRTERank[FPS],MATCH(WRTEVORPCalc,TableWRTERank[RK],0)),"")</f>
        <v>0.20434949109464345</v>
      </c>
      <c r="BC28" s="124" t="s">
        <v>358</v>
      </c>
      <c r="BD28" s="124">
        <v>27</v>
      </c>
      <c r="BE28" s="262">
        <f>RANK(TableWRTEMaster[[#This Row],[VORP]],TableWRTEMaster[VORP])+COUNTIF($BJ$2:BJ28,BJ28)-1</f>
        <v>30</v>
      </c>
      <c r="BF28" s="263" t="str">
        <f>IFERROR(INDEX(TableWRVORP[WIDE RECEIVER],MATCH(TableWRTEMaster[[#This Row],[RK]],TableWRVORP[RK],0)),"")</f>
        <v>Elijah Moore</v>
      </c>
      <c r="BG28" s="263" t="str">
        <f>_xlfn.CONCAT(TableWRTEMaster[[#This Row],[POS]],TableWRTEMaster[[#This Row],[RK]])</f>
        <v>WR27</v>
      </c>
      <c r="BH28" s="263">
        <f>IFERROR(INDEX(TableWRVORP[BYE],MATCH(TableWRTEMaster[[#This Row],[RK]],TableWRVORP[RK],0)),"")</f>
        <v>10</v>
      </c>
      <c r="BI28" s="264">
        <f>IFERROR(INDEX(TableWRVORP[FPS],MATCH(TableWRTEMaster[[#This Row],[RK]],TableWRVORP[RK],0)),"")</f>
        <v>140.30061800932492</v>
      </c>
      <c r="BJ28" s="254">
        <f>IFERROR(INDEX(TableWRVORP[VORP],MATCH(TableWRTEMaster[[#This Row],[RK]],TableWRVORP[RK],0)),"")</f>
        <v>0.28748654356593756</v>
      </c>
    </row>
    <row r="29" spans="1:62" x14ac:dyDescent="0.3">
      <c r="A29" s="246">
        <v>28</v>
      </c>
      <c r="B29" s="247" t="str">
        <f>IFERROR(INDEX(TableQBCalcPts[PLAYER],MATCH(TableQBVORP[[#This Row],[RK]],TableQBCalcPts[RK],0)),"")</f>
        <v>Kenny Pickett</v>
      </c>
      <c r="C29" s="247" t="str">
        <f>IFERROR(INDEX(TableQBCalcPts[TM],MATCH(TableQBVORP[[#This Row],[RK]],TableQBCalcPts[RK],0)),"")</f>
        <v>PIT</v>
      </c>
      <c r="D29" s="247">
        <f>IFERROR(INDEX(TableQBCalcPts[BYE],MATCH(TableQBVORP[[#This Row],[RK]],TableQBCalcPts[RK],0)),"")</f>
        <v>9</v>
      </c>
      <c r="E29" s="248">
        <f>IFERROR(INDEX(TableQBCalcPts[Custom],MATCH(TableQBVORP[[#This Row],[RK]],TableQBCalcPts[RK],0)),"")</f>
        <v>217.71824887120525</v>
      </c>
      <c r="F29" s="249">
        <f>(IFERROR((TableQBVORP[[#This Row],[FPS]]-INDEX(TableQBVORP[FPS],MATCH(QBVORPCalc,TableQBVORP[RK],0)))/INDEX(TableQBVORP[FPS],MATCH(QBVORPCalc,TableQBVORP[RK],0)),""))+(TableRBVORP[[#This Row],[VORP]]*0.45)</f>
        <v>-0.26557534226313184</v>
      </c>
      <c r="G29" s="246"/>
      <c r="H29" s="246">
        <v>28</v>
      </c>
      <c r="I29" s="247" t="str">
        <f>IFERROR(INDEX(TableRBCalcPts[PLAYER],MATCH(TableRBVORP[[#This Row],[RK]],TableRBCalcPts[RK],0)),"")</f>
        <v>Clyde Edwards-Helaire</v>
      </c>
      <c r="J29" s="247" t="str">
        <f>IFERROR(INDEX(TableRBCalcPts[TM],MATCH(TableRBVORP[[#This Row],[RK]],TableRBCalcPts[RK],0)),"")</f>
        <v>KC</v>
      </c>
      <c r="K29" s="247">
        <f>IFERROR(INDEX(TableRBCalcPts[BYE],MATCH(TableRBVORP[[#This Row],[RK]],TableRBCalcPts[RK],0)),"")</f>
        <v>8</v>
      </c>
      <c r="L29" s="248">
        <f>IFERROR(INDEX(TableRBCalcPts[Custom],MATCH(TableRBVORP[[#This Row],[RK]],TableRBCalcPts[RK],0)),"")</f>
        <v>139.27997244322847</v>
      </c>
      <c r="M29" s="249">
        <f>IFERROR((TableRBVORP[[#This Row],[FPS]]-INDEX(TableRBVORP[FPS],MATCH(RBVORPCalc,TableRBVORP[RK],0)))/INDEX(TableRBVORP[FPS],MATCH(RBVORPCalc,TableRBVORP[RK],0)),"")</f>
        <v>0.37466554646501782</v>
      </c>
      <c r="N29" s="246"/>
      <c r="O29" s="246">
        <v>28</v>
      </c>
      <c r="P29" s="247" t="str">
        <f>IFERROR(INDEX(TableWRCalcPts[PLAYER],MATCH(TableWRVORP[[#This Row],[RK]],TableWRCalcPts[RK],0)),"")</f>
        <v>Courtland Sutton</v>
      </c>
      <c r="Q29" s="247" t="str">
        <f>IFERROR(INDEX(TableWRCalcPts[TM],MATCH(TableWRVORP[[#This Row],[RK]],TableWRCalcPts[RK],0)),"")</f>
        <v>DEN</v>
      </c>
      <c r="R29" s="247">
        <f>IFERROR(INDEX(TableWRCalcPts[BYE],MATCH(TableWRVORP[[#This Row],[RK]],TableWRCalcPts[RK],0)),"")</f>
        <v>9</v>
      </c>
      <c r="S29" s="248">
        <f>IFERROR(INDEX(TableWRCalcPts[Custom],MATCH(TableWRVORP[[#This Row],[RK]],TableWRCalcPts[RK],0)),"")</f>
        <v>138.39974689846576</v>
      </c>
      <c r="T29" s="249">
        <f>IFERROR((TableWRVORP[[#This Row],[FPS]]-INDEX(TableWRVORP[FPS],MATCH(WRVORPCalc,TableWRVORP[RK],0)))/INDEX(TableWRVORP[FPS],MATCH(WRVORPCalc,TableWRVORP[RK],0)),"")</f>
        <v>0.27004295699441055</v>
      </c>
      <c r="U29" s="246"/>
      <c r="V29" s="246">
        <v>28</v>
      </c>
      <c r="W29" s="247" t="str">
        <f>IFERROR(INDEX(TableTECalcPts[PLAYER],MATCH(TableTEVORP[[#This Row],[RK]],TableTECalcPts[RK],0)),"")</f>
        <v>Austin Hooper</v>
      </c>
      <c r="X29" s="247" t="str">
        <f>IFERROR(INDEX(TableTECalcPts[TM],MATCH(TableTEVORP[[#This Row],[RK]],TableTECalcPts[RK],0)),"")</f>
        <v>TEN</v>
      </c>
      <c r="Y29" s="247">
        <f>IFERROR(INDEX(TableTECalcPts[BYE],MATCH(TableTEVORP[[#This Row],[RK]],TableTECalcPts[RK],0)),"")</f>
        <v>6</v>
      </c>
      <c r="Z29" s="248">
        <f>IFERROR(INDEX(TableTECalcPts[Custom],MATCH(TableTEVORP[[#This Row],[RK]],TableTECalcPts[RK],0)),"")</f>
        <v>74.609358572769963</v>
      </c>
      <c r="AA29" s="249">
        <f>IFERROR((TableTEVORP[[#This Row],[FPS]]-INDEX(TableTEVORP[FPS],MATCH(TEVORPCalc,TableTEVORP[RK],0)))/INDEX(TableTEVORP[FPS],MATCH(TEVORPCalc,TableTEVORP[RK],0)),"")</f>
        <v>-0.27176558481251223</v>
      </c>
      <c r="AB29" s="246"/>
      <c r="AC29" s="250"/>
      <c r="AD29" s="250"/>
      <c r="AE29" s="250"/>
      <c r="AF29" s="250" t="s">
        <v>9</v>
      </c>
      <c r="AG29" s="250">
        <v>28</v>
      </c>
      <c r="AH29" s="251">
        <f>RANK(TableOverallMaster[[#This Row],[VORP]],TableOverallMaster[VORP])+COUNTIF($AM$2:AM29,AM29)-1</f>
        <v>190</v>
      </c>
      <c r="AI29" s="252" t="str">
        <f>IFERROR(INDEX(TableQBVORP[QUARTERBACK],MATCH(TableOverallMaster[[#This Row],[RK]],TableQBVORP[RK],0)),"")</f>
        <v>Kenny Pickett</v>
      </c>
      <c r="AJ29" s="252" t="str">
        <f t="shared" si="0"/>
        <v>QB28</v>
      </c>
      <c r="AK29" s="252">
        <f>IFERROR(INDEX(TableQBVORP[BYE],MATCH(TableOverallMaster[[#This Row],[RK]],TableQBVORP[RK],0)),"")</f>
        <v>9</v>
      </c>
      <c r="AL29" s="253">
        <f>IFERROR(INDEX(TableQBVORP[FPS],MATCH(TableOverallMaster[[#This Row],[RK]],TableQBVORP[RK],0)),"")</f>
        <v>217.71824887120525</v>
      </c>
      <c r="AM29" s="254">
        <f>IFERROR(INDEX(TableQBVORP[VORP],MATCH(TableOverallMaster[[#This Row],[RK]],TableQBVORP[RK],0)),"")</f>
        <v>-0.26557534226313184</v>
      </c>
      <c r="AN29" s="250"/>
      <c r="AO29" s="250">
        <v>28</v>
      </c>
      <c r="AP29" s="255" t="str">
        <f>IFERROR(INDEX(TableOverallMaster[OVERALL PLAYER],MATCH(TableOverallRank[[#This Row],[RK]],TableOverallMaster[OVR RK],0)),"")</f>
        <v>Stefon Diggs</v>
      </c>
      <c r="AQ29" s="256" t="str">
        <f>IFERROR(INDEX(TableOverallMaster[POS RK],MATCH(TableOverallRank[[#This Row],[OVERALL PLAYER]],TableOverallMaster[OVERALL PLAYER],0)),"")</f>
        <v>WR5</v>
      </c>
      <c r="AR29" s="257">
        <f>IFERROR(INDEX(TableOverallMaster[BYE],MATCH(TableOverallRank[[#This Row],[OVERALL PLAYER]],TableOverallMaster[OVERALL PLAYER],0)),"")</f>
        <v>7</v>
      </c>
      <c r="AS29" s="258">
        <f>IFERROR(INDEX(TableOverallMaster[Custom],MATCH(TableOverallRank[[#This Row],[OVERALL PLAYER]],TableOverallMaster[OVERALL PLAYER],0)),"")</f>
        <v>187.79224518431042</v>
      </c>
      <c r="AT29" s="259">
        <f>IFERROR(INDEX(TableOverallMaster[VORP],MATCH(TableOverallRank[[#This Row],[OVERALL PLAYER]],TableOverallMaster[OVERALL PLAYER],0)),"")</f>
        <v>0.72329952705386713</v>
      </c>
      <c r="AU29" s="250"/>
      <c r="AV29" s="246">
        <v>28</v>
      </c>
      <c r="AW29" s="260" t="str">
        <f>IFERROR(INDEX(TableWRTECalcPts[PLAYER],MATCH(TableWRTERank[[#This Row],[RK]],TableWRTECalcPts[RK],0)),"")</f>
        <v>DeVonta Smith</v>
      </c>
      <c r="AX29" s="260" t="str">
        <f>IFERROR(INDEX(TableWRTECalcPts[POS RK],MATCH(TableWRTERank[[#This Row],[WR and TE COMBINED]],TableWRTECalcPts[PLAYER],0)),"")</f>
        <v>WR25</v>
      </c>
      <c r="AY29" s="260">
        <f>IFERROR(INDEX(TableWRTECalcPts[BYE],MATCH(TableWRTERank[[#This Row],[RK]],TableWRTECalcPts[RK],0)),"")</f>
        <v>7</v>
      </c>
      <c r="AZ29" s="261">
        <f>IFERROR(INDEX(TableWRTECalcPts[Custom],MATCH(TableWRTERank[[#This Row],[RK]],TableWRTECalcPts[RK],0)),"")</f>
        <v>141.82410304289172</v>
      </c>
      <c r="BA29" s="249">
        <f>IFERROR((TableWRTERank[[#This Row],[FPS]]-INDEX(TableWRTERank[FPS],MATCH(WRTEVORPCalc,TableWRTERank[RK],0)))/INDEX(TableWRTERank[FPS],MATCH(WRTEVORPCalc,TableWRTERank[RK],0)),"")</f>
        <v>0.19430666520401579</v>
      </c>
      <c r="BC29" s="124" t="s">
        <v>358</v>
      </c>
      <c r="BD29" s="124">
        <v>28</v>
      </c>
      <c r="BE29" s="262">
        <f>RANK(TableWRTEMaster[[#This Row],[VORP]],TableWRTEMaster[VORP])+COUNTIF($BJ$2:BJ29,BJ29)-1</f>
        <v>32</v>
      </c>
      <c r="BF29" s="263" t="str">
        <f>IFERROR(INDEX(TableWRVORP[WIDE RECEIVER],MATCH(TableWRTEMaster[[#This Row],[RK]],TableWRVORP[RK],0)),"")</f>
        <v>Courtland Sutton</v>
      </c>
      <c r="BG29" s="263" t="str">
        <f>_xlfn.CONCAT(TableWRTEMaster[[#This Row],[POS]],TableWRTEMaster[[#This Row],[RK]])</f>
        <v>WR28</v>
      </c>
      <c r="BH29" s="263">
        <f>IFERROR(INDEX(TableWRVORP[BYE],MATCH(TableWRTEMaster[[#This Row],[RK]],TableWRVORP[RK],0)),"")</f>
        <v>9</v>
      </c>
      <c r="BI29" s="264">
        <f>IFERROR(INDEX(TableWRVORP[FPS],MATCH(TableWRTEMaster[[#This Row],[RK]],TableWRVORP[RK],0)),"")</f>
        <v>138.39974689846576</v>
      </c>
      <c r="BJ29" s="254">
        <f>IFERROR(INDEX(TableWRVORP[VORP],MATCH(TableWRTEMaster[[#This Row],[RK]],TableWRVORP[RK],0)),"")</f>
        <v>0.27004295699441055</v>
      </c>
    </row>
    <row r="30" spans="1:62" x14ac:dyDescent="0.3">
      <c r="A30" s="246">
        <v>29</v>
      </c>
      <c r="B30" s="247" t="str">
        <f>IFERROR(INDEX(TableQBCalcPts[PLAYER],MATCH(TableQBVORP[[#This Row],[RK]],TableQBCalcPts[RK],0)),"")</f>
        <v>Deshaun Watson</v>
      </c>
      <c r="C30" s="247" t="str">
        <f>IFERROR(INDEX(TableQBCalcPts[TM],MATCH(TableQBVORP[[#This Row],[RK]],TableQBCalcPts[RK],0)),"")</f>
        <v>CLE</v>
      </c>
      <c r="D30" s="247">
        <f>IFERROR(INDEX(TableQBCalcPts[BYE],MATCH(TableQBVORP[[#This Row],[RK]],TableQBCalcPts[RK],0)),"")</f>
        <v>9</v>
      </c>
      <c r="E30" s="248">
        <f>IFERROR(INDEX(TableQBCalcPts[Custom],MATCH(TableQBVORP[[#This Row],[RK]],TableQBCalcPts[RK],0)),"")</f>
        <v>211.65472751779441</v>
      </c>
      <c r="F30" s="249">
        <f>(IFERROR((TableQBVORP[[#This Row],[FPS]]-INDEX(TableQBVORP[FPS],MATCH(QBVORPCalc,TableQBVORP[RK],0)))/INDEX(TableQBVORP[FPS],MATCH(QBVORPCalc,TableQBVORP[RK],0)),""))+(TableRBVORP[[#This Row],[VORP]]*0.45)</f>
        <v>-0.28855126471842585</v>
      </c>
      <c r="G30" s="246"/>
      <c r="H30" s="246">
        <v>29</v>
      </c>
      <c r="I30" s="247" t="str">
        <f>IFERROR(INDEX(TableRBCalcPts[PLAYER],MATCH(TableRBVORP[[#This Row],[RK]],TableRBCalcPts[RK],0)),"")</f>
        <v>Tony Pollard</v>
      </c>
      <c r="J30" s="247" t="str">
        <f>IFERROR(INDEX(TableRBCalcPts[TM],MATCH(TableRBVORP[[#This Row],[RK]],TableRBCalcPts[RK],0)),"")</f>
        <v>DAL</v>
      </c>
      <c r="K30" s="247">
        <f>IFERROR(INDEX(TableRBCalcPts[BYE],MATCH(TableRBVORP[[#This Row],[RK]],TableRBCalcPts[RK],0)),"")</f>
        <v>9</v>
      </c>
      <c r="L30" s="248">
        <f>IFERROR(INDEX(TableRBCalcPts[Custom],MATCH(TableRBVORP[[#This Row],[RK]],TableRBCalcPts[RK],0)),"")</f>
        <v>137.65492223051754</v>
      </c>
      <c r="M30" s="249">
        <f>IFERROR((TableRBVORP[[#This Row],[FPS]]-INDEX(TableRBVORP[FPS],MATCH(RBVORPCalc,TableRBVORP[RK],0)))/INDEX(TableRBVORP[FPS],MATCH(RBVORPCalc,TableRBVORP[RK],0)),"")</f>
        <v>0.3586266250070177</v>
      </c>
      <c r="N30" s="246"/>
      <c r="O30" s="246">
        <v>29</v>
      </c>
      <c r="P30" s="247" t="str">
        <f>IFERROR(INDEX(TableWRCalcPts[PLAYER],MATCH(TableWRVORP[[#This Row],[RK]],TableWRCalcPts[RK],0)),"")</f>
        <v>Tyler Lockett</v>
      </c>
      <c r="Q30" s="247" t="str">
        <f>IFERROR(INDEX(TableWRCalcPts[TM],MATCH(TableWRVORP[[#This Row],[RK]],TableWRCalcPts[RK],0)),"")</f>
        <v>SEA</v>
      </c>
      <c r="R30" s="247">
        <f>IFERROR(INDEX(TableWRCalcPts[BYE],MATCH(TableWRVORP[[#This Row],[RK]],TableWRCalcPts[RK],0)),"")</f>
        <v>11</v>
      </c>
      <c r="S30" s="248">
        <f>IFERROR(INDEX(TableWRCalcPts[Custom],MATCH(TableWRVORP[[#This Row],[RK]],TableWRCalcPts[RK],0)),"")</f>
        <v>135.85216520741739</v>
      </c>
      <c r="T30" s="249">
        <f>IFERROR((TableWRVORP[[#This Row],[FPS]]-INDEX(TableWRVORP[FPS],MATCH(WRVORPCalc,TableWRVORP[RK],0)))/INDEX(TableWRVORP[FPS],MATCH(WRVORPCalc,TableWRVORP[RK],0)),"")</f>
        <v>0.2466647481711127</v>
      </c>
      <c r="U30" s="246"/>
      <c r="V30" s="246">
        <v>29</v>
      </c>
      <c r="W30" s="247" t="str">
        <f>IFERROR(INDEX(TableTECalcPts[PLAYER],MATCH(TableTEVORP[[#This Row],[RK]],TableTECalcPts[RK],0)),"")</f>
        <v>C.J. Uzomah</v>
      </c>
      <c r="X30" s="247" t="str">
        <f>IFERROR(INDEX(TableTECalcPts[TM],MATCH(TableTEVORP[[#This Row],[RK]],TableTECalcPts[RK],0)),"")</f>
        <v>NYJ</v>
      </c>
      <c r="Y30" s="247">
        <f>IFERROR(INDEX(TableTECalcPts[BYE],MATCH(TableTEVORP[[#This Row],[RK]],TableTECalcPts[RK],0)),"")</f>
        <v>10</v>
      </c>
      <c r="Z30" s="248">
        <f>IFERROR(INDEX(TableTECalcPts[Custom],MATCH(TableTEVORP[[#This Row],[RK]],TableTECalcPts[RK],0)),"")</f>
        <v>65.233312093704654</v>
      </c>
      <c r="AA30" s="249">
        <f>IFERROR((TableTEVORP[[#This Row],[FPS]]-INDEX(TableTEVORP[FPS],MATCH(TEVORPCalc,TableTEVORP[RK],0)))/INDEX(TableTEVORP[FPS],MATCH(TEVORPCalc,TableTEVORP[RK],0)),"")</f>
        <v>-0.36328171435801965</v>
      </c>
      <c r="AB30" s="246"/>
      <c r="AC30" s="250"/>
      <c r="AD30" s="250"/>
      <c r="AE30" s="250"/>
      <c r="AF30" s="250" t="s">
        <v>9</v>
      </c>
      <c r="AG30" s="250">
        <v>29</v>
      </c>
      <c r="AH30" s="251">
        <f>RANK(TableOverallMaster[[#This Row],[VORP]],TableOverallMaster[VORP])+COUNTIF($AM$2:AM30,AM30)-1</f>
        <v>193</v>
      </c>
      <c r="AI30" s="252" t="str">
        <f>IFERROR(INDEX(TableQBVORP[QUARTERBACK],MATCH(TableOverallMaster[[#This Row],[RK]],TableQBVORP[RK],0)),"")</f>
        <v>Deshaun Watson</v>
      </c>
      <c r="AJ30" s="252" t="str">
        <f t="shared" si="0"/>
        <v>QB29</v>
      </c>
      <c r="AK30" s="252">
        <f>IFERROR(INDEX(TableQBVORP[BYE],MATCH(TableOverallMaster[[#This Row],[RK]],TableQBVORP[RK],0)),"")</f>
        <v>9</v>
      </c>
      <c r="AL30" s="253">
        <f>IFERROR(INDEX(TableQBVORP[FPS],MATCH(TableOverallMaster[[#This Row],[RK]],TableQBVORP[RK],0)),"")</f>
        <v>211.65472751779441</v>
      </c>
      <c r="AM30" s="254">
        <f>IFERROR(INDEX(TableQBVORP[VORP],MATCH(TableOverallMaster[[#This Row],[RK]],TableQBVORP[RK],0)),"")</f>
        <v>-0.28855126471842585</v>
      </c>
      <c r="AN30" s="250"/>
      <c r="AO30" s="250">
        <v>29</v>
      </c>
      <c r="AP30" s="255" t="str">
        <f>IFERROR(INDEX(TableOverallMaster[OVERALL PLAYER],MATCH(TableOverallRank[[#This Row],[RK]],TableOverallMaster[OVR RK],0)),"")</f>
        <v>Davante Adams</v>
      </c>
      <c r="AQ30" s="256" t="str">
        <f>IFERROR(INDEX(TableOverallMaster[POS RK],MATCH(TableOverallRank[[#This Row],[OVERALL PLAYER]],TableOverallMaster[OVERALL PLAYER],0)),"")</f>
        <v>WR6</v>
      </c>
      <c r="AR30" s="257">
        <f>IFERROR(INDEX(TableOverallMaster[BYE],MATCH(TableOverallRank[[#This Row],[OVERALL PLAYER]],TableOverallMaster[OVERALL PLAYER],0)),"")</f>
        <v>6</v>
      </c>
      <c r="AS30" s="258">
        <f>IFERROR(INDEX(TableOverallMaster[Custom],MATCH(TableOverallRank[[#This Row],[OVERALL PLAYER]],TableOverallMaster[OVERALL PLAYER],0)),"")</f>
        <v>186.68481728142513</v>
      </c>
      <c r="AT30" s="259">
        <f>IFERROR(INDEX(TableOverallMaster[VORP],MATCH(TableOverallRank[[#This Row],[OVERALL PLAYER]],TableOverallMaster[OVERALL PLAYER],0)),"")</f>
        <v>0.71313707343702348</v>
      </c>
      <c r="AU30" s="250"/>
      <c r="AV30" s="246">
        <v>29</v>
      </c>
      <c r="AW30" s="260" t="str">
        <f>IFERROR(INDEX(TableWRTECalcPts[PLAYER],MATCH(TableWRTERank[[#This Row],[RK]],TableWRTECalcPts[RK],0)),"")</f>
        <v>JuJu Smith-Schuster</v>
      </c>
      <c r="AX30" s="260" t="str">
        <f>IFERROR(INDEX(TableWRTECalcPts[POS RK],MATCH(TableWRTERank[[#This Row],[WR and TE COMBINED]],TableWRTECalcPts[PLAYER],0)),"")</f>
        <v>WR26</v>
      </c>
      <c r="AY30" s="260">
        <f>IFERROR(INDEX(TableWRTECalcPts[BYE],MATCH(TableWRTERank[[#This Row],[RK]],TableWRTECalcPts[RK],0)),"")</f>
        <v>8</v>
      </c>
      <c r="AZ30" s="261">
        <f>IFERROR(INDEX(TableWRTECalcPts[Custom],MATCH(TableWRTERank[[#This Row],[RK]],TableWRTECalcPts[RK],0)),"")</f>
        <v>141.77739977868507</v>
      </c>
      <c r="BA30" s="249">
        <f>IFERROR((TableWRTERank[[#This Row],[FPS]]-INDEX(TableWRTERank[FPS],MATCH(WRTEVORPCalc,TableWRTERank[RK],0)))/INDEX(TableWRTERank[FPS],MATCH(WRTEVORPCalc,TableWRTERank[RK],0)),"")</f>
        <v>0.19391337507538425</v>
      </c>
      <c r="BC30" s="124" t="s">
        <v>358</v>
      </c>
      <c r="BD30" s="124">
        <v>29</v>
      </c>
      <c r="BE30" s="262">
        <f>RANK(TableWRTEMaster[[#This Row],[VORP]],TableWRTEMaster[VORP])+COUNTIF($BJ$2:BJ30,BJ30)-1</f>
        <v>33</v>
      </c>
      <c r="BF30" s="263" t="str">
        <f>IFERROR(INDEX(TableWRVORP[WIDE RECEIVER],MATCH(TableWRTEMaster[[#This Row],[RK]],TableWRVORP[RK],0)),"")</f>
        <v>Tyler Lockett</v>
      </c>
      <c r="BG30" s="263" t="str">
        <f>_xlfn.CONCAT(TableWRTEMaster[[#This Row],[POS]],TableWRTEMaster[[#This Row],[RK]])</f>
        <v>WR29</v>
      </c>
      <c r="BH30" s="263">
        <f>IFERROR(INDEX(TableWRVORP[BYE],MATCH(TableWRTEMaster[[#This Row],[RK]],TableWRVORP[RK],0)),"")</f>
        <v>11</v>
      </c>
      <c r="BI30" s="264">
        <f>IFERROR(INDEX(TableWRVORP[FPS],MATCH(TableWRTEMaster[[#This Row],[RK]],TableWRVORP[RK],0)),"")</f>
        <v>135.85216520741739</v>
      </c>
      <c r="BJ30" s="254">
        <f>IFERROR(INDEX(TableWRVORP[VORP],MATCH(TableWRTEMaster[[#This Row],[RK]],TableWRVORP[RK],0)),"")</f>
        <v>0.2466647481711127</v>
      </c>
    </row>
    <row r="31" spans="1:62" x14ac:dyDescent="0.3">
      <c r="A31" s="246">
        <v>30</v>
      </c>
      <c r="B31" s="247" t="str">
        <f>IFERROR(INDEX(TableQBCalcPts[PLAYER],MATCH(TableQBVORP[[#This Row],[RK]],TableQBCalcPts[RK],0)),"")</f>
        <v>Marcus Mariota</v>
      </c>
      <c r="C31" s="247" t="str">
        <f>IFERROR(INDEX(TableQBCalcPts[TM],MATCH(TableQBVORP[[#This Row],[RK]],TableQBCalcPts[RK],0)),"")</f>
        <v>ATL</v>
      </c>
      <c r="D31" s="247">
        <f>IFERROR(INDEX(TableQBCalcPts[BYE],MATCH(TableQBVORP[[#This Row],[RK]],TableQBCalcPts[RK],0)),"")</f>
        <v>14</v>
      </c>
      <c r="E31" s="248">
        <f>IFERROR(INDEX(TableQBCalcPts[Custom],MATCH(TableQBVORP[[#This Row],[RK]],TableQBCalcPts[RK],0)),"")</f>
        <v>209.13869454613715</v>
      </c>
      <c r="F31" s="249">
        <f>(IFERROR((TableQBVORP[[#This Row],[FPS]]-INDEX(TableQBVORP[FPS],MATCH(QBVORPCalc,TableQBVORP[RK],0)))/INDEX(TableQBVORP[FPS],MATCH(QBVORPCalc,TableQBVORP[RK],0)),""))+(TableRBVORP[[#This Row],[VORP]]*0.45)</f>
        <v>-0.30239221359908852</v>
      </c>
      <c r="G31" s="246"/>
      <c r="H31" s="246">
        <v>30</v>
      </c>
      <c r="I31" s="247" t="str">
        <f>IFERROR(INDEX(TableRBCalcPts[PLAYER],MATCH(TableRBVORP[[#This Row],[RK]],TableRBCalcPts[RK],0)),"")</f>
        <v>Cordarrelle Patterson</v>
      </c>
      <c r="J31" s="247" t="str">
        <f>IFERROR(INDEX(TableRBCalcPts[TM],MATCH(TableRBVORP[[#This Row],[RK]],TableRBCalcPts[RK],0)),"")</f>
        <v>ATL</v>
      </c>
      <c r="K31" s="247">
        <f>IFERROR(INDEX(TableRBCalcPts[BYE],MATCH(TableRBVORP[[#This Row],[RK]],TableRBCalcPts[RK],0)),"")</f>
        <v>14</v>
      </c>
      <c r="L31" s="248">
        <f>IFERROR(INDEX(TableRBCalcPts[Custom],MATCH(TableRBVORP[[#This Row],[RK]],TableRBCalcPts[RK],0)),"")</f>
        <v>136.0108356235321</v>
      </c>
      <c r="M31" s="249">
        <f>IFERROR((TableRBVORP[[#This Row],[FPS]]-INDEX(TableRBVORP[FPS],MATCH(RBVORPCalc,TableRBVORP[RK],0)))/INDEX(TableRBVORP[FPS],MATCH(RBVORPCalc,TableRBVORP[RK],0)),"")</f>
        <v>0.34239981813463211</v>
      </c>
      <c r="N31" s="246"/>
      <c r="O31" s="246">
        <v>30</v>
      </c>
      <c r="P31" s="247" t="str">
        <f>IFERROR(INDEX(TableWRCalcPts[PLAYER],MATCH(TableWRVORP[[#This Row],[RK]],TableWRCalcPts[RK],0)),"")</f>
        <v>Jerry Jeudy</v>
      </c>
      <c r="Q31" s="247" t="str">
        <f>IFERROR(INDEX(TableWRCalcPts[TM],MATCH(TableWRVORP[[#This Row],[RK]],TableWRCalcPts[RK],0)),"")</f>
        <v>DEN</v>
      </c>
      <c r="R31" s="247">
        <f>IFERROR(INDEX(TableWRCalcPts[BYE],MATCH(TableWRVORP[[#This Row],[RK]],TableWRCalcPts[RK],0)),"")</f>
        <v>9</v>
      </c>
      <c r="S31" s="248">
        <f>IFERROR(INDEX(TableWRCalcPts[Custom],MATCH(TableWRVORP[[#This Row],[RK]],TableWRCalcPts[RK],0)),"")</f>
        <v>135.36511278671432</v>
      </c>
      <c r="T31" s="249">
        <f>IFERROR((TableWRVORP[[#This Row],[FPS]]-INDEX(TableWRVORP[FPS],MATCH(WRVORPCalc,TableWRVORP[RK],0)))/INDEX(TableWRVORP[FPS],MATCH(WRVORPCalc,TableWRVORP[RK],0)),"")</f>
        <v>0.2421952494150578</v>
      </c>
      <c r="U31" s="246"/>
      <c r="V31" s="246">
        <v>30</v>
      </c>
      <c r="W31" s="247" t="str">
        <f>IFERROR(INDEX(TableTECalcPts[PLAYER],MATCH(TableTEVORP[[#This Row],[RK]],TableTECalcPts[RK],0)),"")</f>
        <v>Dan Arnold</v>
      </c>
      <c r="X31" s="247" t="str">
        <f>IFERROR(INDEX(TableTECalcPts[TM],MATCH(TableTEVORP[[#This Row],[RK]],TableTECalcPts[RK],0)),"")</f>
        <v>JAX</v>
      </c>
      <c r="Y31" s="247">
        <f>IFERROR(INDEX(TableTECalcPts[BYE],MATCH(TableTEVORP[[#This Row],[RK]],TableTECalcPts[RK],0)),"")</f>
        <v>11</v>
      </c>
      <c r="Z31" s="248">
        <f>IFERROR(INDEX(TableTECalcPts[Custom],MATCH(TableTEVORP[[#This Row],[RK]],TableTECalcPts[RK],0)),"")</f>
        <v>54.026711510678737</v>
      </c>
      <c r="AA31" s="249">
        <f>IFERROR((TableTEVORP[[#This Row],[FPS]]-INDEX(TableTEVORP[FPS],MATCH(TEVORPCalc,TableTEVORP[RK],0)))/INDEX(TableTEVORP[FPS],MATCH(TEVORPCalc,TableTEVORP[RK],0)),"")</f>
        <v>-0.47266520696451086</v>
      </c>
      <c r="AB31" s="246"/>
      <c r="AC31" s="250"/>
      <c r="AD31" s="250"/>
      <c r="AE31" s="250"/>
      <c r="AF31" s="250" t="s">
        <v>9</v>
      </c>
      <c r="AG31" s="250">
        <v>30</v>
      </c>
      <c r="AH31" s="251">
        <f>RANK(TableOverallMaster[[#This Row],[VORP]],TableOverallMaster[VORP])+COUNTIF($AM$2:AM31,AM31)-1</f>
        <v>195</v>
      </c>
      <c r="AI31" s="252" t="str">
        <f>IFERROR(INDEX(TableQBVORP[QUARTERBACK],MATCH(TableOverallMaster[[#This Row],[RK]],TableQBVORP[RK],0)),"")</f>
        <v>Marcus Mariota</v>
      </c>
      <c r="AJ31" s="252" t="str">
        <f t="shared" si="0"/>
        <v>QB30</v>
      </c>
      <c r="AK31" s="252">
        <f>IFERROR(INDEX(TableQBVORP[BYE],MATCH(TableOverallMaster[[#This Row],[RK]],TableQBVORP[RK],0)),"")</f>
        <v>14</v>
      </c>
      <c r="AL31" s="253">
        <f>IFERROR(INDEX(TableQBVORP[FPS],MATCH(TableOverallMaster[[#This Row],[RK]],TableQBVORP[RK],0)),"")</f>
        <v>209.13869454613715</v>
      </c>
      <c r="AM31" s="254">
        <f>IFERROR(INDEX(TableQBVORP[VORP],MATCH(TableOverallMaster[[#This Row],[RK]],TableQBVORP[RK],0)),"")</f>
        <v>-0.30239221359908852</v>
      </c>
      <c r="AN31" s="250"/>
      <c r="AO31" s="250">
        <v>30</v>
      </c>
      <c r="AP31" s="255" t="str">
        <f>IFERROR(INDEX(TableOverallMaster[OVERALL PLAYER],MATCH(TableOverallRank[[#This Row],[RK]],TableOverallMaster[OVR RK],0)),"")</f>
        <v>Damien Harris</v>
      </c>
      <c r="AQ31" s="256" t="str">
        <f>IFERROR(INDEX(TableOverallMaster[POS RK],MATCH(TableOverallRank[[#This Row],[OVERALL PLAYER]],TableOverallMaster[OVERALL PLAYER],0)),"")</f>
        <v>RB21</v>
      </c>
      <c r="AR31" s="257">
        <f>IFERROR(INDEX(TableOverallMaster[BYE],MATCH(TableOverallRank[[#This Row],[OVERALL PLAYER]],TableOverallMaster[OVERALL PLAYER],0)),"")</f>
        <v>10</v>
      </c>
      <c r="AS31" s="258">
        <f>IFERROR(INDEX(TableOverallMaster[Custom],MATCH(TableOverallRank[[#This Row],[OVERALL PLAYER]],TableOverallMaster[OVERALL PLAYER],0)),"")</f>
        <v>172.68702648572901</v>
      </c>
      <c r="AT31" s="259">
        <f>IFERROR(INDEX(TableOverallMaster[VORP],MATCH(TableOverallRank[[#This Row],[OVERALL PLAYER]],TableOverallMaster[OVERALL PLAYER],0)),"")</f>
        <v>0.70438650630968713</v>
      </c>
      <c r="AU31" s="250"/>
      <c r="AV31" s="246">
        <v>30</v>
      </c>
      <c r="AW31" s="260" t="str">
        <f>IFERROR(INDEX(TableWRTECalcPts[PLAYER],MATCH(TableWRTERank[[#This Row],[RK]],TableWRTECalcPts[RK],0)),"")</f>
        <v>Elijah Moore</v>
      </c>
      <c r="AX31" s="260" t="str">
        <f>IFERROR(INDEX(TableWRTECalcPts[POS RK],MATCH(TableWRTERank[[#This Row],[WR and TE COMBINED]],TableWRTECalcPts[PLAYER],0)),"")</f>
        <v>WR27</v>
      </c>
      <c r="AY31" s="260">
        <f>IFERROR(INDEX(TableWRTECalcPts[BYE],MATCH(TableWRTERank[[#This Row],[RK]],TableWRTECalcPts[RK],0)),"")</f>
        <v>10</v>
      </c>
      <c r="AZ31" s="261">
        <f>IFERROR(INDEX(TableWRTECalcPts[Custom],MATCH(TableWRTERank[[#This Row],[RK]],TableWRTECalcPts[RK],0)),"")</f>
        <v>140.30061800932492</v>
      </c>
      <c r="BA31" s="249">
        <f>IFERROR((TableWRTERank[[#This Row],[FPS]]-INDEX(TableWRTERank[FPS],MATCH(WRTEVORPCalc,TableWRTERank[RK],0)))/INDEX(TableWRTERank[FPS],MATCH(WRTEVORPCalc,TableWRTERank[RK],0)),"")</f>
        <v>0.18147733442815239</v>
      </c>
      <c r="BC31" s="124" t="s">
        <v>358</v>
      </c>
      <c r="BD31" s="124">
        <v>30</v>
      </c>
      <c r="BE31" s="262">
        <f>RANK(TableWRTEMaster[[#This Row],[VORP]],TableWRTEMaster[VORP])+COUNTIF($BJ$2:BJ31,BJ31)-1</f>
        <v>34</v>
      </c>
      <c r="BF31" s="263" t="str">
        <f>IFERROR(INDEX(TableWRVORP[WIDE RECEIVER],MATCH(TableWRTEMaster[[#This Row],[RK]],TableWRVORP[RK],0)),"")</f>
        <v>Jerry Jeudy</v>
      </c>
      <c r="BG31" s="263" t="str">
        <f>_xlfn.CONCAT(TableWRTEMaster[[#This Row],[POS]],TableWRTEMaster[[#This Row],[RK]])</f>
        <v>WR30</v>
      </c>
      <c r="BH31" s="263">
        <f>IFERROR(INDEX(TableWRVORP[BYE],MATCH(TableWRTEMaster[[#This Row],[RK]],TableWRVORP[RK],0)),"")</f>
        <v>9</v>
      </c>
      <c r="BI31" s="264">
        <f>IFERROR(INDEX(TableWRVORP[FPS],MATCH(TableWRTEMaster[[#This Row],[RK]],TableWRVORP[RK],0)),"")</f>
        <v>135.36511278671432</v>
      </c>
      <c r="BJ31" s="254">
        <f>IFERROR(INDEX(TableWRVORP[VORP],MATCH(TableWRTEMaster[[#This Row],[RK]],TableWRVORP[RK],0)),"")</f>
        <v>0.2421952494150578</v>
      </c>
    </row>
    <row r="32" spans="1:62" x14ac:dyDescent="0.3">
      <c r="A32" s="246">
        <v>31</v>
      </c>
      <c r="B32" s="247" t="str">
        <f>IFERROR(INDEX(TableQBCalcPts[PLAYER],MATCH(TableQBVORP[[#This Row],[RK]],TableQBCalcPts[RK],0)),"")</f>
        <v>Sam Darnold</v>
      </c>
      <c r="C32" s="247" t="str">
        <f>IFERROR(INDEX(TableQBCalcPts[TM],MATCH(TableQBVORP[[#This Row],[RK]],TableQBCalcPts[RK],0)),"")</f>
        <v>CAR</v>
      </c>
      <c r="D32" s="247">
        <f>IFERROR(INDEX(TableQBCalcPts[BYE],MATCH(TableQBVORP[[#This Row],[RK]],TableQBCalcPts[RK],0)),"")</f>
        <v>13</v>
      </c>
      <c r="E32" s="248">
        <f>IFERROR(INDEX(TableQBCalcPts[Custom],MATCH(TableQBVORP[[#This Row],[RK]],TableQBCalcPts[RK],0)),"")</f>
        <v>182.36501795271968</v>
      </c>
      <c r="F32" s="249">
        <f>(IFERROR((TableQBVORP[[#This Row],[FPS]]-INDEX(TableQBVORP[FPS],MATCH(QBVORPCalc,TableQBVORP[RK],0)))/INDEX(TableQBVORP[FPS],MATCH(QBVORPCalc,TableQBVORP[RK],0)),""))+(TableRBVORP[[#This Row],[VORP]]*0.45)</f>
        <v>-0.37651687636178222</v>
      </c>
      <c r="G32" s="246"/>
      <c r="H32" s="246">
        <v>31</v>
      </c>
      <c r="I32" s="247" t="str">
        <f>IFERROR(INDEX(TableRBCalcPts[PLAYER],MATCH(TableRBVORP[[#This Row],[RK]],TableRBCalcPts[RK],0)),"")</f>
        <v>Devin Singletary</v>
      </c>
      <c r="J32" s="247" t="str">
        <f>IFERROR(INDEX(TableRBCalcPts[TM],MATCH(TableRBVORP[[#This Row],[RK]],TableRBCalcPts[RK],0)),"")</f>
        <v>BUF</v>
      </c>
      <c r="K32" s="247">
        <f>IFERROR(INDEX(TableRBCalcPts[BYE],MATCH(TableRBVORP[[#This Row],[RK]],TableRBCalcPts[RK],0)),"")</f>
        <v>7</v>
      </c>
      <c r="L32" s="248">
        <f>IFERROR(INDEX(TableRBCalcPts[Custom],MATCH(TableRBVORP[[#This Row],[RK]],TableRBCalcPts[RK],0)),"")</f>
        <v>134.98798518855412</v>
      </c>
      <c r="M32" s="249">
        <f>IFERROR((TableRBVORP[[#This Row],[FPS]]-INDEX(TableRBVORP[FPS],MATCH(RBVORPCalc,TableRBVORP[RK],0)))/INDEX(TableRBVORP[FPS],MATCH(RBVORPCalc,TableRBVORP[RK],0)),"")</f>
        <v>0.33230448836477505</v>
      </c>
      <c r="N32" s="246"/>
      <c r="O32" s="246">
        <v>31</v>
      </c>
      <c r="P32" s="247" t="str">
        <f>IFERROR(INDEX(TableWRCalcPts[PLAYER],MATCH(TableWRVORP[[#This Row],[RK]],TableWRCalcPts[RK],0)),"")</f>
        <v>Allen Lazard</v>
      </c>
      <c r="Q32" s="247" t="str">
        <f>IFERROR(INDEX(TableWRCalcPts[TM],MATCH(TableWRVORP[[#This Row],[RK]],TableWRCalcPts[RK],0)),"")</f>
        <v>GB</v>
      </c>
      <c r="R32" s="247">
        <f>IFERROR(INDEX(TableWRCalcPts[BYE],MATCH(TableWRVORP[[#This Row],[RK]],TableWRCalcPts[RK],0)),"")</f>
        <v>14</v>
      </c>
      <c r="S32" s="248">
        <f>IFERROR(INDEX(TableWRCalcPts[Custom],MATCH(TableWRVORP[[#This Row],[RK]],TableWRCalcPts[RK],0)),"")</f>
        <v>134.96304503309676</v>
      </c>
      <c r="T32" s="249">
        <f>IFERROR((TableWRVORP[[#This Row],[FPS]]-INDEX(TableWRVORP[FPS],MATCH(WRVORPCalc,TableWRVORP[RK],0)))/INDEX(TableWRVORP[FPS],MATCH(WRVORPCalc,TableWRVORP[RK],0)),"")</f>
        <v>0.23850562331269817</v>
      </c>
      <c r="U32" s="246"/>
      <c r="V32" s="246">
        <v>31</v>
      </c>
      <c r="W32" s="247" t="str">
        <f>IFERROR(INDEX(TableTECalcPts[PLAYER],MATCH(TableTEVORP[[#This Row],[RK]],TableTECalcPts[RK],0)),"")</f>
        <v>Tommy Tremble</v>
      </c>
      <c r="X32" s="247" t="str">
        <f>IFERROR(INDEX(TableTECalcPts[TM],MATCH(TableTEVORP[[#This Row],[RK]],TableTECalcPts[RK],0)),"")</f>
        <v>CAR</v>
      </c>
      <c r="Y32" s="247">
        <f>IFERROR(INDEX(TableTECalcPts[BYE],MATCH(TableTEVORP[[#This Row],[RK]],TableTECalcPts[RK],0)),"")</f>
        <v>13</v>
      </c>
      <c r="Z32" s="248">
        <f>IFERROR(INDEX(TableTECalcPts[Custom],MATCH(TableTEVORP[[#This Row],[RK]],TableTECalcPts[RK],0)),"")</f>
        <v>50.482570632097605</v>
      </c>
      <c r="AA32" s="249">
        <f>IFERROR((TableTEVORP[[#This Row],[FPS]]-INDEX(TableTEVORP[FPS],MATCH(TEVORPCalc,TableTEVORP[RK],0)))/INDEX(TableTEVORP[FPS],MATCH(TEVORPCalc,TableTEVORP[RK],0)),"")</f>
        <v>-0.50725825815041892</v>
      </c>
      <c r="AB32" s="246"/>
      <c r="AC32" s="250"/>
      <c r="AD32" s="250"/>
      <c r="AE32" s="250"/>
      <c r="AF32" s="250" t="s">
        <v>9</v>
      </c>
      <c r="AG32" s="250">
        <v>31</v>
      </c>
      <c r="AH32" s="251">
        <f>RANK(TableOverallMaster[[#This Row],[VORP]],TableOverallMaster[VORP])+COUNTIF($AM$2:AM32,AM32)-1</f>
        <v>206</v>
      </c>
      <c r="AI32" s="252" t="str">
        <f>IFERROR(INDEX(TableQBVORP[QUARTERBACK],MATCH(TableOverallMaster[[#This Row],[RK]],TableQBVORP[RK],0)),"")</f>
        <v>Sam Darnold</v>
      </c>
      <c r="AJ32" s="252" t="str">
        <f t="shared" si="0"/>
        <v>QB31</v>
      </c>
      <c r="AK32" s="252">
        <f>IFERROR(INDEX(TableQBVORP[BYE],MATCH(TableOverallMaster[[#This Row],[RK]],TableQBVORP[RK],0)),"")</f>
        <v>13</v>
      </c>
      <c r="AL32" s="253">
        <f>IFERROR(INDEX(TableQBVORP[FPS],MATCH(TableOverallMaster[[#This Row],[RK]],TableQBVORP[RK],0)),"")</f>
        <v>182.36501795271968</v>
      </c>
      <c r="AM32" s="254">
        <f>IFERROR(INDEX(TableQBVORP[VORP],MATCH(TableOverallMaster[[#This Row],[RK]],TableQBVORP[RK],0)),"")</f>
        <v>-0.37651687636178222</v>
      </c>
      <c r="AN32" s="250"/>
      <c r="AO32" s="250">
        <v>31</v>
      </c>
      <c r="AP32" s="255" t="str">
        <f>IFERROR(INDEX(TableOverallMaster[OVERALL PLAYER],MATCH(TableOverallRank[[#This Row],[RK]],TableOverallMaster[OVR RK],0)),"")</f>
        <v>CeeDee Lamb</v>
      </c>
      <c r="AQ32" s="256" t="str">
        <f>IFERROR(INDEX(TableOverallMaster[POS RK],MATCH(TableOverallRank[[#This Row],[OVERALL PLAYER]],TableOverallMaster[OVERALL PLAYER],0)),"")</f>
        <v>WR7</v>
      </c>
      <c r="AR32" s="257">
        <f>IFERROR(INDEX(TableOverallMaster[BYE],MATCH(TableOverallRank[[#This Row],[OVERALL PLAYER]],TableOverallMaster[OVERALL PLAYER],0)),"")</f>
        <v>9</v>
      </c>
      <c r="AS32" s="258">
        <f>IFERROR(INDEX(TableOverallMaster[Custom],MATCH(TableOverallRank[[#This Row],[OVERALL PLAYER]],TableOverallMaster[OVERALL PLAYER],0)),"")</f>
        <v>183.36829122663792</v>
      </c>
      <c r="AT32" s="259">
        <f>IFERROR(INDEX(TableOverallMaster[VORP],MATCH(TableOverallRank[[#This Row],[OVERALL PLAYER]],TableOverallMaster[OVERALL PLAYER],0)),"")</f>
        <v>0.68270254843271772</v>
      </c>
      <c r="AU32" s="250"/>
      <c r="AV32" s="246">
        <v>31</v>
      </c>
      <c r="AW32" s="260" t="str">
        <f>IFERROR(INDEX(TableWRTECalcPts[PLAYER],MATCH(TableWRTERank[[#This Row],[RK]],TableWRTECalcPts[RK],0)),"")</f>
        <v>Courtland Sutton</v>
      </c>
      <c r="AX32" s="260" t="str">
        <f>IFERROR(INDEX(TableWRTECalcPts[POS RK],MATCH(TableWRTERank[[#This Row],[WR and TE COMBINED]],TableWRTECalcPts[PLAYER],0)),"")</f>
        <v>WR28</v>
      </c>
      <c r="AY32" s="260">
        <f>IFERROR(INDEX(TableWRTECalcPts[BYE],MATCH(TableWRTERank[[#This Row],[RK]],TableWRTECalcPts[RK],0)),"")</f>
        <v>9</v>
      </c>
      <c r="AZ32" s="261">
        <f>IFERROR(INDEX(TableWRTECalcPts[Custom],MATCH(TableWRTERank[[#This Row],[RK]],TableWRTECalcPts[RK],0)),"")</f>
        <v>138.39974689846576</v>
      </c>
      <c r="BA32" s="249">
        <f>IFERROR((TableWRTERank[[#This Row],[FPS]]-INDEX(TableWRTERank[FPS],MATCH(WRTEVORPCalc,TableWRTERank[RK],0)))/INDEX(TableWRTERank[FPS],MATCH(WRTEVORPCalc,TableWRTERank[RK],0)),"")</f>
        <v>0.1654700198131869</v>
      </c>
      <c r="BC32" s="124" t="s">
        <v>358</v>
      </c>
      <c r="BD32" s="124">
        <v>31</v>
      </c>
      <c r="BE32" s="262">
        <f>RANK(TableWRTEMaster[[#This Row],[VORP]],TableWRTEMaster[VORP])+COUNTIF($BJ$2:BJ32,BJ32)-1</f>
        <v>35</v>
      </c>
      <c r="BF32" s="263" t="str">
        <f>IFERROR(INDEX(TableWRVORP[WIDE RECEIVER],MATCH(TableWRTEMaster[[#This Row],[RK]],TableWRVORP[RK],0)),"")</f>
        <v>Allen Lazard</v>
      </c>
      <c r="BG32" s="263" t="str">
        <f>_xlfn.CONCAT(TableWRTEMaster[[#This Row],[POS]],TableWRTEMaster[[#This Row],[RK]])</f>
        <v>WR31</v>
      </c>
      <c r="BH32" s="263">
        <f>IFERROR(INDEX(TableWRVORP[BYE],MATCH(TableWRTEMaster[[#This Row],[RK]],TableWRVORP[RK],0)),"")</f>
        <v>14</v>
      </c>
      <c r="BI32" s="264">
        <f>IFERROR(INDEX(TableWRVORP[FPS],MATCH(TableWRTEMaster[[#This Row],[RK]],TableWRVORP[RK],0)),"")</f>
        <v>134.96304503309676</v>
      </c>
      <c r="BJ32" s="254">
        <f>IFERROR(INDEX(TableWRVORP[VORP],MATCH(TableWRTEMaster[[#This Row],[RK]],TableWRVORP[RK],0)),"")</f>
        <v>0.23850562331269817</v>
      </c>
    </row>
    <row r="33" spans="1:62" x14ac:dyDescent="0.3">
      <c r="A33" s="246">
        <v>32</v>
      </c>
      <c r="B33" s="247" t="str">
        <f>IFERROR(INDEX(TableQBCalcPts[PLAYER],MATCH(TableQBVORP[[#This Row],[RK]],TableQBCalcPts[RK],0)),"")</f>
        <v>Drew Lock</v>
      </c>
      <c r="C33" s="247" t="str">
        <f>IFERROR(INDEX(TableQBCalcPts[TM],MATCH(TableQBVORP[[#This Row],[RK]],TableQBCalcPts[RK],0)),"")</f>
        <v>SEA</v>
      </c>
      <c r="D33" s="247">
        <f>IFERROR(INDEX(TableQBCalcPts[BYE],MATCH(TableQBVORP[[#This Row],[RK]],TableQBCalcPts[RK],0)),"")</f>
        <v>11</v>
      </c>
      <c r="E33" s="248">
        <f>IFERROR(INDEX(TableQBCalcPts[Custom],MATCH(TableQBVORP[[#This Row],[RK]],TableQBCalcPts[RK],0)),"")</f>
        <v>161.30702075141295</v>
      </c>
      <c r="F33" s="249">
        <f>(IFERROR((TableQBVORP[[#This Row],[FPS]]-INDEX(TableQBVORP[FPS],MATCH(QBVORPCalc,TableQBVORP[RK],0)))/INDEX(TableQBVORP[FPS],MATCH(QBVORPCalc,TableQBVORP[RK],0)),""))+(TableRBVORP[[#This Row],[VORP]]*0.45)</f>
        <v>-0.45150152308616287</v>
      </c>
      <c r="G33" s="246"/>
      <c r="H33" s="246">
        <v>32</v>
      </c>
      <c r="I33" s="247" t="str">
        <f>IFERROR(INDEX(TableRBCalcPts[PLAYER],MATCH(TableRBVORP[[#This Row],[RK]],TableRBCalcPts[RK],0)),"")</f>
        <v>Melvin Gordon</v>
      </c>
      <c r="J33" s="247" t="str">
        <f>IFERROR(INDEX(TableRBCalcPts[TM],MATCH(TableRBVORP[[#This Row],[RK]],TableRBCalcPts[RK],0)),"")</f>
        <v>DEN</v>
      </c>
      <c r="K33" s="247">
        <f>IFERROR(INDEX(TableRBCalcPts[BYE],MATCH(TableRBVORP[[#This Row],[RK]],TableRBCalcPts[RK],0)),"")</f>
        <v>9</v>
      </c>
      <c r="L33" s="248">
        <f>IFERROR(INDEX(TableRBCalcPts[Custom],MATCH(TableRBVORP[[#This Row],[RK]],TableRBCalcPts[RK],0)),"")</f>
        <v>130.42698157645512</v>
      </c>
      <c r="M33" s="249">
        <f>IFERROR((TableRBVORP[[#This Row],[FPS]]-INDEX(TableRBVORP[FPS],MATCH(RBVORPCalc,TableRBVORP[RK],0)))/INDEX(TableRBVORP[FPS],MATCH(RBVORPCalc,TableRBVORP[RK],0)),"")</f>
        <v>0.28728829247623389</v>
      </c>
      <c r="N33" s="246"/>
      <c r="O33" s="246">
        <v>32</v>
      </c>
      <c r="P33" s="247" t="str">
        <f>IFERROR(INDEX(TableWRCalcPts[PLAYER],MATCH(TableWRVORP[[#This Row],[RK]],TableWRCalcPts[RK],0)),"")</f>
        <v>Darnell Mooney</v>
      </c>
      <c r="Q33" s="247" t="str">
        <f>IFERROR(INDEX(TableWRCalcPts[TM],MATCH(TableWRVORP[[#This Row],[RK]],TableWRCalcPts[RK],0)),"")</f>
        <v>CHI</v>
      </c>
      <c r="R33" s="247">
        <f>IFERROR(INDEX(TableWRCalcPts[BYE],MATCH(TableWRVORP[[#This Row],[RK]],TableWRCalcPts[RK],0)),"")</f>
        <v>14</v>
      </c>
      <c r="S33" s="248">
        <f>IFERROR(INDEX(TableWRCalcPts[Custom],MATCH(TableWRVORP[[#This Row],[RK]],TableWRCalcPts[RK],0)),"")</f>
        <v>134.25338130240169</v>
      </c>
      <c r="T33" s="249">
        <f>IFERROR((TableWRVORP[[#This Row],[FPS]]-INDEX(TableWRVORP[FPS],MATCH(WRVORPCalc,TableWRVORP[RK],0)))/INDEX(TableWRVORP[FPS],MATCH(WRVORPCalc,TableWRVORP[RK],0)),"")</f>
        <v>0.23199330343349439</v>
      </c>
      <c r="U33" s="246"/>
      <c r="V33" s="246">
        <v>32</v>
      </c>
      <c r="W33" s="247" t="str">
        <f>IFERROR(INDEX(TableTECalcPts[PLAYER],MATCH(TableTEVORP[[#This Row],[RK]],TableTECalcPts[RK],0)),"")</f>
        <v>Adam Trautman</v>
      </c>
      <c r="X33" s="247" t="str">
        <f>IFERROR(INDEX(TableTECalcPts[TM],MATCH(TableTEVORP[[#This Row],[RK]],TableTECalcPts[RK],0)),"")</f>
        <v>NO</v>
      </c>
      <c r="Y33" s="247">
        <f>IFERROR(INDEX(TableTECalcPts[BYE],MATCH(TableTEVORP[[#This Row],[RK]],TableTECalcPts[RK],0)),"")</f>
        <v>14</v>
      </c>
      <c r="Z33" s="248">
        <f>IFERROR(INDEX(TableTECalcPts[Custom],MATCH(TableTEVORP[[#This Row],[RK]],TableTECalcPts[RK],0)),"")</f>
        <v>50.26987913575595</v>
      </c>
      <c r="AA33" s="249">
        <f>IFERROR((TableTEVORP[[#This Row],[FPS]]-INDEX(TableTEVORP[FPS],MATCH(TEVORPCalc,TableTEVORP[RK],0)))/INDEX(TableTEVORP[FPS],MATCH(TEVORPCalc,TableTEVORP[RK],0)),"")</f>
        <v>-0.50933426135452964</v>
      </c>
      <c r="AB33" s="246"/>
      <c r="AC33" s="250"/>
      <c r="AD33" s="250"/>
      <c r="AE33" s="250"/>
      <c r="AF33" s="250" t="s">
        <v>9</v>
      </c>
      <c r="AG33" s="250">
        <v>32</v>
      </c>
      <c r="AH33" s="251">
        <f>RANK(TableOverallMaster[[#This Row],[VORP]],TableOverallMaster[VORP])+COUNTIF($AM$2:AM33,AM33)-1</f>
        <v>214</v>
      </c>
      <c r="AI33" s="252" t="str">
        <f>IFERROR(INDEX(TableQBVORP[QUARTERBACK],MATCH(TableOverallMaster[[#This Row],[RK]],TableQBVORP[RK],0)),"")</f>
        <v>Drew Lock</v>
      </c>
      <c r="AJ33" s="252" t="str">
        <f t="shared" si="0"/>
        <v>QB32</v>
      </c>
      <c r="AK33" s="252">
        <f>IFERROR(INDEX(TableQBVORP[BYE],MATCH(TableOverallMaster[[#This Row],[RK]],TableQBVORP[RK],0)),"")</f>
        <v>11</v>
      </c>
      <c r="AL33" s="253">
        <f>IFERROR(INDEX(TableQBVORP[FPS],MATCH(TableOverallMaster[[#This Row],[RK]],TableQBVORP[RK],0)),"")</f>
        <v>161.30702075141295</v>
      </c>
      <c r="AM33" s="254">
        <f>IFERROR(INDEX(TableQBVORP[VORP],MATCH(TableOverallMaster[[#This Row],[RK]],TableQBVORP[RK],0)),"")</f>
        <v>-0.45150152308616287</v>
      </c>
      <c r="AN33" s="250"/>
      <c r="AO33" s="250">
        <v>32</v>
      </c>
      <c r="AP33" s="255" t="str">
        <f>IFERROR(INDEX(TableOverallMaster[OVERALL PLAYER],MATCH(TableOverallRank[[#This Row],[RK]],TableOverallMaster[OVR RK],0)),"")</f>
        <v>Mike Evans</v>
      </c>
      <c r="AQ33" s="256" t="str">
        <f>IFERROR(INDEX(TableOverallMaster[POS RK],MATCH(TableOverallRank[[#This Row],[OVERALL PLAYER]],TableOverallMaster[OVERALL PLAYER],0)),"")</f>
        <v>WR8</v>
      </c>
      <c r="AR33" s="257">
        <f>IFERROR(INDEX(TableOverallMaster[BYE],MATCH(TableOverallRank[[#This Row],[OVERALL PLAYER]],TableOverallMaster[OVERALL PLAYER],0)),"")</f>
        <v>11</v>
      </c>
      <c r="AS33" s="258">
        <f>IFERROR(INDEX(TableOverallMaster[Custom],MATCH(TableOverallRank[[#This Row],[OVERALL PLAYER]],TableOverallMaster[OVERALL PLAYER],0)),"")</f>
        <v>179.06376440282733</v>
      </c>
      <c r="AT33" s="259">
        <f>IFERROR(INDEX(TableOverallMaster[VORP],MATCH(TableOverallRank[[#This Row],[OVERALL PLAYER]],TableOverallMaster[OVERALL PLAYER],0)),"")</f>
        <v>0.64320150816141675</v>
      </c>
      <c r="AU33" s="250"/>
      <c r="AV33" s="246">
        <v>32</v>
      </c>
      <c r="AW33" s="260" t="str">
        <f>IFERROR(INDEX(TableWRTECalcPts[PLAYER],MATCH(TableWRTERank[[#This Row],[RK]],TableWRTECalcPts[RK],0)),"")</f>
        <v>Tyler Lockett</v>
      </c>
      <c r="AX33" s="260" t="str">
        <f>IFERROR(INDEX(TableWRTECalcPts[POS RK],MATCH(TableWRTERank[[#This Row],[WR and TE COMBINED]],TableWRTECalcPts[PLAYER],0)),"")</f>
        <v>WR29</v>
      </c>
      <c r="AY33" s="260">
        <f>IFERROR(INDEX(TableWRTECalcPts[BYE],MATCH(TableWRTERank[[#This Row],[RK]],TableWRTECalcPts[RK],0)),"")</f>
        <v>11</v>
      </c>
      <c r="AZ33" s="261">
        <f>IFERROR(INDEX(TableWRTECalcPts[Custom],MATCH(TableWRTERank[[#This Row],[RK]],TableWRTECalcPts[RK],0)),"")</f>
        <v>135.85216520741739</v>
      </c>
      <c r="BA33" s="249">
        <f>IFERROR((TableWRTERank[[#This Row],[FPS]]-INDEX(TableWRTERank[FPS],MATCH(WRTEVORPCalc,TableWRTERank[RK],0)))/INDEX(TableWRTERank[FPS],MATCH(WRTEVORPCalc,TableWRTERank[RK],0)),"")</f>
        <v>0.14401672852848457</v>
      </c>
      <c r="BC33" s="124" t="s">
        <v>358</v>
      </c>
      <c r="BD33" s="124">
        <v>32</v>
      </c>
      <c r="BE33" s="262">
        <f>RANK(TableWRTEMaster[[#This Row],[VORP]],TableWRTEMaster[VORP])+COUNTIF($BJ$2:BJ33,BJ33)-1</f>
        <v>37</v>
      </c>
      <c r="BF33" s="263" t="str">
        <f>IFERROR(INDEX(TableWRVORP[WIDE RECEIVER],MATCH(TableWRTEMaster[[#This Row],[RK]],TableWRVORP[RK],0)),"")</f>
        <v>Darnell Mooney</v>
      </c>
      <c r="BG33" s="263" t="str">
        <f>_xlfn.CONCAT(TableWRTEMaster[[#This Row],[POS]],TableWRTEMaster[[#This Row],[RK]])</f>
        <v>WR32</v>
      </c>
      <c r="BH33" s="263">
        <f>IFERROR(INDEX(TableWRVORP[BYE],MATCH(TableWRTEMaster[[#This Row],[RK]],TableWRVORP[RK],0)),"")</f>
        <v>14</v>
      </c>
      <c r="BI33" s="264">
        <f>IFERROR(INDEX(TableWRVORP[FPS],MATCH(TableWRTEMaster[[#This Row],[RK]],TableWRVORP[RK],0)),"")</f>
        <v>134.25338130240169</v>
      </c>
      <c r="BJ33" s="254">
        <f>IFERROR(INDEX(TableWRVORP[VORP],MATCH(TableWRTEMaster[[#This Row],[RK]],TableWRVORP[RK],0)),"")</f>
        <v>0.23199330343349439</v>
      </c>
    </row>
    <row r="34" spans="1:62" x14ac:dyDescent="0.3">
      <c r="A34" s="246">
        <v>33</v>
      </c>
      <c r="B34" s="247" t="str">
        <f>IFERROR(INDEX(TableQBCalcPts[PLAYER],MATCH(TableQBVORP[[#This Row],[RK]],TableQBCalcPts[RK],0)),"")</f>
        <v>Jacoby Brissett</v>
      </c>
      <c r="C34" s="247" t="str">
        <f>IFERROR(INDEX(TableQBCalcPts[TM],MATCH(TableQBVORP[[#This Row],[RK]],TableQBCalcPts[RK],0)),"")</f>
        <v>CLE</v>
      </c>
      <c r="D34" s="247">
        <f>IFERROR(INDEX(TableQBCalcPts[BYE],MATCH(TableQBVORP[[#This Row],[RK]],TableQBCalcPts[RK],0)),"")</f>
        <v>9</v>
      </c>
      <c r="E34" s="248">
        <f>IFERROR(INDEX(TableQBCalcPts[Custom],MATCH(TableQBVORP[[#This Row],[RK]],TableQBCalcPts[RK],0)),"")</f>
        <v>134.63847628568968</v>
      </c>
      <c r="F34" s="249">
        <f>(IFERROR((TableQBVORP[[#This Row],[FPS]]-INDEX(TableQBVORP[FPS],MATCH(QBVORPCalc,TableQBVORP[RK],0)))/INDEX(TableQBVORP[FPS],MATCH(QBVORPCalc,TableQBVORP[RK],0)),""))+(TableRBVORP[[#This Row],[VORP]]*0.45)</f>
        <v>-0.53043592164822506</v>
      </c>
      <c r="G34" s="246"/>
      <c r="H34" s="246">
        <v>33</v>
      </c>
      <c r="I34" s="247" t="str">
        <f>IFERROR(INDEX(TableRBCalcPts[PLAYER],MATCH(TableRBVORP[[#This Row],[RK]],TableRBCalcPts[RK],0)),"")</f>
        <v>Miles Sanders</v>
      </c>
      <c r="J34" s="247" t="str">
        <f>IFERROR(INDEX(TableRBCalcPts[TM],MATCH(TableRBVORP[[#This Row],[RK]],TableRBCalcPts[RK],0)),"")</f>
        <v>PHI</v>
      </c>
      <c r="K34" s="247">
        <f>IFERROR(INDEX(TableRBCalcPts[BYE],MATCH(TableRBVORP[[#This Row],[RK]],TableRBCalcPts[RK],0)),"")</f>
        <v>7</v>
      </c>
      <c r="L34" s="248">
        <f>IFERROR(INDEX(TableRBCalcPts[Custom],MATCH(TableRBVORP[[#This Row],[RK]],TableRBCalcPts[RK],0)),"")</f>
        <v>128.25968330598508</v>
      </c>
      <c r="M34" s="249">
        <f>IFERROR((TableRBVORP[[#This Row],[FPS]]-INDEX(TableRBVORP[FPS],MATCH(RBVORPCalc,TableRBVORP[RK],0)))/INDEX(TableRBVORP[FPS],MATCH(RBVORPCalc,TableRBVORP[RK],0)),"")</f>
        <v>0.26589749084793246</v>
      </c>
      <c r="N34" s="246"/>
      <c r="O34" s="246">
        <v>33</v>
      </c>
      <c r="P34" s="247" t="str">
        <f>IFERROR(INDEX(TableWRCalcPts[PLAYER],MATCH(TableWRVORP[[#This Row],[RK]],TableWRCalcPts[RK],0)),"")</f>
        <v>Drake London</v>
      </c>
      <c r="Q34" s="247" t="str">
        <f>IFERROR(INDEX(TableWRCalcPts[TM],MATCH(TableWRVORP[[#This Row],[RK]],TableWRCalcPts[RK],0)),"")</f>
        <v>ATL</v>
      </c>
      <c r="R34" s="247">
        <f>IFERROR(INDEX(TableWRCalcPts[BYE],MATCH(TableWRVORP[[#This Row],[RK]],TableWRCalcPts[RK],0)),"")</f>
        <v>14</v>
      </c>
      <c r="S34" s="248">
        <f>IFERROR(INDEX(TableWRCalcPts[Custom],MATCH(TableWRVORP[[#This Row],[RK]],TableWRCalcPts[RK],0)),"")</f>
        <v>133.93393650127959</v>
      </c>
      <c r="T34" s="249">
        <f>IFERROR((TableWRVORP[[#This Row],[FPS]]-INDEX(TableWRVORP[FPS],MATCH(WRVORPCalc,TableWRVORP[RK],0)))/INDEX(TableWRVORP[FPS],MATCH(WRVORPCalc,TableWRVORP[RK],0)),"")</f>
        <v>0.22906187740920225</v>
      </c>
      <c r="U34" s="246"/>
      <c r="V34" s="246">
        <v>33</v>
      </c>
      <c r="W34" s="247" t="str">
        <f>IFERROR(INDEX(TableTECalcPts[PLAYER],MATCH(TableTEVORP[[#This Row],[RK]],TableTECalcPts[RK],0)),"")</f>
        <v>Ricky Seals-Jones</v>
      </c>
      <c r="X34" s="247" t="str">
        <f>IFERROR(INDEX(TableTECalcPts[TM],MATCH(TableTEVORP[[#This Row],[RK]],TableTECalcPts[RK],0)),"")</f>
        <v>NYG</v>
      </c>
      <c r="Y34" s="247">
        <f>IFERROR(INDEX(TableTECalcPts[BYE],MATCH(TableTEVORP[[#This Row],[RK]],TableTECalcPts[RK],0)),"")</f>
        <v>9</v>
      </c>
      <c r="Z34" s="248">
        <f>IFERROR(INDEX(TableTECalcPts[Custom],MATCH(TableTEVORP[[#This Row],[RK]],TableTECalcPts[RK],0)),"")</f>
        <v>43.271345190999646</v>
      </c>
      <c r="AA34" s="249">
        <f>IFERROR((TableTEVORP[[#This Row],[FPS]]-INDEX(TableTEVORP[FPS],MATCH(TEVORPCalc,TableTEVORP[RK],0)))/INDEX(TableTEVORP[FPS],MATCH(TEVORPCalc,TableTEVORP[RK],0)),"")</f>
        <v>-0.57764436844998823</v>
      </c>
      <c r="AB34" s="246"/>
      <c r="AC34" s="250"/>
      <c r="AD34" s="250"/>
      <c r="AE34" s="250"/>
      <c r="AF34" s="250" t="s">
        <v>9</v>
      </c>
      <c r="AG34" s="250">
        <v>33</v>
      </c>
      <c r="AH34" s="251">
        <f>RANK(TableOverallMaster[[#This Row],[VORP]],TableOverallMaster[VORP])+COUNTIF($AM$2:AM34,AM34)-1</f>
        <v>228</v>
      </c>
      <c r="AI34" s="252" t="str">
        <f>IFERROR(INDEX(TableQBVORP[QUARTERBACK],MATCH(TableOverallMaster[[#This Row],[RK]],TableQBVORP[RK],0)),"")</f>
        <v>Jacoby Brissett</v>
      </c>
      <c r="AJ34" s="252" t="str">
        <f t="shared" si="0"/>
        <v>QB33</v>
      </c>
      <c r="AK34" s="252">
        <f>IFERROR(INDEX(TableQBVORP[BYE],MATCH(TableOverallMaster[[#This Row],[RK]],TableQBVORP[RK],0)),"")</f>
        <v>9</v>
      </c>
      <c r="AL34" s="253">
        <f>IFERROR(INDEX(TableQBVORP[FPS],MATCH(TableOverallMaster[[#This Row],[RK]],TableQBVORP[RK],0)),"")</f>
        <v>134.63847628568968</v>
      </c>
      <c r="AM34" s="254">
        <f>IFERROR(INDEX(TableQBVORP[VORP],MATCH(TableOverallMaster[[#This Row],[RK]],TableQBVORP[RK],0)),"")</f>
        <v>-0.53043592164822506</v>
      </c>
      <c r="AN34" s="250"/>
      <c r="AO34" s="250">
        <v>33</v>
      </c>
      <c r="AP34" s="255" t="str">
        <f>IFERROR(INDEX(TableOverallMaster[OVERALL PLAYER],MATCH(TableOverallRank[[#This Row],[RK]],TableOverallMaster[OVR RK],0)),"")</f>
        <v>Travis Kelce</v>
      </c>
      <c r="AQ34" s="256" t="str">
        <f>IFERROR(INDEX(TableOverallMaster[POS RK],MATCH(TableOverallRank[[#This Row],[OVERALL PLAYER]],TableOverallMaster[OVERALL PLAYER],0)),"")</f>
        <v>TE1</v>
      </c>
      <c r="AR34" s="257">
        <f>IFERROR(INDEX(TableOverallMaster[BYE],MATCH(TableOverallRank[[#This Row],[OVERALL PLAYER]],TableOverallMaster[OVERALL PLAYER],0)),"")</f>
        <v>8</v>
      </c>
      <c r="AS34" s="258">
        <f>IFERROR(INDEX(TableOverallMaster[Custom],MATCH(TableOverallRank[[#This Row],[OVERALL PLAYER]],TableOverallMaster[OVERALL PLAYER],0)),"")</f>
        <v>168.01396248207141</v>
      </c>
      <c r="AT34" s="259">
        <f>IFERROR(INDEX(TableOverallMaster[VORP],MATCH(TableOverallRank[[#This Row],[OVERALL PLAYER]],TableOverallMaster[OVERALL PLAYER],0)),"")</f>
        <v>0.63992228390660533</v>
      </c>
      <c r="AU34" s="250"/>
      <c r="AV34" s="246">
        <v>33</v>
      </c>
      <c r="AW34" s="260" t="str">
        <f>IFERROR(INDEX(TableWRTECalcPts[PLAYER],MATCH(TableWRTERank[[#This Row],[RK]],TableWRTECalcPts[RK],0)),"")</f>
        <v>Jerry Jeudy</v>
      </c>
      <c r="AX34" s="260" t="str">
        <f>IFERROR(INDEX(TableWRTECalcPts[POS RK],MATCH(TableWRTERank[[#This Row],[WR and TE COMBINED]],TableWRTECalcPts[PLAYER],0)),"")</f>
        <v>WR30</v>
      </c>
      <c r="AY34" s="260">
        <f>IFERROR(INDEX(TableWRTECalcPts[BYE],MATCH(TableWRTERank[[#This Row],[RK]],TableWRTECalcPts[RK],0)),"")</f>
        <v>9</v>
      </c>
      <c r="AZ34" s="261">
        <f>IFERROR(INDEX(TableWRTECalcPts[Custom],MATCH(TableWRTERank[[#This Row],[RK]],TableWRTECalcPts[RK],0)),"")</f>
        <v>135.36511278671432</v>
      </c>
      <c r="BA34" s="249">
        <f>IFERROR((TableWRTERank[[#This Row],[FPS]]-INDEX(TableWRTERank[FPS],MATCH(WRTEVORPCalc,TableWRTERank[RK],0)))/INDEX(TableWRTERank[FPS],MATCH(WRTEVORPCalc,TableWRTERank[RK],0)),"")</f>
        <v>0.13991523985435206</v>
      </c>
      <c r="BC34" s="124" t="s">
        <v>358</v>
      </c>
      <c r="BD34" s="124">
        <v>33</v>
      </c>
      <c r="BE34" s="262">
        <f>RANK(TableWRTEMaster[[#This Row],[VORP]],TableWRTEMaster[VORP])+COUNTIF($BJ$2:BJ34,BJ34)-1</f>
        <v>38</v>
      </c>
      <c r="BF34" s="263" t="str">
        <f>IFERROR(INDEX(TableWRVORP[WIDE RECEIVER],MATCH(TableWRTEMaster[[#This Row],[RK]],TableWRVORP[RK],0)),"")</f>
        <v>Drake London</v>
      </c>
      <c r="BG34" s="263" t="str">
        <f>_xlfn.CONCAT(TableWRTEMaster[[#This Row],[POS]],TableWRTEMaster[[#This Row],[RK]])</f>
        <v>WR33</v>
      </c>
      <c r="BH34" s="263">
        <f>IFERROR(INDEX(TableWRVORP[BYE],MATCH(TableWRTEMaster[[#This Row],[RK]],TableWRVORP[RK],0)),"")</f>
        <v>14</v>
      </c>
      <c r="BI34" s="264">
        <f>IFERROR(INDEX(TableWRVORP[FPS],MATCH(TableWRTEMaster[[#This Row],[RK]],TableWRVORP[RK],0)),"")</f>
        <v>133.93393650127959</v>
      </c>
      <c r="BJ34" s="254">
        <f>IFERROR(INDEX(TableWRVORP[VORP],MATCH(TableWRTEMaster[[#This Row],[RK]],TableWRVORP[RK],0)),"")</f>
        <v>0.22906187740920225</v>
      </c>
    </row>
    <row r="35" spans="1:62" x14ac:dyDescent="0.3">
      <c r="A35" s="246">
        <v>34</v>
      </c>
      <c r="B35" s="247" t="str">
        <f>IFERROR(INDEX(TableQBCalcPts[PLAYER],MATCH(TableQBVORP[[#This Row],[RK]],TableQBCalcPts[RK],0)),"")</f>
        <v>Geno Smith</v>
      </c>
      <c r="C35" s="247" t="str">
        <f>IFERROR(INDEX(TableQBCalcPts[TM],MATCH(TableQBVORP[[#This Row],[RK]],TableQBCalcPts[RK],0)),"")</f>
        <v>SEA</v>
      </c>
      <c r="D35" s="247">
        <f>IFERROR(INDEX(TableQBCalcPts[BYE],MATCH(TableQBVORP[[#This Row],[RK]],TableQBCalcPts[RK],0)),"")</f>
        <v>11</v>
      </c>
      <c r="E35" s="248">
        <f>IFERROR(INDEX(TableQBCalcPts[Custom],MATCH(TableQBVORP[[#This Row],[RK]],TableQBCalcPts[RK],0)),"")</f>
        <v>106.80991898747439</v>
      </c>
      <c r="F35" s="249">
        <f>(IFERROR((TableQBVORP[[#This Row],[FPS]]-INDEX(TableQBVORP[FPS],MATCH(QBVORPCalc,TableQBVORP[RK],0)))/INDEX(TableQBVORP[FPS],MATCH(QBVORPCalc,TableQBVORP[RK],0)),""))+(TableRBVORP[[#This Row],[VORP]]*0.45)</f>
        <v>-0.62168019285684328</v>
      </c>
      <c r="G35" s="246"/>
      <c r="H35" s="246">
        <v>34</v>
      </c>
      <c r="I35" s="247" t="str">
        <f>IFERROR(INDEX(TableRBCalcPts[PLAYER],MATCH(TableRBVORP[[#This Row],[RK]],TableRBCalcPts[RK],0)),"")</f>
        <v>Rashaad Penny</v>
      </c>
      <c r="J35" s="247" t="str">
        <f>IFERROR(INDEX(TableRBCalcPts[TM],MATCH(TableRBVORP[[#This Row],[RK]],TableRBCalcPts[RK],0)),"")</f>
        <v>SEA</v>
      </c>
      <c r="K35" s="247">
        <f>IFERROR(INDEX(TableRBCalcPts[BYE],MATCH(TableRBVORP[[#This Row],[RK]],TableRBCalcPts[RK],0)),"")</f>
        <v>11</v>
      </c>
      <c r="L35" s="248">
        <f>IFERROR(INDEX(TableRBCalcPts[Custom],MATCH(TableRBVORP[[#This Row],[RK]],TableRBCalcPts[RK],0)),"")</f>
        <v>123.99955197448789</v>
      </c>
      <c r="M35" s="249">
        <f>IFERROR((TableRBVORP[[#This Row],[FPS]]-INDEX(TableRBVORP[FPS],MATCH(RBVORPCalc,TableRBVORP[RK],0)))/INDEX(TableRBVORP[FPS],MATCH(RBVORPCalc,TableRBVORP[RK],0)),"")</f>
        <v>0.22385084435529057</v>
      </c>
      <c r="N35" s="246"/>
      <c r="O35" s="246">
        <v>34</v>
      </c>
      <c r="P35" s="247" t="str">
        <f>IFERROR(INDEX(TableWRCalcPts[PLAYER],MATCH(TableWRVORP[[#This Row],[RK]],TableWRCalcPts[RK],0)),"")</f>
        <v>Chris Godwin</v>
      </c>
      <c r="Q35" s="247" t="str">
        <f>IFERROR(INDEX(TableWRCalcPts[TM],MATCH(TableWRVORP[[#This Row],[RK]],TableWRCalcPts[RK],0)),"")</f>
        <v>TB</v>
      </c>
      <c r="R35" s="247">
        <f>IFERROR(INDEX(TableWRCalcPts[BYE],MATCH(TableWRVORP[[#This Row],[RK]],TableWRCalcPts[RK],0)),"")</f>
        <v>11</v>
      </c>
      <c r="S35" s="248">
        <f>IFERROR(INDEX(TableWRCalcPts[Custom],MATCH(TableWRVORP[[#This Row],[RK]],TableWRCalcPts[RK],0)),"")</f>
        <v>132.66088916790426</v>
      </c>
      <c r="T35" s="249">
        <f>IFERROR((TableWRVORP[[#This Row],[FPS]]-INDEX(TableWRVORP[FPS],MATCH(WRVORPCalc,TableWRVORP[RK],0)))/INDEX(TableWRVORP[FPS],MATCH(WRVORPCalc,TableWRVORP[RK],0)),"")</f>
        <v>0.2173795959317657</v>
      </c>
      <c r="U35" s="246"/>
      <c r="V35" s="246">
        <v>34</v>
      </c>
      <c r="W35" s="247" t="str">
        <f>IFERROR(INDEX(TableTECalcPts[PLAYER],MATCH(TableTEVORP[[#This Row],[RK]],TableTECalcPts[RK],0)),"")</f>
        <v>Jonnu Smith</v>
      </c>
      <c r="X35" s="247" t="str">
        <f>IFERROR(INDEX(TableTECalcPts[TM],MATCH(TableTEVORP[[#This Row],[RK]],TableTECalcPts[RK],0)),"")</f>
        <v>NE</v>
      </c>
      <c r="Y35" s="247">
        <f>IFERROR(INDEX(TableTECalcPts[BYE],MATCH(TableTEVORP[[#This Row],[RK]],TableTECalcPts[RK],0)),"")</f>
        <v>10</v>
      </c>
      <c r="Z35" s="248">
        <f>IFERROR(INDEX(TableTECalcPts[Custom],MATCH(TableTEVORP[[#This Row],[RK]],TableTECalcPts[RK],0)),"")</f>
        <v>41.486085433533724</v>
      </c>
      <c r="AA35" s="249">
        <f>IFERROR((TableTEVORP[[#This Row],[FPS]]-INDEX(TableTEVORP[FPS],MATCH(TEVORPCalc,TableTEVORP[RK],0)))/INDEX(TableTEVORP[FPS],MATCH(TEVORPCalc,TableTEVORP[RK],0)),"")</f>
        <v>-0.59506963011026537</v>
      </c>
      <c r="AB35" s="246"/>
      <c r="AC35" s="250"/>
      <c r="AD35" s="250"/>
      <c r="AE35" s="250"/>
      <c r="AF35" s="250" t="s">
        <v>9</v>
      </c>
      <c r="AG35" s="250">
        <v>34</v>
      </c>
      <c r="AH35" s="251">
        <f>RANK(TableOverallMaster[[#This Row],[VORP]],TableOverallMaster[VORP])+COUNTIF($AM$2:AM35,AM35)-1</f>
        <v>245</v>
      </c>
      <c r="AI35" s="252" t="str">
        <f>IFERROR(INDEX(TableQBVORP[QUARTERBACK],MATCH(TableOverallMaster[[#This Row],[RK]],TableQBVORP[RK],0)),"")</f>
        <v>Geno Smith</v>
      </c>
      <c r="AJ35" s="252" t="str">
        <f t="shared" si="0"/>
        <v>QB34</v>
      </c>
      <c r="AK35" s="252">
        <f>IFERROR(INDEX(TableQBVORP[BYE],MATCH(TableOverallMaster[[#This Row],[RK]],TableQBVORP[RK],0)),"")</f>
        <v>11</v>
      </c>
      <c r="AL35" s="253">
        <f>IFERROR(INDEX(TableQBVORP[FPS],MATCH(TableOverallMaster[[#This Row],[RK]],TableQBVORP[RK],0)),"")</f>
        <v>106.80991898747439</v>
      </c>
      <c r="AM35" s="254">
        <f>IFERROR(INDEX(TableQBVORP[VORP],MATCH(TableOverallMaster[[#This Row],[RK]],TableQBVORP[RK],0)),"")</f>
        <v>-0.62168019285684328</v>
      </c>
      <c r="AN35" s="250"/>
      <c r="AO35" s="250">
        <v>34</v>
      </c>
      <c r="AP35" s="255" t="str">
        <f>IFERROR(INDEX(TableOverallMaster[OVERALL PLAYER],MATCH(TableOverallRank[[#This Row],[RK]],TableOverallMaster[OVR RK],0)),"")</f>
        <v>Elijah Mitchell</v>
      </c>
      <c r="AQ35" s="256" t="str">
        <f>IFERROR(INDEX(TableOverallMaster[POS RK],MATCH(TableOverallRank[[#This Row],[OVERALL PLAYER]],TableOverallMaster[OVERALL PLAYER],0)),"")</f>
        <v>RB22</v>
      </c>
      <c r="AR35" s="257">
        <f>IFERROR(INDEX(TableOverallMaster[BYE],MATCH(TableOverallRank[[#This Row],[OVERALL PLAYER]],TableOverallMaster[OVERALL PLAYER],0)),"")</f>
        <v>9</v>
      </c>
      <c r="AS35" s="258">
        <f>IFERROR(INDEX(TableOverallMaster[Custom],MATCH(TableOverallRank[[#This Row],[OVERALL PLAYER]],TableOverallMaster[OVERALL PLAYER],0)),"")</f>
        <v>165.25365451656748</v>
      </c>
      <c r="AT35" s="259">
        <f>IFERROR(INDEX(TableOverallMaster[VORP],MATCH(TableOverallRank[[#This Row],[OVERALL PLAYER]],TableOverallMaster[OVERALL PLAYER],0)),"")</f>
        <v>0.63102060767533552</v>
      </c>
      <c r="AU35" s="250"/>
      <c r="AV35" s="246">
        <v>34</v>
      </c>
      <c r="AW35" s="260" t="str">
        <f>IFERROR(INDEX(TableWRTECalcPts[PLAYER],MATCH(TableWRTERank[[#This Row],[RK]],TableWRTECalcPts[RK],0)),"")</f>
        <v>Allen Lazard</v>
      </c>
      <c r="AX35" s="260" t="str">
        <f>IFERROR(INDEX(TableWRTECalcPts[POS RK],MATCH(TableWRTERank[[#This Row],[WR and TE COMBINED]],TableWRTECalcPts[PLAYER],0)),"")</f>
        <v>WR31</v>
      </c>
      <c r="AY35" s="260">
        <f>IFERROR(INDEX(TableWRTECalcPts[BYE],MATCH(TableWRTERank[[#This Row],[RK]],TableWRTECalcPts[RK],0)),"")</f>
        <v>14</v>
      </c>
      <c r="AZ35" s="261">
        <f>IFERROR(INDEX(TableWRTECalcPts[Custom],MATCH(TableWRTERank[[#This Row],[RK]],TableWRTECalcPts[RK],0)),"")</f>
        <v>134.96304503309676</v>
      </c>
      <c r="BA35" s="249">
        <f>IFERROR((TableWRTERank[[#This Row],[FPS]]-INDEX(TableWRTERank[FPS],MATCH(WRTEVORPCalc,TableWRTERank[RK],0)))/INDEX(TableWRTERank[FPS],MATCH(WRTEVORPCalc,TableWRTERank[RK],0)),"")</f>
        <v>0.136529410593272</v>
      </c>
      <c r="BC35" s="124" t="s">
        <v>358</v>
      </c>
      <c r="BD35" s="124">
        <v>34</v>
      </c>
      <c r="BE35" s="262">
        <f>RANK(TableWRTEMaster[[#This Row],[VORP]],TableWRTEMaster[VORP])+COUNTIF($BJ$2:BJ35,BJ35)-1</f>
        <v>39</v>
      </c>
      <c r="BF35" s="263" t="str">
        <f>IFERROR(INDEX(TableWRVORP[WIDE RECEIVER],MATCH(TableWRTEMaster[[#This Row],[RK]],TableWRVORP[RK],0)),"")</f>
        <v>Chris Godwin</v>
      </c>
      <c r="BG35" s="263" t="str">
        <f>_xlfn.CONCAT(TableWRTEMaster[[#This Row],[POS]],TableWRTEMaster[[#This Row],[RK]])</f>
        <v>WR34</v>
      </c>
      <c r="BH35" s="263">
        <f>IFERROR(INDEX(TableWRVORP[BYE],MATCH(TableWRTEMaster[[#This Row],[RK]],TableWRVORP[RK],0)),"")</f>
        <v>11</v>
      </c>
      <c r="BI35" s="264">
        <f>IFERROR(INDEX(TableWRVORP[FPS],MATCH(TableWRTEMaster[[#This Row],[RK]],TableWRVORP[RK],0)),"")</f>
        <v>132.66088916790426</v>
      </c>
      <c r="BJ35" s="254">
        <f>IFERROR(INDEX(TableWRVORP[VORP],MATCH(TableWRTEMaster[[#This Row],[RK]],TableWRVORP[RK],0)),"")</f>
        <v>0.2173795959317657</v>
      </c>
    </row>
    <row r="36" spans="1:62" x14ac:dyDescent="0.3">
      <c r="A36" s="246">
        <v>35</v>
      </c>
      <c r="B36" s="247" t="str">
        <f>IFERROR(INDEX(TableQBCalcPts[PLAYER],MATCH(TableQBVORP[[#This Row],[RK]],TableQBCalcPts[RK],0)),"")</f>
        <v>Desmond Ridder</v>
      </c>
      <c r="C36" s="247" t="str">
        <f>IFERROR(INDEX(TableQBCalcPts[TM],MATCH(TableQBVORP[[#This Row],[RK]],TableQBCalcPts[RK],0)),"")</f>
        <v>ATL</v>
      </c>
      <c r="D36" s="247">
        <f>IFERROR(INDEX(TableQBCalcPts[BYE],MATCH(TableQBVORP[[#This Row],[RK]],TableQBCalcPts[RK],0)),"")</f>
        <v>14</v>
      </c>
      <c r="E36" s="248">
        <f>IFERROR(INDEX(TableQBCalcPts[Custom],MATCH(TableQBVORP[[#This Row],[RK]],TableQBCalcPts[RK],0)),"")</f>
        <v>87.369203460727817</v>
      </c>
      <c r="F36" s="249">
        <f>(IFERROR((TableQBVORP[[#This Row],[FPS]]-INDEX(TableQBVORP[FPS],MATCH(QBVORPCalc,TableQBVORP[RK],0)))/INDEX(TableQBVORP[FPS],MATCH(QBVORPCalc,TableQBVORP[RK],0)),""))+(TableRBVORP[[#This Row],[VORP]]*0.45)</f>
        <v>-0.67431747919598384</v>
      </c>
      <c r="G36" s="246"/>
      <c r="H36" s="246">
        <v>35</v>
      </c>
      <c r="I36" s="247" t="str">
        <f>IFERROR(INDEX(TableRBCalcPts[PLAYER],MATCH(TableRBVORP[[#This Row],[RK]],TableRBCalcPts[RK],0)),"")</f>
        <v>Kareem Hunt</v>
      </c>
      <c r="J36" s="247" t="str">
        <f>IFERROR(INDEX(TableRBCalcPts[TM],MATCH(TableRBVORP[[#This Row],[RK]],TableRBCalcPts[RK],0)),"")</f>
        <v>CLE</v>
      </c>
      <c r="K36" s="247">
        <f>IFERROR(INDEX(TableRBCalcPts[BYE],MATCH(TableRBVORP[[#This Row],[RK]],TableRBCalcPts[RK],0)),"")</f>
        <v>9</v>
      </c>
      <c r="L36" s="248">
        <f>IFERROR(INDEX(TableRBCalcPts[Custom],MATCH(TableRBVORP[[#This Row],[RK]],TableRBCalcPts[RK],0)),"")</f>
        <v>123.52378859510981</v>
      </c>
      <c r="M36" s="249">
        <f>IFERROR((TableRBVORP[[#This Row],[FPS]]-INDEX(TableRBVORP[FPS],MATCH(RBVORPCalc,TableRBVORP[RK],0)))/INDEX(TableRBVORP[FPS],MATCH(RBVORPCalc,TableRBVORP[RK],0)),"")</f>
        <v>0.21915515469921032</v>
      </c>
      <c r="N36" s="246"/>
      <c r="O36" s="246">
        <v>35</v>
      </c>
      <c r="P36" s="247" t="str">
        <f>IFERROR(INDEX(TableWRCalcPts[PLAYER],MATCH(TableWRVORP[[#This Row],[RK]],TableWRCalcPts[RK],0)),"")</f>
        <v>Hunter Renfrow</v>
      </c>
      <c r="Q36" s="247" t="str">
        <f>IFERROR(INDEX(TableWRCalcPts[TM],MATCH(TableWRVORP[[#This Row],[RK]],TableWRCalcPts[RK],0)),"")</f>
        <v>LV</v>
      </c>
      <c r="R36" s="247">
        <f>IFERROR(INDEX(TableWRCalcPts[BYE],MATCH(TableWRVORP[[#This Row],[RK]],TableWRCalcPts[RK],0)),"")</f>
        <v>6</v>
      </c>
      <c r="S36" s="248">
        <f>IFERROR(INDEX(TableWRCalcPts[Custom],MATCH(TableWRVORP[[#This Row],[RK]],TableWRCalcPts[RK],0)),"")</f>
        <v>132.55605237294674</v>
      </c>
      <c r="T36" s="249">
        <f>IFERROR((TableWRVORP[[#This Row],[FPS]]-INDEX(TableWRVORP[FPS],MATCH(WRVORPCalc,TableWRVORP[RK],0)))/INDEX(TableWRVORP[FPS],MATCH(WRVORPCalc,TableWRVORP[RK],0)),"")</f>
        <v>0.21641754769068511</v>
      </c>
      <c r="U36" s="246"/>
      <c r="V36" s="246">
        <v>35</v>
      </c>
      <c r="W36" s="247" t="str">
        <f>IFERROR(INDEX(TableTECalcPts[PLAYER],MATCH(TableTEVORP[[#This Row],[RK]],TableTECalcPts[RK],0)),"")</f>
        <v>Cade Otton</v>
      </c>
      <c r="X36" s="247" t="str">
        <f>IFERROR(INDEX(TableTECalcPts[TM],MATCH(TableTEVORP[[#This Row],[RK]],TableTECalcPts[RK],0)),"")</f>
        <v>TB</v>
      </c>
      <c r="Y36" s="247">
        <f>IFERROR(INDEX(TableTECalcPts[BYE],MATCH(TableTEVORP[[#This Row],[RK]],TableTECalcPts[RK],0)),"")</f>
        <v>11</v>
      </c>
      <c r="Z36" s="248">
        <f>IFERROR(INDEX(TableTECalcPts[Custom],MATCH(TableTEVORP[[#This Row],[RK]],TableTECalcPts[RK],0)),"")</f>
        <v>38.578392188776903</v>
      </c>
      <c r="AA36" s="249">
        <f>IFERROR((TableTEVORP[[#This Row],[FPS]]-INDEX(TableTEVORP[FPS],MATCH(TEVORPCalc,TableTEVORP[RK],0)))/INDEX(TableTEVORP[FPS],MATCH(TEVORPCalc,TableTEVORP[RK],0)),"")</f>
        <v>-0.62345055081708012</v>
      </c>
      <c r="AB36" s="246"/>
      <c r="AC36" s="250"/>
      <c r="AD36" s="250"/>
      <c r="AE36" s="250"/>
      <c r="AF36" s="250" t="s">
        <v>9</v>
      </c>
      <c r="AG36" s="250">
        <v>35</v>
      </c>
      <c r="AH36" s="251">
        <f>RANK(TableOverallMaster[[#This Row],[VORP]],TableOverallMaster[VORP])+COUNTIF($AM$2:AM36,AM36)-1</f>
        <v>256</v>
      </c>
      <c r="AI36" s="252" t="str">
        <f>IFERROR(INDEX(TableQBVORP[QUARTERBACK],MATCH(TableOverallMaster[[#This Row],[RK]],TableQBVORP[RK],0)),"")</f>
        <v>Desmond Ridder</v>
      </c>
      <c r="AJ36" s="252" t="str">
        <f t="shared" si="0"/>
        <v>QB35</v>
      </c>
      <c r="AK36" s="252">
        <f>IFERROR(INDEX(TableQBVORP[BYE],MATCH(TableOverallMaster[[#This Row],[RK]],TableQBVORP[RK],0)),"")</f>
        <v>14</v>
      </c>
      <c r="AL36" s="253">
        <f>IFERROR(INDEX(TableQBVORP[FPS],MATCH(TableOverallMaster[[#This Row],[RK]],TableQBVORP[RK],0)),"")</f>
        <v>87.369203460727817</v>
      </c>
      <c r="AM36" s="254">
        <f>IFERROR(INDEX(TableQBVORP[VORP],MATCH(TableOverallMaster[[#This Row],[RK]],TableQBVORP[RK],0)),"")</f>
        <v>-0.67431747919598384</v>
      </c>
      <c r="AN36" s="250"/>
      <c r="AO36" s="250">
        <v>35</v>
      </c>
      <c r="AP36" s="255" t="str">
        <f>IFERROR(INDEX(TableOverallMaster[OVERALL PLAYER],MATCH(TableOverallRank[[#This Row],[RK]],TableOverallMaster[OVR RK],0)),"")</f>
        <v>Patrick Mahomes</v>
      </c>
      <c r="AQ36" s="256" t="str">
        <f>IFERROR(INDEX(TableOverallMaster[POS RK],MATCH(TableOverallRank[[#This Row],[OVERALL PLAYER]],TableOverallMaster[OVERALL PLAYER],0)),"")</f>
        <v>QB4</v>
      </c>
      <c r="AR36" s="257">
        <f>IFERROR(INDEX(TableOverallMaster[BYE],MATCH(TableOverallRank[[#This Row],[OVERALL PLAYER]],TableOverallMaster[OVERALL PLAYER],0)),"")</f>
        <v>8</v>
      </c>
      <c r="AS36" s="258">
        <f>IFERROR(INDEX(TableOverallMaster[Custom],MATCH(TableOverallRank[[#This Row],[OVERALL PLAYER]],TableOverallMaster[OVERALL PLAYER],0)),"")</f>
        <v>384.34597458539344</v>
      </c>
      <c r="AT36" s="259">
        <f>IFERROR(INDEX(TableOverallMaster[VORP],MATCH(TableOverallRank[[#This Row],[OVERALL PLAYER]],TableOverallMaster[OVERALL PLAYER],0)),"")</f>
        <v>0.62439223670943589</v>
      </c>
      <c r="AU36" s="250"/>
      <c r="AV36" s="246">
        <v>35</v>
      </c>
      <c r="AW36" s="260" t="str">
        <f>IFERROR(INDEX(TableWRTECalcPts[PLAYER],MATCH(TableWRTERank[[#This Row],[RK]],TableWRTECalcPts[RK],0)),"")</f>
        <v>Darnell Mooney</v>
      </c>
      <c r="AX36" s="260" t="str">
        <f>IFERROR(INDEX(TableWRTECalcPts[POS RK],MATCH(TableWRTERank[[#This Row],[WR and TE COMBINED]],TableWRTECalcPts[PLAYER],0)),"")</f>
        <v>WR32</v>
      </c>
      <c r="AY36" s="260">
        <f>IFERROR(INDEX(TableWRTECalcPts[BYE],MATCH(TableWRTERank[[#This Row],[RK]],TableWRTECalcPts[RK],0)),"")</f>
        <v>14</v>
      </c>
      <c r="AZ36" s="261">
        <f>IFERROR(INDEX(TableWRTECalcPts[Custom],MATCH(TableWRTERank[[#This Row],[RK]],TableWRTECalcPts[RK],0)),"")</f>
        <v>134.25338130240169</v>
      </c>
      <c r="BA36" s="249">
        <f>IFERROR((TableWRTERank[[#This Row],[FPS]]-INDEX(TableWRTERank[FPS],MATCH(WRTEVORPCalc,TableWRTERank[RK],0)))/INDEX(TableWRTERank[FPS],MATCH(WRTEVORPCalc,TableWRTERank[RK],0)),"")</f>
        <v>0.13055330282711644</v>
      </c>
      <c r="BC36" s="124" t="s">
        <v>358</v>
      </c>
      <c r="BD36" s="124">
        <v>35</v>
      </c>
      <c r="BE36" s="262">
        <f>RANK(TableWRTEMaster[[#This Row],[VORP]],TableWRTEMaster[VORP])+COUNTIF($BJ$2:BJ36,BJ36)-1</f>
        <v>40</v>
      </c>
      <c r="BF36" s="263" t="str">
        <f>IFERROR(INDEX(TableWRVORP[WIDE RECEIVER],MATCH(TableWRTEMaster[[#This Row],[RK]],TableWRVORP[RK],0)),"")</f>
        <v>Hunter Renfrow</v>
      </c>
      <c r="BG36" s="263" t="str">
        <f>_xlfn.CONCAT(TableWRTEMaster[[#This Row],[POS]],TableWRTEMaster[[#This Row],[RK]])</f>
        <v>WR35</v>
      </c>
      <c r="BH36" s="263">
        <f>IFERROR(INDEX(TableWRVORP[BYE],MATCH(TableWRTEMaster[[#This Row],[RK]],TableWRVORP[RK],0)),"")</f>
        <v>6</v>
      </c>
      <c r="BI36" s="264">
        <f>IFERROR(INDEX(TableWRVORP[FPS],MATCH(TableWRTEMaster[[#This Row],[RK]],TableWRVORP[RK],0)),"")</f>
        <v>132.55605237294674</v>
      </c>
      <c r="BJ36" s="254">
        <f>IFERROR(INDEX(TableWRVORP[VORP],MATCH(TableWRTEMaster[[#This Row],[RK]],TableWRVORP[RK],0)),"")</f>
        <v>0.21641754769068511</v>
      </c>
    </row>
    <row r="37" spans="1:62" x14ac:dyDescent="0.3">
      <c r="A37" s="246">
        <v>36</v>
      </c>
      <c r="B37" s="247" t="str">
        <f>IFERROR(INDEX(TableQBCalcPts[PLAYER],MATCH(TableQBVORP[[#This Row],[RK]],TableQBCalcPts[RK],0)),"")</f>
        <v>Matt Corral</v>
      </c>
      <c r="C37" s="247" t="str">
        <f>IFERROR(INDEX(TableQBCalcPts[TM],MATCH(TableQBVORP[[#This Row],[RK]],TableQBCalcPts[RK],0)),"")</f>
        <v>CAR</v>
      </c>
      <c r="D37" s="247">
        <f>IFERROR(INDEX(TableQBCalcPts[BYE],MATCH(TableQBVORP[[#This Row],[RK]],TableQBCalcPts[RK],0)),"")</f>
        <v>13</v>
      </c>
      <c r="E37" s="248">
        <f>IFERROR(INDEX(TableQBCalcPts[Custom],MATCH(TableQBVORP[[#This Row],[RK]],TableQBCalcPts[RK],0)),"")</f>
        <v>76.001794257808797</v>
      </c>
      <c r="F37" s="249">
        <f>(IFERROR((TableQBVORP[[#This Row],[FPS]]-INDEX(TableQBVORP[FPS],MATCH(QBVORPCalc,TableQBVORP[RK],0)))/INDEX(TableQBVORP[FPS],MATCH(QBVORPCalc,TableQBVORP[RK],0)),""))+(TableRBVORP[[#This Row],[VORP]]*0.45)</f>
        <v>-0.73189191398001041</v>
      </c>
      <c r="G37" s="246"/>
      <c r="H37" s="246">
        <v>36</v>
      </c>
      <c r="I37" s="247" t="str">
        <f>IFERROR(INDEX(TableRBCalcPts[PLAYER],MATCH(TableRBVORP[[#This Row],[RK]],TableRBCalcPts[RK],0)),"")</f>
        <v>Chase Edmonds</v>
      </c>
      <c r="J37" s="247" t="str">
        <f>IFERROR(INDEX(TableRBCalcPts[TM],MATCH(TableRBVORP[[#This Row],[RK]],TableRBCalcPts[RK],0)),"")</f>
        <v>MIA</v>
      </c>
      <c r="K37" s="247">
        <f>IFERROR(INDEX(TableRBCalcPts[BYE],MATCH(TableRBVORP[[#This Row],[RK]],TableRBCalcPts[RK],0)),"")</f>
        <v>11</v>
      </c>
      <c r="L37" s="248">
        <f>IFERROR(INDEX(TableRBCalcPts[Custom],MATCH(TableRBVORP[[#This Row],[RK]],TableRBCalcPts[RK],0)),"")</f>
        <v>117.21232006859266</v>
      </c>
      <c r="M37" s="249">
        <f>IFERROR((TableRBVORP[[#This Row],[FPS]]-INDEX(TableRBVORP[FPS],MATCH(RBVORPCalc,TableRBVORP[RK],0)))/INDEX(TableRBVORP[FPS],MATCH(RBVORPCalc,TableRBVORP[RK],0)),"")</f>
        <v>0.15686221926272523</v>
      </c>
      <c r="N37" s="246"/>
      <c r="O37" s="246">
        <v>36</v>
      </c>
      <c r="P37" s="247" t="str">
        <f>IFERROR(INDEX(TableWRCalcPts[PLAYER],MATCH(TableWRVORP[[#This Row],[RK]],TableWRCalcPts[RK],0)),"")</f>
        <v>Amon-Ra St. Brown</v>
      </c>
      <c r="Q37" s="247" t="str">
        <f>IFERROR(INDEX(TableWRCalcPts[TM],MATCH(TableWRVORP[[#This Row],[RK]],TableWRCalcPts[RK],0)),"")</f>
        <v>DET</v>
      </c>
      <c r="R37" s="247">
        <f>IFERROR(INDEX(TableWRCalcPts[BYE],MATCH(TableWRVORP[[#This Row],[RK]],TableWRCalcPts[RK],0)),"")</f>
        <v>6</v>
      </c>
      <c r="S37" s="248">
        <f>IFERROR(INDEX(TableWRCalcPts[Custom],MATCH(TableWRVORP[[#This Row],[RK]],TableWRCalcPts[RK],0)),"")</f>
        <v>132.52196259296818</v>
      </c>
      <c r="T37" s="249">
        <f>IFERROR((TableWRVORP[[#This Row],[FPS]]-INDEX(TableWRVORP[FPS],MATCH(WRVORPCalc,TableWRVORP[RK],0)))/INDEX(TableWRVORP[FPS],MATCH(WRVORPCalc,TableWRVORP[RK],0)),"")</f>
        <v>0.21610471846998561</v>
      </c>
      <c r="U37" s="246"/>
      <c r="V37" s="246">
        <v>36</v>
      </c>
      <c r="W37" s="247" t="str">
        <f>IFERROR(INDEX(TableTECalcPts[PLAYER],MATCH(TableTEVORP[[#This Row],[RK]],TableTECalcPts[RK],0)),"")</f>
        <v>Geoff Swaim</v>
      </c>
      <c r="X37" s="247" t="str">
        <f>IFERROR(INDEX(TableTECalcPts[TM],MATCH(TableTEVORP[[#This Row],[RK]],TableTECalcPts[RK],0)),"")</f>
        <v>TEN</v>
      </c>
      <c r="Y37" s="247">
        <f>IFERROR(INDEX(TableTECalcPts[BYE],MATCH(TableTEVORP[[#This Row],[RK]],TableTECalcPts[RK],0)),"")</f>
        <v>6</v>
      </c>
      <c r="Z37" s="248">
        <f>IFERROR(INDEX(TableTECalcPts[Custom],MATCH(TableTEVORP[[#This Row],[RK]],TableTECalcPts[RK],0)),"")</f>
        <v>38.183041253692494</v>
      </c>
      <c r="AA37" s="249">
        <f>IFERROR((TableTEVORP[[#This Row],[FPS]]-INDEX(TableTEVORP[FPS],MATCH(TEVORPCalc,TableTEVORP[RK],0)))/INDEX(TableTEVORP[FPS],MATCH(TEVORPCalc,TableTEVORP[RK],0)),"")</f>
        <v>-0.62730942539411072</v>
      </c>
      <c r="AB37" s="246"/>
      <c r="AC37" s="250"/>
      <c r="AD37" s="250"/>
      <c r="AE37" s="250"/>
      <c r="AF37" s="250" t="s">
        <v>9</v>
      </c>
      <c r="AG37" s="250">
        <v>36</v>
      </c>
      <c r="AH37" s="251">
        <f>RANK(TableOverallMaster[[#This Row],[VORP]],TableOverallMaster[VORP])+COUNTIF($AM$2:AM37,AM37)-1</f>
        <v>270</v>
      </c>
      <c r="AI37" s="252" t="str">
        <f>IFERROR(INDEX(TableQBVORP[QUARTERBACK],MATCH(TableOverallMaster[[#This Row],[RK]],TableQBVORP[RK],0)),"")</f>
        <v>Matt Corral</v>
      </c>
      <c r="AJ37" s="252" t="str">
        <f t="shared" si="0"/>
        <v>QB36</v>
      </c>
      <c r="AK37" s="252">
        <f>IFERROR(INDEX(TableQBVORP[BYE],MATCH(TableOverallMaster[[#This Row],[RK]],TableQBVORP[RK],0)),"")</f>
        <v>13</v>
      </c>
      <c r="AL37" s="253">
        <f>IFERROR(INDEX(TableQBVORP[FPS],MATCH(TableOverallMaster[[#This Row],[RK]],TableQBVORP[RK],0)),"")</f>
        <v>76.001794257808797</v>
      </c>
      <c r="AM37" s="254">
        <f>IFERROR(INDEX(TableQBVORP[VORP],MATCH(TableOverallMaster[[#This Row],[RK]],TableQBVORP[RK],0)),"")</f>
        <v>-0.73189191398001041</v>
      </c>
      <c r="AN37" s="250"/>
      <c r="AO37" s="250">
        <v>36</v>
      </c>
      <c r="AP37" s="255" t="str">
        <f>IFERROR(INDEX(TableOverallMaster[OVERALL PLAYER],MATCH(TableOverallRank[[#This Row],[RK]],TableOverallMaster[OVR RK],0)),"")</f>
        <v>David Montgomery</v>
      </c>
      <c r="AQ37" s="256" t="str">
        <f>IFERROR(INDEX(TableOverallMaster[POS RK],MATCH(TableOverallRank[[#This Row],[OVERALL PLAYER]],TableOverallMaster[OVERALL PLAYER],0)),"")</f>
        <v>RB23</v>
      </c>
      <c r="AR37" s="257">
        <f>IFERROR(INDEX(TableOverallMaster[BYE],MATCH(TableOverallRank[[#This Row],[OVERALL PLAYER]],TableOverallMaster[OVERALL PLAYER],0)),"")</f>
        <v>14</v>
      </c>
      <c r="AS37" s="258">
        <f>IFERROR(INDEX(TableOverallMaster[Custom],MATCH(TableOverallRank[[#This Row],[OVERALL PLAYER]],TableOverallMaster[OVERALL PLAYER],0)),"")</f>
        <v>161.24434243597648</v>
      </c>
      <c r="AT37" s="259">
        <f>IFERROR(INDEX(TableOverallMaster[VORP],MATCH(TableOverallRank[[#This Row],[OVERALL PLAYER]],TableOverallMaster[OVERALL PLAYER],0)),"")</f>
        <v>0.59144949715934991</v>
      </c>
      <c r="AU37" s="250"/>
      <c r="AV37" s="246">
        <v>36</v>
      </c>
      <c r="AW37" s="260" t="str">
        <f>IFERROR(INDEX(TableWRTECalcPts[PLAYER],MATCH(TableWRTERank[[#This Row],[RK]],TableWRTECalcPts[RK],0)),"")</f>
        <v>Drake London</v>
      </c>
      <c r="AX37" s="260" t="str">
        <f>IFERROR(INDEX(TableWRTECalcPts[POS RK],MATCH(TableWRTERank[[#This Row],[WR and TE COMBINED]],TableWRTECalcPts[PLAYER],0)),"")</f>
        <v>WR33</v>
      </c>
      <c r="AY37" s="260">
        <f>IFERROR(INDEX(TableWRTECalcPts[BYE],MATCH(TableWRTERank[[#This Row],[RK]],TableWRTECalcPts[RK],0)),"")</f>
        <v>14</v>
      </c>
      <c r="AZ37" s="261">
        <f>IFERROR(INDEX(TableWRTECalcPts[Custom],MATCH(TableWRTERank[[#This Row],[RK]],TableWRTECalcPts[RK],0)),"")</f>
        <v>133.93393650127959</v>
      </c>
      <c r="BA37" s="249">
        <f>IFERROR((TableWRTERank[[#This Row],[FPS]]-INDEX(TableWRTERank[FPS],MATCH(WRTEVORPCalc,TableWRTERank[RK],0)))/INDEX(TableWRTERank[FPS],MATCH(WRTEVORPCalc,TableWRTERank[RK],0)),"")</f>
        <v>0.12786324488238532</v>
      </c>
      <c r="BC37" s="124" t="s">
        <v>358</v>
      </c>
      <c r="BD37" s="124">
        <v>36</v>
      </c>
      <c r="BE37" s="262">
        <f>RANK(TableWRTEMaster[[#This Row],[VORP]],TableWRTEMaster[VORP])+COUNTIF($BJ$2:BJ37,BJ37)-1</f>
        <v>41</v>
      </c>
      <c r="BF37" s="263" t="str">
        <f>IFERROR(INDEX(TableWRVORP[WIDE RECEIVER],MATCH(TableWRTEMaster[[#This Row],[RK]],TableWRVORP[RK],0)),"")</f>
        <v>Amon-Ra St. Brown</v>
      </c>
      <c r="BG37" s="263" t="str">
        <f>_xlfn.CONCAT(TableWRTEMaster[[#This Row],[POS]],TableWRTEMaster[[#This Row],[RK]])</f>
        <v>WR36</v>
      </c>
      <c r="BH37" s="263">
        <f>IFERROR(INDEX(TableWRVORP[BYE],MATCH(TableWRTEMaster[[#This Row],[RK]],TableWRVORP[RK],0)),"")</f>
        <v>6</v>
      </c>
      <c r="BI37" s="264">
        <f>IFERROR(INDEX(TableWRVORP[FPS],MATCH(TableWRTEMaster[[#This Row],[RK]],TableWRVORP[RK],0)),"")</f>
        <v>132.52196259296818</v>
      </c>
      <c r="BJ37" s="254">
        <f>IFERROR(INDEX(TableWRVORP[VORP],MATCH(TableWRTEMaster[[#This Row],[RK]],TableWRVORP[RK],0)),"")</f>
        <v>0.21610471846998561</v>
      </c>
    </row>
    <row r="38" spans="1:62" x14ac:dyDescent="0.3">
      <c r="A38" s="246">
        <v>37</v>
      </c>
      <c r="B38" s="247" t="str">
        <f>IFERROR(INDEX(TableQBCalcPts[PLAYER],MATCH(TableQBVORP[[#This Row],[RK]],TableQBCalcPts[RK],0)),"")</f>
        <v>Mitchell Trubisky</v>
      </c>
      <c r="C38" s="247" t="str">
        <f>IFERROR(INDEX(TableQBCalcPts[TM],MATCH(TableQBVORP[[#This Row],[RK]],TableQBCalcPts[RK],0)),"")</f>
        <v>PIT</v>
      </c>
      <c r="D38" s="247">
        <f>IFERROR(INDEX(TableQBCalcPts[BYE],MATCH(TableQBVORP[[#This Row],[RK]],TableQBCalcPts[RK],0)),"")</f>
        <v>9</v>
      </c>
      <c r="E38" s="248">
        <f>IFERROR(INDEX(TableQBCalcPts[Custom],MATCH(TableQBVORP[[#This Row],[RK]],TableQBCalcPts[RK],0)),"")</f>
        <v>54.43495605827907</v>
      </c>
      <c r="F38" s="249">
        <f>(IFERROR((TableQBVORP[[#This Row],[FPS]]-INDEX(TableQBVORP[FPS],MATCH(QBVORPCalc,TableQBVORP[RK],0)))/INDEX(TableQBVORP[FPS],MATCH(QBVORPCalc,TableQBVORP[RK],0)),""))+(TableRBVORP[[#This Row],[VORP]]*0.45)</f>
        <v>-0.79464901590284676</v>
      </c>
      <c r="G38" s="246"/>
      <c r="H38" s="246">
        <v>37</v>
      </c>
      <c r="I38" s="247" t="str">
        <f>IFERROR(INDEX(TableRBCalcPts[PLAYER],MATCH(TableRBVORP[[#This Row],[RK]],TableRBCalcPts[RK],0)),"")</f>
        <v>Gus Edwards</v>
      </c>
      <c r="J38" s="247" t="str">
        <f>IFERROR(INDEX(TableRBCalcPts[TM],MATCH(TableRBVORP[[#This Row],[RK]],TableRBCalcPts[RK],0)),"")</f>
        <v>BAL</v>
      </c>
      <c r="K38" s="247">
        <f>IFERROR(INDEX(TableRBCalcPts[BYE],MATCH(TableRBVORP[[#This Row],[RK]],TableRBCalcPts[RK],0)),"")</f>
        <v>10</v>
      </c>
      <c r="L38" s="248">
        <f>IFERROR(INDEX(TableRBCalcPts[Custom],MATCH(TableRBVORP[[#This Row],[RK]],TableRBCalcPts[RK],0)),"")</f>
        <v>115.70214139841576</v>
      </c>
      <c r="M38" s="249">
        <f>IFERROR((TableRBVORP[[#This Row],[FPS]]-INDEX(TableRBVORP[FPS],MATCH(RBVORPCalc,TableRBVORP[RK],0)))/INDEX(TableRBVORP[FPS],MATCH(RBVORPCalc,TableRBVORP[RK],0)),"")</f>
        <v>0.14195705701662606</v>
      </c>
      <c r="N38" s="246"/>
      <c r="O38" s="246">
        <v>37</v>
      </c>
      <c r="P38" s="247" t="str">
        <f>IFERROR(INDEX(TableWRCalcPts[PLAYER],MATCH(TableWRVORP[[#This Row],[RK]],TableWRCalcPts[RK],0)),"")</f>
        <v>Marquise Brown</v>
      </c>
      <c r="Q38" s="247" t="str">
        <f>IFERROR(INDEX(TableWRCalcPts[TM],MATCH(TableWRVORP[[#This Row],[RK]],TableWRCalcPts[RK],0)),"")</f>
        <v>ARI</v>
      </c>
      <c r="R38" s="247">
        <f>IFERROR(INDEX(TableWRCalcPts[BYE],MATCH(TableWRVORP[[#This Row],[RK]],TableWRCalcPts[RK],0)),"")</f>
        <v>13</v>
      </c>
      <c r="S38" s="248">
        <f>IFERROR(INDEX(TableWRCalcPts[Custom],MATCH(TableWRVORP[[#This Row],[RK]],TableWRCalcPts[RK],0)),"")</f>
        <v>131.59638525679199</v>
      </c>
      <c r="T38" s="249">
        <f>IFERROR((TableWRVORP[[#This Row],[FPS]]-INDEX(TableWRVORP[FPS],MATCH(WRVORPCalc,TableWRVORP[RK],0)))/INDEX(TableWRVORP[FPS],MATCH(WRVORPCalc,TableWRVORP[RK],0)),"")</f>
        <v>0.20761103980866105</v>
      </c>
      <c r="U38" s="246"/>
      <c r="V38" s="246">
        <v>37</v>
      </c>
      <c r="W38" s="247" t="str">
        <f>IFERROR(INDEX(TableTECalcPts[PLAYER],MATCH(TableTEVORP[[#This Row],[RK]],TableTECalcPts[RK],0)),"")</f>
        <v>Harrison Bryant</v>
      </c>
      <c r="X38" s="247" t="str">
        <f>IFERROR(INDEX(TableTECalcPts[TM],MATCH(TableTEVORP[[#This Row],[RK]],TableTECalcPts[RK],0)),"")</f>
        <v>CLE</v>
      </c>
      <c r="Y38" s="247">
        <f>IFERROR(INDEX(TableTECalcPts[BYE],MATCH(TableTEVORP[[#This Row],[RK]],TableTECalcPts[RK],0)),"")</f>
        <v>9</v>
      </c>
      <c r="Z38" s="248">
        <f>IFERROR(INDEX(TableTECalcPts[Custom],MATCH(TableTEVORP[[#This Row],[RK]],TableTECalcPts[RK],0)),"")</f>
        <v>38.106607571611121</v>
      </c>
      <c r="AA38" s="249">
        <f>IFERROR((TableTEVORP[[#This Row],[FPS]]-INDEX(TableTEVORP[FPS],MATCH(TEVORPCalc,TableTEVORP[RK],0)))/INDEX(TableTEVORP[FPS],MATCH(TEVORPCalc,TableTEVORP[RK],0)),"")</f>
        <v>-0.62805546635781717</v>
      </c>
      <c r="AB38" s="246"/>
      <c r="AC38" s="250"/>
      <c r="AD38" s="250"/>
      <c r="AE38" s="250"/>
      <c r="AF38" s="250" t="s">
        <v>9</v>
      </c>
      <c r="AG38" s="250">
        <v>37</v>
      </c>
      <c r="AH38" s="251">
        <f>RANK(TableOverallMaster[[#This Row],[VORP]],TableOverallMaster[VORP])+COUNTIF($AM$2:AM38,AM38)-1</f>
        <v>286</v>
      </c>
      <c r="AI38" s="252" t="str">
        <f>IFERROR(INDEX(TableQBVORP[QUARTERBACK],MATCH(TableOverallMaster[[#This Row],[RK]],TableQBVORP[RK],0)),"")</f>
        <v>Mitchell Trubisky</v>
      </c>
      <c r="AJ38" s="252" t="str">
        <f t="shared" si="0"/>
        <v>QB37</v>
      </c>
      <c r="AK38" s="252">
        <f>IFERROR(INDEX(TableQBVORP[BYE],MATCH(TableOverallMaster[[#This Row],[RK]],TableQBVORP[RK],0)),"")</f>
        <v>9</v>
      </c>
      <c r="AL38" s="253">
        <f>IFERROR(INDEX(TableQBVORP[FPS],MATCH(TableOverallMaster[[#This Row],[RK]],TableQBVORP[RK],0)),"")</f>
        <v>54.43495605827907</v>
      </c>
      <c r="AM38" s="254">
        <f>IFERROR(INDEX(TableQBVORP[VORP],MATCH(TableOverallMaster[[#This Row],[RK]],TableQBVORP[RK],0)),"")</f>
        <v>-0.79464901590284676</v>
      </c>
      <c r="AN38" s="250"/>
      <c r="AO38" s="250">
        <v>37</v>
      </c>
      <c r="AP38" s="255" t="str">
        <f>IFERROR(INDEX(TableOverallMaster[OVERALL PLAYER],MATCH(TableOverallRank[[#This Row],[RK]],TableOverallMaster[OVR RK],0)),"")</f>
        <v>Tee Higgins</v>
      </c>
      <c r="AQ38" s="256" t="str">
        <f>IFERROR(INDEX(TableOverallMaster[POS RK],MATCH(TableOverallRank[[#This Row],[OVERALL PLAYER]],TableOverallMaster[OVERALL PLAYER],0)),"")</f>
        <v>WR9</v>
      </c>
      <c r="AR38" s="257">
        <f>IFERROR(INDEX(TableOverallMaster[BYE],MATCH(TableOverallRank[[#This Row],[OVERALL PLAYER]],TableOverallMaster[OVERALL PLAYER],0)),"")</f>
        <v>10</v>
      </c>
      <c r="AS38" s="258">
        <f>IFERROR(INDEX(TableOverallMaster[Custom],MATCH(TableOverallRank[[#This Row],[OVERALL PLAYER]],TableOverallMaster[OVERALL PLAYER],0)),"")</f>
        <v>173.13026472375194</v>
      </c>
      <c r="AT38" s="259">
        <f>IFERROR(INDEX(TableOverallMaster[VORP],MATCH(TableOverallRank[[#This Row],[OVERALL PLAYER]],TableOverallMaster[OVERALL PLAYER],0)),"")</f>
        <v>0.5887519903941133</v>
      </c>
      <c r="AU38" s="250"/>
      <c r="AV38" s="246">
        <v>37</v>
      </c>
      <c r="AW38" s="260" t="str">
        <f>IFERROR(INDEX(TableWRTECalcPts[PLAYER],MATCH(TableWRTERank[[#This Row],[RK]],TableWRTECalcPts[RK],0)),"")</f>
        <v>Chris Godwin</v>
      </c>
      <c r="AX38" s="260" t="str">
        <f>IFERROR(INDEX(TableWRTECalcPts[POS RK],MATCH(TableWRTERank[[#This Row],[WR and TE COMBINED]],TableWRTECalcPts[PLAYER],0)),"")</f>
        <v>WR34</v>
      </c>
      <c r="AY38" s="260">
        <f>IFERROR(INDEX(TableWRTECalcPts[BYE],MATCH(TableWRTERank[[#This Row],[RK]],TableWRTECalcPts[RK],0)),"")</f>
        <v>11</v>
      </c>
      <c r="AZ38" s="261">
        <f>IFERROR(INDEX(TableWRTECalcPts[Custom],MATCH(TableWRTERank[[#This Row],[RK]],TableWRTECalcPts[RK],0)),"")</f>
        <v>132.66088916790426</v>
      </c>
      <c r="BA38" s="249">
        <f>IFERROR((TableWRTERank[[#This Row],[FPS]]-INDEX(TableWRTERank[FPS],MATCH(WRTEVORPCalc,TableWRTERank[RK],0)))/INDEX(TableWRTERank[FPS],MATCH(WRTEVORPCalc,TableWRTERank[RK],0)),"")</f>
        <v>0.11714286038673621</v>
      </c>
      <c r="BC38" s="124" t="s">
        <v>358</v>
      </c>
      <c r="BD38" s="124">
        <v>37</v>
      </c>
      <c r="BE38" s="262">
        <f>RANK(TableWRTEMaster[[#This Row],[VORP]],TableWRTEMaster[VORP])+COUNTIF($BJ$2:BJ38,BJ38)-1</f>
        <v>42</v>
      </c>
      <c r="BF38" s="263" t="str">
        <f>IFERROR(INDEX(TableWRVORP[WIDE RECEIVER],MATCH(TableWRTEMaster[[#This Row],[RK]],TableWRVORP[RK],0)),"")</f>
        <v>Marquise Brown</v>
      </c>
      <c r="BG38" s="263" t="str">
        <f>_xlfn.CONCAT(TableWRTEMaster[[#This Row],[POS]],TableWRTEMaster[[#This Row],[RK]])</f>
        <v>WR37</v>
      </c>
      <c r="BH38" s="263">
        <f>IFERROR(INDEX(TableWRVORP[BYE],MATCH(TableWRTEMaster[[#This Row],[RK]],TableWRVORP[RK],0)),"")</f>
        <v>13</v>
      </c>
      <c r="BI38" s="264">
        <f>IFERROR(INDEX(TableWRVORP[FPS],MATCH(TableWRTEMaster[[#This Row],[RK]],TableWRVORP[RK],0)),"")</f>
        <v>131.59638525679199</v>
      </c>
      <c r="BJ38" s="254">
        <f>IFERROR(INDEX(TableWRVORP[VORP],MATCH(TableWRTEMaster[[#This Row],[RK]],TableWRVORP[RK],0)),"")</f>
        <v>0.20761103980866105</v>
      </c>
    </row>
    <row r="39" spans="1:62" x14ac:dyDescent="0.3">
      <c r="A39" s="246">
        <v>38</v>
      </c>
      <c r="B39" s="247" t="str">
        <f>IFERROR(INDEX(TableQBCalcPts[PLAYER],MATCH(TableQBVORP[[#This Row],[RK]],TableQBCalcPts[RK],0)),"")</f>
        <v>Taysom Hill</v>
      </c>
      <c r="C39" s="247" t="str">
        <f>IFERROR(INDEX(TableQBCalcPts[TM],MATCH(TableQBVORP[[#This Row],[RK]],TableQBCalcPts[RK],0)),"")</f>
        <v>NO</v>
      </c>
      <c r="D39" s="247">
        <f>IFERROR(INDEX(TableQBCalcPts[BYE],MATCH(TableQBVORP[[#This Row],[RK]],TableQBCalcPts[RK],0)),"")</f>
        <v>14</v>
      </c>
      <c r="E39" s="248">
        <f>IFERROR(INDEX(TableQBCalcPts[Custom],MATCH(TableQBVORP[[#This Row],[RK]],TableQBCalcPts[RK],0)),"")</f>
        <v>43.6576146450805</v>
      </c>
      <c r="F39" s="249">
        <f>(IFERROR((TableQBVORP[[#This Row],[FPS]]-INDEX(TableQBVORP[FPS],MATCH(QBVORPCalc,TableQBVORP[RK],0)))/INDEX(TableQBVORP[FPS],MATCH(QBVORPCalc,TableQBVORP[RK],0)),""))+(TableRBVORP[[#This Row],[VORP]]*0.45)</f>
        <v>-0.82790357148771931</v>
      </c>
      <c r="G39" s="246"/>
      <c r="H39" s="246">
        <v>38</v>
      </c>
      <c r="I39" s="247" t="str">
        <f>IFERROR(INDEX(TableRBCalcPts[PLAYER],MATCH(TableRBVORP[[#This Row],[RK]],TableRBCalcPts[RK],0)),"")</f>
        <v>Rhamondre Stevenson</v>
      </c>
      <c r="J39" s="247" t="str">
        <f>IFERROR(INDEX(TableRBCalcPts[TM],MATCH(TableRBVORP[[#This Row],[RK]],TableRBCalcPts[RK],0)),"")</f>
        <v>NE</v>
      </c>
      <c r="K39" s="247">
        <f>IFERROR(INDEX(TableRBCalcPts[BYE],MATCH(TableRBVORP[[#This Row],[RK]],TableRBCalcPts[RK],0)),"")</f>
        <v>10</v>
      </c>
      <c r="L39" s="248">
        <f>IFERROR(INDEX(TableRBCalcPts[Custom],MATCH(TableRBVORP[[#This Row],[RK]],TableRBCalcPts[RK],0)),"")</f>
        <v>114.52110630677849</v>
      </c>
      <c r="M39" s="249">
        <f>IFERROR((TableRBVORP[[#This Row],[FPS]]-INDEX(TableRBVORP[FPS],MATCH(RBVORPCalc,TableRBVORP[RK],0)))/INDEX(TableRBVORP[FPS],MATCH(RBVORPCalc,TableRBVORP[RK],0)),"")</f>
        <v>0.13030047623792387</v>
      </c>
      <c r="N39" s="246"/>
      <c r="O39" s="246">
        <v>38</v>
      </c>
      <c r="P39" s="247" t="str">
        <f>IFERROR(INDEX(TableWRCalcPts[PLAYER],MATCH(TableWRVORP[[#This Row],[RK]],TableWRCalcPts[RK],0)),"")</f>
        <v>Christian Kirk</v>
      </c>
      <c r="Q39" s="247" t="str">
        <f>IFERROR(INDEX(TableWRCalcPts[TM],MATCH(TableWRVORP[[#This Row],[RK]],TableWRCalcPts[RK],0)),"")</f>
        <v>JAX</v>
      </c>
      <c r="R39" s="247">
        <f>IFERROR(INDEX(TableWRCalcPts[BYE],MATCH(TableWRVORP[[#This Row],[RK]],TableWRCalcPts[RK],0)),"")</f>
        <v>11</v>
      </c>
      <c r="S39" s="248">
        <f>IFERROR(INDEX(TableWRCalcPts[Custom],MATCH(TableWRVORP[[#This Row],[RK]],TableWRCalcPts[RK],0)),"")</f>
        <v>124.06080172234979</v>
      </c>
      <c r="T39" s="249">
        <f>IFERROR((TableWRVORP[[#This Row],[FPS]]-INDEX(TableWRVORP[FPS],MATCH(WRVORPCalc,TableWRVORP[RK],0)))/INDEX(TableWRVORP[FPS],MATCH(WRVORPCalc,TableWRVORP[RK],0)),"")</f>
        <v>0.13845979488779731</v>
      </c>
      <c r="U39" s="246"/>
      <c r="V39" s="246">
        <v>38</v>
      </c>
      <c r="W39" s="247" t="str">
        <f>IFERROR(INDEX(TableTECalcPts[PLAYER],MATCH(TableTEVORP[[#This Row],[RK]],TableTECalcPts[RK],0)),"")</f>
        <v>O.J. Howard</v>
      </c>
      <c r="X39" s="247" t="str">
        <f>IFERROR(INDEX(TableTECalcPts[TM],MATCH(TableTEVORP[[#This Row],[RK]],TableTECalcPts[RK],0)),"")</f>
        <v>BUF</v>
      </c>
      <c r="Y39" s="247">
        <f>IFERROR(INDEX(TableTECalcPts[BYE],MATCH(TableTEVORP[[#This Row],[RK]],TableTECalcPts[RK],0)),"")</f>
        <v>7</v>
      </c>
      <c r="Z39" s="248">
        <f>IFERROR(INDEX(TableTECalcPts[Custom],MATCH(TableTEVORP[[#This Row],[RK]],TableTECalcPts[RK],0)),"")</f>
        <v>35.057279579450409</v>
      </c>
      <c r="AA39" s="249">
        <f>IFERROR((TableTEVORP[[#This Row],[FPS]]-INDEX(TableTEVORP[FPS],MATCH(TEVORPCalc,TableTEVORP[RK],0)))/INDEX(TableTEVORP[FPS],MATCH(TEVORPCalc,TableTEVORP[RK],0)),"")</f>
        <v>-0.6578188315651472</v>
      </c>
      <c r="AB39" s="246"/>
      <c r="AC39" s="250"/>
      <c r="AD39" s="250"/>
      <c r="AE39" s="250"/>
      <c r="AF39" s="250" t="s">
        <v>9</v>
      </c>
      <c r="AG39" s="250">
        <v>38</v>
      </c>
      <c r="AH39" s="251">
        <f>RANK(TableOverallMaster[[#This Row],[VORP]],TableOverallMaster[VORP])+COUNTIF($AM$2:AM39,AM39)-1</f>
        <v>292</v>
      </c>
      <c r="AI39" s="252" t="str">
        <f>IFERROR(INDEX(TableQBVORP[QUARTERBACK],MATCH(TableOverallMaster[[#This Row],[RK]],TableQBVORP[RK],0)),"")</f>
        <v>Taysom Hill</v>
      </c>
      <c r="AJ39" s="252" t="str">
        <f t="shared" si="0"/>
        <v>QB38</v>
      </c>
      <c r="AK39" s="252">
        <f>IFERROR(INDEX(TableQBVORP[BYE],MATCH(TableOverallMaster[[#This Row],[RK]],TableQBVORP[RK],0)),"")</f>
        <v>14</v>
      </c>
      <c r="AL39" s="253">
        <f>IFERROR(INDEX(TableQBVORP[FPS],MATCH(TableOverallMaster[[#This Row],[RK]],TableQBVORP[RK],0)),"")</f>
        <v>43.6576146450805</v>
      </c>
      <c r="AM39" s="254">
        <f>IFERROR(INDEX(TableQBVORP[VORP],MATCH(TableOverallMaster[[#This Row],[RK]],TableQBVORP[RK],0)),"")</f>
        <v>-0.82790357148771931</v>
      </c>
      <c r="AN39" s="250"/>
      <c r="AO39" s="250">
        <v>38</v>
      </c>
      <c r="AP39" s="255" t="str">
        <f>IFERROR(INDEX(TableOverallMaster[OVERALL PLAYER],MATCH(TableOverallRank[[#This Row],[RK]],TableOverallMaster[OVR RK],0)),"")</f>
        <v>Breece Hall</v>
      </c>
      <c r="AQ39" s="256" t="str">
        <f>IFERROR(INDEX(TableOverallMaster[POS RK],MATCH(TableOverallRank[[#This Row],[OVERALL PLAYER]],TableOverallMaster[OVERALL PLAYER],0)),"")</f>
        <v>RB24</v>
      </c>
      <c r="AR39" s="257">
        <f>IFERROR(INDEX(TableOverallMaster[BYE],MATCH(TableOverallRank[[#This Row],[OVERALL PLAYER]],TableOverallMaster[OVERALL PLAYER],0)),"")</f>
        <v>10</v>
      </c>
      <c r="AS39" s="258">
        <f>IFERROR(INDEX(TableOverallMaster[Custom],MATCH(TableOverallRank[[#This Row],[OVERALL PLAYER]],TableOverallMaster[OVERALL PLAYER],0)),"")</f>
        <v>160.02904924432423</v>
      </c>
      <c r="AT39" s="259">
        <f>IFERROR(INDEX(TableOverallMaster[VORP],MATCH(TableOverallRank[[#This Row],[OVERALL PLAYER]],TableOverallMaster[OVERALL PLAYER],0)),"")</f>
        <v>0.57945479576680903</v>
      </c>
      <c r="AU39" s="250"/>
      <c r="AV39" s="246">
        <v>38</v>
      </c>
      <c r="AW39" s="260" t="str">
        <f>IFERROR(INDEX(TableWRTECalcPts[PLAYER],MATCH(TableWRTERank[[#This Row],[RK]],TableWRTECalcPts[RK],0)),"")</f>
        <v>Hunter Renfrow</v>
      </c>
      <c r="AX39" s="260" t="str">
        <f>IFERROR(INDEX(TableWRTECalcPts[POS RK],MATCH(TableWRTERank[[#This Row],[WR and TE COMBINED]],TableWRTECalcPts[PLAYER],0)),"")</f>
        <v>WR35</v>
      </c>
      <c r="AY39" s="260">
        <f>IFERROR(INDEX(TableWRTECalcPts[BYE],MATCH(TableWRTERank[[#This Row],[RK]],TableWRTECalcPts[RK],0)),"")</f>
        <v>6</v>
      </c>
      <c r="AZ39" s="261">
        <f>IFERROR(INDEX(TableWRTECalcPts[Custom],MATCH(TableWRTERank[[#This Row],[RK]],TableWRTECalcPts[RK],0)),"")</f>
        <v>132.55605237294674</v>
      </c>
      <c r="BA39" s="249">
        <f>IFERROR((TableWRTERank[[#This Row],[FPS]]-INDEX(TableWRTERank[FPS],MATCH(WRTEVORPCalc,TableWRTERank[RK],0)))/INDEX(TableWRTERank[FPS],MATCH(WRTEVORPCalc,TableWRTERank[RK],0)),"")</f>
        <v>0.11626002537992128</v>
      </c>
      <c r="BC39" s="124" t="s">
        <v>358</v>
      </c>
      <c r="BD39" s="124">
        <v>38</v>
      </c>
      <c r="BE39" s="262">
        <f>RANK(TableWRTEMaster[[#This Row],[VORP]],TableWRTEMaster[VORP])+COUNTIF($BJ$2:BJ39,BJ39)-1</f>
        <v>45</v>
      </c>
      <c r="BF39" s="263" t="str">
        <f>IFERROR(INDEX(TableWRVORP[WIDE RECEIVER],MATCH(TableWRTEMaster[[#This Row],[RK]],TableWRVORP[RK],0)),"")</f>
        <v>Christian Kirk</v>
      </c>
      <c r="BG39" s="263" t="str">
        <f>_xlfn.CONCAT(TableWRTEMaster[[#This Row],[POS]],TableWRTEMaster[[#This Row],[RK]])</f>
        <v>WR38</v>
      </c>
      <c r="BH39" s="263">
        <f>IFERROR(INDEX(TableWRVORP[BYE],MATCH(TableWRTEMaster[[#This Row],[RK]],TableWRVORP[RK],0)),"")</f>
        <v>11</v>
      </c>
      <c r="BI39" s="264">
        <f>IFERROR(INDEX(TableWRVORP[FPS],MATCH(TableWRTEMaster[[#This Row],[RK]],TableWRVORP[RK],0)),"")</f>
        <v>124.06080172234979</v>
      </c>
      <c r="BJ39" s="254">
        <f>IFERROR(INDEX(TableWRVORP[VORP],MATCH(TableWRTEMaster[[#This Row],[RK]],TableWRVORP[RK],0)),"")</f>
        <v>0.13845979488779731</v>
      </c>
    </row>
    <row r="40" spans="1:62" x14ac:dyDescent="0.3">
      <c r="A40" s="246">
        <v>39</v>
      </c>
      <c r="B40" s="247" t="str">
        <f>IFERROR(INDEX(TableQBCalcPts[PLAYER],MATCH(TableQBVORP[[#This Row],[RK]],TableQBCalcPts[RK],0)),"")</f>
        <v>Tyrod Taylor</v>
      </c>
      <c r="C40" s="247" t="str">
        <f>IFERROR(INDEX(TableQBCalcPts[TM],MATCH(TableQBVORP[[#This Row],[RK]],TableQBCalcPts[RK],0)),"")</f>
        <v>NYG</v>
      </c>
      <c r="D40" s="247">
        <f>IFERROR(INDEX(TableQBCalcPts[BYE],MATCH(TableQBVORP[[#This Row],[RK]],TableQBCalcPts[RK],0)),"")</f>
        <v>9</v>
      </c>
      <c r="E40" s="248">
        <f>IFERROR(INDEX(TableQBCalcPts[Custom],MATCH(TableQBVORP[[#This Row],[RK]],TableQBCalcPts[RK],0)),"")</f>
        <v>28.036483896196742</v>
      </c>
      <c r="F40" s="249">
        <f>(IFERROR((TableQBVORP[[#This Row],[FPS]]-INDEX(TableQBVORP[FPS],MATCH(QBVORPCalc,TableQBVORP[RK],0)))/INDEX(TableQBVORP[FPS],MATCH(QBVORPCalc,TableQBVORP[RK],0)),""))+(TableRBVORP[[#This Row],[VORP]]*0.45)</f>
        <v>-0.89017388889965365</v>
      </c>
      <c r="G40" s="246"/>
      <c r="H40" s="246">
        <v>39</v>
      </c>
      <c r="I40" s="247" t="str">
        <f>IFERROR(INDEX(TableRBCalcPts[PLAYER],MATCH(TableRBVORP[[#This Row],[RK]],TableRBCalcPts[RK],0)),"")</f>
        <v>Ronald Jones</v>
      </c>
      <c r="J40" s="247" t="str">
        <f>IFERROR(INDEX(TableRBCalcPts[TM],MATCH(TableRBVORP[[#This Row],[RK]],TableRBCalcPts[RK],0)),"")</f>
        <v>KC</v>
      </c>
      <c r="K40" s="247">
        <f>IFERROR(INDEX(TableRBCalcPts[BYE],MATCH(TableRBVORP[[#This Row],[RK]],TableRBCalcPts[RK],0)),"")</f>
        <v>8</v>
      </c>
      <c r="L40" s="248">
        <f>IFERROR(INDEX(TableRBCalcPts[Custom],MATCH(TableRBVORP[[#This Row],[RK]],TableRBCalcPts[RK],0)),"")</f>
        <v>109.64140367045293</v>
      </c>
      <c r="M40" s="249">
        <f>IFERROR((TableRBVORP[[#This Row],[FPS]]-INDEX(TableRBVORP[FPS],MATCH(RBVORPCalc,TableRBVORP[RK],0)))/INDEX(TableRBVORP[FPS],MATCH(RBVORPCalc,TableRBVORP[RK],0)),"")</f>
        <v>8.2138784549727423E-2</v>
      </c>
      <c r="N40" s="246"/>
      <c r="O40" s="246">
        <v>39</v>
      </c>
      <c r="P40" s="247" t="str">
        <f>IFERROR(INDEX(TableWRCalcPts[PLAYER],MATCH(TableWRVORP[[#This Row],[RK]],TableWRCalcPts[RK],0)),"")</f>
        <v>Adam Thielen</v>
      </c>
      <c r="Q40" s="247" t="str">
        <f>IFERROR(INDEX(TableWRCalcPts[TM],MATCH(TableWRVORP[[#This Row],[RK]],TableWRCalcPts[RK],0)),"")</f>
        <v>MIN</v>
      </c>
      <c r="R40" s="247">
        <f>IFERROR(INDEX(TableWRCalcPts[BYE],MATCH(TableWRVORP[[#This Row],[RK]],TableWRCalcPts[RK],0)),"")</f>
        <v>7</v>
      </c>
      <c r="S40" s="248">
        <f>IFERROR(INDEX(TableWRCalcPts[Custom],MATCH(TableWRVORP[[#This Row],[RK]],TableWRCalcPts[RK],0)),"")</f>
        <v>123.40827254262244</v>
      </c>
      <c r="T40" s="249">
        <f>IFERROR((TableWRVORP[[#This Row],[FPS]]-INDEX(TableWRVORP[FPS],MATCH(WRVORPCalc,TableWRVORP[RK],0)))/INDEX(TableWRVORP[FPS],MATCH(WRVORPCalc,TableWRVORP[RK],0)),"")</f>
        <v>0.13247177751408021</v>
      </c>
      <c r="U40" s="246"/>
      <c r="V40" s="246">
        <v>39</v>
      </c>
      <c r="W40" s="247" t="str">
        <f>IFERROR(INDEX(TableTECalcPts[PLAYER],MATCH(TableTEVORP[[#This Row],[RK]],TableTECalcPts[RK],0)),"")</f>
        <v>Donald Parham</v>
      </c>
      <c r="X40" s="247" t="str">
        <f>IFERROR(INDEX(TableTECalcPts[TM],MATCH(TableTEVORP[[#This Row],[RK]],TableTECalcPts[RK],0)),"")</f>
        <v>LAC</v>
      </c>
      <c r="Y40" s="247">
        <f>IFERROR(INDEX(TableTECalcPts[BYE],MATCH(TableTEVORP[[#This Row],[RK]],TableTECalcPts[RK],0)),"")</f>
        <v>8</v>
      </c>
      <c r="Z40" s="248">
        <f>IFERROR(INDEX(TableTECalcPts[Custom],MATCH(TableTEVORP[[#This Row],[RK]],TableTECalcPts[RK],0)),"")</f>
        <v>32.820358387610085</v>
      </c>
      <c r="AA40" s="249">
        <f>IFERROR((TableTEVORP[[#This Row],[FPS]]-INDEX(TableTEVORP[FPS],MATCH(TEVORPCalc,TableTEVORP[RK],0)))/INDEX(TableTEVORP[FPS],MATCH(TEVORPCalc,TableTEVORP[RK],0)),"")</f>
        <v>-0.67965259380519505</v>
      </c>
      <c r="AB40" s="246"/>
      <c r="AC40" s="250"/>
      <c r="AD40" s="250"/>
      <c r="AE40" s="250"/>
      <c r="AF40" s="250" t="s">
        <v>9</v>
      </c>
      <c r="AG40" s="250">
        <v>39</v>
      </c>
      <c r="AH40" s="251">
        <f>RANK(TableOverallMaster[[#This Row],[VORP]],TableOverallMaster[VORP])+COUNTIF($AM$2:AM40,AM40)-1</f>
        <v>299</v>
      </c>
      <c r="AI40" s="252" t="str">
        <f>IFERROR(INDEX(TableQBVORP[QUARTERBACK],MATCH(TableOverallMaster[[#This Row],[RK]],TableQBVORP[RK],0)),"")</f>
        <v>Tyrod Taylor</v>
      </c>
      <c r="AJ40" s="252" t="str">
        <f t="shared" si="0"/>
        <v>QB39</v>
      </c>
      <c r="AK40" s="252">
        <f>IFERROR(INDEX(TableQBVORP[BYE],MATCH(TableOverallMaster[[#This Row],[RK]],TableQBVORP[RK],0)),"")</f>
        <v>9</v>
      </c>
      <c r="AL40" s="253">
        <f>IFERROR(INDEX(TableQBVORP[FPS],MATCH(TableOverallMaster[[#This Row],[RK]],TableQBVORP[RK],0)),"")</f>
        <v>28.036483896196742</v>
      </c>
      <c r="AM40" s="254">
        <f>IFERROR(INDEX(TableQBVORP[VORP],MATCH(TableOverallMaster[[#This Row],[RK]],TableQBVORP[RK],0)),"")</f>
        <v>-0.89017388889965365</v>
      </c>
      <c r="AN40" s="250"/>
      <c r="AO40" s="250">
        <v>39</v>
      </c>
      <c r="AP40" s="255" t="str">
        <f>IFERROR(INDEX(TableOverallMaster[OVERALL PLAYER],MATCH(TableOverallRank[[#This Row],[RK]],TableOverallMaster[OVR RK],0)),"")</f>
        <v>Travis Etienne</v>
      </c>
      <c r="AQ40" s="256" t="str">
        <f>IFERROR(INDEX(TableOverallMaster[POS RK],MATCH(TableOverallRank[[#This Row],[OVERALL PLAYER]],TableOverallMaster[OVERALL PLAYER],0)),"")</f>
        <v>RB25</v>
      </c>
      <c r="AR40" s="257">
        <f>IFERROR(INDEX(TableOverallMaster[BYE],MATCH(TableOverallRank[[#This Row],[OVERALL PLAYER]],TableOverallMaster[OVERALL PLAYER],0)),"")</f>
        <v>11</v>
      </c>
      <c r="AS40" s="258">
        <f>IFERROR(INDEX(TableOverallMaster[Custom],MATCH(TableOverallRank[[#This Row],[OVERALL PLAYER]],TableOverallMaster[OVERALL PLAYER],0)),"")</f>
        <v>159.76301092855081</v>
      </c>
      <c r="AT40" s="259">
        <f>IFERROR(INDEX(TableOverallMaster[VORP],MATCH(TableOverallRank[[#This Row],[OVERALL PLAYER]],TableOverallMaster[OVERALL PLAYER],0)),"")</f>
        <v>0.57682905065559165</v>
      </c>
      <c r="AU40" s="250"/>
      <c r="AV40" s="246">
        <v>39</v>
      </c>
      <c r="AW40" s="260" t="str">
        <f>IFERROR(INDEX(TableWRTECalcPts[PLAYER],MATCH(TableWRTERank[[#This Row],[RK]],TableWRTECalcPts[RK],0)),"")</f>
        <v>Amon-Ra St. Brown</v>
      </c>
      <c r="AX40" s="260" t="str">
        <f>IFERROR(INDEX(TableWRTECalcPts[POS RK],MATCH(TableWRTERank[[#This Row],[WR and TE COMBINED]],TableWRTECalcPts[PLAYER],0)),"")</f>
        <v>WR36</v>
      </c>
      <c r="AY40" s="260">
        <f>IFERROR(INDEX(TableWRTECalcPts[BYE],MATCH(TableWRTERank[[#This Row],[RK]],TableWRTECalcPts[RK],0)),"")</f>
        <v>6</v>
      </c>
      <c r="AZ40" s="261">
        <f>IFERROR(INDEX(TableWRTECalcPts[Custom],MATCH(TableWRTERank[[#This Row],[RK]],TableWRTECalcPts[RK],0)),"")</f>
        <v>132.52196259296818</v>
      </c>
      <c r="BA40" s="249">
        <f>IFERROR((TableWRTERank[[#This Row],[FPS]]-INDEX(TableWRTERank[FPS],MATCH(WRTEVORPCalc,TableWRTERank[RK],0)))/INDEX(TableWRTERank[FPS],MATCH(WRTEVORPCalc,TableWRTERank[RK],0)),"")</f>
        <v>0.11597295392612603</v>
      </c>
      <c r="BC40" s="124" t="s">
        <v>358</v>
      </c>
      <c r="BD40" s="124">
        <v>39</v>
      </c>
      <c r="BE40" s="262">
        <f>RANK(TableWRTEMaster[[#This Row],[VORP]],TableWRTEMaster[VORP])+COUNTIF($BJ$2:BJ40,BJ40)-1</f>
        <v>46</v>
      </c>
      <c r="BF40" s="263" t="str">
        <f>IFERROR(INDEX(TableWRVORP[WIDE RECEIVER],MATCH(TableWRTEMaster[[#This Row],[RK]],TableWRVORP[RK],0)),"")</f>
        <v>Adam Thielen</v>
      </c>
      <c r="BG40" s="263" t="str">
        <f>_xlfn.CONCAT(TableWRTEMaster[[#This Row],[POS]],TableWRTEMaster[[#This Row],[RK]])</f>
        <v>WR39</v>
      </c>
      <c r="BH40" s="263">
        <f>IFERROR(INDEX(TableWRVORP[BYE],MATCH(TableWRTEMaster[[#This Row],[RK]],TableWRVORP[RK],0)),"")</f>
        <v>7</v>
      </c>
      <c r="BI40" s="264">
        <f>IFERROR(INDEX(TableWRVORP[FPS],MATCH(TableWRTEMaster[[#This Row],[RK]],TableWRVORP[RK],0)),"")</f>
        <v>123.40827254262244</v>
      </c>
      <c r="BJ40" s="254">
        <f>IFERROR(INDEX(TableWRVORP[VORP],MATCH(TableWRTEMaster[[#This Row],[RK]],TableWRVORP[RK],0)),"")</f>
        <v>0.13247177751408021</v>
      </c>
    </row>
    <row r="41" spans="1:62" x14ac:dyDescent="0.3">
      <c r="A41" s="246">
        <v>40</v>
      </c>
      <c r="B41" s="247" t="str">
        <f>IFERROR(INDEX(TableQBCalcPts[PLAYER],MATCH(TableQBVORP[[#This Row],[RK]],TableQBCalcPts[RK],0)),"")</f>
        <v>Gardner Minshew</v>
      </c>
      <c r="C41" s="247" t="str">
        <f>IFERROR(INDEX(TableQBCalcPts[TM],MATCH(TableQBVORP[[#This Row],[RK]],TableQBCalcPts[RK],0)),"")</f>
        <v>PHI</v>
      </c>
      <c r="D41" s="247">
        <f>IFERROR(INDEX(TableQBCalcPts[BYE],MATCH(TableQBVORP[[#This Row],[RK]],TableQBCalcPts[RK],0)),"")</f>
        <v>7</v>
      </c>
      <c r="E41" s="248">
        <f>IFERROR(INDEX(TableQBCalcPts[Custom],MATCH(TableQBVORP[[#This Row],[RK]],TableQBCalcPts[RK],0)),"")</f>
        <v>18.33636913744019</v>
      </c>
      <c r="F41" s="249">
        <f>(IFERROR((TableQBVORP[[#This Row],[FPS]]-INDEX(TableQBVORP[FPS],MATCH(QBVORPCalc,TableQBVORP[RK],0)))/INDEX(TableQBVORP[FPS],MATCH(QBVORPCalc,TableQBVORP[RK],0)),""))+(TableRBVORP[[#This Row],[VORP]]*0.45)</f>
        <v>-0.93733825300843077</v>
      </c>
      <c r="G41" s="246"/>
      <c r="H41" s="246">
        <v>40</v>
      </c>
      <c r="I41" s="247" t="str">
        <f>IFERROR(INDEX(TableRBCalcPts[PLAYER],MATCH(TableRBVORP[[#This Row],[RK]],TableRBCalcPts[RK],0)),"")</f>
        <v>Isaiah Spiller</v>
      </c>
      <c r="J41" s="247" t="str">
        <f>IFERROR(INDEX(TableRBCalcPts[TM],MATCH(TableRBVORP[[#This Row],[RK]],TableRBCalcPts[RK],0)),"")</f>
        <v>LAC</v>
      </c>
      <c r="K41" s="247">
        <f>IFERROR(INDEX(TableRBCalcPts[BYE],MATCH(TableRBVORP[[#This Row],[RK]],TableRBCalcPts[RK],0)),"")</f>
        <v>8</v>
      </c>
      <c r="L41" s="248">
        <f>IFERROR(INDEX(TableRBCalcPts[Custom],MATCH(TableRBVORP[[#This Row],[RK]],TableRBCalcPts[RK],0)),"")</f>
        <v>104.69818536642967</v>
      </c>
      <c r="M41" s="249">
        <f>IFERROR((TableRBVORP[[#This Row],[FPS]]-INDEX(TableRBVORP[FPS],MATCH(RBVORPCalc,TableRBVORP[RK],0)))/INDEX(TableRBVORP[FPS],MATCH(RBVORPCalc,TableRBVORP[RK],0)),"")</f>
        <v>3.3350205890539233E-2</v>
      </c>
      <c r="N41" s="246"/>
      <c r="O41" s="246">
        <v>40</v>
      </c>
      <c r="P41" s="247" t="str">
        <f>IFERROR(INDEX(TableWRCalcPts[PLAYER],MATCH(TableWRVORP[[#This Row],[RK]],TableWRCalcPts[RK],0)),"")</f>
        <v>Michael Gallup</v>
      </c>
      <c r="Q41" s="247" t="str">
        <f>IFERROR(INDEX(TableWRCalcPts[TM],MATCH(TableWRVORP[[#This Row],[RK]],TableWRCalcPts[RK],0)),"")</f>
        <v>DAL</v>
      </c>
      <c r="R41" s="247">
        <f>IFERROR(INDEX(TableWRCalcPts[BYE],MATCH(TableWRVORP[[#This Row],[RK]],TableWRCalcPts[RK],0)),"")</f>
        <v>9</v>
      </c>
      <c r="S41" s="248">
        <f>IFERROR(INDEX(TableWRCalcPts[Custom],MATCH(TableWRVORP[[#This Row],[RK]],TableWRCalcPts[RK],0)),"")</f>
        <v>123.27371421730166</v>
      </c>
      <c r="T41" s="249">
        <f>IFERROR((TableWRVORP[[#This Row],[FPS]]-INDEX(TableWRVORP[FPS],MATCH(WRVORPCalc,TableWRVORP[RK],0)))/INDEX(TableWRVORP[FPS],MATCH(WRVORPCalc,TableWRVORP[RK],0)),"")</f>
        <v>0.13123698585290761</v>
      </c>
      <c r="U41" s="246"/>
      <c r="V41" s="246">
        <v>40</v>
      </c>
      <c r="W41" s="247" t="str">
        <f>IFERROR(INDEX(TableTECalcPts[PLAYER],MATCH(TableTEVORP[[#This Row],[RK]],TableTECalcPts[RK],0)),"")</f>
        <v>Jordan Akins</v>
      </c>
      <c r="X41" s="247" t="str">
        <f>IFERROR(INDEX(TableTECalcPts[TM],MATCH(TableTEVORP[[#This Row],[RK]],TableTECalcPts[RK],0)),"")</f>
        <v>NYG</v>
      </c>
      <c r="Y41" s="247">
        <f>IFERROR(INDEX(TableTECalcPts[BYE],MATCH(TableTEVORP[[#This Row],[RK]],TableTECalcPts[RK],0)),"")</f>
        <v>9</v>
      </c>
      <c r="Z41" s="248">
        <f>IFERROR(INDEX(TableTECalcPts[Custom],MATCH(TableTEVORP[[#This Row],[RK]],TableTECalcPts[RK],0)),"")</f>
        <v>31.016681903522954</v>
      </c>
      <c r="AA41" s="249">
        <f>IFERROR((TableTEVORP[[#This Row],[FPS]]-INDEX(TableTEVORP[FPS],MATCH(TEVORPCalc,TableTEVORP[RK],0)))/INDEX(TableTEVORP[FPS],MATCH(TEVORPCalc,TableTEVORP[RK],0)),"")</f>
        <v>-0.6972576143375121</v>
      </c>
      <c r="AB41" s="246"/>
      <c r="AC41" s="250"/>
      <c r="AD41" s="250"/>
      <c r="AE41" s="250"/>
      <c r="AF41" s="250" t="s">
        <v>9</v>
      </c>
      <c r="AG41" s="250">
        <v>40</v>
      </c>
      <c r="AH41" s="251">
        <f>RANK(TableOverallMaster[[#This Row],[VORP]],TableOverallMaster[VORP])+COUNTIF($AM$2:AM41,AM41)-1</f>
        <v>300</v>
      </c>
      <c r="AI41" s="252" t="str">
        <f>IFERROR(INDEX(TableQBVORP[QUARTERBACK],MATCH(TableOverallMaster[[#This Row],[RK]],TableQBVORP[RK],0)),"")</f>
        <v>Gardner Minshew</v>
      </c>
      <c r="AJ41" s="252" t="str">
        <f t="shared" si="0"/>
        <v>QB40</v>
      </c>
      <c r="AK41" s="252">
        <f>IFERROR(INDEX(TableQBVORP[BYE],MATCH(TableOverallMaster[[#This Row],[RK]],TableQBVORP[RK],0)),"")</f>
        <v>7</v>
      </c>
      <c r="AL41" s="253">
        <f>IFERROR(INDEX(TableQBVORP[FPS],MATCH(TableOverallMaster[[#This Row],[RK]],TableQBVORP[RK],0)),"")</f>
        <v>18.33636913744019</v>
      </c>
      <c r="AM41" s="254">
        <f>IFERROR(INDEX(TableQBVORP[VORP],MATCH(TableOverallMaster[[#This Row],[RK]],TableQBVORP[RK],0)),"")</f>
        <v>-0.93733825300843077</v>
      </c>
      <c r="AN41" s="250"/>
      <c r="AO41" s="250">
        <v>40</v>
      </c>
      <c r="AP41" s="255" t="str">
        <f>IFERROR(INDEX(TableOverallMaster[OVERALL PLAYER],MATCH(TableOverallRank[[#This Row],[RK]],TableOverallMaster[OVR RK],0)),"")</f>
        <v>Lamar Jackson</v>
      </c>
      <c r="AQ41" s="256" t="str">
        <f>IFERROR(INDEX(TableOverallMaster[POS RK],MATCH(TableOverallRank[[#This Row],[OVERALL PLAYER]],TableOverallMaster[OVERALL PLAYER],0)),"")</f>
        <v>QB5</v>
      </c>
      <c r="AR41" s="257">
        <f>IFERROR(INDEX(TableOverallMaster[BYE],MATCH(TableOverallRank[[#This Row],[OVERALL PLAYER]],TableOverallMaster[OVERALL PLAYER],0)),"")</f>
        <v>10</v>
      </c>
      <c r="AS41" s="258">
        <f>IFERROR(INDEX(TableOverallMaster[Custom],MATCH(TableOverallRank[[#This Row],[OVERALL PLAYER]],TableOverallMaster[OVERALL PLAYER],0)),"")</f>
        <v>381.77774616144228</v>
      </c>
      <c r="AT41" s="259">
        <f>IFERROR(INDEX(TableOverallMaster[VORP],MATCH(TableOverallRank[[#This Row],[OVERALL PLAYER]],TableOverallMaster[OVERALL PLAYER],0)),"")</f>
        <v>0.57412262512358048</v>
      </c>
      <c r="AU41" s="250"/>
      <c r="AV41" s="246">
        <v>40</v>
      </c>
      <c r="AW41" s="260" t="str">
        <f>IFERROR(INDEX(TableWRTECalcPts[PLAYER],MATCH(TableWRTERank[[#This Row],[RK]],TableWRTECalcPts[RK],0)),"")</f>
        <v>Darren Waller</v>
      </c>
      <c r="AX41" s="260" t="str">
        <f>IFERROR(INDEX(TableWRTECalcPts[POS RK],MATCH(TableWRTERank[[#This Row],[WR and TE COMBINED]],TableWRTECalcPts[PLAYER],0)),"")</f>
        <v>TE4</v>
      </c>
      <c r="AY41" s="260">
        <f>IFERROR(INDEX(TableWRTECalcPts[BYE],MATCH(TableWRTERank[[#This Row],[RK]],TableWRTECalcPts[RK],0)),"")</f>
        <v>6</v>
      </c>
      <c r="AZ41" s="261">
        <f>IFERROR(INDEX(TableWRTECalcPts[Custom],MATCH(TableWRTERank[[#This Row],[RK]],TableWRTECalcPts[RK],0)),"")</f>
        <v>131.83146212938658</v>
      </c>
      <c r="BA41" s="249">
        <f>IFERROR((TableWRTERank[[#This Row],[FPS]]-INDEX(TableWRTERank[FPS],MATCH(WRTEVORPCalc,TableWRTERank[RK],0)))/INDEX(TableWRTERank[FPS],MATCH(WRTEVORPCalc,TableWRTERank[RK],0)),"")</f>
        <v>0.11015822082865977</v>
      </c>
      <c r="BC41" s="124" t="s">
        <v>358</v>
      </c>
      <c r="BD41" s="124">
        <v>40</v>
      </c>
      <c r="BE41" s="262">
        <f>RANK(TableWRTEMaster[[#This Row],[VORP]],TableWRTEMaster[VORP])+COUNTIF($BJ$2:BJ41,BJ41)-1</f>
        <v>47</v>
      </c>
      <c r="BF41" s="263" t="str">
        <f>IFERROR(INDEX(TableWRVORP[WIDE RECEIVER],MATCH(TableWRTEMaster[[#This Row],[RK]],TableWRVORP[RK],0)),"")</f>
        <v>Michael Gallup</v>
      </c>
      <c r="BG41" s="263" t="str">
        <f>_xlfn.CONCAT(TableWRTEMaster[[#This Row],[POS]],TableWRTEMaster[[#This Row],[RK]])</f>
        <v>WR40</v>
      </c>
      <c r="BH41" s="263">
        <f>IFERROR(INDEX(TableWRVORP[BYE],MATCH(TableWRTEMaster[[#This Row],[RK]],TableWRVORP[RK],0)),"")</f>
        <v>9</v>
      </c>
      <c r="BI41" s="264">
        <f>IFERROR(INDEX(TableWRVORP[FPS],MATCH(TableWRTEMaster[[#This Row],[RK]],TableWRVORP[RK],0)),"")</f>
        <v>123.27371421730166</v>
      </c>
      <c r="BJ41" s="254">
        <f>IFERROR(INDEX(TableWRVORP[VORP],MATCH(TableWRTEMaster[[#This Row],[RK]],TableWRVORP[RK],0)),"")</f>
        <v>0.13123698585290761</v>
      </c>
    </row>
    <row r="42" spans="1:62" x14ac:dyDescent="0.3">
      <c r="A42" s="246">
        <v>41</v>
      </c>
      <c r="B42" s="247" t="str">
        <f>IFERROR(INDEX(TableQBCalcPts[PLAYER],MATCH(TableQBVORP[[#This Row],[RK]],TableQBCalcPts[RK],0)),"")</f>
        <v>Tyler Huntley</v>
      </c>
      <c r="C42" s="247" t="str">
        <f>IFERROR(INDEX(TableQBCalcPts[TM],MATCH(TableQBVORP[[#This Row],[RK]],TableQBCalcPts[RK],0)),"")</f>
        <v>BAL</v>
      </c>
      <c r="D42" s="247">
        <f>IFERROR(INDEX(TableQBCalcPts[BYE],MATCH(TableQBVORP[[#This Row],[RK]],TableQBCalcPts[RK],0)),"")</f>
        <v>10</v>
      </c>
      <c r="E42" s="248">
        <f>IFERROR(INDEX(TableQBCalcPts[Custom],MATCH(TableQBVORP[[#This Row],[RK]],TableQBCalcPts[RK],0)),"")</f>
        <v>12.528292274562727</v>
      </c>
      <c r="F42" s="249">
        <f>(IFERROR((TableQBVORP[[#This Row],[FPS]]-INDEX(TableQBVORP[FPS],MATCH(QBVORPCalc,TableQBVORP[RK],0)))/INDEX(TableQBVORP[FPS],MATCH(QBVORPCalc,TableQBVORP[RK],0)),""))+(TableRBVORP[[#This Row],[VORP]]*0.45)</f>
        <v>-0.95401685567375405</v>
      </c>
      <c r="G42" s="246"/>
      <c r="H42" s="246">
        <v>41</v>
      </c>
      <c r="I42" s="247" t="str">
        <f>IFERROR(INDEX(TableRBCalcPts[PLAYER],MATCH(TableRBVORP[[#This Row],[RK]],TableRBCalcPts[RK],0)),"")</f>
        <v>Khalil Herbert</v>
      </c>
      <c r="J42" s="247" t="str">
        <f>IFERROR(INDEX(TableRBCalcPts[TM],MATCH(TableRBVORP[[#This Row],[RK]],TableRBCalcPts[RK],0)),"")</f>
        <v>CHI</v>
      </c>
      <c r="K42" s="247">
        <f>IFERROR(INDEX(TableRBCalcPts[BYE],MATCH(TableRBVORP[[#This Row],[RK]],TableRBCalcPts[RK],0)),"")</f>
        <v>14</v>
      </c>
      <c r="L42" s="248">
        <f>IFERROR(INDEX(TableRBCalcPts[Custom],MATCH(TableRBVORP[[#This Row],[RK]],TableRBCalcPts[RK],0)),"")</f>
        <v>104.34152696576828</v>
      </c>
      <c r="M42" s="249">
        <f>IFERROR((TableRBVORP[[#This Row],[FPS]]-INDEX(TableRBVORP[FPS],MATCH(RBVORPCalc,TableRBVORP[RK],0)))/INDEX(TableRBVORP[FPS],MATCH(RBVORPCalc,TableRBVORP[RK],0)),"")</f>
        <v>2.9830058617058331E-2</v>
      </c>
      <c r="N42" s="246"/>
      <c r="O42" s="246">
        <v>41</v>
      </c>
      <c r="P42" s="247" t="str">
        <f>IFERROR(INDEX(TableWRCalcPts[PLAYER],MATCH(TableWRVORP[[#This Row],[RK]],TableWRCalcPts[RK],0)),"")</f>
        <v>Robert Woods</v>
      </c>
      <c r="Q42" s="247" t="str">
        <f>IFERROR(INDEX(TableWRCalcPts[TM],MATCH(TableWRVORP[[#This Row],[RK]],TableWRCalcPts[RK],0)),"")</f>
        <v>TEN</v>
      </c>
      <c r="R42" s="247">
        <f>IFERROR(INDEX(TableWRCalcPts[BYE],MATCH(TableWRVORP[[#This Row],[RK]],TableWRCalcPts[RK],0)),"")</f>
        <v>6</v>
      </c>
      <c r="S42" s="248">
        <f>IFERROR(INDEX(TableWRCalcPts[Custom],MATCH(TableWRVORP[[#This Row],[RK]],TableWRCalcPts[RK],0)),"")</f>
        <v>121.23371183487117</v>
      </c>
      <c r="T42" s="249">
        <f>IFERROR((TableWRVORP[[#This Row],[FPS]]-INDEX(TableWRVORP[FPS],MATCH(WRVORPCalc,TableWRVORP[RK],0)))/INDEX(TableWRVORP[FPS],MATCH(WRVORPCalc,TableWRVORP[RK],0)),"")</f>
        <v>0.1125166433947786</v>
      </c>
      <c r="U42" s="246"/>
      <c r="V42" s="246">
        <v>41</v>
      </c>
      <c r="W42" s="247" t="str">
        <f>IFERROR(INDEX(TableTECalcPts[PLAYER],MATCH(TableTEVORP[[#This Row],[RK]],TableTECalcPts[RK],0)),"")</f>
        <v>Foster Moreau</v>
      </c>
      <c r="X42" s="247" t="str">
        <f>IFERROR(INDEX(TableTECalcPts[TM],MATCH(TableTEVORP[[#This Row],[RK]],TableTECalcPts[RK],0)),"")</f>
        <v>LV</v>
      </c>
      <c r="Y42" s="247">
        <f>IFERROR(INDEX(TableTECalcPts[BYE],MATCH(TableTEVORP[[#This Row],[RK]],TableTECalcPts[RK],0)),"")</f>
        <v>6</v>
      </c>
      <c r="Z42" s="248">
        <f>IFERROR(INDEX(TableTECalcPts[Custom],MATCH(TableTEVORP[[#This Row],[RK]],TableTECalcPts[RK],0)),"")</f>
        <v>29.607862319138633</v>
      </c>
      <c r="AA42" s="249">
        <f>IFERROR((TableTEVORP[[#This Row],[FPS]]-INDEX(TableTEVORP[FPS],MATCH(TEVORPCalc,TableTEVORP[RK],0)))/INDEX(TableTEVORP[FPS],MATCH(TEVORPCalc,TableTEVORP[RK],0)),"")</f>
        <v>-0.71100858238983944</v>
      </c>
      <c r="AB42" s="246"/>
      <c r="AC42" s="250"/>
      <c r="AD42" s="250"/>
      <c r="AE42" s="250"/>
      <c r="AF42" s="250" t="s">
        <v>357</v>
      </c>
      <c r="AG42" s="250">
        <v>1</v>
      </c>
      <c r="AH42" s="251">
        <f>RANK(TableOverallMaster[[#This Row],[VORP]],TableOverallMaster[VORP])+COUNTIF($AM$2:AM42,AM42)-1</f>
        <v>1</v>
      </c>
      <c r="AI42" s="252" t="str">
        <f>IFERROR(INDEX(TableRBVORP[RUNNING BACK],MATCH(TableOverallMaster[[#This Row],[RK]],TableRBVORP[RK],0)),"")</f>
        <v>Jonathan Taylor</v>
      </c>
      <c r="AJ42" s="252" t="str">
        <f t="shared" si="0"/>
        <v>RB1</v>
      </c>
      <c r="AK42" s="252">
        <f>IFERROR(INDEX(TableRBVORP[BYE],MATCH(TableOverallMaster[[#This Row],[RK]],TableRBVORP[RK],0)),"")</f>
        <v>14</v>
      </c>
      <c r="AL42" s="253">
        <f>IFERROR(INDEX(TableRBVORP[FPS],MATCH(TableOverallMaster[[#This Row],[RK]],TableRBVORP[RK],0)),"")</f>
        <v>302.80832149563741</v>
      </c>
      <c r="AM42" s="254">
        <f>IFERROR(INDEX(TableRBVORP[VORP],MATCH(TableOverallMaster[[#This Row],[RK]],TableRBVORP[RK],0)),"")</f>
        <v>1.9886577333480293</v>
      </c>
      <c r="AN42" s="250"/>
      <c r="AO42" s="250">
        <v>41</v>
      </c>
      <c r="AP42" s="255" t="str">
        <f>IFERROR(INDEX(TableOverallMaster[OVERALL PLAYER],MATCH(TableOverallRank[[#This Row],[RK]],TableOverallMaster[OVR RK],0)),"")</f>
        <v>Tyreek Hill</v>
      </c>
      <c r="AQ42" s="256" t="str">
        <f>IFERROR(INDEX(TableOverallMaster[POS RK],MATCH(TableOverallRank[[#This Row],[OVERALL PLAYER]],TableOverallMaster[OVERALL PLAYER],0)),"")</f>
        <v>WR10</v>
      </c>
      <c r="AR42" s="257">
        <f>IFERROR(INDEX(TableOverallMaster[BYE],MATCH(TableOverallRank[[#This Row],[OVERALL PLAYER]],TableOverallMaster[OVERALL PLAYER],0)),"")</f>
        <v>11</v>
      </c>
      <c r="AS42" s="258">
        <f>IFERROR(INDEX(TableOverallMaster[Custom],MATCH(TableOverallRank[[#This Row],[OVERALL PLAYER]],TableOverallMaster[OVERALL PLAYER],0)),"")</f>
        <v>170.43250907909703</v>
      </c>
      <c r="AT42" s="259">
        <f>IFERROR(INDEX(TableOverallMaster[VORP],MATCH(TableOverallRank[[#This Row],[OVERALL PLAYER]],TableOverallMaster[OVERALL PLAYER],0)),"")</f>
        <v>0.56399569110189363</v>
      </c>
      <c r="AU42" s="250"/>
      <c r="AV42" s="246">
        <v>41</v>
      </c>
      <c r="AW42" s="260" t="str">
        <f>IFERROR(INDEX(TableWRTECalcPts[PLAYER],MATCH(TableWRTERank[[#This Row],[RK]],TableWRTECalcPts[RK],0)),"")</f>
        <v>Marquise Brown</v>
      </c>
      <c r="AX42" s="260" t="str">
        <f>IFERROR(INDEX(TableWRTECalcPts[POS RK],MATCH(TableWRTERank[[#This Row],[WR and TE COMBINED]],TableWRTECalcPts[PLAYER],0)),"")</f>
        <v>WR37</v>
      </c>
      <c r="AY42" s="260">
        <f>IFERROR(INDEX(TableWRTECalcPts[BYE],MATCH(TableWRTERank[[#This Row],[RK]],TableWRTECalcPts[RK],0)),"")</f>
        <v>13</v>
      </c>
      <c r="AZ42" s="261">
        <f>IFERROR(INDEX(TableWRTECalcPts[Custom],MATCH(TableWRTERank[[#This Row],[RK]],TableWRTECalcPts[RK],0)),"")</f>
        <v>131.59638525679199</v>
      </c>
      <c r="BA42" s="249">
        <f>IFERROR((TableWRTERank[[#This Row],[FPS]]-INDEX(TableWRTERank[FPS],MATCH(WRTEVORPCalc,TableWRTERank[RK],0)))/INDEX(TableWRTERank[FPS],MATCH(WRTEVORPCalc,TableWRTERank[RK],0)),"")</f>
        <v>0.10817862871595572</v>
      </c>
      <c r="BC42" s="124" t="s">
        <v>358</v>
      </c>
      <c r="BD42" s="124">
        <v>41</v>
      </c>
      <c r="BE42" s="262">
        <f>RANK(TableWRTEMaster[[#This Row],[VORP]],TableWRTEMaster[VORP])+COUNTIF($BJ$2:BJ42,BJ42)-1</f>
        <v>48</v>
      </c>
      <c r="BF42" s="263" t="str">
        <f>IFERROR(INDEX(TableWRVORP[WIDE RECEIVER],MATCH(TableWRTEMaster[[#This Row],[RK]],TableWRVORP[RK],0)),"")</f>
        <v>Robert Woods</v>
      </c>
      <c r="BG42" s="263" t="str">
        <f>_xlfn.CONCAT(TableWRTEMaster[[#This Row],[POS]],TableWRTEMaster[[#This Row],[RK]])</f>
        <v>WR41</v>
      </c>
      <c r="BH42" s="263">
        <f>IFERROR(INDEX(TableWRVORP[BYE],MATCH(TableWRTEMaster[[#This Row],[RK]],TableWRVORP[RK],0)),"")</f>
        <v>6</v>
      </c>
      <c r="BI42" s="264">
        <f>IFERROR(INDEX(TableWRVORP[FPS],MATCH(TableWRTEMaster[[#This Row],[RK]],TableWRVORP[RK],0)),"")</f>
        <v>121.23371183487117</v>
      </c>
      <c r="BJ42" s="254">
        <f>IFERROR(INDEX(TableWRVORP[VORP],MATCH(TableWRTEMaster[[#This Row],[RK]],TableWRVORP[RK],0)),"")</f>
        <v>0.1125166433947786</v>
      </c>
    </row>
    <row r="43" spans="1:62" x14ac:dyDescent="0.3">
      <c r="A43" s="246">
        <v>42</v>
      </c>
      <c r="B43" s="247" t="str">
        <f>IFERROR(INDEX(TableQBCalcPts[PLAYER],MATCH(TableQBVORP[[#This Row],[RK]],TableQBCalcPts[RK],0)),"")</f>
        <v>Kyle Allen</v>
      </c>
      <c r="C43" s="247" t="str">
        <f>IFERROR(INDEX(TableQBCalcPts[TM],MATCH(TableQBVORP[[#This Row],[RK]],TableQBCalcPts[RK],0)),"")</f>
        <v>HOU</v>
      </c>
      <c r="D43" s="247">
        <f>IFERROR(INDEX(TableQBCalcPts[BYE],MATCH(TableQBVORP[[#This Row],[RK]],TableQBCalcPts[RK],0)),"")</f>
        <v>6</v>
      </c>
      <c r="E43" s="248">
        <f>IFERROR(INDEX(TableQBCalcPts[Custom],MATCH(TableQBVORP[[#This Row],[RK]],TableQBCalcPts[RK],0)),"")</f>
        <v>12.49472066411383</v>
      </c>
      <c r="F43" s="249">
        <f>(IFERROR((TableQBVORP[[#This Row],[FPS]]-INDEX(TableQBVORP[FPS],MATCH(QBVORPCalc,TableQBVORP[RK],0)))/INDEX(TableQBVORP[FPS],MATCH(QBVORPCalc,TableQBVORP[RK],0)),""))+(TableRBVORP[[#This Row],[VORP]]*0.45)</f>
        <v>-0.96752763087881866</v>
      </c>
      <c r="G43" s="246"/>
      <c r="H43" s="246">
        <v>42</v>
      </c>
      <c r="I43" s="247" t="str">
        <f>IFERROR(INDEX(TableRBCalcPts[PLAYER],MATCH(TableRBVORP[[#This Row],[RK]],TableRBCalcPts[RK],0)),"")</f>
        <v>Mark Ingram</v>
      </c>
      <c r="J43" s="247" t="str">
        <f>IFERROR(INDEX(TableRBCalcPts[TM],MATCH(TableRBVORP[[#This Row],[RK]],TableRBCalcPts[RK],0)),"")</f>
        <v>NO</v>
      </c>
      <c r="K43" s="247">
        <f>IFERROR(INDEX(TableRBCalcPts[BYE],MATCH(TableRBVORP[[#This Row],[RK]],TableRBCalcPts[RK],0)),"")</f>
        <v>14</v>
      </c>
      <c r="L43" s="248">
        <f>IFERROR(INDEX(TableRBCalcPts[Custom],MATCH(TableRBVORP[[#This Row],[RK]],TableRBCalcPts[RK],0)),"")</f>
        <v>101.31917018025943</v>
      </c>
      <c r="M43" s="249">
        <f>IFERROR((TableRBVORP[[#This Row],[FPS]]-INDEX(TableRBVORP[FPS],MATCH(RBVORPCalc,TableRBVORP[RK],0)))/INDEX(TableRBVORP[FPS],MATCH(RBVORPCalc,TableRBVORP[RK],0)),"")</f>
        <v>0</v>
      </c>
      <c r="N43" s="246"/>
      <c r="O43" s="246">
        <v>42</v>
      </c>
      <c r="P43" s="247" t="str">
        <f>IFERROR(INDEX(TableWRCalcPts[PLAYER],MATCH(TableWRVORP[[#This Row],[RK]],TableWRCalcPts[RK],0)),"")</f>
        <v>Russell Gage</v>
      </c>
      <c r="Q43" s="247" t="str">
        <f>IFERROR(INDEX(TableWRCalcPts[TM],MATCH(TableWRVORP[[#This Row],[RK]],TableWRCalcPts[RK],0)),"")</f>
        <v>TB</v>
      </c>
      <c r="R43" s="247">
        <f>IFERROR(INDEX(TableWRCalcPts[BYE],MATCH(TableWRVORP[[#This Row],[RK]],TableWRCalcPts[RK],0)),"")</f>
        <v>11</v>
      </c>
      <c r="S43" s="248">
        <f>IFERROR(INDEX(TableWRCalcPts[Custom],MATCH(TableWRVORP[[#This Row],[RK]],TableWRCalcPts[RK],0)),"")</f>
        <v>119.91450420586676</v>
      </c>
      <c r="T43" s="249">
        <f>IFERROR((TableWRVORP[[#This Row],[FPS]]-INDEX(TableWRVORP[FPS],MATCH(WRVORPCalc,TableWRVORP[RK],0)))/INDEX(TableWRVORP[FPS],MATCH(WRVORPCalc,TableWRVORP[RK],0)),"")</f>
        <v>0.10041076606785324</v>
      </c>
      <c r="U43" s="246"/>
      <c r="V43" s="246">
        <v>42</v>
      </c>
      <c r="W43" s="247" t="str">
        <f>IFERROR(INDEX(TableTECalcPts[PLAYER],MATCH(TableTEVORP[[#This Row],[RK]],TableTECalcPts[RK],0)),"")</f>
        <v>Tyler Conklin</v>
      </c>
      <c r="X43" s="247" t="str">
        <f>IFERROR(INDEX(TableTECalcPts[TM],MATCH(TableTEVORP[[#This Row],[RK]],TableTECalcPts[RK],0)),"")</f>
        <v>NYJ</v>
      </c>
      <c r="Y43" s="247">
        <f>IFERROR(INDEX(TableTECalcPts[BYE],MATCH(TableTEVORP[[#This Row],[RK]],TableTECalcPts[RK],0)),"")</f>
        <v>10</v>
      </c>
      <c r="Z43" s="248">
        <f>IFERROR(INDEX(TableTECalcPts[Custom],MATCH(TableTEVORP[[#This Row],[RK]],TableTECalcPts[RK],0)),"")</f>
        <v>29.058916736132929</v>
      </c>
      <c r="AA43" s="249">
        <f>IFERROR((TableTEVORP[[#This Row],[FPS]]-INDEX(TableTEVORP[FPS],MATCH(TEVORPCalc,TableTEVORP[RK],0)))/INDEX(TableTEVORP[FPS],MATCH(TEVORPCalc,TableTEVORP[RK],0)),"")</f>
        <v>-0.7163666376426534</v>
      </c>
      <c r="AB43" s="246"/>
      <c r="AC43" s="250"/>
      <c r="AD43" s="250"/>
      <c r="AE43" s="250"/>
      <c r="AF43" s="250" t="s">
        <v>357</v>
      </c>
      <c r="AG43" s="250">
        <v>2</v>
      </c>
      <c r="AH43" s="251">
        <f>RANK(TableOverallMaster[[#This Row],[VORP]],TableOverallMaster[VORP])+COUNTIF($AM$2:AM43,AM43)-1</f>
        <v>2</v>
      </c>
      <c r="AI43" s="252" t="str">
        <f>IFERROR(INDEX(TableRBVORP[RUNNING BACK],MATCH(TableOverallMaster[[#This Row],[RK]],TableRBVORP[RK],0)),"")</f>
        <v>Derrick Henry</v>
      </c>
      <c r="AJ43" s="252" t="str">
        <f t="shared" si="0"/>
        <v>RB2</v>
      </c>
      <c r="AK43" s="252">
        <f>IFERROR(INDEX(TableRBVORP[BYE],MATCH(TableOverallMaster[[#This Row],[RK]],TableRBVORP[RK],0)),"")</f>
        <v>6</v>
      </c>
      <c r="AL43" s="253">
        <f>IFERROR(INDEX(TableRBVORP[FPS],MATCH(TableOverallMaster[[#This Row],[RK]],TableRBVORP[RK],0)),"")</f>
        <v>289.44642681060907</v>
      </c>
      <c r="AM43" s="254">
        <f>IFERROR(INDEX(TableRBVORP[VORP],MATCH(TableOverallMaster[[#This Row],[RK]],TableRBVORP[RK],0)),"")</f>
        <v>1.8567784980438329</v>
      </c>
      <c r="AN43" s="250"/>
      <c r="AO43" s="250">
        <v>42</v>
      </c>
      <c r="AP43" s="255" t="str">
        <f>IFERROR(INDEX(TableOverallMaster[OVERALL PLAYER],MATCH(TableOverallRank[[#This Row],[RK]],TableOverallMaster[OVR RK],0)),"")</f>
        <v>Mark Andrews</v>
      </c>
      <c r="AQ43" s="256" t="str">
        <f>IFERROR(INDEX(TableOverallMaster[POS RK],MATCH(TableOverallRank[[#This Row],[OVERALL PLAYER]],TableOverallMaster[OVERALL PLAYER],0)),"")</f>
        <v>TE2</v>
      </c>
      <c r="AR43" s="257">
        <f>IFERROR(INDEX(TableOverallMaster[BYE],MATCH(TableOverallRank[[#This Row],[OVERALL PLAYER]],TableOverallMaster[OVERALL PLAYER],0)),"")</f>
        <v>10</v>
      </c>
      <c r="AS43" s="258">
        <f>IFERROR(INDEX(TableOverallMaster[Custom],MATCH(TableOverallRank[[#This Row],[OVERALL PLAYER]],TableOverallMaster[OVERALL PLAYER],0)),"")</f>
        <v>159.94886032288994</v>
      </c>
      <c r="AT43" s="259">
        <f>IFERROR(INDEX(TableOverallMaster[VORP],MATCH(TableOverallRank[[#This Row],[OVERALL PLAYER]],TableOverallMaster[OVERALL PLAYER],0)),"")</f>
        <v>0.56120179807652848</v>
      </c>
      <c r="AU43" s="250"/>
      <c r="AV43" s="246">
        <v>42</v>
      </c>
      <c r="AW43" s="260" t="str">
        <f>IFERROR(INDEX(TableWRTECalcPts[PLAYER],MATCH(TableWRTERank[[#This Row],[RK]],TableWRTECalcPts[RK],0)),"")</f>
        <v>George Kittle</v>
      </c>
      <c r="AX43" s="260" t="str">
        <f>IFERROR(INDEX(TableWRTECalcPts[POS RK],MATCH(TableWRTERank[[#This Row],[WR and TE COMBINED]],TableWRTECalcPts[PLAYER],0)),"")</f>
        <v>TE5</v>
      </c>
      <c r="AY43" s="260">
        <f>IFERROR(INDEX(TableWRTECalcPts[BYE],MATCH(TableWRTERank[[#This Row],[RK]],TableWRTECalcPts[RK],0)),"")</f>
        <v>9</v>
      </c>
      <c r="AZ43" s="261">
        <f>IFERROR(INDEX(TableWRTECalcPts[Custom],MATCH(TableWRTERank[[#This Row],[RK]],TableWRTECalcPts[RK],0)),"")</f>
        <v>126.30437701272027</v>
      </c>
      <c r="BA43" s="249">
        <f>IFERROR((TableWRTERank[[#This Row],[FPS]]-INDEX(TableWRTERank[FPS],MATCH(WRTEVORPCalc,TableWRTERank[RK],0)))/INDEX(TableWRTERank[FPS],MATCH(WRTEVORPCalc,TableWRTERank[RK],0)),"")</f>
        <v>6.361440738400044E-2</v>
      </c>
      <c r="BC43" s="124" t="s">
        <v>358</v>
      </c>
      <c r="BD43" s="124">
        <v>42</v>
      </c>
      <c r="BE43" s="262">
        <f>RANK(TableWRTEMaster[[#This Row],[VORP]],TableWRTEMaster[VORP])+COUNTIF($BJ$2:BJ43,BJ43)-1</f>
        <v>49</v>
      </c>
      <c r="BF43" s="263" t="str">
        <f>IFERROR(INDEX(TableWRVORP[WIDE RECEIVER],MATCH(TableWRTEMaster[[#This Row],[RK]],TableWRVORP[RK],0)),"")</f>
        <v>Russell Gage</v>
      </c>
      <c r="BG43" s="263" t="str">
        <f>_xlfn.CONCAT(TableWRTEMaster[[#This Row],[POS]],TableWRTEMaster[[#This Row],[RK]])</f>
        <v>WR42</v>
      </c>
      <c r="BH43" s="263">
        <f>IFERROR(INDEX(TableWRVORP[BYE],MATCH(TableWRTEMaster[[#This Row],[RK]],TableWRVORP[RK],0)),"")</f>
        <v>11</v>
      </c>
      <c r="BI43" s="264">
        <f>IFERROR(INDEX(TableWRVORP[FPS],MATCH(TableWRTEMaster[[#This Row],[RK]],TableWRVORP[RK],0)),"")</f>
        <v>119.91450420586676</v>
      </c>
      <c r="BJ43" s="254">
        <f>IFERROR(INDEX(TableWRVORP[VORP],MATCH(TableWRTEMaster[[#This Row],[RK]],TableWRVORP[RK],0)),"")</f>
        <v>0.10041076606785324</v>
      </c>
    </row>
    <row r="44" spans="1:62" x14ac:dyDescent="0.3">
      <c r="A44" s="246">
        <v>43</v>
      </c>
      <c r="B44" s="247" t="str">
        <f>IFERROR(INDEX(TableQBCalcPts[PLAYER],MATCH(TableQBVORP[[#This Row],[RK]],TableQBCalcPts[RK],0)),"")</f>
        <v>Cooper Rush</v>
      </c>
      <c r="C44" s="247" t="str">
        <f>IFERROR(INDEX(TableQBCalcPts[TM],MATCH(TableQBVORP[[#This Row],[RK]],TableQBCalcPts[RK],0)),"")</f>
        <v>DAL</v>
      </c>
      <c r="D44" s="247">
        <f>IFERROR(INDEX(TableQBCalcPts[BYE],MATCH(TableQBVORP[[#This Row],[RK]],TableQBCalcPts[RK],0)),"")</f>
        <v>9</v>
      </c>
      <c r="E44" s="248">
        <f>IFERROR(INDEX(TableQBCalcPts[Custom],MATCH(TableQBVORP[[#This Row],[RK]],TableQBCalcPts[RK],0)),"")</f>
        <v>12.262783830998966</v>
      </c>
      <c r="F44" s="249">
        <f>(IFERROR((TableQBVORP[[#This Row],[FPS]]-INDEX(TableQBVORP[FPS],MATCH(QBVORPCalc,TableQBVORP[RK],0)))/INDEX(TableQBVORP[FPS],MATCH(QBVORPCalc,TableQBVORP[RK],0)),""))+(TableRBVORP[[#This Row],[VORP]]*0.45)</f>
        <v>-0.97440360004676729</v>
      </c>
      <c r="G44" s="246"/>
      <c r="H44" s="246">
        <v>43</v>
      </c>
      <c r="I44" s="247" t="str">
        <f>IFERROR(INDEX(TableRBCalcPts[PLAYER],MATCH(TableRBVORP[[#This Row],[RK]],TableRBCalcPts[RK],0)),"")</f>
        <v>Alexander Mattison</v>
      </c>
      <c r="J44" s="247" t="str">
        <f>IFERROR(INDEX(TableRBCalcPts[TM],MATCH(TableRBVORP[[#This Row],[RK]],TableRBCalcPts[RK],0)),"")</f>
        <v>MIN</v>
      </c>
      <c r="K44" s="247">
        <f>IFERROR(INDEX(TableRBCalcPts[BYE],MATCH(TableRBVORP[[#This Row],[RK]],TableRBCalcPts[RK],0)),"")</f>
        <v>7</v>
      </c>
      <c r="L44" s="248">
        <f>IFERROR(INDEX(TableRBCalcPts[Custom],MATCH(TableRBVORP[[#This Row],[RK]],TableRBCalcPts[RK],0)),"")</f>
        <v>99.906737828742521</v>
      </c>
      <c r="M44" s="249">
        <f>IFERROR((TableRBVORP[[#This Row],[FPS]]-INDEX(TableRBVORP[FPS],MATCH(RBVORPCalc,TableRBVORP[RK],0)))/INDEX(TableRBVORP[FPS],MATCH(RBVORPCalc,TableRBVORP[RK],0)),"")</f>
        <v>-1.3940425577943633E-2</v>
      </c>
      <c r="N44" s="246"/>
      <c r="O44" s="246">
        <v>43</v>
      </c>
      <c r="P44" s="247" t="str">
        <f>IFERROR(INDEX(TableWRCalcPts[PLAYER],MATCH(TableWRVORP[[#This Row],[RK]],TableWRCalcPts[RK],0)),"")</f>
        <v>Garrett Wilson</v>
      </c>
      <c r="Q44" s="247" t="str">
        <f>IFERROR(INDEX(TableWRCalcPts[TM],MATCH(TableWRVORP[[#This Row],[RK]],TableWRCalcPts[RK],0)),"")</f>
        <v>NYJ</v>
      </c>
      <c r="R44" s="247">
        <f>IFERROR(INDEX(TableWRCalcPts[BYE],MATCH(TableWRVORP[[#This Row],[RK]],TableWRCalcPts[RK],0)),"")</f>
        <v>10</v>
      </c>
      <c r="S44" s="248">
        <f>IFERROR(INDEX(TableWRCalcPts[Custom],MATCH(TableWRVORP[[#This Row],[RK]],TableWRCalcPts[RK],0)),"")</f>
        <v>118.75015619934166</v>
      </c>
      <c r="T44" s="249">
        <f>IFERROR((TableWRVORP[[#This Row],[FPS]]-INDEX(TableWRVORP[FPS],MATCH(WRVORPCalc,TableWRVORP[RK],0)))/INDEX(TableWRVORP[FPS],MATCH(WRVORPCalc,TableWRVORP[RK],0)),"")</f>
        <v>8.9725977848821581E-2</v>
      </c>
      <c r="U44" s="246"/>
      <c r="V44" s="246">
        <v>43</v>
      </c>
      <c r="W44" s="247" t="str">
        <f>IFERROR(INDEX(TableTECalcPts[PLAYER],MATCH(TableTEVORP[[#This Row],[RK]],TableTECalcPts[RK],0)),"")</f>
        <v>Pharaoh Brown</v>
      </c>
      <c r="X44" s="247" t="str">
        <f>IFERROR(INDEX(TableTECalcPts[TM],MATCH(TableTEVORP[[#This Row],[RK]],TableTECalcPts[RK],0)),"")</f>
        <v>HOU</v>
      </c>
      <c r="Y44" s="247">
        <f>IFERROR(INDEX(TableTECalcPts[BYE],MATCH(TableTEVORP[[#This Row],[RK]],TableTECalcPts[RK],0)),"")</f>
        <v>6</v>
      </c>
      <c r="Z44" s="248">
        <f>IFERROR(INDEX(TableTECalcPts[Custom],MATCH(TableTEVORP[[#This Row],[RK]],TableTECalcPts[RK],0)),"")</f>
        <v>28.593766911205876</v>
      </c>
      <c r="AA44" s="249">
        <f>IFERROR((TableTEVORP[[#This Row],[FPS]]-INDEX(TableTEVORP[FPS],MATCH(TEVORPCalc,TableTEVORP[RK],0)))/INDEX(TableTEVORP[FPS],MATCH(TEVORPCalc,TableTEVORP[RK],0)),"")</f>
        <v>-0.72090679342485242</v>
      </c>
      <c r="AB44" s="246"/>
      <c r="AC44" s="250"/>
      <c r="AD44" s="250"/>
      <c r="AE44" s="250"/>
      <c r="AF44" s="250" t="s">
        <v>357</v>
      </c>
      <c r="AG44" s="250">
        <v>3</v>
      </c>
      <c r="AH44" s="251">
        <f>RANK(TableOverallMaster[[#This Row],[VORP]],TableOverallMaster[VORP])+COUNTIF($AM$2:AM44,AM44)-1</f>
        <v>3</v>
      </c>
      <c r="AI44" s="252" t="str">
        <f>IFERROR(INDEX(TableRBVORP[RUNNING BACK],MATCH(TableOverallMaster[[#This Row],[RK]],TableRBVORP[RK],0)),"")</f>
        <v>Christian McCaffrey</v>
      </c>
      <c r="AJ44" s="252" t="str">
        <f t="shared" si="0"/>
        <v>RB3</v>
      </c>
      <c r="AK44" s="252">
        <f>IFERROR(INDEX(TableRBVORP[BYE],MATCH(TableOverallMaster[[#This Row],[RK]],TableRBVORP[RK],0)),"")</f>
        <v>13</v>
      </c>
      <c r="AL44" s="253">
        <f>IFERROR(INDEX(TableRBVORP[FPS],MATCH(TableOverallMaster[[#This Row],[RK]],TableRBVORP[RK],0)),"")</f>
        <v>266.50050594933555</v>
      </c>
      <c r="AM44" s="254">
        <f>IFERROR(INDEX(TableRBVORP[VORP],MATCH(TableOverallMaster[[#This Row],[RK]],TableRBVORP[RK],0)),"")</f>
        <v>1.6303068360626909</v>
      </c>
      <c r="AN44" s="250"/>
      <c r="AO44" s="250">
        <v>43</v>
      </c>
      <c r="AP44" s="255" t="str">
        <f>IFERROR(INDEX(TableOverallMaster[OVERALL PLAYER],MATCH(TableOverallRank[[#This Row],[RK]],TableOverallMaster[OVR RK],0)),"")</f>
        <v>AJ Dillon</v>
      </c>
      <c r="AQ44" s="256" t="str">
        <f>IFERROR(INDEX(TableOverallMaster[POS RK],MATCH(TableOverallRank[[#This Row],[OVERALL PLAYER]],TableOverallMaster[OVERALL PLAYER],0)),"")</f>
        <v>RB26</v>
      </c>
      <c r="AR44" s="257">
        <f>IFERROR(INDEX(TableOverallMaster[BYE],MATCH(TableOverallRank[[#This Row],[OVERALL PLAYER]],TableOverallMaster[OVERALL PLAYER],0)),"")</f>
        <v>14</v>
      </c>
      <c r="AS44" s="258">
        <f>IFERROR(INDEX(TableOverallMaster[Custom],MATCH(TableOverallRank[[#This Row],[OVERALL PLAYER]],TableOverallMaster[OVERALL PLAYER],0)),"")</f>
        <v>157.91538928118763</v>
      </c>
      <c r="AT44" s="259">
        <f>IFERROR(INDEX(TableOverallMaster[VORP],MATCH(TableOverallRank[[#This Row],[OVERALL PLAYER]],TableOverallMaster[OVERALL PLAYER],0)),"")</f>
        <v>0.55859339353289672</v>
      </c>
      <c r="AU44" s="250"/>
      <c r="AV44" s="246">
        <v>43</v>
      </c>
      <c r="AW44" s="260" t="str">
        <f>IFERROR(INDEX(TableWRTECalcPts[PLAYER],MATCH(TableWRTERank[[#This Row],[RK]],TableWRTECalcPts[RK],0)),"")</f>
        <v>Christian Kirk</v>
      </c>
      <c r="AX44" s="260" t="str">
        <f>IFERROR(INDEX(TableWRTECalcPts[POS RK],MATCH(TableWRTERank[[#This Row],[WR and TE COMBINED]],TableWRTECalcPts[PLAYER],0)),"")</f>
        <v>WR38</v>
      </c>
      <c r="AY44" s="260">
        <f>IFERROR(INDEX(TableWRTECalcPts[BYE],MATCH(TableWRTERank[[#This Row],[RK]],TableWRTECalcPts[RK],0)),"")</f>
        <v>11</v>
      </c>
      <c r="AZ44" s="261">
        <f>IFERROR(INDEX(TableWRTECalcPts[Custom],MATCH(TableWRTERank[[#This Row],[RK]],TableWRTECalcPts[RK],0)),"")</f>
        <v>124.06080172234979</v>
      </c>
      <c r="BA44" s="249">
        <f>IFERROR((TableWRTERank[[#This Row],[FPS]]-INDEX(TableWRTERank[FPS],MATCH(WRTEVORPCalc,TableWRTERank[RK],0)))/INDEX(TableWRTERank[FPS],MATCH(WRTEVORPCalc,TableWRTERank[RK],0)),"")</f>
        <v>4.4721166632348187E-2</v>
      </c>
      <c r="BC44" s="124" t="s">
        <v>358</v>
      </c>
      <c r="BD44" s="124">
        <v>43</v>
      </c>
      <c r="BE44" s="262">
        <f>RANK(TableWRTEMaster[[#This Row],[VORP]],TableWRTEMaster[VORP])+COUNTIF($BJ$2:BJ44,BJ44)-1</f>
        <v>50</v>
      </c>
      <c r="BF44" s="263" t="str">
        <f>IFERROR(INDEX(TableWRVORP[WIDE RECEIVER],MATCH(TableWRTEMaster[[#This Row],[RK]],TableWRVORP[RK],0)),"")</f>
        <v>Garrett Wilson</v>
      </c>
      <c r="BG44" s="263" t="str">
        <f>_xlfn.CONCAT(TableWRTEMaster[[#This Row],[POS]],TableWRTEMaster[[#This Row],[RK]])</f>
        <v>WR43</v>
      </c>
      <c r="BH44" s="263">
        <f>IFERROR(INDEX(TableWRVORP[BYE],MATCH(TableWRTEMaster[[#This Row],[RK]],TableWRVORP[RK],0)),"")</f>
        <v>10</v>
      </c>
      <c r="BI44" s="264">
        <f>IFERROR(INDEX(TableWRVORP[FPS],MATCH(TableWRTEMaster[[#This Row],[RK]],TableWRVORP[RK],0)),"")</f>
        <v>118.75015619934166</v>
      </c>
      <c r="BJ44" s="254">
        <f>IFERROR(INDEX(TableWRVORP[VORP],MATCH(TableWRTEMaster[[#This Row],[RK]],TableWRVORP[RK],0)),"")</f>
        <v>8.9725977848821581E-2</v>
      </c>
    </row>
    <row r="45" spans="1:62" x14ac:dyDescent="0.3">
      <c r="A45" s="246">
        <v>44</v>
      </c>
      <c r="B45" s="247" t="str">
        <f>IFERROR(INDEX(TableQBCalcPts[PLAYER],MATCH(TableQBVORP[[#This Row],[RK]],TableQBCalcPts[RK],0)),"")</f>
        <v>John Wolford</v>
      </c>
      <c r="C45" s="247" t="str">
        <f>IFERROR(INDEX(TableQBCalcPts[TM],MATCH(TableQBVORP[[#This Row],[RK]],TableQBCalcPts[RK],0)),"")</f>
        <v>LAR</v>
      </c>
      <c r="D45" s="247">
        <f>IFERROR(INDEX(TableQBCalcPts[BYE],MATCH(TableQBVORP[[#This Row],[RK]],TableQBCalcPts[RK],0)),"")</f>
        <v>7</v>
      </c>
      <c r="E45" s="248">
        <f>IFERROR(INDEX(TableQBCalcPts[Custom],MATCH(TableQBVORP[[#This Row],[RK]],TableQBCalcPts[RK],0)),"")</f>
        <v>12.258846056123112</v>
      </c>
      <c r="F45" s="249">
        <f>(IFERROR((TableQBVORP[[#This Row],[FPS]]-INDEX(TableQBVORP[FPS],MATCH(QBVORPCalc,TableQBVORP[RK],0)))/INDEX(TableQBVORP[FPS],MATCH(QBVORPCalc,TableQBVORP[RK],0)),""))+(TableRBVORP[[#This Row],[VORP]]*0.45)</f>
        <v>-0.98086917599878609</v>
      </c>
      <c r="G45" s="246"/>
      <c r="H45" s="246">
        <v>44</v>
      </c>
      <c r="I45" s="247" t="str">
        <f>IFERROR(INDEX(TableRBCalcPts[PLAYER],MATCH(TableRBVORP[[#This Row],[RK]],TableRBCalcPts[RK],0)),"")</f>
        <v>James Cook</v>
      </c>
      <c r="J45" s="247" t="str">
        <f>IFERROR(INDEX(TableRBCalcPts[TM],MATCH(TableRBVORP[[#This Row],[RK]],TableRBCalcPts[RK],0)),"")</f>
        <v>BUF</v>
      </c>
      <c r="K45" s="247">
        <f>IFERROR(INDEX(TableRBCalcPts[BYE],MATCH(TableRBVORP[[#This Row],[RK]],TableRBCalcPts[RK],0)),"")</f>
        <v>7</v>
      </c>
      <c r="L45" s="248">
        <f>IFERROR(INDEX(TableRBCalcPts[Custom],MATCH(TableRBVORP[[#This Row],[RK]],TableRBCalcPts[RK],0)),"")</f>
        <v>98.453293591470882</v>
      </c>
      <c r="M45" s="249">
        <f>IFERROR((TableRBVORP[[#This Row],[FPS]]-INDEX(TableRBVORP[FPS],MATCH(RBVORPCalc,TableRBVORP[RK],0)))/INDEX(TableRBVORP[FPS],MATCH(RBVORPCalc,TableRBVORP[RK],0)),"")</f>
        <v>-2.8285630287830037E-2</v>
      </c>
      <c r="N45" s="246"/>
      <c r="O45" s="246">
        <v>44</v>
      </c>
      <c r="P45" s="247" t="str">
        <f>IFERROR(INDEX(TableWRCalcPts[PLAYER],MATCH(TableWRVORP[[#This Row],[RK]],TableWRCalcPts[RK],0)),"")</f>
        <v>Brandon Aiyuk</v>
      </c>
      <c r="Q45" s="247" t="str">
        <f>IFERROR(INDEX(TableWRCalcPts[TM],MATCH(TableWRVORP[[#This Row],[RK]],TableWRCalcPts[RK],0)),"")</f>
        <v>SF</v>
      </c>
      <c r="R45" s="247">
        <f>IFERROR(INDEX(TableWRCalcPts[BYE],MATCH(TableWRVORP[[#This Row],[RK]],TableWRCalcPts[RK],0)),"")</f>
        <v>9</v>
      </c>
      <c r="S45" s="248">
        <f>IFERROR(INDEX(TableWRCalcPts[Custom],MATCH(TableWRVORP[[#This Row],[RK]],TableWRCalcPts[RK],0)),"")</f>
        <v>118.29153042188688</v>
      </c>
      <c r="T45" s="249">
        <f>IFERROR((TableWRVORP[[#This Row],[FPS]]-INDEX(TableWRVORP[FPS],MATCH(WRVORPCalc,TableWRVORP[RK],0)))/INDEX(TableWRVORP[FPS],MATCH(WRVORPCalc,TableWRVORP[RK],0)),"")</f>
        <v>8.5517339815835466E-2</v>
      </c>
      <c r="U45" s="246"/>
      <c r="V45" s="246">
        <v>44</v>
      </c>
      <c r="W45" s="247" t="str">
        <f>IFERROR(INDEX(TableTECalcPts[PLAYER],MATCH(TableTEVORP[[#This Row],[RK]],TableTECalcPts[RK],0)),"")</f>
        <v>John Bates</v>
      </c>
      <c r="X45" s="247" t="str">
        <f>IFERROR(INDEX(TableTECalcPts[TM],MATCH(TableTEVORP[[#This Row],[RK]],TableTECalcPts[RK],0)),"")</f>
        <v>WSH</v>
      </c>
      <c r="Y45" s="247">
        <f>IFERROR(INDEX(TableTECalcPts[BYE],MATCH(TableTEVORP[[#This Row],[RK]],TableTECalcPts[RK],0)),"")</f>
        <v>14</v>
      </c>
      <c r="Z45" s="248">
        <f>IFERROR(INDEX(TableTECalcPts[Custom],MATCH(TableTEVORP[[#This Row],[RK]],TableTECalcPts[RK],0)),"")</f>
        <v>28.379723029633141</v>
      </c>
      <c r="AA45" s="249">
        <f>IFERROR((TableTEVORP[[#This Row],[FPS]]-INDEX(TableTEVORP[FPS],MATCH(TEVORPCalc,TableTEVORP[RK],0)))/INDEX(TableTEVORP[FPS],MATCH(TEVORPCalc,TableTEVORP[RK],0)),"")</f>
        <v>-0.72299599676211934</v>
      </c>
      <c r="AB45" s="246"/>
      <c r="AC45" s="250"/>
      <c r="AD45" s="250"/>
      <c r="AE45" s="250"/>
      <c r="AF45" s="250" t="s">
        <v>357</v>
      </c>
      <c r="AG45" s="250">
        <v>4</v>
      </c>
      <c r="AH45" s="251">
        <f>RANK(TableOverallMaster[[#This Row],[VORP]],TableOverallMaster[VORP])+COUNTIF($AM$2:AM45,AM45)-1</f>
        <v>4</v>
      </c>
      <c r="AI45" s="252" t="str">
        <f>IFERROR(INDEX(TableRBVORP[RUNNING BACK],MATCH(TableOverallMaster[[#This Row],[RK]],TableRBVORP[RK],0)),"")</f>
        <v>Najee Harris</v>
      </c>
      <c r="AJ45" s="252" t="str">
        <f t="shared" si="0"/>
        <v>RB4</v>
      </c>
      <c r="AK45" s="252">
        <f>IFERROR(INDEX(TableRBVORP[BYE],MATCH(TableOverallMaster[[#This Row],[RK]],TableRBVORP[RK],0)),"")</f>
        <v>9</v>
      </c>
      <c r="AL45" s="253">
        <f>IFERROR(INDEX(TableRBVORP[FPS],MATCH(TableOverallMaster[[#This Row],[RK]],TableRBVORP[RK],0)),"")</f>
        <v>242.15741386619138</v>
      </c>
      <c r="AM45" s="254">
        <f>IFERROR(INDEX(TableRBVORP[VORP],MATCH(TableOverallMaster[[#This Row],[RK]],TableRBVORP[RK],0)),"")</f>
        <v>1.3900453728091453</v>
      </c>
      <c r="AN45" s="250"/>
      <c r="AO45" s="250">
        <v>44</v>
      </c>
      <c r="AP45" s="255" t="str">
        <f>IFERROR(INDEX(TableOverallMaster[OVERALL PLAYER],MATCH(TableOverallRank[[#This Row],[RK]],TableOverallMaster[OVR RK],0)),"")</f>
        <v>A.J. Brown</v>
      </c>
      <c r="AQ45" s="256" t="str">
        <f>IFERROR(INDEX(TableOverallMaster[POS RK],MATCH(TableOverallRank[[#This Row],[OVERALL PLAYER]],TableOverallMaster[OVERALL PLAYER],0)),"")</f>
        <v>WR11</v>
      </c>
      <c r="AR45" s="257">
        <f>IFERROR(INDEX(TableOverallMaster[BYE],MATCH(TableOverallRank[[#This Row],[OVERALL PLAYER]],TableOverallMaster[OVERALL PLAYER],0)),"")</f>
        <v>7</v>
      </c>
      <c r="AS45" s="258">
        <f>IFERROR(INDEX(TableOverallMaster[Custom],MATCH(TableOverallRank[[#This Row],[OVERALL PLAYER]],TableOverallMaster[OVERALL PLAYER],0)),"")</f>
        <v>169.4104360268131</v>
      </c>
      <c r="AT45" s="259">
        <f>IFERROR(INDEX(TableOverallMaster[VORP],MATCH(TableOverallRank[[#This Row],[OVERALL PLAYER]],TableOverallMaster[OVERALL PLAYER],0)),"")</f>
        <v>0.55461650717506683</v>
      </c>
      <c r="AU45" s="250"/>
      <c r="AV45" s="246">
        <v>44</v>
      </c>
      <c r="AW45" s="260" t="str">
        <f>IFERROR(INDEX(TableWRTECalcPts[PLAYER],MATCH(TableWRTERank[[#This Row],[RK]],TableWRTECalcPts[RK],0)),"")</f>
        <v>Adam Thielen</v>
      </c>
      <c r="AX45" s="260" t="str">
        <f>IFERROR(INDEX(TableWRTECalcPts[POS RK],MATCH(TableWRTERank[[#This Row],[WR and TE COMBINED]],TableWRTECalcPts[PLAYER],0)),"")</f>
        <v>WR39</v>
      </c>
      <c r="AY45" s="260">
        <f>IFERROR(INDEX(TableWRTECalcPts[BYE],MATCH(TableWRTERank[[#This Row],[RK]],TableWRTECalcPts[RK],0)),"")</f>
        <v>7</v>
      </c>
      <c r="AZ45" s="261">
        <f>IFERROR(INDEX(TableWRTECalcPts[Custom],MATCH(TableWRTERank[[#This Row],[RK]],TableWRTECalcPts[RK],0)),"")</f>
        <v>123.40827254262244</v>
      </c>
      <c r="BA45" s="249">
        <f>IFERROR((TableWRTERank[[#This Row],[FPS]]-INDEX(TableWRTERank[FPS],MATCH(WRTEVORPCalc,TableWRTERank[RK],0)))/INDEX(TableWRTERank[FPS],MATCH(WRTEVORPCalc,TableWRTERank[RK],0)),"")</f>
        <v>3.9226191294109689E-2</v>
      </c>
      <c r="BC45" s="124" t="s">
        <v>358</v>
      </c>
      <c r="BD45" s="124">
        <v>44</v>
      </c>
      <c r="BE45" s="262">
        <f>RANK(TableWRTEMaster[[#This Row],[VORP]],TableWRTEMaster[VORP])+COUNTIF($BJ$2:BJ45,BJ45)-1</f>
        <v>51</v>
      </c>
      <c r="BF45" s="263" t="str">
        <f>IFERROR(INDEX(TableWRVORP[WIDE RECEIVER],MATCH(TableWRTEMaster[[#This Row],[RK]],TableWRVORP[RK],0)),"")</f>
        <v>Brandon Aiyuk</v>
      </c>
      <c r="BG45" s="263" t="str">
        <f>_xlfn.CONCAT(TableWRTEMaster[[#This Row],[POS]],TableWRTEMaster[[#This Row],[RK]])</f>
        <v>WR44</v>
      </c>
      <c r="BH45" s="263">
        <f>IFERROR(INDEX(TableWRVORP[BYE],MATCH(TableWRTEMaster[[#This Row],[RK]],TableWRVORP[RK],0)),"")</f>
        <v>9</v>
      </c>
      <c r="BI45" s="264">
        <f>IFERROR(INDEX(TableWRVORP[FPS],MATCH(TableWRTEMaster[[#This Row],[RK]],TableWRVORP[RK],0)),"")</f>
        <v>118.29153042188688</v>
      </c>
      <c r="BJ45" s="254">
        <f>IFERROR(INDEX(TableWRVORP[VORP],MATCH(TableWRTEMaster[[#This Row],[RK]],TableWRVORP[RK],0)),"")</f>
        <v>8.5517339815835466E-2</v>
      </c>
    </row>
    <row r="46" spans="1:62" x14ac:dyDescent="0.3">
      <c r="A46" s="246">
        <v>45</v>
      </c>
      <c r="B46" s="247" t="str">
        <f>IFERROR(INDEX(TableQBCalcPts[PLAYER],MATCH(TableQBVORP[[#This Row],[RK]],TableQBCalcPts[RK],0)),"")</f>
        <v>Trevor Siemian</v>
      </c>
      <c r="C46" s="247" t="str">
        <f>IFERROR(INDEX(TableQBCalcPts[TM],MATCH(TableQBVORP[[#This Row],[RK]],TableQBCalcPts[RK],0)),"")</f>
        <v>CHI</v>
      </c>
      <c r="D46" s="247">
        <f>IFERROR(INDEX(TableQBCalcPts[BYE],MATCH(TableQBVORP[[#This Row],[RK]],TableQBCalcPts[RK],0)),"")</f>
        <v>14</v>
      </c>
      <c r="E46" s="248">
        <f>IFERROR(INDEX(TableQBCalcPts[Custom],MATCH(TableQBVORP[[#This Row],[RK]],TableQBCalcPts[RK],0)),"")</f>
        <v>11.507443866290711</v>
      </c>
      <c r="F46" s="249">
        <f>(IFERROR((TableQBVORP[[#This Row],[FPS]]-INDEX(TableQBVORP[FPS],MATCH(QBVORPCalc,TableQBVORP[RK],0)))/INDEX(TableQBVORP[FPS],MATCH(QBVORPCalc,TableQBVORP[RK],0)),""))+(TableRBVORP[[#This Row],[VORP]]*0.45)</f>
        <v>-0.98720490637613012</v>
      </c>
      <c r="G46" s="246"/>
      <c r="H46" s="246">
        <v>45</v>
      </c>
      <c r="I46" s="247" t="str">
        <f>IFERROR(INDEX(TableRBCalcPts[PLAYER],MATCH(TableRBVORP[[#This Row],[RK]],TableRBCalcPts[RK],0)),"")</f>
        <v>Kenneth Gainwell</v>
      </c>
      <c r="J46" s="247" t="str">
        <f>IFERROR(INDEX(TableRBCalcPts[TM],MATCH(TableRBVORP[[#This Row],[RK]],TableRBCalcPts[RK],0)),"")</f>
        <v>PHI</v>
      </c>
      <c r="K46" s="247">
        <f>IFERROR(INDEX(TableRBCalcPts[BYE],MATCH(TableRBVORP[[#This Row],[RK]],TableRBCalcPts[RK],0)),"")</f>
        <v>7</v>
      </c>
      <c r="L46" s="248">
        <f>IFERROR(INDEX(TableRBCalcPts[Custom],MATCH(TableRBVORP[[#This Row],[RK]],TableRBCalcPts[RK],0)),"")</f>
        <v>97.466462689647429</v>
      </c>
      <c r="M46" s="249">
        <f>IFERROR((TableRBVORP[[#This Row],[FPS]]-INDEX(TableRBVORP[FPS],MATCH(RBVORPCalc,TableRBVORP[RK],0)))/INDEX(TableRBVORP[FPS],MATCH(RBVORPCalc,TableRBVORP[RK],0)),"")</f>
        <v>-3.8025454450106112E-2</v>
      </c>
      <c r="N46" s="246"/>
      <c r="O46" s="246">
        <v>45</v>
      </c>
      <c r="P46" s="247" t="str">
        <f>IFERROR(INDEX(TableWRCalcPts[PLAYER],MATCH(TableWRVORP[[#This Row],[RK]],TableWRCalcPts[RK],0)),"")</f>
        <v>Tyler Boyd</v>
      </c>
      <c r="Q46" s="247" t="str">
        <f>IFERROR(INDEX(TableWRCalcPts[TM],MATCH(TableWRVORP[[#This Row],[RK]],TableWRCalcPts[RK],0)),"")</f>
        <v>CIN</v>
      </c>
      <c r="R46" s="247">
        <f>IFERROR(INDEX(TableWRCalcPts[BYE],MATCH(TableWRVORP[[#This Row],[RK]],TableWRCalcPts[RK],0)),"")</f>
        <v>10</v>
      </c>
      <c r="S46" s="248">
        <f>IFERROR(INDEX(TableWRCalcPts[Custom],MATCH(TableWRVORP[[#This Row],[RK]],TableWRCalcPts[RK],0)),"")</f>
        <v>115.93168781692657</v>
      </c>
      <c r="T46" s="249">
        <f>IFERROR((TableWRVORP[[#This Row],[FPS]]-INDEX(TableWRVORP[FPS],MATCH(WRVORPCalc,TableWRVORP[RK],0)))/INDEX(TableWRVORP[FPS],MATCH(WRVORPCalc,TableWRVORP[RK],0)),"")</f>
        <v>6.3861942698354143E-2</v>
      </c>
      <c r="U46" s="246"/>
      <c r="V46" s="246">
        <v>45</v>
      </c>
      <c r="W46" s="247" t="str">
        <f>IFERROR(INDEX(TableTECalcPts[PLAYER],MATCH(TableTEVORP[[#This Row],[RK]],TableTECalcPts[RK],0)),"")</f>
        <v>Anthony Firkser</v>
      </c>
      <c r="X46" s="247" t="str">
        <f>IFERROR(INDEX(TableTECalcPts[TM],MATCH(TableTEVORP[[#This Row],[RK]],TableTECalcPts[RK],0)),"")</f>
        <v>ATL</v>
      </c>
      <c r="Y46" s="247">
        <f>IFERROR(INDEX(TableTECalcPts[BYE],MATCH(TableTEVORP[[#This Row],[RK]],TableTECalcPts[RK],0)),"")</f>
        <v>14</v>
      </c>
      <c r="Z46" s="248">
        <f>IFERROR(INDEX(TableTECalcPts[Custom],MATCH(TableTEVORP[[#This Row],[RK]],TableTECalcPts[RK],0)),"")</f>
        <v>27.919752297861926</v>
      </c>
      <c r="AA46" s="249">
        <f>IFERROR((TableTEVORP[[#This Row],[FPS]]-INDEX(TableTEVORP[FPS],MATCH(TEVORPCalc,TableTEVORP[RK],0)))/INDEX(TableTEVORP[FPS],MATCH(TEVORPCalc,TableTEVORP[RK],0)),"")</f>
        <v>-0.72748560132731699</v>
      </c>
      <c r="AB46" s="246"/>
      <c r="AC46" s="250"/>
      <c r="AD46" s="250"/>
      <c r="AE46" s="250"/>
      <c r="AF46" s="250" t="s">
        <v>357</v>
      </c>
      <c r="AG46" s="250">
        <v>5</v>
      </c>
      <c r="AH46" s="251">
        <f>RANK(TableOverallMaster[[#This Row],[VORP]],TableOverallMaster[VORP])+COUNTIF($AM$2:AM46,AM46)-1</f>
        <v>5</v>
      </c>
      <c r="AI46" s="252" t="str">
        <f>IFERROR(INDEX(TableRBVORP[RUNNING BACK],MATCH(TableOverallMaster[[#This Row],[RK]],TableRBVORP[RK],0)),"")</f>
        <v>Austin Ekeler</v>
      </c>
      <c r="AJ46" s="252" t="str">
        <f t="shared" si="0"/>
        <v>RB5</v>
      </c>
      <c r="AK46" s="252">
        <f>IFERROR(INDEX(TableRBVORP[BYE],MATCH(TableOverallMaster[[#This Row],[RK]],TableRBVORP[RK],0)),"")</f>
        <v>8</v>
      </c>
      <c r="AL46" s="253">
        <f>IFERROR(INDEX(TableRBVORP[FPS],MATCH(TableOverallMaster[[#This Row],[RK]],TableRBVORP[RK],0)),"")</f>
        <v>232.34182076714802</v>
      </c>
      <c r="AM46" s="254">
        <f>IFERROR(INDEX(TableRBVORP[VORP],MATCH(TableOverallMaster[[#This Row],[RK]],TableRBVORP[RK],0)),"")</f>
        <v>1.2931674267937938</v>
      </c>
      <c r="AN46" s="250"/>
      <c r="AO46" s="250">
        <v>45</v>
      </c>
      <c r="AP46" s="255" t="str">
        <f>IFERROR(INDEX(TableOverallMaster[OVERALL PLAYER],MATCH(TableOverallRank[[#This Row],[RK]],TableOverallMaster[OVR RK],0)),"")</f>
        <v>Kyle Pitts</v>
      </c>
      <c r="AQ46" s="256" t="str">
        <f>IFERROR(INDEX(TableOverallMaster[POS RK],MATCH(TableOverallRank[[#This Row],[OVERALL PLAYER]],TableOverallMaster[OVERALL PLAYER],0)),"")</f>
        <v>TE3</v>
      </c>
      <c r="AR46" s="257">
        <f>IFERROR(INDEX(TableOverallMaster[BYE],MATCH(TableOverallRank[[#This Row],[OVERALL PLAYER]],TableOverallMaster[OVERALL PLAYER],0)),"")</f>
        <v>14</v>
      </c>
      <c r="AS46" s="258">
        <f>IFERROR(INDEX(TableOverallMaster[Custom],MATCH(TableOverallRank[[#This Row],[OVERALL PLAYER]],TableOverallMaster[OVERALL PLAYER],0)),"")</f>
        <v>156.30374171587718</v>
      </c>
      <c r="AT46" s="259">
        <f>IFERROR(INDEX(TableOverallMaster[VORP],MATCH(TableOverallRank[[#This Row],[OVERALL PLAYER]],TableOverallMaster[OVERALL PLAYER],0)),"")</f>
        <v>0.52562314054822512</v>
      </c>
      <c r="AU46" s="250"/>
      <c r="AV46" s="246">
        <v>45</v>
      </c>
      <c r="AW46" s="260" t="str">
        <f>IFERROR(INDEX(TableWRTECalcPts[PLAYER],MATCH(TableWRTERank[[#This Row],[RK]],TableWRTECalcPts[RK],0)),"")</f>
        <v>Michael Gallup</v>
      </c>
      <c r="AX46" s="260" t="str">
        <f>IFERROR(INDEX(TableWRTECalcPts[POS RK],MATCH(TableWRTERank[[#This Row],[WR and TE COMBINED]],TableWRTECalcPts[PLAYER],0)),"")</f>
        <v>WR40</v>
      </c>
      <c r="AY46" s="260">
        <f>IFERROR(INDEX(TableWRTECalcPts[BYE],MATCH(TableWRTERank[[#This Row],[RK]],TableWRTECalcPts[RK],0)),"")</f>
        <v>9</v>
      </c>
      <c r="AZ46" s="261">
        <f>IFERROR(INDEX(TableWRTECalcPts[Custom],MATCH(TableWRTERank[[#This Row],[RK]],TableWRTECalcPts[RK],0)),"")</f>
        <v>123.27371421730166</v>
      </c>
      <c r="BA46" s="249">
        <f>IFERROR((TableWRTERank[[#This Row],[FPS]]-INDEX(TableWRTERank[FPS],MATCH(WRTEVORPCalc,TableWRTERank[RK],0)))/INDEX(TableWRTERank[FPS],MATCH(WRTEVORPCalc,TableWRTERank[RK],0)),"")</f>
        <v>3.8093070045031888E-2</v>
      </c>
      <c r="BC46" s="124" t="s">
        <v>358</v>
      </c>
      <c r="BD46" s="124">
        <v>45</v>
      </c>
      <c r="BE46" s="262">
        <f>RANK(TableWRTEMaster[[#This Row],[VORP]],TableWRTEMaster[VORP])+COUNTIF($BJ$2:BJ46,BJ46)-1</f>
        <v>52</v>
      </c>
      <c r="BF46" s="263" t="str">
        <f>IFERROR(INDEX(TableWRVORP[WIDE RECEIVER],MATCH(TableWRTEMaster[[#This Row],[RK]],TableWRVORP[RK],0)),"")</f>
        <v>Tyler Boyd</v>
      </c>
      <c r="BG46" s="263" t="str">
        <f>_xlfn.CONCAT(TableWRTEMaster[[#This Row],[POS]],TableWRTEMaster[[#This Row],[RK]])</f>
        <v>WR45</v>
      </c>
      <c r="BH46" s="263">
        <f>IFERROR(INDEX(TableWRVORP[BYE],MATCH(TableWRTEMaster[[#This Row],[RK]],TableWRVORP[RK],0)),"")</f>
        <v>10</v>
      </c>
      <c r="BI46" s="264">
        <f>IFERROR(INDEX(TableWRVORP[FPS],MATCH(TableWRTEMaster[[#This Row],[RK]],TableWRVORP[RK],0)),"")</f>
        <v>115.93168781692657</v>
      </c>
      <c r="BJ46" s="254">
        <f>IFERROR(INDEX(TableWRVORP[VORP],MATCH(TableWRTEMaster[[#This Row],[RK]],TableWRVORP[RK],0)),"")</f>
        <v>6.3861942698354143E-2</v>
      </c>
    </row>
    <row r="47" spans="1:62" x14ac:dyDescent="0.3">
      <c r="A47" s="246">
        <v>46</v>
      </c>
      <c r="B47" s="247" t="str">
        <f>IFERROR(INDEX(TableQBCalcPts[PLAYER],MATCH(TableQBVORP[[#This Row],[RK]],TableQBCalcPts[RK],0)),"")</f>
        <v>Jimmy Garoppolo</v>
      </c>
      <c r="C47" s="247" t="str">
        <f>IFERROR(INDEX(TableQBCalcPts[TM],MATCH(TableQBVORP[[#This Row],[RK]],TableQBCalcPts[RK],0)),"")</f>
        <v>SF</v>
      </c>
      <c r="D47" s="247">
        <f>IFERROR(INDEX(TableQBCalcPts[BYE],MATCH(TableQBVORP[[#This Row],[RK]],TableQBCalcPts[RK],0)),"")</f>
        <v>9</v>
      </c>
      <c r="E47" s="248">
        <f>IFERROR(INDEX(TableQBCalcPts[Custom],MATCH(TableQBVORP[[#This Row],[RK]],TableQBCalcPts[RK],0)),"")</f>
        <v>10.674137380582136</v>
      </c>
      <c r="F47" s="249">
        <f>(IFERROR((TableQBVORP[[#This Row],[FPS]]-INDEX(TableQBVORP[FPS],MATCH(QBVORPCalc,TableQBVORP[RK],0)))/INDEX(TableQBVORP[FPS],MATCH(QBVORPCalc,TableQBVORP[RK],0)),""))+(TableRBVORP[[#This Row],[VORP]]*0.45)</f>
        <v>-0.99351305916297383</v>
      </c>
      <c r="G47" s="246"/>
      <c r="H47" s="246">
        <v>46</v>
      </c>
      <c r="I47" s="247" t="str">
        <f>IFERROR(INDEX(TableRBCalcPts[PLAYER],MATCH(TableRBVORP[[#This Row],[RK]],TableRBCalcPts[RK],0)),"")</f>
        <v>Jamaal Williams</v>
      </c>
      <c r="J47" s="247" t="str">
        <f>IFERROR(INDEX(TableRBCalcPts[TM],MATCH(TableRBVORP[[#This Row],[RK]],TableRBCalcPts[RK],0)),"")</f>
        <v>DET</v>
      </c>
      <c r="K47" s="247">
        <f>IFERROR(INDEX(TableRBCalcPts[BYE],MATCH(TableRBVORP[[#This Row],[RK]],TableRBCalcPts[RK],0)),"")</f>
        <v>6</v>
      </c>
      <c r="L47" s="248">
        <f>IFERROR(INDEX(TableRBCalcPts[Custom],MATCH(TableRBVORP[[#This Row],[RK]],TableRBCalcPts[RK],0)),"")</f>
        <v>96.533767208897046</v>
      </c>
      <c r="M47" s="249">
        <f>IFERROR((TableRBVORP[[#This Row],[FPS]]-INDEX(TableRBVORP[FPS],MATCH(RBVORPCalc,TableRBVORP[RK],0)))/INDEX(TableRBVORP[FPS],MATCH(RBVORPCalc,TableRBVORP[RK],0)),"")</f>
        <v>-4.7230972804539938E-2</v>
      </c>
      <c r="N47" s="246"/>
      <c r="O47" s="246">
        <v>46</v>
      </c>
      <c r="P47" s="247" t="str">
        <f>IFERROR(INDEX(TableWRCalcPts[PLAYER],MATCH(TableWRVORP[[#This Row],[RK]],TableWRCalcPts[RK],0)),"")</f>
        <v>Treylon Burks</v>
      </c>
      <c r="Q47" s="247" t="str">
        <f>IFERROR(INDEX(TableWRCalcPts[TM],MATCH(TableWRVORP[[#This Row],[RK]],TableWRCalcPts[RK],0)),"")</f>
        <v>TEN</v>
      </c>
      <c r="R47" s="247">
        <f>IFERROR(INDEX(TableWRCalcPts[BYE],MATCH(TableWRVORP[[#This Row],[RK]],TableWRCalcPts[RK],0)),"")</f>
        <v>6</v>
      </c>
      <c r="S47" s="248">
        <f>IFERROR(INDEX(TableWRCalcPts[Custom],MATCH(TableWRVORP[[#This Row],[RK]],TableWRCalcPts[RK],0)),"")</f>
        <v>113.28738996373363</v>
      </c>
      <c r="T47" s="249">
        <f>IFERROR((TableWRVORP[[#This Row],[FPS]]-INDEX(TableWRVORP[FPS],MATCH(WRVORPCalc,TableWRVORP[RK],0)))/INDEX(TableWRVORP[FPS],MATCH(WRVORPCalc,TableWRVORP[RK],0)),"")</f>
        <v>3.9596205658336769E-2</v>
      </c>
      <c r="U47" s="246"/>
      <c r="V47" s="246">
        <v>46</v>
      </c>
      <c r="W47" s="247" t="str">
        <f>IFERROR(INDEX(TableTECalcPts[PLAYER],MATCH(TableTEVORP[[#This Row],[RK]],TableTECalcPts[RK],0)),"")</f>
        <v>Kylen Granson</v>
      </c>
      <c r="X47" s="247" t="str">
        <f>IFERROR(INDEX(TableTECalcPts[TM],MATCH(TableTEVORP[[#This Row],[RK]],TableTECalcPts[RK],0)),"")</f>
        <v>IND</v>
      </c>
      <c r="Y47" s="247">
        <f>IFERROR(INDEX(TableTECalcPts[BYE],MATCH(TableTEVORP[[#This Row],[RK]],TableTECalcPts[RK],0)),"")</f>
        <v>14</v>
      </c>
      <c r="Z47" s="248">
        <f>IFERROR(INDEX(TableTECalcPts[Custom],MATCH(TableTEVORP[[#This Row],[RK]],TableTECalcPts[RK],0)),"")</f>
        <v>27.433862445722774</v>
      </c>
      <c r="AA47" s="249">
        <f>IFERROR((TableTEVORP[[#This Row],[FPS]]-INDEX(TableTEVORP[FPS],MATCH(TEVORPCalc,TableTEVORP[RK],0)))/INDEX(TableTEVORP[FPS],MATCH(TEVORPCalc,TableTEVORP[RK],0)),"")</f>
        <v>-0.73222819286123242</v>
      </c>
      <c r="AB47" s="246"/>
      <c r="AC47" s="250"/>
      <c r="AD47" s="250"/>
      <c r="AE47" s="250"/>
      <c r="AF47" s="250" t="s">
        <v>357</v>
      </c>
      <c r="AG47" s="250">
        <v>6</v>
      </c>
      <c r="AH47" s="251">
        <f>RANK(TableOverallMaster[[#This Row],[VORP]],TableOverallMaster[VORP])+COUNTIF($AM$2:AM47,AM47)-1</f>
        <v>6</v>
      </c>
      <c r="AI47" s="252" t="str">
        <f>IFERROR(INDEX(TableRBVORP[RUNNING BACK],MATCH(TableOverallMaster[[#This Row],[RK]],TableRBVORP[RK],0)),"")</f>
        <v>Joe Mixon</v>
      </c>
      <c r="AJ47" s="252" t="str">
        <f t="shared" si="0"/>
        <v>RB6</v>
      </c>
      <c r="AK47" s="252">
        <f>IFERROR(INDEX(TableRBVORP[BYE],MATCH(TableOverallMaster[[#This Row],[RK]],TableRBVORP[RK],0)),"")</f>
        <v>10</v>
      </c>
      <c r="AL47" s="253">
        <f>IFERROR(INDEX(TableRBVORP[FPS],MATCH(TableOverallMaster[[#This Row],[RK]],TableRBVORP[RK],0)),"")</f>
        <v>224.96025910261358</v>
      </c>
      <c r="AM47" s="254">
        <f>IFERROR(INDEX(TableRBVORP[VORP],MATCH(TableOverallMaster[[#This Row],[RK]],TableRBVORP[RK],0)),"")</f>
        <v>1.2203128855317433</v>
      </c>
      <c r="AN47" s="250"/>
      <c r="AO47" s="250">
        <v>46</v>
      </c>
      <c r="AP47" s="255" t="str">
        <f>IFERROR(INDEX(TableOverallMaster[OVERALL PLAYER],MATCH(TableOverallRank[[#This Row],[RK]],TableOverallMaster[OVR RK],0)),"")</f>
        <v>Joe Burrow</v>
      </c>
      <c r="AQ47" s="256" t="str">
        <f>IFERROR(INDEX(TableOverallMaster[POS RK],MATCH(TableOverallRank[[#This Row],[OVERALL PLAYER]],TableOverallMaster[OVERALL PLAYER],0)),"")</f>
        <v>QB6</v>
      </c>
      <c r="AR47" s="257">
        <f>IFERROR(INDEX(TableOverallMaster[BYE],MATCH(TableOverallRank[[#This Row],[OVERALL PLAYER]],TableOverallMaster[OVERALL PLAYER],0)),"")</f>
        <v>10</v>
      </c>
      <c r="AS47" s="258">
        <f>IFERROR(INDEX(TableOverallMaster[Custom],MATCH(TableOverallRank[[#This Row],[OVERALL PLAYER]],TableOverallMaster[OVERALL PLAYER],0)),"")</f>
        <v>361.68235807563957</v>
      </c>
      <c r="AT47" s="259">
        <f>IFERROR(INDEX(TableOverallMaster[VORP],MATCH(TableOverallRank[[#This Row],[OVERALL PLAYER]],TableOverallMaster[OVERALL PLAYER],0)),"")</f>
        <v>0.48911243545299993</v>
      </c>
      <c r="AU47" s="250"/>
      <c r="AV47" s="246">
        <v>46</v>
      </c>
      <c r="AW47" s="260" t="str">
        <f>IFERROR(INDEX(TableWRTECalcPts[PLAYER],MATCH(TableWRTERank[[#This Row],[RK]],TableWRTECalcPts[RK],0)),"")</f>
        <v>Robert Woods</v>
      </c>
      <c r="AX47" s="260" t="str">
        <f>IFERROR(INDEX(TableWRTECalcPts[POS RK],MATCH(TableWRTERank[[#This Row],[WR and TE COMBINED]],TableWRTECalcPts[PLAYER],0)),"")</f>
        <v>WR41</v>
      </c>
      <c r="AY47" s="260">
        <f>IFERROR(INDEX(TableWRTECalcPts[BYE],MATCH(TableWRTERank[[#This Row],[RK]],TableWRTECalcPts[RK],0)),"")</f>
        <v>6</v>
      </c>
      <c r="AZ47" s="261">
        <f>IFERROR(INDEX(TableWRTECalcPts[Custom],MATCH(TableWRTERank[[#This Row],[RK]],TableWRTECalcPts[RK],0)),"")</f>
        <v>121.23371183487117</v>
      </c>
      <c r="BA47" s="249">
        <f>IFERROR((TableWRTERank[[#This Row],[FPS]]-INDEX(TableWRTERank[FPS],MATCH(WRTEVORPCalc,TableWRTERank[RK],0)))/INDEX(TableWRTERank[FPS],MATCH(WRTEVORPCalc,TableWRTERank[RK],0)),"")</f>
        <v>2.0914125210584618E-2</v>
      </c>
      <c r="BC47" s="124" t="s">
        <v>358</v>
      </c>
      <c r="BD47" s="124">
        <v>46</v>
      </c>
      <c r="BE47" s="262">
        <f>RANK(TableWRTEMaster[[#This Row],[VORP]],TableWRTEMaster[VORP])+COUNTIF($BJ$2:BJ47,BJ47)-1</f>
        <v>53</v>
      </c>
      <c r="BF47" s="263" t="str">
        <f>IFERROR(INDEX(TableWRVORP[WIDE RECEIVER],MATCH(TableWRTEMaster[[#This Row],[RK]],TableWRVORP[RK],0)),"")</f>
        <v>Treylon Burks</v>
      </c>
      <c r="BG47" s="263" t="str">
        <f>_xlfn.CONCAT(TableWRTEMaster[[#This Row],[POS]],TableWRTEMaster[[#This Row],[RK]])</f>
        <v>WR46</v>
      </c>
      <c r="BH47" s="263">
        <f>IFERROR(INDEX(TableWRVORP[BYE],MATCH(TableWRTEMaster[[#This Row],[RK]],TableWRVORP[RK],0)),"")</f>
        <v>6</v>
      </c>
      <c r="BI47" s="264">
        <f>IFERROR(INDEX(TableWRVORP[FPS],MATCH(TableWRTEMaster[[#This Row],[RK]],TableWRVORP[RK],0)),"")</f>
        <v>113.28738996373363</v>
      </c>
      <c r="BJ47" s="254">
        <f>IFERROR(INDEX(TableWRVORP[VORP],MATCH(TableWRTEMaster[[#This Row],[RK]],TableWRVORP[RK],0)),"")</f>
        <v>3.9596205658336769E-2</v>
      </c>
    </row>
    <row r="48" spans="1:62" x14ac:dyDescent="0.3">
      <c r="A48" s="246">
        <v>47</v>
      </c>
      <c r="B48" s="247" t="str">
        <f>IFERROR(INDEX(TableQBCalcPts[PLAYER],MATCH(TableQBVORP[[#This Row],[RK]],TableQBCalcPts[RK],0)),"")</f>
        <v>Teddy Bridgewater</v>
      </c>
      <c r="C48" s="247" t="str">
        <f>IFERROR(INDEX(TableQBCalcPts[TM],MATCH(TableQBVORP[[#This Row],[RK]],TableQBCalcPts[RK],0)),"")</f>
        <v>MIA</v>
      </c>
      <c r="D48" s="247">
        <f>IFERROR(INDEX(TableQBCalcPts[BYE],MATCH(TableQBVORP[[#This Row],[RK]],TableQBCalcPts[RK],0)),"")</f>
        <v>11</v>
      </c>
      <c r="E48" s="248">
        <f>IFERROR(INDEX(TableQBCalcPts[Custom],MATCH(TableQBVORP[[#This Row],[RK]],TableQBCalcPts[RK],0)),"")</f>
        <v>10.277736823611601</v>
      </c>
      <c r="F48" s="249">
        <f>(IFERROR((TableQBVORP[[#This Row],[FPS]]-INDEX(TableQBVORP[FPS],MATCH(QBVORPCalc,TableQBVORP[RK],0)))/INDEX(TableQBVORP[FPS],MATCH(QBVORPCalc,TableQBVORP[RK],0)),""))+(TableRBVORP[[#This Row],[VORP]]*0.45)</f>
        <v>-0.99555090016691594</v>
      </c>
      <c r="G48" s="246"/>
      <c r="H48" s="246">
        <v>47</v>
      </c>
      <c r="I48" s="247" t="str">
        <f>IFERROR(INDEX(TableRBCalcPts[PLAYER],MATCH(TableRBVORP[[#This Row],[RK]],TableRBCalcPts[RK],0)),"")</f>
        <v>Nyheim Hines</v>
      </c>
      <c r="J48" s="247" t="str">
        <f>IFERROR(INDEX(TableRBCalcPts[TM],MATCH(TableRBVORP[[#This Row],[RK]],TableRBCalcPts[RK],0)),"")</f>
        <v>IND</v>
      </c>
      <c r="K48" s="247">
        <f>IFERROR(INDEX(TableRBCalcPts[BYE],MATCH(TableRBVORP[[#This Row],[RK]],TableRBCalcPts[RK],0)),"")</f>
        <v>14</v>
      </c>
      <c r="L48" s="248">
        <f>IFERROR(INDEX(TableRBCalcPts[Custom],MATCH(TableRBVORP[[#This Row],[RK]],TableRBCalcPts[RK],0)),"")</f>
        <v>96.306893168664445</v>
      </c>
      <c r="M48" s="249">
        <f>IFERROR((TableRBVORP[[#This Row],[FPS]]-INDEX(TableRBVORP[FPS],MATCH(RBVORPCalc,TableRBVORP[RK],0)))/INDEX(TableRBVORP[FPS],MATCH(RBVORPCalc,TableRBVORP[RK],0)),"")</f>
        <v>-4.9470174328091351E-2</v>
      </c>
      <c r="N48" s="246"/>
      <c r="O48" s="246">
        <v>47</v>
      </c>
      <c r="P48" s="247" t="str">
        <f>IFERROR(INDEX(TableWRCalcPts[PLAYER],MATCH(TableWRVORP[[#This Row],[RK]],TableWRCalcPts[RK],0)),"")</f>
        <v>Tim Patrick</v>
      </c>
      <c r="Q48" s="247" t="str">
        <f>IFERROR(INDEX(TableWRCalcPts[TM],MATCH(TableWRVORP[[#This Row],[RK]],TableWRCalcPts[RK],0)),"")</f>
        <v>DEN</v>
      </c>
      <c r="R48" s="247">
        <f>IFERROR(INDEX(TableWRCalcPts[BYE],MATCH(TableWRVORP[[#This Row],[RK]],TableWRCalcPts[RK],0)),"")</f>
        <v>9</v>
      </c>
      <c r="S48" s="248">
        <f>IFERROR(INDEX(TableWRCalcPts[Custom],MATCH(TableWRVORP[[#This Row],[RK]],TableWRCalcPts[RK],0)),"")</f>
        <v>110.0027840268209</v>
      </c>
      <c r="T48" s="249">
        <f>IFERROR((TableWRVORP[[#This Row],[FPS]]-INDEX(TableWRVORP[FPS],MATCH(WRVORPCalc,TableWRVORP[RK],0)))/INDEX(TableWRVORP[FPS],MATCH(WRVORPCalc,TableWRVORP[RK],0)),"")</f>
        <v>9.4545996932735524E-3</v>
      </c>
      <c r="U48" s="246"/>
      <c r="V48" s="246">
        <v>47</v>
      </c>
      <c r="W48" s="247" t="str">
        <f>IFERROR(INDEX(TableTECalcPts[PLAYER],MATCH(TableTEVORP[[#This Row],[RK]],TableTECalcPts[RK],0)),"")</f>
        <v>Ian Thomas</v>
      </c>
      <c r="X48" s="247" t="str">
        <f>IFERROR(INDEX(TableTECalcPts[TM],MATCH(TableTEVORP[[#This Row],[RK]],TableTECalcPts[RK],0)),"")</f>
        <v>CAR</v>
      </c>
      <c r="Y48" s="247">
        <f>IFERROR(INDEX(TableTECalcPts[BYE],MATCH(TableTEVORP[[#This Row],[RK]],TableTECalcPts[RK],0)),"")</f>
        <v>13</v>
      </c>
      <c r="Z48" s="248">
        <f>IFERROR(INDEX(TableTECalcPts[Custom],MATCH(TableTEVORP[[#This Row],[RK]],TableTECalcPts[RK],0)),"")</f>
        <v>25.113022945980973</v>
      </c>
      <c r="AA48" s="249">
        <f>IFERROR((TableTEVORP[[#This Row],[FPS]]-INDEX(TableTEVORP[FPS],MATCH(TEVORPCalc,TableTEVORP[RK],0)))/INDEX(TableTEVORP[FPS],MATCH(TEVORPCalc,TableTEVORP[RK],0)),"")</f>
        <v>-0.75488105073549028</v>
      </c>
      <c r="AB48" s="246"/>
      <c r="AC48" s="250"/>
      <c r="AD48" s="250"/>
      <c r="AE48" s="250"/>
      <c r="AF48" s="250" t="s">
        <v>357</v>
      </c>
      <c r="AG48" s="250">
        <v>7</v>
      </c>
      <c r="AH48" s="251">
        <f>RANK(TableOverallMaster[[#This Row],[VORP]],TableOverallMaster[VORP])+COUNTIF($AM$2:AM48,AM48)-1</f>
        <v>9</v>
      </c>
      <c r="AI48" s="252" t="str">
        <f>IFERROR(INDEX(TableRBVORP[RUNNING BACK],MATCH(TableOverallMaster[[#This Row],[RK]],TableRBVORP[RK],0)),"")</f>
        <v>Nick Chubb</v>
      </c>
      <c r="AJ48" s="252" t="str">
        <f t="shared" si="0"/>
        <v>RB7</v>
      </c>
      <c r="AK48" s="252">
        <f>IFERROR(INDEX(TableRBVORP[BYE],MATCH(TableOverallMaster[[#This Row],[RK]],TableRBVORP[RK],0)),"")</f>
        <v>9</v>
      </c>
      <c r="AL48" s="253">
        <f>IFERROR(INDEX(TableRBVORP[FPS],MATCH(TableOverallMaster[[#This Row],[RK]],TableRBVORP[RK],0)),"")</f>
        <v>216.90559678465985</v>
      </c>
      <c r="AM48" s="254">
        <f>IFERROR(INDEX(TableRBVORP[VORP],MATCH(TableOverallMaster[[#This Row],[RK]],TableRBVORP[RK],0)),"")</f>
        <v>1.1408149750808041</v>
      </c>
      <c r="AN48" s="250"/>
      <c r="AO48" s="250">
        <v>47</v>
      </c>
      <c r="AP48" s="255" t="str">
        <f>IFERROR(INDEX(TableOverallMaster[OVERALL PLAYER],MATCH(TableOverallRank[[#This Row],[RK]],TableOverallMaster[OVR RK],0)),"")</f>
        <v>Mike Williams</v>
      </c>
      <c r="AQ48" s="256" t="str">
        <f>IFERROR(INDEX(TableOverallMaster[POS RK],MATCH(TableOverallRank[[#This Row],[OVERALL PLAYER]],TableOverallMaster[OVERALL PLAYER],0)),"")</f>
        <v>WR12</v>
      </c>
      <c r="AR48" s="257">
        <f>IFERROR(INDEX(TableOverallMaster[BYE],MATCH(TableOverallRank[[#This Row],[OVERALL PLAYER]],TableOverallMaster[OVERALL PLAYER],0)),"")</f>
        <v>8</v>
      </c>
      <c r="AS48" s="258">
        <f>IFERROR(INDEX(TableOverallMaster[Custom],MATCH(TableOverallRank[[#This Row],[OVERALL PLAYER]],TableOverallMaster[OVERALL PLAYER],0)),"")</f>
        <v>161.21370314796229</v>
      </c>
      <c r="AT48" s="259">
        <f>IFERROR(INDEX(TableOverallMaster[VORP],MATCH(TableOverallRank[[#This Row],[OVERALL PLAYER]],TableOverallMaster[OVERALL PLAYER],0)),"")</f>
        <v>0.47939814083812382</v>
      </c>
      <c r="AU48" s="250"/>
      <c r="AV48" s="246">
        <v>47</v>
      </c>
      <c r="AW48" s="260" t="str">
        <f>IFERROR(INDEX(TableWRTECalcPts[PLAYER],MATCH(TableWRTERank[[#This Row],[RK]],TableWRTECalcPts[RK],0)),"")</f>
        <v>Russell Gage</v>
      </c>
      <c r="AX48" s="260" t="str">
        <f>IFERROR(INDEX(TableWRTECalcPts[POS RK],MATCH(TableWRTERank[[#This Row],[WR and TE COMBINED]],TableWRTECalcPts[PLAYER],0)),"")</f>
        <v>WR42</v>
      </c>
      <c r="AY48" s="260">
        <f>IFERROR(INDEX(TableWRTECalcPts[BYE],MATCH(TableWRTERank[[#This Row],[RK]],TableWRTECalcPts[RK],0)),"")</f>
        <v>11</v>
      </c>
      <c r="AZ48" s="261">
        <f>IFERROR(INDEX(TableWRTECalcPts[Custom],MATCH(TableWRTERank[[#This Row],[RK]],TableWRTECalcPts[RK],0)),"")</f>
        <v>119.91450420586676</v>
      </c>
      <c r="BA48" s="249">
        <f>IFERROR((TableWRTERank[[#This Row],[FPS]]-INDEX(TableWRTERank[FPS],MATCH(WRTEVORPCalc,TableWRTERank[RK],0)))/INDEX(TableWRTERank[FPS],MATCH(WRTEVORPCalc,TableWRTERank[RK],0)),"")</f>
        <v>9.8050229472587229E-3</v>
      </c>
      <c r="BC48" s="124" t="s">
        <v>358</v>
      </c>
      <c r="BD48" s="124">
        <v>47</v>
      </c>
      <c r="BE48" s="262">
        <f>RANK(TableWRTEMaster[[#This Row],[VORP]],TableWRTEMaster[VORP])+COUNTIF($BJ$2:BJ48,BJ48)-1</f>
        <v>55</v>
      </c>
      <c r="BF48" s="263" t="str">
        <f>IFERROR(INDEX(TableWRVORP[WIDE RECEIVER],MATCH(TableWRTEMaster[[#This Row],[RK]],TableWRVORP[RK],0)),"")</f>
        <v>Tim Patrick</v>
      </c>
      <c r="BG48" s="263" t="str">
        <f>_xlfn.CONCAT(TableWRTEMaster[[#This Row],[POS]],TableWRTEMaster[[#This Row],[RK]])</f>
        <v>WR47</v>
      </c>
      <c r="BH48" s="263">
        <f>IFERROR(INDEX(TableWRVORP[BYE],MATCH(TableWRTEMaster[[#This Row],[RK]],TableWRVORP[RK],0)),"")</f>
        <v>9</v>
      </c>
      <c r="BI48" s="264">
        <f>IFERROR(INDEX(TableWRVORP[FPS],MATCH(TableWRTEMaster[[#This Row],[RK]],TableWRVORP[RK],0)),"")</f>
        <v>110.0027840268209</v>
      </c>
      <c r="BJ48" s="254">
        <f>IFERROR(INDEX(TableWRVORP[VORP],MATCH(TableWRTEMaster[[#This Row],[RK]],TableWRVORP[RK],0)),"")</f>
        <v>9.4545996932735524E-3</v>
      </c>
    </row>
    <row r="49" spans="1:62" x14ac:dyDescent="0.3">
      <c r="A49" s="246">
        <v>48</v>
      </c>
      <c r="B49" s="247" t="str">
        <f>IFERROR(INDEX(TableQBCalcPts[PLAYER],MATCH(TableQBVORP[[#This Row],[RK]],TableQBCalcPts[RK],0)),"")</f>
        <v>Malik Willis</v>
      </c>
      <c r="C49" s="247" t="str">
        <f>IFERROR(INDEX(TableQBCalcPts[TM],MATCH(TableQBVORP[[#This Row],[RK]],TableQBCalcPts[RK],0)),"")</f>
        <v>TEN</v>
      </c>
      <c r="D49" s="247">
        <f>IFERROR(INDEX(TableQBCalcPts[BYE],MATCH(TableQBVORP[[#This Row],[RK]],TableQBCalcPts[RK],0)),"")</f>
        <v>6</v>
      </c>
      <c r="E49" s="248">
        <f>IFERROR(INDEX(TableQBCalcPts[Custom],MATCH(TableQBVORP[[#This Row],[RK]],TableQBCalcPts[RK],0)),"")</f>
        <v>10.140001790573582</v>
      </c>
      <c r="F49" s="249">
        <f>(IFERROR((TableQBVORP[[#This Row],[FPS]]-INDEX(TableQBVORP[FPS],MATCH(QBVORPCalc,TableQBVORP[RK],0)))/INDEX(TableQBVORP[FPS],MATCH(QBVORPCalc,TableQBVORP[RK],0)),""))+(TableRBVORP[[#This Row],[VORP]]*0.45)</f>
        <v>-0.99701675831605518</v>
      </c>
      <c r="G49" s="246"/>
      <c r="H49" s="246">
        <v>48</v>
      </c>
      <c r="I49" s="247" t="str">
        <f>IFERROR(INDEX(TableRBCalcPts[PLAYER],MATCH(TableRBVORP[[#This Row],[RK]],TableRBCalcPts[RK],0)),"")</f>
        <v>James Robinson</v>
      </c>
      <c r="J49" s="247" t="str">
        <f>IFERROR(INDEX(TableRBCalcPts[TM],MATCH(TableRBVORP[[#This Row],[RK]],TableRBCalcPts[RK],0)),"")</f>
        <v>JAX</v>
      </c>
      <c r="K49" s="247">
        <f>IFERROR(INDEX(TableRBCalcPts[BYE],MATCH(TableRBVORP[[#This Row],[RK]],TableRBCalcPts[RK],0)),"")</f>
        <v>11</v>
      </c>
      <c r="L49" s="248">
        <f>IFERROR(INDEX(TableRBCalcPts[Custom],MATCH(TableRBVORP[[#This Row],[RK]],TableRBCalcPts[RK],0)),"")</f>
        <v>96.05744529511027</v>
      </c>
      <c r="M49" s="249">
        <f>IFERROR((TableRBVORP[[#This Row],[FPS]]-INDEX(TableRBVORP[FPS],MATCH(RBVORPCalc,TableRBVORP[RK],0)))/INDEX(TableRBVORP[FPS],MATCH(RBVORPCalc,TableRBVORP[RK],0)),"")</f>
        <v>-5.1932175083825687E-2</v>
      </c>
      <c r="N49" s="246"/>
      <c r="O49" s="246">
        <v>48</v>
      </c>
      <c r="P49" s="247" t="str">
        <f>IFERROR(INDEX(TableWRCalcPts[PLAYER],MATCH(TableWRVORP[[#This Row],[RK]],TableWRCalcPts[RK],0)),"")</f>
        <v>Jameson Williams</v>
      </c>
      <c r="Q49" s="247" t="str">
        <f>IFERROR(INDEX(TableWRCalcPts[TM],MATCH(TableWRVORP[[#This Row],[RK]],TableWRCalcPts[RK],0)),"")</f>
        <v>DET</v>
      </c>
      <c r="R49" s="247">
        <f>IFERROR(INDEX(TableWRCalcPts[BYE],MATCH(TableWRVORP[[#This Row],[RK]],TableWRCalcPts[RK],0)),"")</f>
        <v>6</v>
      </c>
      <c r="S49" s="248">
        <f>IFERROR(INDEX(TableWRCalcPts[Custom],MATCH(TableWRVORP[[#This Row],[RK]],TableWRCalcPts[RK],0)),"")</f>
        <v>109.96837220993626</v>
      </c>
      <c r="T49" s="249">
        <f>IFERROR((TableWRVORP[[#This Row],[FPS]]-INDEX(TableWRVORP[FPS],MATCH(WRVORPCalc,TableWRVORP[RK],0)))/INDEX(TableWRVORP[FPS],MATCH(WRVORPCalc,TableWRVORP[RK],0)),"")</f>
        <v>9.1388152597674417E-3</v>
      </c>
      <c r="U49" s="246"/>
      <c r="V49" s="246">
        <v>48</v>
      </c>
      <c r="W49" s="247" t="str">
        <f>IFERROR(INDEX(TableTECalcPts[PLAYER],MATCH(TableTEVORP[[#This Row],[RK]],TableTECalcPts[RK],0)),"")</f>
        <v>Will Dissly</v>
      </c>
      <c r="X49" s="247" t="str">
        <f>IFERROR(INDEX(TableTECalcPts[TM],MATCH(TableTEVORP[[#This Row],[RK]],TableTECalcPts[RK],0)),"")</f>
        <v>SEA</v>
      </c>
      <c r="Y49" s="247">
        <f>IFERROR(INDEX(TableTECalcPts[BYE],MATCH(TableTEVORP[[#This Row],[RK]],TableTECalcPts[RK],0)),"")</f>
        <v>11</v>
      </c>
      <c r="Z49" s="248">
        <f>IFERROR(INDEX(TableTECalcPts[Custom],MATCH(TableTEVORP[[#This Row],[RK]],TableTECalcPts[RK],0)),"")</f>
        <v>24.755236021338916</v>
      </c>
      <c r="AA49" s="249">
        <f>IFERROR((TableTEVORP[[#This Row],[FPS]]-INDEX(TableTEVORP[FPS],MATCH(TEVORPCalc,TableTEVORP[RK],0)))/INDEX(TableTEVORP[FPS],MATCH(TEVORPCalc,TableTEVORP[RK],0)),"")</f>
        <v>-0.75837327686921729</v>
      </c>
      <c r="AB49" s="246"/>
      <c r="AC49" s="250"/>
      <c r="AD49" s="250"/>
      <c r="AE49" s="250"/>
      <c r="AF49" s="250" t="s">
        <v>357</v>
      </c>
      <c r="AG49" s="250">
        <v>8</v>
      </c>
      <c r="AH49" s="251">
        <f>RANK(TableOverallMaster[[#This Row],[VORP]],TableOverallMaster[VORP])+COUNTIF($AM$2:AM49,AM49)-1</f>
        <v>10</v>
      </c>
      <c r="AI49" s="252" t="str">
        <f>IFERROR(INDEX(TableRBVORP[RUNNING BACK],MATCH(TableOverallMaster[[#This Row],[RK]],TableRBVORP[RK],0)),"")</f>
        <v>Dalvin Cook</v>
      </c>
      <c r="AJ49" s="252" t="str">
        <f t="shared" si="0"/>
        <v>RB8</v>
      </c>
      <c r="AK49" s="252">
        <f>IFERROR(INDEX(TableRBVORP[BYE],MATCH(TableOverallMaster[[#This Row],[RK]],TableRBVORP[RK],0)),"")</f>
        <v>7</v>
      </c>
      <c r="AL49" s="253">
        <f>IFERROR(INDEX(TableRBVORP[FPS],MATCH(TableOverallMaster[[#This Row],[RK]],TableRBVORP[RK],0)),"")</f>
        <v>216.66955355982242</v>
      </c>
      <c r="AM49" s="254">
        <f>IFERROR(INDEX(TableRBVORP[VORP],MATCH(TableOverallMaster[[#This Row],[RK]],TableRBVORP[RK],0)),"")</f>
        <v>1.138485275534139</v>
      </c>
      <c r="AN49" s="250"/>
      <c r="AO49" s="250">
        <v>48</v>
      </c>
      <c r="AP49" s="255" t="str">
        <f>IFERROR(INDEX(TableOverallMaster[OVERALL PLAYER],MATCH(TableOverallRank[[#This Row],[RK]],TableOverallMaster[OVR RK],0)),"")</f>
        <v>Michael Pittman</v>
      </c>
      <c r="AQ49" s="256" t="str">
        <f>IFERROR(INDEX(TableOverallMaster[POS RK],MATCH(TableOverallRank[[#This Row],[OVERALL PLAYER]],TableOverallMaster[OVERALL PLAYER],0)),"")</f>
        <v>WR13</v>
      </c>
      <c r="AR49" s="257">
        <f>IFERROR(INDEX(TableOverallMaster[BYE],MATCH(TableOverallRank[[#This Row],[OVERALL PLAYER]],TableOverallMaster[OVERALL PLAYER],0)),"")</f>
        <v>14</v>
      </c>
      <c r="AS49" s="258">
        <f>IFERROR(INDEX(TableOverallMaster[Custom],MATCH(TableOverallRank[[#This Row],[OVERALL PLAYER]],TableOverallMaster[OVERALL PLAYER],0)),"")</f>
        <v>157.32741468517131</v>
      </c>
      <c r="AT49" s="259">
        <f>IFERROR(INDEX(TableOverallMaster[VORP],MATCH(TableOverallRank[[#This Row],[OVERALL PLAYER]],TableOverallMaster[OVERALL PLAYER],0)),"")</f>
        <v>0.44373511831368712</v>
      </c>
      <c r="AU49" s="250"/>
      <c r="AV49" s="246">
        <v>48</v>
      </c>
      <c r="AW49" s="260" t="str">
        <f>IFERROR(INDEX(TableWRTECalcPts[PLAYER],MATCH(TableWRTERank[[#This Row],[RK]],TableWRTECalcPts[RK],0)),"")</f>
        <v>Dallas Goedert</v>
      </c>
      <c r="AX49" s="260" t="str">
        <f>IFERROR(INDEX(TableWRTECalcPts[POS RK],MATCH(TableWRTERank[[#This Row],[WR and TE COMBINED]],TableWRTECalcPts[PLAYER],0)),"")</f>
        <v>TE6</v>
      </c>
      <c r="AY49" s="260">
        <f>IFERROR(INDEX(TableWRTECalcPts[BYE],MATCH(TableWRTERank[[#This Row],[RK]],TableWRTECalcPts[RK],0)),"")</f>
        <v>7</v>
      </c>
      <c r="AZ49" s="261">
        <f>IFERROR(INDEX(TableWRTECalcPts[Custom],MATCH(TableWRTERank[[#This Row],[RK]],TableWRTECalcPts[RK],0)),"")</f>
        <v>119.68741678217346</v>
      </c>
      <c r="BA49" s="249">
        <f>IFERROR((TableWRTERank[[#This Row],[FPS]]-INDEX(TableWRTERank[FPS],MATCH(WRTEVORPCalc,TableWRTERank[RK],0)))/INDEX(TableWRTERank[FPS],MATCH(WRTEVORPCalc,TableWRTERank[RK],0)),"")</f>
        <v>7.8927103157527753E-3</v>
      </c>
      <c r="BC49" s="124" t="s">
        <v>358</v>
      </c>
      <c r="BD49" s="124">
        <v>48</v>
      </c>
      <c r="BE49" s="262">
        <f>RANK(TableWRTEMaster[[#This Row],[VORP]],TableWRTEMaster[VORP])+COUNTIF($BJ$2:BJ49,BJ49)-1</f>
        <v>56</v>
      </c>
      <c r="BF49" s="263" t="str">
        <f>IFERROR(INDEX(TableWRVORP[WIDE RECEIVER],MATCH(TableWRTEMaster[[#This Row],[RK]],TableWRVORP[RK],0)),"")</f>
        <v>Jameson Williams</v>
      </c>
      <c r="BG49" s="263" t="str">
        <f>_xlfn.CONCAT(TableWRTEMaster[[#This Row],[POS]],TableWRTEMaster[[#This Row],[RK]])</f>
        <v>WR48</v>
      </c>
      <c r="BH49" s="263">
        <f>IFERROR(INDEX(TableWRVORP[BYE],MATCH(TableWRTEMaster[[#This Row],[RK]],TableWRVORP[RK],0)),"")</f>
        <v>6</v>
      </c>
      <c r="BI49" s="264">
        <f>IFERROR(INDEX(TableWRVORP[FPS],MATCH(TableWRTEMaster[[#This Row],[RK]],TableWRVORP[RK],0)),"")</f>
        <v>109.96837220993626</v>
      </c>
      <c r="BJ49" s="254">
        <f>IFERROR(INDEX(TableWRVORP[VORP],MATCH(TableWRTEMaster[[#This Row],[RK]],TableWRVORP[RK],0)),"")</f>
        <v>9.1388152597674417E-3</v>
      </c>
    </row>
    <row r="50" spans="1:62" x14ac:dyDescent="0.3">
      <c r="A50" s="246">
        <v>49</v>
      </c>
      <c r="B50" s="247" t="str">
        <f>IFERROR(INDEX(TableQBCalcPts[PLAYER],MATCH(TableQBVORP[[#This Row],[RK]],TableQBCalcPts[RK],0)),"")</f>
        <v>Mike White</v>
      </c>
      <c r="C50" s="247" t="str">
        <f>IFERROR(INDEX(TableQBCalcPts[TM],MATCH(TableQBVORP[[#This Row],[RK]],TableQBCalcPts[RK],0)),"")</f>
        <v>NYJ</v>
      </c>
      <c r="D50" s="247">
        <f>IFERROR(INDEX(TableQBCalcPts[BYE],MATCH(TableQBVORP[[#This Row],[RK]],TableQBCalcPts[RK],0)),"")</f>
        <v>10</v>
      </c>
      <c r="E50" s="248">
        <f>IFERROR(INDEX(TableQBCalcPts[Custom],MATCH(TableQBVORP[[#This Row],[RK]],TableQBCalcPts[RK],0)),"")</f>
        <v>9.9754175845668644</v>
      </c>
      <c r="F50" s="249">
        <f>(IFERROR((TableQBVORP[[#This Row],[FPS]]-INDEX(TableQBVORP[FPS],MATCH(QBVORPCalc,TableQBVORP[RK],0)))/INDEX(TableQBVORP[FPS],MATCH(QBVORPCalc,TableQBVORP[RK],0)),""))+(TableRBVORP[[#This Row],[VORP]]*0.45)</f>
        <v>-1.0068244247030471</v>
      </c>
      <c r="G50" s="246"/>
      <c r="H50" s="246">
        <v>49</v>
      </c>
      <c r="I50" s="247" t="str">
        <f>IFERROR(INDEX(TableRBCalcPts[PLAYER],MATCH(TableRBVORP[[#This Row],[RK]],TableRBCalcPts[RK],0)),"")</f>
        <v>Tyler Allgeier</v>
      </c>
      <c r="J50" s="247" t="str">
        <f>IFERROR(INDEX(TableRBCalcPts[TM],MATCH(TableRBVORP[[#This Row],[RK]],TableRBCalcPts[RK],0)),"")</f>
        <v>ATL</v>
      </c>
      <c r="K50" s="247">
        <f>IFERROR(INDEX(TableRBCalcPts[BYE],MATCH(TableRBVORP[[#This Row],[RK]],TableRBCalcPts[RK],0)),"")</f>
        <v>14</v>
      </c>
      <c r="L50" s="248">
        <f>IFERROR(INDEX(TableRBCalcPts[Custom],MATCH(TableRBVORP[[#This Row],[RK]],TableRBCalcPts[RK],0)),"")</f>
        <v>93.945519105220711</v>
      </c>
      <c r="M50" s="249">
        <f>IFERROR((TableRBVORP[[#This Row],[FPS]]-INDEX(TableRBVORP[FPS],MATCH(RBVORPCalc,TableRBVORP[RK],0)))/INDEX(TableRBVORP[FPS],MATCH(RBVORPCalc,TableRBVORP[RK],0)),"")</f>
        <v>-7.2776465321617592E-2</v>
      </c>
      <c r="N50" s="246"/>
      <c r="O50" s="246">
        <v>49</v>
      </c>
      <c r="P50" s="247" t="str">
        <f>IFERROR(INDEX(TableWRCalcPts[PLAYER],MATCH(TableWRVORP[[#This Row],[RK]],TableWRCalcPts[RK],0)),"")</f>
        <v>Michael Thomas</v>
      </c>
      <c r="Q50" s="247" t="str">
        <f>IFERROR(INDEX(TableWRCalcPts[TM],MATCH(TableWRVORP[[#This Row],[RK]],TableWRCalcPts[RK],0)),"")</f>
        <v>NO</v>
      </c>
      <c r="R50" s="247">
        <f>IFERROR(INDEX(TableWRCalcPts[BYE],MATCH(TableWRVORP[[#This Row],[RK]],TableWRCalcPts[RK],0)),"")</f>
        <v>14</v>
      </c>
      <c r="S50" s="248">
        <f>IFERROR(INDEX(TableWRCalcPts[Custom],MATCH(TableWRVORP[[#This Row],[RK]],TableWRCalcPts[RK],0)),"")</f>
        <v>109.96520155385335</v>
      </c>
      <c r="T50" s="249">
        <f>IFERROR((TableWRVORP[[#This Row],[FPS]]-INDEX(TableWRVORP[FPS],MATCH(WRVORPCalc,TableWRVORP[RK],0)))/INDEX(TableWRVORP[FPS],MATCH(WRVORPCalc,TableWRVORP[RK],0)),"")</f>
        <v>9.1097193291938706E-3</v>
      </c>
      <c r="U50" s="246"/>
      <c r="V50" s="246">
        <v>49</v>
      </c>
      <c r="W50" s="247" t="str">
        <f>IFERROR(INDEX(TableTECalcPts[PLAYER],MATCH(TableTEVORP[[#This Row],[RK]],TableTECalcPts[RK],0)),"")</f>
        <v>Greg Dulcich</v>
      </c>
      <c r="X50" s="247" t="str">
        <f>IFERROR(INDEX(TableTECalcPts[TM],MATCH(TableTEVORP[[#This Row],[RK]],TableTECalcPts[RK],0)),"")</f>
        <v>DEN</v>
      </c>
      <c r="Y50" s="247">
        <f>IFERROR(INDEX(TableTECalcPts[BYE],MATCH(TableTEVORP[[#This Row],[RK]],TableTECalcPts[RK],0)),"")</f>
        <v>9</v>
      </c>
      <c r="Z50" s="248">
        <f>IFERROR(INDEX(TableTECalcPts[Custom],MATCH(TableTEVORP[[#This Row],[RK]],TableTECalcPts[RK],0)),"")</f>
        <v>22.454485484473569</v>
      </c>
      <c r="AA50" s="249">
        <f>IFERROR((TableTEVORP[[#This Row],[FPS]]-INDEX(TableTEVORP[FPS],MATCH(TEVORPCalc,TableTEVORP[RK],0)))/INDEX(TableTEVORP[FPS],MATCH(TEVORPCalc,TableTEVORP[RK],0)),"")</f>
        <v>-0.78083005379046988</v>
      </c>
      <c r="AB50" s="246"/>
      <c r="AC50" s="250"/>
      <c r="AD50" s="250"/>
      <c r="AE50" s="250"/>
      <c r="AF50" s="250" t="s">
        <v>357</v>
      </c>
      <c r="AG50" s="250">
        <v>9</v>
      </c>
      <c r="AH50" s="251">
        <f>RANK(TableOverallMaster[[#This Row],[VORP]],TableOverallMaster[VORP])+COUNTIF($AM$2:AM50,AM50)-1</f>
        <v>11</v>
      </c>
      <c r="AI50" s="252" t="str">
        <f>IFERROR(INDEX(TableRBVORP[RUNNING BACK],MATCH(TableOverallMaster[[#This Row],[RK]],TableRBVORP[RK],0)),"")</f>
        <v>James Conner</v>
      </c>
      <c r="AJ50" s="252" t="str">
        <f t="shared" si="0"/>
        <v>RB9</v>
      </c>
      <c r="AK50" s="252">
        <f>IFERROR(INDEX(TableRBVORP[BYE],MATCH(TableOverallMaster[[#This Row],[RK]],TableRBVORP[RK],0)),"")</f>
        <v>13</v>
      </c>
      <c r="AL50" s="253">
        <f>IFERROR(INDEX(TableRBVORP[FPS],MATCH(TableOverallMaster[[#This Row],[RK]],TableRBVORP[RK],0)),"")</f>
        <v>210.93892537574453</v>
      </c>
      <c r="AM50" s="254">
        <f>IFERROR(INDEX(TableRBVORP[VORP],MATCH(TableOverallMaster[[#This Row],[RK]],TableRBVORP[RK],0)),"")</f>
        <v>1.0819251184199188</v>
      </c>
      <c r="AN50" s="250"/>
      <c r="AO50" s="250">
        <v>49</v>
      </c>
      <c r="AP50" s="255" t="str">
        <f>IFERROR(INDEX(TableOverallMaster[OVERALL PLAYER],MATCH(TableOverallRank[[#This Row],[RK]],TableOverallMaster[OVR RK],0)),"")</f>
        <v>Amari Cooper</v>
      </c>
      <c r="AQ50" s="256" t="str">
        <f>IFERROR(INDEX(TableOverallMaster[POS RK],MATCH(TableOverallRank[[#This Row],[OVERALL PLAYER]],TableOverallMaster[OVERALL PLAYER],0)),"")</f>
        <v>WR14</v>
      </c>
      <c r="AR50" s="257">
        <f>IFERROR(INDEX(TableOverallMaster[BYE],MATCH(TableOverallRank[[#This Row],[OVERALL PLAYER]],TableOverallMaster[OVERALL PLAYER],0)),"")</f>
        <v>9</v>
      </c>
      <c r="AS50" s="258">
        <f>IFERROR(INDEX(TableOverallMaster[Custom],MATCH(TableOverallRank[[#This Row],[OVERALL PLAYER]],TableOverallMaster[OVERALL PLAYER],0)),"")</f>
        <v>156.91573129483072</v>
      </c>
      <c r="AT50" s="259">
        <f>IFERROR(INDEX(TableOverallMaster[VORP],MATCH(TableOverallRank[[#This Row],[OVERALL PLAYER]],TableOverallMaster[OVERALL PLAYER],0)),"")</f>
        <v>0.43995725309260958</v>
      </c>
      <c r="AU50" s="250"/>
      <c r="AV50" s="246">
        <v>49</v>
      </c>
      <c r="AW50" s="260" t="str">
        <f>IFERROR(INDEX(TableWRTECalcPts[PLAYER],MATCH(TableWRTERank[[#This Row],[RK]],TableWRTECalcPts[RK],0)),"")</f>
        <v>Dalton Schultz</v>
      </c>
      <c r="AX50" s="260" t="str">
        <f>IFERROR(INDEX(TableWRTECalcPts[POS RK],MATCH(TableWRTERank[[#This Row],[WR and TE COMBINED]],TableWRTECalcPts[PLAYER],0)),"")</f>
        <v>TE7</v>
      </c>
      <c r="AY50" s="260">
        <f>IFERROR(INDEX(TableWRTECalcPts[BYE],MATCH(TableWRTERank[[#This Row],[RK]],TableWRTECalcPts[RK],0)),"")</f>
        <v>9</v>
      </c>
      <c r="AZ50" s="261">
        <f>IFERROR(INDEX(TableWRTECalcPts[Custom],MATCH(TableWRTERank[[#This Row],[RK]],TableWRTECalcPts[RK],0)),"")</f>
        <v>119.58073410503061</v>
      </c>
      <c r="BA50" s="249">
        <f>IFERROR((TableWRTERank[[#This Row],[FPS]]-INDEX(TableWRTERank[FPS],MATCH(WRTEVORPCalc,TableWRTERank[RK],0)))/INDEX(TableWRTERank[FPS],MATCH(WRTEVORPCalc,TableWRTERank[RK],0)),"")</f>
        <v>6.9943310583498791E-3</v>
      </c>
      <c r="BC50" s="124" t="s">
        <v>358</v>
      </c>
      <c r="BD50" s="124">
        <v>49</v>
      </c>
      <c r="BE50" s="262">
        <f>RANK(TableWRTEMaster[[#This Row],[VORP]],TableWRTEMaster[VORP])+COUNTIF($BJ$2:BJ50,BJ50)-1</f>
        <v>57</v>
      </c>
      <c r="BF50" s="263" t="str">
        <f>IFERROR(INDEX(TableWRVORP[WIDE RECEIVER],MATCH(TableWRTEMaster[[#This Row],[RK]],TableWRVORP[RK],0)),"")</f>
        <v>Michael Thomas</v>
      </c>
      <c r="BG50" s="263" t="str">
        <f>_xlfn.CONCAT(TableWRTEMaster[[#This Row],[POS]],TableWRTEMaster[[#This Row],[RK]])</f>
        <v>WR49</v>
      </c>
      <c r="BH50" s="263">
        <f>IFERROR(INDEX(TableWRVORP[BYE],MATCH(TableWRTEMaster[[#This Row],[RK]],TableWRVORP[RK],0)),"")</f>
        <v>14</v>
      </c>
      <c r="BI50" s="264">
        <f>IFERROR(INDEX(TableWRVORP[FPS],MATCH(TableWRTEMaster[[#This Row],[RK]],TableWRVORP[RK],0)),"")</f>
        <v>109.96520155385335</v>
      </c>
      <c r="BJ50" s="254">
        <f>IFERROR(INDEX(TableWRVORP[VORP],MATCH(TableWRTEMaster[[#This Row],[RK]],TableWRVORP[RK],0)),"")</f>
        <v>9.1097193291938706E-3</v>
      </c>
    </row>
    <row r="51" spans="1:62" x14ac:dyDescent="0.3">
      <c r="A51" s="246">
        <v>50</v>
      </c>
      <c r="B51" s="247" t="str">
        <f>IFERROR(INDEX(TableQBCalcPts[PLAYER],MATCH(TableQBVORP[[#This Row],[RK]],TableQBCalcPts[RK],0)),"")</f>
        <v>Taylor Heinicke</v>
      </c>
      <c r="C51" s="247" t="str">
        <f>IFERROR(INDEX(TableQBCalcPts[TM],MATCH(TableQBVORP[[#This Row],[RK]],TableQBCalcPts[RK],0)),"")</f>
        <v>WSH</v>
      </c>
      <c r="D51" s="247">
        <f>IFERROR(INDEX(TableQBCalcPts[BYE],MATCH(TableQBVORP[[#This Row],[RK]],TableQBCalcPts[RK],0)),"")</f>
        <v>14</v>
      </c>
      <c r="E51" s="248">
        <f>IFERROR(INDEX(TableQBCalcPts[Custom],MATCH(TableQBVORP[[#This Row],[RK]],TableQBCalcPts[RK],0)),"")</f>
        <v>9.1282457462990063</v>
      </c>
      <c r="F51" s="249">
        <f>(IFERROR((TableQBVORP[[#This Row],[FPS]]-INDEX(TableQBVORP[FPS],MATCH(QBVORPCalc,TableQBVORP[RK],0)))/INDEX(TableQBVORP[FPS],MATCH(QBVORPCalc,TableQBVORP[RK],0)),""))+(TableRBVORP[[#This Row],[VORP]]*0.45)</f>
        <v>-1.0132103017214371</v>
      </c>
      <c r="G51" s="246"/>
      <c r="H51" s="246">
        <v>50</v>
      </c>
      <c r="I51" s="247" t="str">
        <f>IFERROR(INDEX(TableRBCalcPts[PLAYER],MATCH(TableRBVORP[[#This Row],[RK]],TableRBCalcPts[RK],0)),"")</f>
        <v>Marlon Mack</v>
      </c>
      <c r="J51" s="247" t="str">
        <f>IFERROR(INDEX(TableRBCalcPts[TM],MATCH(TableRBVORP[[#This Row],[RK]],TableRBCalcPts[RK],0)),"")</f>
        <v>HOU</v>
      </c>
      <c r="K51" s="247">
        <f>IFERROR(INDEX(TableRBCalcPts[BYE],MATCH(TableRBVORP[[#This Row],[RK]],TableRBCalcPts[RK],0)),"")</f>
        <v>6</v>
      </c>
      <c r="L51" s="248">
        <f>IFERROR(INDEX(TableRBCalcPts[Custom],MATCH(TableRBVORP[[#This Row],[RK]],TableRBCalcPts[RK],0)),"")</f>
        <v>93.003437023698993</v>
      </c>
      <c r="M51" s="249">
        <f>IFERROR((TableRBVORP[[#This Row],[FPS]]-INDEX(TableRBVORP[FPS],MATCH(RBVORPCalc,TableRBVORP[RK],0)))/INDEX(TableRBVORP[FPS],MATCH(RBVORPCalc,TableRBVORP[RK],0)),"")</f>
        <v>-8.2074627553361465E-2</v>
      </c>
      <c r="N51" s="246"/>
      <c r="O51" s="246">
        <v>50</v>
      </c>
      <c r="P51" s="247" t="str">
        <f>IFERROR(INDEX(TableWRCalcPts[PLAYER],MATCH(TableWRVORP[[#This Row],[RK]],TableWRCalcPts[RK],0)),"")</f>
        <v>Chris Olave</v>
      </c>
      <c r="Q51" s="247" t="str">
        <f>IFERROR(INDEX(TableWRCalcPts[TM],MATCH(TableWRVORP[[#This Row],[RK]],TableWRCalcPts[RK],0)),"")</f>
        <v>NO</v>
      </c>
      <c r="R51" s="247">
        <f>IFERROR(INDEX(TableWRCalcPts[BYE],MATCH(TableWRVORP[[#This Row],[RK]],TableWRCalcPts[RK],0)),"")</f>
        <v>14</v>
      </c>
      <c r="S51" s="248">
        <f>IFERROR(INDEX(TableWRCalcPts[Custom],MATCH(TableWRVORP[[#This Row],[RK]],TableWRCalcPts[RK],0)),"")</f>
        <v>108.97249273047609</v>
      </c>
      <c r="T51" s="249">
        <f>IFERROR((TableWRVORP[[#This Row],[FPS]]-INDEX(TableWRVORP[FPS],MATCH(WRVORPCalc,TableWRVORP[RK],0)))/INDEX(TableWRVORP[FPS],MATCH(WRVORPCalc,TableWRVORP[RK],0)),"")</f>
        <v>0</v>
      </c>
      <c r="U51" s="246"/>
      <c r="V51" s="246">
        <v>50</v>
      </c>
      <c r="W51" s="247" t="str">
        <f>IFERROR(INDEX(TableTECalcPts[PLAYER],MATCH(TableTEVORP[[#This Row],[RK]],TableTECalcPts[RK],0)),"")</f>
        <v>Trey McBride</v>
      </c>
      <c r="X51" s="247" t="str">
        <f>IFERROR(INDEX(TableTECalcPts[TM],MATCH(TableTEVORP[[#This Row],[RK]],TableTECalcPts[RK],0)),"")</f>
        <v>ARI</v>
      </c>
      <c r="Y51" s="247">
        <f>IFERROR(INDEX(TableTECalcPts[BYE],MATCH(TableTEVORP[[#This Row],[RK]],TableTECalcPts[RK],0)),"")</f>
        <v>13</v>
      </c>
      <c r="Z51" s="248">
        <f>IFERROR(INDEX(TableTECalcPts[Custom],MATCH(TableTEVORP[[#This Row],[RK]],TableTECalcPts[RK],0)),"")</f>
        <v>22.020922347162873</v>
      </c>
      <c r="AA51" s="249">
        <f>IFERROR((TableTEVORP[[#This Row],[FPS]]-INDEX(TableTEVORP[FPS],MATCH(TEVORPCalc,TableTEVORP[RK],0)))/INDEX(TableTEVORP[FPS],MATCH(TEVORPCalc,TableTEVORP[RK],0)),"")</f>
        <v>-0.78506190357159833</v>
      </c>
      <c r="AB51" s="246"/>
      <c r="AC51" s="250"/>
      <c r="AD51" s="250"/>
      <c r="AE51" s="250"/>
      <c r="AF51" s="250" t="s">
        <v>357</v>
      </c>
      <c r="AG51" s="250">
        <v>10</v>
      </c>
      <c r="AH51" s="251">
        <f>RANK(TableOverallMaster[[#This Row],[VORP]],TableOverallMaster[VORP])+COUNTIF($AM$2:AM51,AM51)-1</f>
        <v>12</v>
      </c>
      <c r="AI51" s="252" t="str">
        <f>IFERROR(INDEX(TableRBVORP[RUNNING BACK],MATCH(TableOverallMaster[[#This Row],[RK]],TableRBVORP[RK],0)),"")</f>
        <v>Cam Akers</v>
      </c>
      <c r="AJ51" s="252" t="str">
        <f t="shared" si="0"/>
        <v>RB10</v>
      </c>
      <c r="AK51" s="252">
        <f>IFERROR(INDEX(TableRBVORP[BYE],MATCH(TableOverallMaster[[#This Row],[RK]],TableRBVORP[RK],0)),"")</f>
        <v>7</v>
      </c>
      <c r="AL51" s="253">
        <f>IFERROR(INDEX(TableRBVORP[FPS],MATCH(TableOverallMaster[[#This Row],[RK]],TableRBVORP[RK],0)),"")</f>
        <v>210.42749670801629</v>
      </c>
      <c r="AM51" s="254">
        <f>IFERROR(INDEX(TableRBVORP[VORP],MATCH(TableOverallMaster[[#This Row],[RK]],TableRBVORP[RK],0)),"")</f>
        <v>1.0768774194818171</v>
      </c>
      <c r="AN51" s="250"/>
      <c r="AO51" s="250">
        <v>50</v>
      </c>
      <c r="AP51" s="255" t="str">
        <f>IFERROR(INDEX(TableOverallMaster[OVERALL PLAYER],MATCH(TableOverallRank[[#This Row],[RK]],TableOverallMaster[OVR RK],0)),"")</f>
        <v>Kyler Murray</v>
      </c>
      <c r="AQ51" s="256" t="str">
        <f>IFERROR(INDEX(TableOverallMaster[POS RK],MATCH(TableOverallRank[[#This Row],[OVERALL PLAYER]],TableOverallMaster[OVERALL PLAYER],0)),"")</f>
        <v>QB7</v>
      </c>
      <c r="AR51" s="257">
        <f>IFERROR(INDEX(TableOverallMaster[BYE],MATCH(TableOverallRank[[#This Row],[OVERALL PLAYER]],TableOverallMaster[OVERALL PLAYER],0)),"")</f>
        <v>13</v>
      </c>
      <c r="AS51" s="258">
        <f>IFERROR(INDEX(TableOverallMaster[Custom],MATCH(TableOverallRank[[#This Row],[OVERALL PLAYER]],TableOverallMaster[OVERALL PLAYER],0)),"")</f>
        <v>353.57371760134686</v>
      </c>
      <c r="AT51" s="259">
        <f>IFERROR(INDEX(TableOverallMaster[VORP],MATCH(TableOverallRank[[#This Row],[OVERALL PLAYER]],TableOverallMaster[OVERALL PLAYER],0)),"")</f>
        <v>0.43226493412377276</v>
      </c>
      <c r="AU51" s="250"/>
      <c r="AV51" s="246">
        <v>50</v>
      </c>
      <c r="AW51" s="260" t="str">
        <f>IFERROR(INDEX(TableWRTECalcPts[PLAYER],MATCH(TableWRTERank[[#This Row],[RK]],TableWRTECalcPts[RK],0)),"")</f>
        <v>Garrett Wilson</v>
      </c>
      <c r="AX51" s="260" t="str">
        <f>IFERROR(INDEX(TableWRTECalcPts[POS RK],MATCH(TableWRTERank[[#This Row],[WR and TE COMBINED]],TableWRTECalcPts[PLAYER],0)),"")</f>
        <v>WR43</v>
      </c>
      <c r="AY51" s="260">
        <f>IFERROR(INDEX(TableWRTECalcPts[BYE],MATCH(TableWRTERank[[#This Row],[RK]],TableWRTECalcPts[RK],0)),"")</f>
        <v>10</v>
      </c>
      <c r="AZ51" s="261">
        <f>IFERROR(INDEX(TableWRTECalcPts[Custom],MATCH(TableWRTERank[[#This Row],[RK]],TableWRTECalcPts[RK],0)),"")</f>
        <v>118.75015619934166</v>
      </c>
      <c r="BA51" s="249">
        <f>IFERROR((TableWRTERank[[#This Row],[FPS]]-INDEX(TableWRTERank[FPS],MATCH(WRTEVORPCalc,TableWRTERank[RK],0)))/INDEX(TableWRTERank[FPS],MATCH(WRTEVORPCalc,TableWRTERank[RK],0)),"")</f>
        <v>0</v>
      </c>
      <c r="BC51" s="124" t="s">
        <v>358</v>
      </c>
      <c r="BD51" s="124">
        <v>50</v>
      </c>
      <c r="BE51" s="262">
        <f>RANK(TableWRTEMaster[[#This Row],[VORP]],TableWRTEMaster[VORP])+COUNTIF($BJ$2:BJ51,BJ51)-1</f>
        <v>59</v>
      </c>
      <c r="BF51" s="263" t="str">
        <f>IFERROR(INDEX(TableWRVORP[WIDE RECEIVER],MATCH(TableWRTEMaster[[#This Row],[RK]],TableWRVORP[RK],0)),"")</f>
        <v>Chris Olave</v>
      </c>
      <c r="BG51" s="263" t="str">
        <f>_xlfn.CONCAT(TableWRTEMaster[[#This Row],[POS]],TableWRTEMaster[[#This Row],[RK]])</f>
        <v>WR50</v>
      </c>
      <c r="BH51" s="263">
        <f>IFERROR(INDEX(TableWRVORP[BYE],MATCH(TableWRTEMaster[[#This Row],[RK]],TableWRVORP[RK],0)),"")</f>
        <v>14</v>
      </c>
      <c r="BI51" s="264">
        <f>IFERROR(INDEX(TableWRVORP[FPS],MATCH(TableWRTEMaster[[#This Row],[RK]],TableWRVORP[RK],0)),"")</f>
        <v>108.97249273047609</v>
      </c>
      <c r="BJ51" s="254">
        <f>IFERROR(INDEX(TableWRVORP[VORP],MATCH(TableWRTEMaster[[#This Row],[RK]],TableWRVORP[RK],0)),"")</f>
        <v>0</v>
      </c>
    </row>
    <row r="52" spans="1:62" x14ac:dyDescent="0.3">
      <c r="A52" s="246">
        <v>51</v>
      </c>
      <c r="B52" s="247" t="str">
        <f>IFERROR(INDEX(TableQBCalcPts[PLAYER],MATCH(TableQBVORP[[#This Row],[RK]],TableQBCalcPts[RK],0)),"")</f>
        <v>Andy Dalton</v>
      </c>
      <c r="C52" s="247" t="str">
        <f>IFERROR(INDEX(TableQBCalcPts[TM],MATCH(TableQBVORP[[#This Row],[RK]],TableQBCalcPts[RK],0)),"")</f>
        <v>NO</v>
      </c>
      <c r="D52" s="247">
        <f>IFERROR(INDEX(TableQBCalcPts[BYE],MATCH(TableQBVORP[[#This Row],[RK]],TableQBCalcPts[RK],0)),"")</f>
        <v>14</v>
      </c>
      <c r="E52" s="248">
        <f>IFERROR(INDEX(TableQBCalcPts[Custom],MATCH(TableQBVORP[[#This Row],[RK]],TableQBCalcPts[RK],0)),"")</f>
        <v>9.0371765433830493</v>
      </c>
      <c r="F52" s="249">
        <f>(IFERROR((TableQBVORP[[#This Row],[FPS]]-INDEX(TableQBVORP[FPS],MATCH(QBVORPCalc,TableQBVORP[RK],0)))/INDEX(TableQBVORP[FPS],MATCH(QBVORPCalc,TableQBVORP[RK],0)),""))+(TableRBVORP[[#This Row],[VORP]]*0.45)</f>
        <v>-1.0143191750402241</v>
      </c>
      <c r="G52" s="246"/>
      <c r="H52" s="246">
        <v>51</v>
      </c>
      <c r="I52" s="247" t="str">
        <f>IFERROR(INDEX(TableRBCalcPts[PLAYER],MATCH(TableRBVORP[[#This Row],[RK]],TableRBCalcPts[RK],0)),"")</f>
        <v>Raheem Mostert</v>
      </c>
      <c r="J52" s="247" t="str">
        <f>IFERROR(INDEX(TableRBCalcPts[TM],MATCH(TableRBVORP[[#This Row],[RK]],TableRBCalcPts[RK],0)),"")</f>
        <v>MIA</v>
      </c>
      <c r="K52" s="247">
        <f>IFERROR(INDEX(TableRBCalcPts[BYE],MATCH(TableRBVORP[[#This Row],[RK]],TableRBCalcPts[RK],0)),"")</f>
        <v>11</v>
      </c>
      <c r="L52" s="248">
        <f>IFERROR(INDEX(TableRBCalcPts[Custom],MATCH(TableRBVORP[[#This Row],[RK]],TableRBCalcPts[RK],0)),"")</f>
        <v>92.80705914161156</v>
      </c>
      <c r="M52" s="249">
        <f>IFERROR((TableRBVORP[[#This Row],[FPS]]-INDEX(TableRBVORP[FPS],MATCH(RBVORPCalc,TableRBVORP[RK],0)))/INDEX(TableRBVORP[FPS],MATCH(RBVORPCalc,TableRBVORP[RK],0)),"")</f>
        <v>-8.401283807895156E-2</v>
      </c>
      <c r="N52" s="246"/>
      <c r="O52" s="246">
        <v>51</v>
      </c>
      <c r="P52" s="247" t="str">
        <f>IFERROR(INDEX(TableWRCalcPts[PLAYER],MATCH(TableWRVORP[[#This Row],[RK]],TableWRCalcPts[RK],0)),"")</f>
        <v>Chase Claypool</v>
      </c>
      <c r="Q52" s="247" t="str">
        <f>IFERROR(INDEX(TableWRCalcPts[TM],MATCH(TableWRVORP[[#This Row],[RK]],TableWRCalcPts[RK],0)),"")</f>
        <v>PIT</v>
      </c>
      <c r="R52" s="247">
        <f>IFERROR(INDEX(TableWRCalcPts[BYE],MATCH(TableWRVORP[[#This Row],[RK]],TableWRCalcPts[RK],0)),"")</f>
        <v>9</v>
      </c>
      <c r="S52" s="248">
        <f>IFERROR(INDEX(TableWRCalcPts[Custom],MATCH(TableWRVORP[[#This Row],[RK]],TableWRCalcPts[RK],0)),"")</f>
        <v>106.93345533928145</v>
      </c>
      <c r="T52" s="249">
        <f>IFERROR((TableWRVORP[[#This Row],[FPS]]-INDEX(TableWRVORP[FPS],MATCH(WRVORPCalc,TableWRVORP[RK],0)))/INDEX(TableWRVORP[FPS],MATCH(WRVORPCalc,TableWRVORP[RK],0)),"")</f>
        <v>-1.8711487092782513E-2</v>
      </c>
      <c r="U52" s="246"/>
      <c r="V52" s="246">
        <v>51</v>
      </c>
      <c r="W52" s="247" t="str">
        <f>IFERROR(INDEX(TableTECalcPts[PLAYER],MATCH(TableTEVORP[[#This Row],[RK]],TableTECalcPts[RK],0)),"")</f>
        <v>Daniel Bellinger</v>
      </c>
      <c r="X52" s="247" t="str">
        <f>IFERROR(INDEX(TableTECalcPts[TM],MATCH(TableTEVORP[[#This Row],[RK]],TableTECalcPts[RK],0)),"")</f>
        <v>NYG</v>
      </c>
      <c r="Y52" s="247">
        <f>IFERROR(INDEX(TableTECalcPts[BYE],MATCH(TableTEVORP[[#This Row],[RK]],TableTECalcPts[RK],0)),"")</f>
        <v>9</v>
      </c>
      <c r="Z52" s="248">
        <f>IFERROR(INDEX(TableTECalcPts[Custom],MATCH(TableTEVORP[[#This Row],[RK]],TableTECalcPts[RK],0)),"")</f>
        <v>21.689387265231311</v>
      </c>
      <c r="AA52" s="249">
        <f>IFERROR((TableTEVORP[[#This Row],[FPS]]-INDEX(TableTEVORP[FPS],MATCH(TEVORPCalc,TableTEVORP[RK],0)))/INDEX(TableTEVORP[FPS],MATCH(TEVORPCalc,TableTEVORP[RK],0)),"")</f>
        <v>-0.78829789515660931</v>
      </c>
      <c r="AB52" s="246"/>
      <c r="AC52" s="250"/>
      <c r="AD52" s="250"/>
      <c r="AE52" s="250"/>
      <c r="AF52" s="250" t="s">
        <v>357</v>
      </c>
      <c r="AG52" s="250">
        <v>11</v>
      </c>
      <c r="AH52" s="251">
        <f>RANK(TableOverallMaster[[#This Row],[VORP]],TableOverallMaster[VORP])+COUNTIF($AM$2:AM52,AM52)-1</f>
        <v>13</v>
      </c>
      <c r="AI52" s="252" t="str">
        <f>IFERROR(INDEX(TableRBVORP[RUNNING BACK],MATCH(TableOverallMaster[[#This Row],[RK]],TableRBVORP[RK],0)),"")</f>
        <v>Saquon Barkley</v>
      </c>
      <c r="AJ52" s="252" t="str">
        <f t="shared" si="0"/>
        <v>RB11</v>
      </c>
      <c r="AK52" s="252">
        <f>IFERROR(INDEX(TableRBVORP[BYE],MATCH(TableOverallMaster[[#This Row],[RK]],TableRBVORP[RK],0)),"")</f>
        <v>9</v>
      </c>
      <c r="AL52" s="253">
        <f>IFERROR(INDEX(TableRBVORP[FPS],MATCH(TableOverallMaster[[#This Row],[RK]],TableRBVORP[RK],0)),"")</f>
        <v>208.83160199086635</v>
      </c>
      <c r="AM52" s="254">
        <f>IFERROR(INDEX(TableRBVORP[VORP],MATCH(TableOverallMaster[[#This Row],[RK]],TableRBVORP[RK],0)),"")</f>
        <v>1.0611262569494884</v>
      </c>
      <c r="AN52" s="250"/>
      <c r="AO52" s="250">
        <v>51</v>
      </c>
      <c r="AP52" s="255" t="str">
        <f>IFERROR(INDEX(TableOverallMaster[OVERALL PLAYER],MATCH(TableOverallRank[[#This Row],[RK]],TableOverallMaster[OVR RK],0)),"")</f>
        <v>Tom Brady</v>
      </c>
      <c r="AQ52" s="256" t="str">
        <f>IFERROR(INDEX(TableOverallMaster[POS RK],MATCH(TableOverallRank[[#This Row],[OVERALL PLAYER]],TableOverallMaster[OVERALL PLAYER],0)),"")</f>
        <v>QB8</v>
      </c>
      <c r="AR52" s="257">
        <f>IFERROR(INDEX(TableOverallMaster[BYE],MATCH(TableOverallRank[[#This Row],[OVERALL PLAYER]],TableOverallMaster[OVERALL PLAYER],0)),"")</f>
        <v>11</v>
      </c>
      <c r="AS52" s="258">
        <f>IFERROR(INDEX(TableOverallMaster[Custom],MATCH(TableOverallRank[[#This Row],[OVERALL PLAYER]],TableOverallMaster[OVERALL PLAYER],0)),"")</f>
        <v>352.86881815129311</v>
      </c>
      <c r="AT52" s="259">
        <f>IFERROR(INDEX(TableOverallMaster[VORP],MATCH(TableOverallRank[[#This Row],[OVERALL PLAYER]],TableOverallMaster[OVERALL PLAYER],0)),"")</f>
        <v>0.42938461519684168</v>
      </c>
      <c r="AU52" s="250"/>
      <c r="AV52" s="246">
        <v>51</v>
      </c>
      <c r="AW52" s="260" t="str">
        <f>IFERROR(INDEX(TableWRTECalcPts[PLAYER],MATCH(TableWRTERank[[#This Row],[RK]],TableWRTECalcPts[RK],0)),"")</f>
        <v>Brandon Aiyuk</v>
      </c>
      <c r="AX52" s="260" t="str">
        <f>IFERROR(INDEX(TableWRTECalcPts[POS RK],MATCH(TableWRTERank[[#This Row],[WR and TE COMBINED]],TableWRTECalcPts[PLAYER],0)),"")</f>
        <v>WR44</v>
      </c>
      <c r="AY52" s="260">
        <f>IFERROR(INDEX(TableWRTECalcPts[BYE],MATCH(TableWRTERank[[#This Row],[RK]],TableWRTECalcPts[RK],0)),"")</f>
        <v>9</v>
      </c>
      <c r="AZ52" s="261">
        <f>IFERROR(INDEX(TableWRTECalcPts[Custom],MATCH(TableWRTERank[[#This Row],[RK]],TableWRTECalcPts[RK],0)),"")</f>
        <v>118.29153042188688</v>
      </c>
      <c r="BA52" s="249">
        <f>IFERROR((TableWRTERank[[#This Row],[FPS]]-INDEX(TableWRTERank[FPS],MATCH(WRTEVORPCalc,TableWRTERank[RK],0)))/INDEX(TableWRTERank[FPS],MATCH(WRTEVORPCalc,TableWRTERank[RK],0)),"")</f>
        <v>-3.8621067300737342E-3</v>
      </c>
      <c r="BC52" s="124" t="s">
        <v>358</v>
      </c>
      <c r="BD52" s="124">
        <v>51</v>
      </c>
      <c r="BE52" s="262">
        <f>RANK(TableWRTEMaster[[#This Row],[VORP]],TableWRTEMaster[VORP])+COUNTIF($BJ$2:BJ52,BJ52)-1</f>
        <v>61</v>
      </c>
      <c r="BF52" s="263" t="str">
        <f>IFERROR(INDEX(TableWRVORP[WIDE RECEIVER],MATCH(TableWRTEMaster[[#This Row],[RK]],TableWRVORP[RK],0)),"")</f>
        <v>Chase Claypool</v>
      </c>
      <c r="BG52" s="263" t="str">
        <f>_xlfn.CONCAT(TableWRTEMaster[[#This Row],[POS]],TableWRTEMaster[[#This Row],[RK]])</f>
        <v>WR51</v>
      </c>
      <c r="BH52" s="263">
        <f>IFERROR(INDEX(TableWRVORP[BYE],MATCH(TableWRTEMaster[[#This Row],[RK]],TableWRVORP[RK],0)),"")</f>
        <v>9</v>
      </c>
      <c r="BI52" s="264">
        <f>IFERROR(INDEX(TableWRVORP[FPS],MATCH(TableWRTEMaster[[#This Row],[RK]],TableWRVORP[RK],0)),"")</f>
        <v>106.93345533928145</v>
      </c>
      <c r="BJ52" s="254">
        <f>IFERROR(INDEX(TableWRVORP[VORP],MATCH(TableWRTEMaster[[#This Row],[RK]],TableWRVORP[RK],0)),"")</f>
        <v>-1.8711487092782513E-2</v>
      </c>
    </row>
    <row r="53" spans="1:62" x14ac:dyDescent="0.3">
      <c r="A53" s="246">
        <v>52</v>
      </c>
      <c r="B53" s="247" t="str">
        <f>IFERROR(INDEX(TableQBCalcPts[PLAYER],MATCH(TableQBVORP[[#This Row],[RK]],TableQBCalcPts[RK],0)),"")</f>
        <v>Colt McCoy</v>
      </c>
      <c r="C53" s="247" t="str">
        <f>IFERROR(INDEX(TableQBCalcPts[TM],MATCH(TableQBVORP[[#This Row],[RK]],TableQBCalcPts[RK],0)),"")</f>
        <v>ARI</v>
      </c>
      <c r="D53" s="247">
        <f>IFERROR(INDEX(TableQBCalcPts[BYE],MATCH(TableQBVORP[[#This Row],[RK]],TableQBCalcPts[RK],0)),"")</f>
        <v>13</v>
      </c>
      <c r="E53" s="248">
        <f>IFERROR(INDEX(TableQBCalcPts[Custom],MATCH(TableQBVORP[[#This Row],[RK]],TableQBCalcPts[RK],0)),"")</f>
        <v>7.8973327406755809</v>
      </c>
      <c r="F53" s="249">
        <f>(IFERROR((TableQBVORP[[#This Row],[FPS]]-INDEX(TableQBVORP[FPS],MATCH(QBVORPCalc,TableQBVORP[RK],0)))/INDEX(TableQBVORP[FPS],MATCH(QBVORPCalc,TableQBVORP[RK],0)),""))+(TableRBVORP[[#This Row],[VORP]]*0.45)</f>
        <v>-1.0200328844850535</v>
      </c>
      <c r="G53" s="246"/>
      <c r="H53" s="246">
        <v>52</v>
      </c>
      <c r="I53" s="247" t="str">
        <f>IFERROR(INDEX(TableRBCalcPts[PLAYER],MATCH(TableRBVORP[[#This Row],[RK]],TableRBCalcPts[RK],0)),"")</f>
        <v>Dameon Pierce</v>
      </c>
      <c r="J53" s="247" t="str">
        <f>IFERROR(INDEX(TableRBCalcPts[TM],MATCH(TableRBVORP[[#This Row],[RK]],TableRBCalcPts[RK],0)),"")</f>
        <v>HOU</v>
      </c>
      <c r="K53" s="247">
        <f>IFERROR(INDEX(TableRBCalcPts[BYE],MATCH(TableRBVORP[[#This Row],[RK]],TableRBCalcPts[RK],0)),"")</f>
        <v>6</v>
      </c>
      <c r="L53" s="248">
        <f>IFERROR(INDEX(TableRBCalcPts[Custom],MATCH(TableRBVORP[[#This Row],[RK]],TableRBCalcPts[RK],0)),"")</f>
        <v>92.187574817760776</v>
      </c>
      <c r="M53" s="249">
        <f>IFERROR((TableRBVORP[[#This Row],[FPS]]-INDEX(TableRBVORP[FPS],MATCH(RBVORPCalc,TableRBVORP[RK],0)))/INDEX(TableRBVORP[FPS],MATCH(RBVORPCalc,TableRBVORP[RK],0)),"")</f>
        <v>-9.0127024789607046E-2</v>
      </c>
      <c r="N53" s="246"/>
      <c r="O53" s="246">
        <v>52</v>
      </c>
      <c r="P53" s="247" t="str">
        <f>IFERROR(INDEX(TableWRCalcPts[PLAYER],MATCH(TableWRVORP[[#This Row],[RK]],TableWRCalcPts[RK],0)),"")</f>
        <v>Van Jefferson</v>
      </c>
      <c r="Q53" s="247" t="str">
        <f>IFERROR(INDEX(TableWRCalcPts[TM],MATCH(TableWRVORP[[#This Row],[RK]],TableWRCalcPts[RK],0)),"")</f>
        <v>LAR</v>
      </c>
      <c r="R53" s="247">
        <f>IFERROR(INDEX(TableWRCalcPts[BYE],MATCH(TableWRVORP[[#This Row],[RK]],TableWRCalcPts[RK],0)),"")</f>
        <v>7</v>
      </c>
      <c r="S53" s="248">
        <f>IFERROR(INDEX(TableWRCalcPts[Custom],MATCH(TableWRVORP[[#This Row],[RK]],TableWRCalcPts[RK],0)),"")</f>
        <v>106.76394680560256</v>
      </c>
      <c r="T53" s="249">
        <f>IFERROR((TableWRVORP[[#This Row],[FPS]]-INDEX(TableWRVORP[FPS],MATCH(WRVORPCalc,TableWRVORP[RK],0)))/INDEX(TableWRVORP[FPS],MATCH(WRVORPCalc,TableWRVORP[RK],0)),"")</f>
        <v>-2.0267003805593174E-2</v>
      </c>
      <c r="U53" s="246"/>
      <c r="V53" s="246">
        <v>52</v>
      </c>
      <c r="W53" s="247" t="str">
        <f>IFERROR(INDEX(TableTECalcPts[PLAYER],MATCH(TableTEVORP[[#This Row],[RK]],TableTECalcPts[RK],0)),"")</f>
        <v>Nick Boyle</v>
      </c>
      <c r="X53" s="247" t="str">
        <f>IFERROR(INDEX(TableTECalcPts[TM],MATCH(TableTEVORP[[#This Row],[RK]],TableTECalcPts[RK],0)),"")</f>
        <v>BAL</v>
      </c>
      <c r="Y53" s="247">
        <f>IFERROR(INDEX(TableTECalcPts[BYE],MATCH(TableTEVORP[[#This Row],[RK]],TableTECalcPts[RK],0)),"")</f>
        <v>10</v>
      </c>
      <c r="Z53" s="248">
        <f>IFERROR(INDEX(TableTECalcPts[Custom],MATCH(TableTEVORP[[#This Row],[RK]],TableTECalcPts[RK],0)),"")</f>
        <v>21.097558218881776</v>
      </c>
      <c r="AA53" s="249">
        <f>IFERROR((TableTEVORP[[#This Row],[FPS]]-INDEX(TableTEVORP[FPS],MATCH(TEVORPCalc,TableTEVORP[RK],0)))/INDEX(TableTEVORP[FPS],MATCH(TEVORPCalc,TableTEVORP[RK],0)),"")</f>
        <v>-0.79407452006940715</v>
      </c>
      <c r="AB53" s="246"/>
      <c r="AC53" s="250"/>
      <c r="AD53" s="250"/>
      <c r="AE53" s="250"/>
      <c r="AF53" s="250" t="s">
        <v>357</v>
      </c>
      <c r="AG53" s="250">
        <v>12</v>
      </c>
      <c r="AH53" s="251">
        <f>RANK(TableOverallMaster[[#This Row],[VORP]],TableOverallMaster[VORP])+COUNTIF($AM$2:AM53,AM53)-1</f>
        <v>15</v>
      </c>
      <c r="AI53" s="252" t="str">
        <f>IFERROR(INDEX(TableRBVORP[RUNNING BACK],MATCH(TableOverallMaster[[#This Row],[RK]],TableRBVORP[RK],0)),"")</f>
        <v>J.K. Dobbins</v>
      </c>
      <c r="AJ53" s="252" t="str">
        <f t="shared" si="0"/>
        <v>RB12</v>
      </c>
      <c r="AK53" s="252">
        <f>IFERROR(INDEX(TableRBVORP[BYE],MATCH(TableOverallMaster[[#This Row],[RK]],TableRBVORP[RK],0)),"")</f>
        <v>10</v>
      </c>
      <c r="AL53" s="253">
        <f>IFERROR(INDEX(TableRBVORP[FPS],MATCH(TableOverallMaster[[#This Row],[RK]],TableRBVORP[RK],0)),"")</f>
        <v>200.29881530397194</v>
      </c>
      <c r="AM53" s="254">
        <f>IFERROR(INDEX(TableRBVORP[VORP],MATCH(TableOverallMaster[[#This Row],[RK]],TableRBVORP[RK],0)),"")</f>
        <v>0.97690935434642201</v>
      </c>
      <c r="AN53" s="250"/>
      <c r="AO53" s="250">
        <v>52</v>
      </c>
      <c r="AP53" s="255" t="str">
        <f>IFERROR(INDEX(TableOverallMaster[OVERALL PLAYER],MATCH(TableOverallRank[[#This Row],[RK]],TableOverallMaster[OVR RK],0)),"")</f>
        <v>Ken Walker</v>
      </c>
      <c r="AQ53" s="256" t="str">
        <f>IFERROR(INDEX(TableOverallMaster[POS RK],MATCH(TableOverallRank[[#This Row],[OVERALL PLAYER]],TableOverallMaster[OVERALL PLAYER],0)),"")</f>
        <v>RB27</v>
      </c>
      <c r="AR53" s="257">
        <f>IFERROR(INDEX(TableOverallMaster[BYE],MATCH(TableOverallRank[[#This Row],[OVERALL PLAYER]],TableOverallMaster[OVERALL PLAYER],0)),"")</f>
        <v>11</v>
      </c>
      <c r="AS53" s="258">
        <f>IFERROR(INDEX(TableOverallMaster[Custom],MATCH(TableOverallRank[[#This Row],[OVERALL PLAYER]],TableOverallMaster[OVERALL PLAYER],0)),"")</f>
        <v>142.27892276141387</v>
      </c>
      <c r="AT53" s="259">
        <f>IFERROR(INDEX(TableOverallMaster[VORP],MATCH(TableOverallRank[[#This Row],[OVERALL PLAYER]],TableOverallMaster[OVERALL PLAYER],0)),"")</f>
        <v>0.40426458791837644</v>
      </c>
      <c r="AU53" s="250"/>
      <c r="AV53" s="246">
        <v>52</v>
      </c>
      <c r="AW53" s="260" t="str">
        <f>IFERROR(INDEX(TableWRTECalcPts[PLAYER],MATCH(TableWRTERank[[#This Row],[RK]],TableWRTECalcPts[RK],0)),"")</f>
        <v>Tyler Boyd</v>
      </c>
      <c r="AX53" s="260" t="str">
        <f>IFERROR(INDEX(TableWRTECalcPts[POS RK],MATCH(TableWRTERank[[#This Row],[WR and TE COMBINED]],TableWRTECalcPts[PLAYER],0)),"")</f>
        <v>WR45</v>
      </c>
      <c r="AY53" s="260">
        <f>IFERROR(INDEX(TableWRTECalcPts[BYE],MATCH(TableWRTERank[[#This Row],[RK]],TableWRTECalcPts[RK],0)),"")</f>
        <v>10</v>
      </c>
      <c r="AZ53" s="261">
        <f>IFERROR(INDEX(TableWRTECalcPts[Custom],MATCH(TableWRTERank[[#This Row],[RK]],TableWRTECalcPts[RK],0)),"")</f>
        <v>115.93168781692657</v>
      </c>
      <c r="BA53" s="249">
        <f>IFERROR((TableWRTERank[[#This Row],[FPS]]-INDEX(TableWRTERank[FPS],MATCH(WRTEVORPCalc,TableWRTERank[RK],0)))/INDEX(TableWRTERank[FPS],MATCH(WRTEVORPCalc,TableWRTERank[RK],0)),"")</f>
        <v>-2.3734439369358203E-2</v>
      </c>
      <c r="BC53" s="124" t="s">
        <v>358</v>
      </c>
      <c r="BD53" s="124">
        <v>52</v>
      </c>
      <c r="BE53" s="262">
        <f>RANK(TableWRTEMaster[[#This Row],[VORP]],TableWRTEMaster[VORP])+COUNTIF($BJ$2:BJ53,BJ53)-1</f>
        <v>62</v>
      </c>
      <c r="BF53" s="263" t="str">
        <f>IFERROR(INDEX(TableWRVORP[WIDE RECEIVER],MATCH(TableWRTEMaster[[#This Row],[RK]],TableWRVORP[RK],0)),"")</f>
        <v>Van Jefferson</v>
      </c>
      <c r="BG53" s="263" t="str">
        <f>_xlfn.CONCAT(TableWRTEMaster[[#This Row],[POS]],TableWRTEMaster[[#This Row],[RK]])</f>
        <v>WR52</v>
      </c>
      <c r="BH53" s="263">
        <f>IFERROR(INDEX(TableWRVORP[BYE],MATCH(TableWRTEMaster[[#This Row],[RK]],TableWRVORP[RK],0)),"")</f>
        <v>7</v>
      </c>
      <c r="BI53" s="264">
        <f>IFERROR(INDEX(TableWRVORP[FPS],MATCH(TableWRTEMaster[[#This Row],[RK]],TableWRVORP[RK],0)),"")</f>
        <v>106.76394680560256</v>
      </c>
      <c r="BJ53" s="254">
        <f>IFERROR(INDEX(TableWRVORP[VORP],MATCH(TableWRTEMaster[[#This Row],[RK]],TableWRVORP[RK],0)),"")</f>
        <v>-2.0267003805593174E-2</v>
      </c>
    </row>
    <row r="54" spans="1:62" x14ac:dyDescent="0.3">
      <c r="A54" s="246">
        <v>53</v>
      </c>
      <c r="B54" s="247" t="str">
        <f>IFERROR(INDEX(TableQBCalcPts[PLAYER],MATCH(TableQBVORP[[#This Row],[RK]],TableQBCalcPts[RK],0)),"")</f>
        <v>Tim Boyle</v>
      </c>
      <c r="C54" s="247" t="str">
        <f>IFERROR(INDEX(TableQBCalcPts[TM],MATCH(TableQBVORP[[#This Row],[RK]],TableQBCalcPts[RK],0)),"")</f>
        <v>DET</v>
      </c>
      <c r="D54" s="247">
        <f>IFERROR(INDEX(TableQBCalcPts[BYE],MATCH(TableQBVORP[[#This Row],[RK]],TableQBCalcPts[RK],0)),"")</f>
        <v>6</v>
      </c>
      <c r="E54" s="248">
        <f>IFERROR(INDEX(TableQBCalcPts[Custom],MATCH(TableQBVORP[[#This Row],[RK]],TableQBCalcPts[RK],0)),"")</f>
        <v>7.4856047546786204</v>
      </c>
      <c r="F54" s="249">
        <f>(IFERROR((TableQBVORP[[#This Row],[FPS]]-INDEX(TableQBVORP[FPS],MATCH(QBVORPCalc,TableQBVORP[RK],0)))/INDEX(TableQBVORP[FPS],MATCH(QBVORPCalc,TableQBVORP[RK],0)),""))+(TableRBVORP[[#This Row],[VORP]]*0.45)</f>
        <v>-1.0312169292929809</v>
      </c>
      <c r="G54" s="246"/>
      <c r="H54" s="246">
        <v>53</v>
      </c>
      <c r="I54" s="247" t="str">
        <f>IFERROR(INDEX(TableRBCalcPts[PLAYER],MATCH(TableRBVORP[[#This Row],[RK]],TableRBCalcPts[RK],0)),"")</f>
        <v>Michael Carter</v>
      </c>
      <c r="J54" s="247" t="str">
        <f>IFERROR(INDEX(TableRBCalcPts[TM],MATCH(TableRBVORP[[#This Row],[RK]],TableRBCalcPts[RK],0)),"")</f>
        <v>NYJ</v>
      </c>
      <c r="K54" s="247">
        <f>IFERROR(INDEX(TableRBCalcPts[BYE],MATCH(TableRBVORP[[#This Row],[RK]],TableRBCalcPts[RK],0)),"")</f>
        <v>10</v>
      </c>
      <c r="L54" s="248">
        <f>IFERROR(INDEX(TableRBCalcPts[Custom],MATCH(TableRBVORP[[#This Row],[RK]],TableRBCalcPts[RK],0)),"")</f>
        <v>89.910367875968873</v>
      </c>
      <c r="M54" s="249">
        <f>IFERROR((TableRBVORP[[#This Row],[FPS]]-INDEX(TableRBVORP[FPS],MATCH(RBVORPCalc,TableRBVORP[RK],0)))/INDEX(TableRBVORP[FPS],MATCH(RBVORPCalc,TableRBVORP[RK],0)),"")</f>
        <v>-0.11260260308086692</v>
      </c>
      <c r="N54" s="246"/>
      <c r="O54" s="246">
        <v>53</v>
      </c>
      <c r="P54" s="247" t="str">
        <f>IFERROR(INDEX(TableWRCalcPts[PLAYER],MATCH(TableWRVORP[[#This Row],[RK]],TableWRCalcPts[RK],0)),"")</f>
        <v>Mecole Hardman</v>
      </c>
      <c r="Q54" s="247" t="str">
        <f>IFERROR(INDEX(TableWRCalcPts[TM],MATCH(TableWRVORP[[#This Row],[RK]],TableWRCalcPts[RK],0)),"")</f>
        <v>KC</v>
      </c>
      <c r="R54" s="247">
        <f>IFERROR(INDEX(TableWRCalcPts[BYE],MATCH(TableWRVORP[[#This Row],[RK]],TableWRCalcPts[RK],0)),"")</f>
        <v>8</v>
      </c>
      <c r="S54" s="248">
        <f>IFERROR(INDEX(TableWRCalcPts[Custom],MATCH(TableWRVORP[[#This Row],[RK]],TableWRCalcPts[RK],0)),"")</f>
        <v>106.4869180452002</v>
      </c>
      <c r="T54" s="249">
        <f>IFERROR((TableWRVORP[[#This Row],[FPS]]-INDEX(TableWRVORP[FPS],MATCH(WRVORPCalc,TableWRVORP[RK],0)))/INDEX(TableWRVORP[FPS],MATCH(WRVORPCalc,TableWRVORP[RK],0)),"")</f>
        <v>-2.2809193613873877E-2</v>
      </c>
      <c r="U54" s="246"/>
      <c r="V54" s="246">
        <v>53</v>
      </c>
      <c r="W54" s="247" t="str">
        <f>IFERROR(INDEX(TableTECalcPts[PLAYER],MATCH(TableTEVORP[[#This Row],[RK]],TableTECalcPts[RK],0)),"")</f>
        <v>Josiah Deguara</v>
      </c>
      <c r="X54" s="247" t="str">
        <f>IFERROR(INDEX(TableTECalcPts[TM],MATCH(TableTEVORP[[#This Row],[RK]],TableTECalcPts[RK],0)),"")</f>
        <v>GB</v>
      </c>
      <c r="Y54" s="247">
        <f>IFERROR(INDEX(TableTECalcPts[BYE],MATCH(TableTEVORP[[#This Row],[RK]],TableTECalcPts[RK],0)),"")</f>
        <v>14</v>
      </c>
      <c r="Z54" s="248">
        <f>IFERROR(INDEX(TableTECalcPts[Custom],MATCH(TableTEVORP[[#This Row],[RK]],TableTECalcPts[RK],0)),"")</f>
        <v>20.352829325983684</v>
      </c>
      <c r="AA54" s="249">
        <f>IFERROR((TableTEVORP[[#This Row],[FPS]]-INDEX(TableTEVORP[FPS],MATCH(TEVORPCalc,TableTEVORP[RK],0)))/INDEX(TableTEVORP[FPS],MATCH(TEVORPCalc,TableTEVORP[RK],0)),"")</f>
        <v>-0.80134354395819851</v>
      </c>
      <c r="AB54" s="246"/>
      <c r="AC54" s="250"/>
      <c r="AD54" s="250"/>
      <c r="AE54" s="250"/>
      <c r="AF54" s="250" t="s">
        <v>357</v>
      </c>
      <c r="AG54" s="250">
        <v>13</v>
      </c>
      <c r="AH54" s="251">
        <f>RANK(TableOverallMaster[[#This Row],[VORP]],TableOverallMaster[VORP])+COUNTIF($AM$2:AM54,AM54)-1</f>
        <v>16</v>
      </c>
      <c r="AI54" s="252" t="str">
        <f>IFERROR(INDEX(TableRBVORP[RUNNING BACK],MATCH(TableOverallMaster[[#This Row],[RK]],TableRBVORP[RK],0)),"")</f>
        <v>Leonard Fournette</v>
      </c>
      <c r="AJ54" s="252" t="str">
        <f t="shared" si="0"/>
        <v>RB13</v>
      </c>
      <c r="AK54" s="252">
        <f>IFERROR(INDEX(TableRBVORP[BYE],MATCH(TableOverallMaster[[#This Row],[RK]],TableRBVORP[RK],0)),"")</f>
        <v>11</v>
      </c>
      <c r="AL54" s="253">
        <f>IFERROR(INDEX(TableRBVORP[FPS],MATCH(TableOverallMaster[[#This Row],[RK]],TableRBVORP[RK],0)),"")</f>
        <v>200.23463104926964</v>
      </c>
      <c r="AM54" s="254">
        <f>IFERROR(INDEX(TableRBVORP[VORP],MATCH(TableOverallMaster[[#This Row],[RK]],TableRBVORP[RK],0)),"")</f>
        <v>0.97627586855505499</v>
      </c>
      <c r="AN54" s="250"/>
      <c r="AO54" s="250">
        <v>53</v>
      </c>
      <c r="AP54" s="255" t="str">
        <f>IFERROR(INDEX(TableOverallMaster[OVERALL PLAYER],MATCH(TableOverallRank[[#This Row],[RK]],TableOverallMaster[OVR RK],0)),"")</f>
        <v>Keenan Allen</v>
      </c>
      <c r="AQ54" s="256" t="str">
        <f>IFERROR(INDEX(TableOverallMaster[POS RK],MATCH(TableOverallRank[[#This Row],[OVERALL PLAYER]],TableOverallMaster[OVERALL PLAYER],0)),"")</f>
        <v>WR15</v>
      </c>
      <c r="AR54" s="257">
        <f>IFERROR(INDEX(TableOverallMaster[BYE],MATCH(TableOverallRank[[#This Row],[OVERALL PLAYER]],TableOverallMaster[OVERALL PLAYER],0)),"")</f>
        <v>8</v>
      </c>
      <c r="AS54" s="258">
        <f>IFERROR(INDEX(TableOverallMaster[Custom],MATCH(TableOverallRank[[#This Row],[OVERALL PLAYER]],TableOverallMaster[OVERALL PLAYER],0)),"")</f>
        <v>151.05767453585224</v>
      </c>
      <c r="AT54" s="259">
        <f>IFERROR(INDEX(TableOverallMaster[VORP],MATCH(TableOverallRank[[#This Row],[OVERALL PLAYER]],TableOverallMaster[OVERALL PLAYER],0)),"")</f>
        <v>0.38620004691887061</v>
      </c>
      <c r="AU54" s="250"/>
      <c r="AV54" s="246">
        <v>53</v>
      </c>
      <c r="AW54" s="260" t="str">
        <f>IFERROR(INDEX(TableWRTECalcPts[PLAYER],MATCH(TableWRTERank[[#This Row],[RK]],TableWRTECalcPts[RK],0)),"")</f>
        <v>Treylon Burks</v>
      </c>
      <c r="AX54" s="260" t="str">
        <f>IFERROR(INDEX(TableWRTECalcPts[POS RK],MATCH(TableWRTERank[[#This Row],[WR and TE COMBINED]],TableWRTECalcPts[PLAYER],0)),"")</f>
        <v>WR46</v>
      </c>
      <c r="AY54" s="260">
        <f>IFERROR(INDEX(TableWRTECalcPts[BYE],MATCH(TableWRTERank[[#This Row],[RK]],TableWRTECalcPts[RK],0)),"")</f>
        <v>6</v>
      </c>
      <c r="AZ54" s="261">
        <f>IFERROR(INDEX(TableWRTECalcPts[Custom],MATCH(TableWRTERank[[#This Row],[RK]],TableWRTECalcPts[RK],0)),"")</f>
        <v>113.28738996373363</v>
      </c>
      <c r="BA54" s="249">
        <f>IFERROR((TableWRTERank[[#This Row],[FPS]]-INDEX(TableWRTERank[FPS],MATCH(WRTEVORPCalc,TableWRTERank[RK],0)))/INDEX(TableWRTERank[FPS],MATCH(WRTEVORPCalc,TableWRTERank[RK],0)),"")</f>
        <v>-4.6002181474505834E-2</v>
      </c>
      <c r="BC54" s="124" t="s">
        <v>358</v>
      </c>
      <c r="BD54" s="124">
        <v>53</v>
      </c>
      <c r="BE54" s="262">
        <f>RANK(TableWRTEMaster[[#This Row],[VORP]],TableWRTEMaster[VORP])+COUNTIF($BJ$2:BJ54,BJ54)-1</f>
        <v>63</v>
      </c>
      <c r="BF54" s="263" t="str">
        <f>IFERROR(INDEX(TableWRVORP[WIDE RECEIVER],MATCH(TableWRTEMaster[[#This Row],[RK]],TableWRVORP[RK],0)),"")</f>
        <v>Mecole Hardman</v>
      </c>
      <c r="BG54" s="263" t="str">
        <f>_xlfn.CONCAT(TableWRTEMaster[[#This Row],[POS]],TableWRTEMaster[[#This Row],[RK]])</f>
        <v>WR53</v>
      </c>
      <c r="BH54" s="263">
        <f>IFERROR(INDEX(TableWRVORP[BYE],MATCH(TableWRTEMaster[[#This Row],[RK]],TableWRVORP[RK],0)),"")</f>
        <v>8</v>
      </c>
      <c r="BI54" s="264">
        <f>IFERROR(INDEX(TableWRVORP[FPS],MATCH(TableWRTEMaster[[#This Row],[RK]],TableWRVORP[RK],0)),"")</f>
        <v>106.4869180452002</v>
      </c>
      <c r="BJ54" s="254">
        <f>IFERROR(INDEX(TableWRVORP[VORP],MATCH(TableWRTEMaster[[#This Row],[RK]],TableWRVORP[RK],0)),"")</f>
        <v>-2.2809193613873877E-2</v>
      </c>
    </row>
    <row r="55" spans="1:62" x14ac:dyDescent="0.3">
      <c r="A55" s="246">
        <v>54</v>
      </c>
      <c r="B55" s="247" t="str">
        <f>IFERROR(INDEX(TableQBCalcPts[PLAYER],MATCH(TableQBVORP[[#This Row],[RK]],TableQBCalcPts[RK],0)),"")</f>
        <v>Brett Rypien</v>
      </c>
      <c r="C55" s="247" t="str">
        <f>IFERROR(INDEX(TableQBCalcPts[TM],MATCH(TableQBVORP[[#This Row],[RK]],TableQBCalcPts[RK],0)),"")</f>
        <v>DEN</v>
      </c>
      <c r="D55" s="247">
        <f>IFERROR(INDEX(TableQBCalcPts[BYE],MATCH(TableQBVORP[[#This Row],[RK]],TableQBCalcPts[RK],0)),"")</f>
        <v>9</v>
      </c>
      <c r="E55" s="248">
        <f>IFERROR(INDEX(TableQBCalcPts[Custom],MATCH(TableQBVORP[[#This Row],[RK]],TableQBCalcPts[RK],0)),"")</f>
        <v>5.5620737105150848</v>
      </c>
      <c r="F55" s="249">
        <f>(IFERROR((TableQBVORP[[#This Row],[FPS]]-INDEX(TableQBVORP[FPS],MATCH(QBVORPCalc,TableQBVORP[RK],0)))/INDEX(TableQBVORP[FPS],MATCH(QBVORPCalc,TableQBVORP[RK],0)),""))+(TableRBVORP[[#This Row],[VORP]]*0.45)</f>
        <v>-1.0412375966918763</v>
      </c>
      <c r="G55" s="246"/>
      <c r="H55" s="246">
        <v>54</v>
      </c>
      <c r="I55" s="247" t="str">
        <f>IFERROR(INDEX(TableRBCalcPts[PLAYER],MATCH(TableRBVORP[[#This Row],[RK]],TableRBCalcPts[RK],0)),"")</f>
        <v>Darrell Henderson</v>
      </c>
      <c r="J55" s="247" t="str">
        <f>IFERROR(INDEX(TableRBCalcPts[TM],MATCH(TableRBVORP[[#This Row],[RK]],TableRBCalcPts[RK],0)),"")</f>
        <v>LAR</v>
      </c>
      <c r="K55" s="247">
        <f>IFERROR(INDEX(TableRBCalcPts[BYE],MATCH(TableRBVORP[[#This Row],[RK]],TableRBCalcPts[RK],0)),"")</f>
        <v>7</v>
      </c>
      <c r="L55" s="248">
        <f>IFERROR(INDEX(TableRBCalcPts[Custom],MATCH(TableRBVORP[[#This Row],[RK]],TableRBCalcPts[RK],0)),"")</f>
        <v>88.779729859793633</v>
      </c>
      <c r="M55" s="249">
        <f>IFERROR((TableRBVORP[[#This Row],[FPS]]-INDEX(TableRBVORP[FPS],MATCH(RBVORPCalc,TableRBVORP[RK],0)))/INDEX(TableRBVORP[FPS],MATCH(RBVORPCalc,TableRBVORP[RK],0)),"")</f>
        <v>-0.12376177477723685</v>
      </c>
      <c r="N55" s="246"/>
      <c r="O55" s="246">
        <v>54</v>
      </c>
      <c r="P55" s="247" t="str">
        <f>IFERROR(INDEX(TableWRCalcPts[PLAYER],MATCH(TableWRVORP[[#This Row],[RK]],TableWRCalcPts[RK],0)),"")</f>
        <v>Marvin Jones</v>
      </c>
      <c r="Q55" s="247" t="str">
        <f>IFERROR(INDEX(TableWRCalcPts[TM],MATCH(TableWRVORP[[#This Row],[RK]],TableWRCalcPts[RK],0)),"")</f>
        <v>JAX</v>
      </c>
      <c r="R55" s="247">
        <f>IFERROR(INDEX(TableWRCalcPts[BYE],MATCH(TableWRVORP[[#This Row],[RK]],TableWRCalcPts[RK],0)),"")</f>
        <v>11</v>
      </c>
      <c r="S55" s="248">
        <f>IFERROR(INDEX(TableWRCalcPts[Custom],MATCH(TableWRVORP[[#This Row],[RK]],TableWRCalcPts[RK],0)),"")</f>
        <v>105.82007116870886</v>
      </c>
      <c r="T55" s="249">
        <f>IFERROR((TableWRVORP[[#This Row],[FPS]]-INDEX(TableWRVORP[FPS],MATCH(WRVORPCalc,TableWRVORP[RK],0)))/INDEX(TableWRVORP[FPS],MATCH(WRVORPCalc,TableWRVORP[RK],0)),"")</f>
        <v>-2.8928599160929318E-2</v>
      </c>
      <c r="U55" s="246"/>
      <c r="V55" s="246">
        <v>54</v>
      </c>
      <c r="W55" s="247" t="str">
        <f>IFERROR(INDEX(TableTECalcPts[PLAYER],MATCH(TableTEVORP[[#This Row],[RK]],TableTECalcPts[RK],0)),"")</f>
        <v>James O'Shaughnessy</v>
      </c>
      <c r="X55" s="247" t="str">
        <f>IFERROR(INDEX(TableTECalcPts[TM],MATCH(TableTEVORP[[#This Row],[RK]],TableTECalcPts[RK],0)),"")</f>
        <v>CHI</v>
      </c>
      <c r="Y55" s="247">
        <f>IFERROR(INDEX(TableTECalcPts[BYE],MATCH(TableTEVORP[[#This Row],[RK]],TableTECalcPts[RK],0)),"")</f>
        <v>14</v>
      </c>
      <c r="Z55" s="248">
        <f>IFERROR(INDEX(TableTECalcPts[Custom],MATCH(TableTEVORP[[#This Row],[RK]],TableTECalcPts[RK],0)),"")</f>
        <v>19.853140492818323</v>
      </c>
      <c r="AA55" s="249">
        <f>IFERROR((TableTEVORP[[#This Row],[FPS]]-INDEX(TableTEVORP[FPS],MATCH(TEVORPCalc,TableTEVORP[RK],0)))/INDEX(TableTEVORP[FPS],MATCH(TEVORPCalc,TableTEVORP[RK],0)),"")</f>
        <v>-0.80622082225353431</v>
      </c>
      <c r="AB55" s="246"/>
      <c r="AC55" s="250"/>
      <c r="AD55" s="250"/>
      <c r="AE55" s="250"/>
      <c r="AF55" s="250" t="s">
        <v>357</v>
      </c>
      <c r="AG55" s="250">
        <v>14</v>
      </c>
      <c r="AH55" s="251">
        <f>RANK(TableOverallMaster[[#This Row],[VORP]],TableOverallMaster[VORP])+COUNTIF($AM$2:AM55,AM55)-1</f>
        <v>17</v>
      </c>
      <c r="AI55" s="252" t="str">
        <f>IFERROR(INDEX(TableRBVORP[RUNNING BACK],MATCH(TableOverallMaster[[#This Row],[RK]],TableRBVORP[RK],0)),"")</f>
        <v>Antonio Gibson</v>
      </c>
      <c r="AJ55" s="252" t="str">
        <f t="shared" si="0"/>
        <v>RB14</v>
      </c>
      <c r="AK55" s="252">
        <f>IFERROR(INDEX(TableRBVORP[BYE],MATCH(TableOverallMaster[[#This Row],[RK]],TableRBVORP[RK],0)),"")</f>
        <v>14</v>
      </c>
      <c r="AL55" s="253">
        <f>IFERROR(INDEX(TableRBVORP[FPS],MATCH(TableOverallMaster[[#This Row],[RK]],TableRBVORP[RK],0)),"")</f>
        <v>200.04508768685292</v>
      </c>
      <c r="AM55" s="254">
        <f>IFERROR(INDEX(TableRBVORP[VORP],MATCH(TableOverallMaster[[#This Row],[RK]],TableRBVORP[RK],0)),"")</f>
        <v>0.97440511337536395</v>
      </c>
      <c r="AN55" s="250"/>
      <c r="AO55" s="250">
        <v>54</v>
      </c>
      <c r="AP55" s="255" t="str">
        <f>IFERROR(INDEX(TableOverallMaster[OVERALL PLAYER],MATCH(TableOverallRank[[#This Row],[RK]],TableOverallMaster[OVR RK],0)),"")</f>
        <v>Diontae Johnson</v>
      </c>
      <c r="AQ55" s="256" t="str">
        <f>IFERROR(INDEX(TableOverallMaster[POS RK],MATCH(TableOverallRank[[#This Row],[OVERALL PLAYER]],TableOverallMaster[OVERALL PLAYER],0)),"")</f>
        <v>WR16</v>
      </c>
      <c r="AR55" s="257">
        <f>IFERROR(INDEX(TableOverallMaster[BYE],MATCH(TableOverallRank[[#This Row],[OVERALL PLAYER]],TableOverallMaster[OVERALL PLAYER],0)),"")</f>
        <v>9</v>
      </c>
      <c r="AS55" s="258">
        <f>IFERROR(INDEX(TableOverallMaster[Custom],MATCH(TableOverallRank[[#This Row],[OVERALL PLAYER]],TableOverallMaster[OVERALL PLAYER],0)),"")</f>
        <v>150.82650522066166</v>
      </c>
      <c r="AT55" s="259">
        <f>IFERROR(INDEX(TableOverallMaster[VORP],MATCH(TableOverallRank[[#This Row],[OVERALL PLAYER]],TableOverallMaster[OVERALL PLAYER],0)),"")</f>
        <v>0.38407869216779283</v>
      </c>
      <c r="AU55" s="250"/>
      <c r="AV55" s="246">
        <v>54</v>
      </c>
      <c r="AW55" s="260" t="str">
        <f>IFERROR(INDEX(TableWRTECalcPts[PLAYER],MATCH(TableWRTERank[[#This Row],[RK]],TableWRTECalcPts[RK],0)),"")</f>
        <v>Tim Patrick</v>
      </c>
      <c r="AX55" s="260" t="str">
        <f>IFERROR(INDEX(TableWRTECalcPts[POS RK],MATCH(TableWRTERank[[#This Row],[WR and TE COMBINED]],TableWRTECalcPts[PLAYER],0)),"")</f>
        <v>WR47</v>
      </c>
      <c r="AY55" s="260">
        <f>IFERROR(INDEX(TableWRTECalcPts[BYE],MATCH(TableWRTERank[[#This Row],[RK]],TableWRTECalcPts[RK],0)),"")</f>
        <v>9</v>
      </c>
      <c r="AZ55" s="261">
        <f>IFERROR(INDEX(TableWRTECalcPts[Custom],MATCH(TableWRTERank[[#This Row],[RK]],TableWRTECalcPts[RK],0)),"")</f>
        <v>110.0027840268209</v>
      </c>
      <c r="BA55" s="249">
        <f>IFERROR((TableWRTERank[[#This Row],[FPS]]-INDEX(TableWRTERank[FPS],MATCH(WRTEVORPCalc,TableWRTERank[RK],0)))/INDEX(TableWRTERank[FPS],MATCH(WRTEVORPCalc,TableWRTERank[RK],0)),"")</f>
        <v>-7.3661984560566413E-2</v>
      </c>
      <c r="BC55" s="124" t="s">
        <v>358</v>
      </c>
      <c r="BD55" s="124">
        <v>54</v>
      </c>
      <c r="BE55" s="262">
        <f>RANK(TableWRTEMaster[[#This Row],[VORP]],TableWRTEMaster[VORP])+COUNTIF($BJ$2:BJ55,BJ55)-1</f>
        <v>64</v>
      </c>
      <c r="BF55" s="263" t="str">
        <f>IFERROR(INDEX(TableWRVORP[WIDE RECEIVER],MATCH(TableWRTEMaster[[#This Row],[RK]],TableWRVORP[RK],0)),"")</f>
        <v>Marvin Jones</v>
      </c>
      <c r="BG55" s="263" t="str">
        <f>_xlfn.CONCAT(TableWRTEMaster[[#This Row],[POS]],TableWRTEMaster[[#This Row],[RK]])</f>
        <v>WR54</v>
      </c>
      <c r="BH55" s="263">
        <f>IFERROR(INDEX(TableWRVORP[BYE],MATCH(TableWRTEMaster[[#This Row],[RK]],TableWRVORP[RK],0)),"")</f>
        <v>11</v>
      </c>
      <c r="BI55" s="264">
        <f>IFERROR(INDEX(TableWRVORP[FPS],MATCH(TableWRTEMaster[[#This Row],[RK]],TableWRVORP[RK],0)),"")</f>
        <v>105.82007116870886</v>
      </c>
      <c r="BJ55" s="254">
        <f>IFERROR(INDEX(TableWRVORP[VORP],MATCH(TableWRTEMaster[[#This Row],[RK]],TableWRVORP[RK],0)),"")</f>
        <v>-2.8928599160929318E-2</v>
      </c>
    </row>
    <row r="56" spans="1:62" x14ac:dyDescent="0.3">
      <c r="A56" s="246">
        <v>55</v>
      </c>
      <c r="B56" s="247" t="str">
        <f>IFERROR(INDEX(TableQBCalcPts[PLAYER],MATCH(TableQBVORP[[#This Row],[RK]],TableQBCalcPts[RK],0)),"")</f>
        <v>Nick Mullens</v>
      </c>
      <c r="C56" s="247" t="str">
        <f>IFERROR(INDEX(TableQBCalcPts[TM],MATCH(TableQBVORP[[#This Row],[RK]],TableQBCalcPts[RK],0)),"")</f>
        <v>LV</v>
      </c>
      <c r="D56" s="247">
        <f>IFERROR(INDEX(TableQBCalcPts[BYE],MATCH(TableQBVORP[[#This Row],[RK]],TableQBCalcPts[RK],0)),"")</f>
        <v>6</v>
      </c>
      <c r="E56" s="248">
        <f>IFERROR(INDEX(TableQBCalcPts[Custom],MATCH(TableQBVORP[[#This Row],[RK]],TableQBCalcPts[RK],0)),"")</f>
        <v>5.0197634879066095</v>
      </c>
      <c r="F56" s="249">
        <f>(IFERROR((TableQBVORP[[#This Row],[FPS]]-INDEX(TableQBVORP[FPS],MATCH(QBVORPCalc,TableQBVORP[RK],0)))/INDEX(TableQBVORP[FPS],MATCH(QBVORPCalc,TableQBVORP[RK],0)),""))+(TableRBVORP[[#This Row],[VORP]]*0.45)</f>
        <v>-1.0487717564699379</v>
      </c>
      <c r="G56" s="246"/>
      <c r="H56" s="246">
        <v>55</v>
      </c>
      <c r="I56" s="247" t="str">
        <f>IFERROR(INDEX(TableRBCalcPts[PLAYER],MATCH(TableRBVORP[[#This Row],[RK]],TableRBCalcPts[RK],0)),"")</f>
        <v>J.D. McKissic</v>
      </c>
      <c r="J56" s="247" t="str">
        <f>IFERROR(INDEX(TableRBCalcPts[TM],MATCH(TableRBVORP[[#This Row],[RK]],TableRBCalcPts[RK],0)),"")</f>
        <v>WSH</v>
      </c>
      <c r="K56" s="247">
        <f>IFERROR(INDEX(TableRBCalcPts[BYE],MATCH(TableRBVORP[[#This Row],[RK]],TableRBCalcPts[RK],0)),"")</f>
        <v>14</v>
      </c>
      <c r="L56" s="248">
        <f>IFERROR(INDEX(TableRBCalcPts[Custom],MATCH(TableRBVORP[[#This Row],[RK]],TableRBCalcPts[RK],0)),"")</f>
        <v>87.400718156019607</v>
      </c>
      <c r="M56" s="249">
        <f>IFERROR((TableRBVORP[[#This Row],[FPS]]-INDEX(TableRBVORP[FPS],MATCH(RBVORPCalc,TableRBVORP[RK],0)))/INDEX(TableRBVORP[FPS],MATCH(RBVORPCalc,TableRBVORP[RK],0)),"")</f>
        <v>-0.13737234522822447</v>
      </c>
      <c r="N56" s="246"/>
      <c r="O56" s="246">
        <v>55</v>
      </c>
      <c r="P56" s="247" t="str">
        <f>IFERROR(INDEX(TableWRCalcPts[PLAYER],MATCH(TableWRVORP[[#This Row],[RK]],TableWRCalcPts[RK],0)),"")</f>
        <v>Kenny Golladay</v>
      </c>
      <c r="Q56" s="247" t="str">
        <f>IFERROR(INDEX(TableWRCalcPts[TM],MATCH(TableWRVORP[[#This Row],[RK]],TableWRCalcPts[RK],0)),"")</f>
        <v>NYG</v>
      </c>
      <c r="R56" s="247">
        <f>IFERROR(INDEX(TableWRCalcPts[BYE],MATCH(TableWRVORP[[#This Row],[RK]],TableWRCalcPts[RK],0)),"")</f>
        <v>9</v>
      </c>
      <c r="S56" s="248">
        <f>IFERROR(INDEX(TableWRCalcPts[Custom],MATCH(TableWRVORP[[#This Row],[RK]],TableWRCalcPts[RK],0)),"")</f>
        <v>104.4107223692055</v>
      </c>
      <c r="T56" s="249">
        <f>IFERROR((TableWRVORP[[#This Row],[FPS]]-INDEX(TableWRVORP[FPS],MATCH(WRVORPCalc,TableWRVORP[RK],0)))/INDEX(TableWRVORP[FPS],MATCH(WRVORPCalc,TableWRVORP[RK],0)),"")</f>
        <v>-4.1861668453829999E-2</v>
      </c>
      <c r="U56" s="246"/>
      <c r="V56" s="246">
        <v>55</v>
      </c>
      <c r="W56" s="247" t="str">
        <f>IFERROR(INDEX(TableTECalcPts[PLAYER],MATCH(TableTEVORP[[#This Row],[RK]],TableTECalcPts[RK],0)),"")</f>
        <v>Brock Wright</v>
      </c>
      <c r="X56" s="247" t="str">
        <f>IFERROR(INDEX(TableTECalcPts[TM],MATCH(TableTEVORP[[#This Row],[RK]],TableTECalcPts[RK],0)),"")</f>
        <v>DET</v>
      </c>
      <c r="Y56" s="247">
        <f>IFERROR(INDEX(TableTECalcPts[BYE],MATCH(TableTEVORP[[#This Row],[RK]],TableTECalcPts[RK],0)),"")</f>
        <v>6</v>
      </c>
      <c r="Z56" s="248">
        <f>IFERROR(INDEX(TableTECalcPts[Custom],MATCH(TableTEVORP[[#This Row],[RK]],TableTECalcPts[RK],0)),"")</f>
        <v>19.603513944914454</v>
      </c>
      <c r="AA56" s="249">
        <f>IFERROR((TableTEVORP[[#This Row],[FPS]]-INDEX(TableTEVORP[FPS],MATCH(TEVORPCalc,TableTEVORP[RK],0)))/INDEX(TableTEVORP[FPS],MATCH(TEVORPCalc,TableTEVORP[RK],0)),"")</f>
        <v>-0.80865733486543057</v>
      </c>
      <c r="AB56" s="246"/>
      <c r="AC56" s="250"/>
      <c r="AD56" s="250"/>
      <c r="AE56" s="250"/>
      <c r="AF56" s="250" t="s">
        <v>357</v>
      </c>
      <c r="AG56" s="250">
        <v>15</v>
      </c>
      <c r="AH56" s="251">
        <f>RANK(TableOverallMaster[[#This Row],[VORP]],TableOverallMaster[VORP])+COUNTIF($AM$2:AM56,AM56)-1</f>
        <v>18</v>
      </c>
      <c r="AI56" s="252" t="str">
        <f>IFERROR(INDEX(TableRBVORP[RUNNING BACK],MATCH(TableOverallMaster[[#This Row],[RK]],TableRBVORP[RK],0)),"")</f>
        <v>D'Andre Swift</v>
      </c>
      <c r="AJ56" s="252" t="str">
        <f t="shared" si="0"/>
        <v>RB15</v>
      </c>
      <c r="AK56" s="252">
        <f>IFERROR(INDEX(TableRBVORP[BYE],MATCH(TableOverallMaster[[#This Row],[RK]],TableRBVORP[RK],0)),"")</f>
        <v>6</v>
      </c>
      <c r="AL56" s="253">
        <f>IFERROR(INDEX(TableRBVORP[FPS],MATCH(TableOverallMaster[[#This Row],[RK]],TableRBVORP[RK],0)),"")</f>
        <v>197.4565660239515</v>
      </c>
      <c r="AM56" s="254">
        <f>IFERROR(INDEX(TableRBVORP[VORP],MATCH(TableOverallMaster[[#This Row],[RK]],TableRBVORP[RK],0)),"")</f>
        <v>0.94885692088330031</v>
      </c>
      <c r="AN56" s="250"/>
      <c r="AO56" s="250">
        <v>55</v>
      </c>
      <c r="AP56" s="255" t="str">
        <f>IFERROR(INDEX(TableOverallMaster[OVERALL PLAYER],MATCH(TableOverallRank[[#This Row],[RK]],TableOverallMaster[OVR RK],0)),"")</f>
        <v>Allen Robinson</v>
      </c>
      <c r="AQ56" s="256" t="str">
        <f>IFERROR(INDEX(TableOverallMaster[POS RK],MATCH(TableOverallRank[[#This Row],[OVERALL PLAYER]],TableOverallMaster[OVERALL PLAYER],0)),"")</f>
        <v>WR17</v>
      </c>
      <c r="AR56" s="257">
        <f>IFERROR(INDEX(TableOverallMaster[BYE],MATCH(TableOverallRank[[#This Row],[OVERALL PLAYER]],TableOverallMaster[OVERALL PLAYER],0)),"")</f>
        <v>7</v>
      </c>
      <c r="AS56" s="258">
        <f>IFERROR(INDEX(TableOverallMaster[Custom],MATCH(TableOverallRank[[#This Row],[OVERALL PLAYER]],TableOverallMaster[OVERALL PLAYER],0)),"")</f>
        <v>150.34659128848409</v>
      </c>
      <c r="AT56" s="259">
        <f>IFERROR(INDEX(TableOverallMaster[VORP],MATCH(TableOverallRank[[#This Row],[OVERALL PLAYER]],TableOverallMaster[OVERALL PLAYER],0)),"")</f>
        <v>0.37967470066358316</v>
      </c>
      <c r="AU56" s="250"/>
      <c r="AV56" s="246">
        <v>55</v>
      </c>
      <c r="AW56" s="260" t="str">
        <f>IFERROR(INDEX(TableWRTECalcPts[PLAYER],MATCH(TableWRTERank[[#This Row],[RK]],TableWRTECalcPts[RK],0)),"")</f>
        <v>Jameson Williams</v>
      </c>
      <c r="AX56" s="260" t="str">
        <f>IFERROR(INDEX(TableWRTECalcPts[POS RK],MATCH(TableWRTERank[[#This Row],[WR and TE COMBINED]],TableWRTECalcPts[PLAYER],0)),"")</f>
        <v>WR48</v>
      </c>
      <c r="AY56" s="260">
        <f>IFERROR(INDEX(TableWRTECalcPts[BYE],MATCH(TableWRTERank[[#This Row],[RK]],TableWRTECalcPts[RK],0)),"")</f>
        <v>6</v>
      </c>
      <c r="AZ56" s="261">
        <f>IFERROR(INDEX(TableWRTECalcPts[Custom],MATCH(TableWRTERank[[#This Row],[RK]],TableWRTECalcPts[RK],0)),"")</f>
        <v>109.96837220993626</v>
      </c>
      <c r="BA56" s="249">
        <f>IFERROR((TableWRTERank[[#This Row],[FPS]]-INDEX(TableWRTERank[FPS],MATCH(WRTEVORPCalc,TableWRTERank[RK],0)))/INDEX(TableWRTERank[FPS],MATCH(WRTEVORPCalc,TableWRTERank[RK],0)),"")</f>
        <v>-7.3951767900529999E-2</v>
      </c>
      <c r="BC56" s="124" t="s">
        <v>358</v>
      </c>
      <c r="BD56" s="124">
        <v>55</v>
      </c>
      <c r="BE56" s="262">
        <f>RANK(TableWRTEMaster[[#This Row],[VORP]],TableWRTEMaster[VORP])+COUNTIF($BJ$2:BJ56,BJ56)-1</f>
        <v>67</v>
      </c>
      <c r="BF56" s="263" t="str">
        <f>IFERROR(INDEX(TableWRVORP[WIDE RECEIVER],MATCH(TableWRTEMaster[[#This Row],[RK]],TableWRVORP[RK],0)),"")</f>
        <v>Kenny Golladay</v>
      </c>
      <c r="BG56" s="263" t="str">
        <f>_xlfn.CONCAT(TableWRTEMaster[[#This Row],[POS]],TableWRTEMaster[[#This Row],[RK]])</f>
        <v>WR55</v>
      </c>
      <c r="BH56" s="263">
        <f>IFERROR(INDEX(TableWRVORP[BYE],MATCH(TableWRTEMaster[[#This Row],[RK]],TableWRVORP[RK],0)),"")</f>
        <v>9</v>
      </c>
      <c r="BI56" s="264">
        <f>IFERROR(INDEX(TableWRVORP[FPS],MATCH(TableWRTEMaster[[#This Row],[RK]],TableWRVORP[RK],0)),"")</f>
        <v>104.4107223692055</v>
      </c>
      <c r="BJ56" s="254">
        <f>IFERROR(INDEX(TableWRVORP[VORP],MATCH(TableWRTEMaster[[#This Row],[RK]],TableWRVORP[RK],0)),"")</f>
        <v>-4.1861668453829999E-2</v>
      </c>
    </row>
    <row r="57" spans="1:62" x14ac:dyDescent="0.3">
      <c r="A57" s="246">
        <v>56</v>
      </c>
      <c r="B57" s="247" t="str">
        <f>IFERROR(INDEX(TableQBCalcPts[PLAYER],MATCH(TableQBVORP[[#This Row],[RK]],TableQBCalcPts[RK],0)),"")</f>
        <v>Brian Hoyer</v>
      </c>
      <c r="C57" s="247" t="str">
        <f>IFERROR(INDEX(TableQBCalcPts[TM],MATCH(TableQBVORP[[#This Row],[RK]],TableQBCalcPts[RK],0)),"")</f>
        <v>NE</v>
      </c>
      <c r="D57" s="247">
        <f>IFERROR(INDEX(TableQBCalcPts[BYE],MATCH(TableQBVORP[[#This Row],[RK]],TableQBCalcPts[RK],0)),"")</f>
        <v>10</v>
      </c>
      <c r="E57" s="248">
        <f>IFERROR(INDEX(TableQBCalcPts[Custom],MATCH(TableQBVORP[[#This Row],[RK]],TableQBCalcPts[RK],0)),"")</f>
        <v>4.6489180604410008</v>
      </c>
      <c r="F57" s="249">
        <f>(IFERROR((TableQBVORP[[#This Row],[FPS]]-INDEX(TableQBVORP[FPS],MATCH(QBVORPCalc,TableQBVORP[RK],0)))/INDEX(TableQBVORP[FPS],MATCH(QBVORPCalc,TableQBVORP[RK],0)),""))+(TableRBVORP[[#This Row],[VORP]]*0.45)</f>
        <v>-1.0601017319493233</v>
      </c>
      <c r="G57" s="246"/>
      <c r="H57" s="246">
        <v>56</v>
      </c>
      <c r="I57" s="247" t="str">
        <f>IFERROR(INDEX(TableRBCalcPts[PLAYER],MATCH(TableRBVORP[[#This Row],[RK]],TableRBCalcPts[RK],0)),"")</f>
        <v>Rachaad White</v>
      </c>
      <c r="J57" s="247" t="str">
        <f>IFERROR(INDEX(TableRBCalcPts[TM],MATCH(TableRBVORP[[#This Row],[RK]],TableRBCalcPts[RK],0)),"")</f>
        <v>TB</v>
      </c>
      <c r="K57" s="247">
        <f>IFERROR(INDEX(TableRBCalcPts[BYE],MATCH(TableRBVORP[[#This Row],[RK]],TableRBCalcPts[RK],0)),"")</f>
        <v>11</v>
      </c>
      <c r="L57" s="248">
        <f>IFERROR(INDEX(TableRBCalcPts[Custom],MATCH(TableRBVORP[[#This Row],[RK]],TableRBCalcPts[RK],0)),"")</f>
        <v>85.06673198999485</v>
      </c>
      <c r="M57" s="249">
        <f>IFERROR((TableRBVORP[[#This Row],[FPS]]-INDEX(TableRBVORP[FPS],MATCH(RBVORPCalc,TableRBVORP[RK],0)))/INDEX(TableRBVORP[FPS],MATCH(RBVORPCalc,TableRBVORP[RK],0)),"")</f>
        <v>-0.16040832313716616</v>
      </c>
      <c r="N57" s="246"/>
      <c r="O57" s="246">
        <v>56</v>
      </c>
      <c r="P57" s="247" t="str">
        <f>IFERROR(INDEX(TableWRCalcPts[PLAYER],MATCH(TableWRVORP[[#This Row],[RK]],TableWRCalcPts[RK],0)),"")</f>
        <v>DeAndre Hopkins</v>
      </c>
      <c r="Q57" s="247" t="str">
        <f>IFERROR(INDEX(TableWRCalcPts[TM],MATCH(TableWRVORP[[#This Row],[RK]],TableWRCalcPts[RK],0)),"")</f>
        <v>ARI</v>
      </c>
      <c r="R57" s="247">
        <f>IFERROR(INDEX(TableWRCalcPts[BYE],MATCH(TableWRVORP[[#This Row],[RK]],TableWRCalcPts[RK],0)),"")</f>
        <v>13</v>
      </c>
      <c r="S57" s="248">
        <f>IFERROR(INDEX(TableWRCalcPts[Custom],MATCH(TableWRVORP[[#This Row],[RK]],TableWRCalcPts[RK],0)),"")</f>
        <v>101.49414320839625</v>
      </c>
      <c r="T57" s="249">
        <f>IFERROR((TableWRVORP[[#This Row],[FPS]]-INDEX(TableWRVORP[FPS],MATCH(WRVORPCalc,TableWRVORP[RK],0)))/INDEX(TableWRVORP[FPS],MATCH(WRVORPCalc,TableWRVORP[RK],0)),"")</f>
        <v>-6.8626029695183666E-2</v>
      </c>
      <c r="U57" s="246"/>
      <c r="V57" s="246">
        <v>56</v>
      </c>
      <c r="W57" s="247" t="str">
        <f>IFERROR(INDEX(TableTECalcPts[PLAYER],MATCH(TableTEVORP[[#This Row],[RK]],TableTECalcPts[RK],0)),"")</f>
        <v>Hunter Long</v>
      </c>
      <c r="X57" s="247" t="str">
        <f>IFERROR(INDEX(TableTECalcPts[TM],MATCH(TableTEVORP[[#This Row],[RK]],TableTECalcPts[RK],0)),"")</f>
        <v>MIA</v>
      </c>
      <c r="Y57" s="247">
        <f>IFERROR(INDEX(TableTECalcPts[BYE],MATCH(TableTEVORP[[#This Row],[RK]],TableTECalcPts[RK],0)),"")</f>
        <v>11</v>
      </c>
      <c r="Z57" s="248">
        <f>IFERROR(INDEX(TableTECalcPts[Custom],MATCH(TableTEVORP[[#This Row],[RK]],TableTECalcPts[RK],0)),"")</f>
        <v>19.12708902696637</v>
      </c>
      <c r="AA57" s="249">
        <f>IFERROR((TableTEVORP[[#This Row],[FPS]]-INDEX(TableTEVORP[FPS],MATCH(TEVORPCalc,TableTEVORP[RK],0)))/INDEX(TableTEVORP[FPS],MATCH(TEVORPCalc,TableTEVORP[RK],0)),"")</f>
        <v>-0.81330754266964689</v>
      </c>
      <c r="AB57" s="246"/>
      <c r="AC57" s="250"/>
      <c r="AD57" s="250"/>
      <c r="AE57" s="250"/>
      <c r="AF57" s="250" t="s">
        <v>357</v>
      </c>
      <c r="AG57" s="250">
        <v>16</v>
      </c>
      <c r="AH57" s="251">
        <f>RANK(TableOverallMaster[[#This Row],[VORP]],TableOverallMaster[VORP])+COUNTIF($AM$2:AM57,AM57)-1</f>
        <v>19</v>
      </c>
      <c r="AI57" s="252" t="str">
        <f>IFERROR(INDEX(TableRBVORP[RUNNING BACK],MATCH(TableOverallMaster[[#This Row],[RK]],TableRBVORP[RK],0)),"")</f>
        <v>Aaron Jones</v>
      </c>
      <c r="AJ57" s="252" t="str">
        <f t="shared" si="0"/>
        <v>RB16</v>
      </c>
      <c r="AK57" s="252">
        <f>IFERROR(INDEX(TableRBVORP[BYE],MATCH(TableOverallMaster[[#This Row],[RK]],TableRBVORP[RK],0)),"")</f>
        <v>14</v>
      </c>
      <c r="AL57" s="253">
        <f>IFERROR(INDEX(TableRBVORP[FPS],MATCH(TableOverallMaster[[#This Row],[RK]],TableRBVORP[RK],0)),"")</f>
        <v>196.51276269904162</v>
      </c>
      <c r="AM57" s="254">
        <f>IFERROR(INDEX(TableRBVORP[VORP],MATCH(TableOverallMaster[[#This Row],[RK]],TableRBVORP[RK],0)),"")</f>
        <v>0.93954177032264397</v>
      </c>
      <c r="AN57" s="250"/>
      <c r="AO57" s="250">
        <v>56</v>
      </c>
      <c r="AP57" s="255" t="str">
        <f>IFERROR(INDEX(TableOverallMaster[OVERALL PLAYER],MATCH(TableOverallRank[[#This Row],[RK]],TableOverallMaster[OVR RK],0)),"")</f>
        <v>DK Metcalf</v>
      </c>
      <c r="AQ57" s="256" t="str">
        <f>IFERROR(INDEX(TableOverallMaster[POS RK],MATCH(TableOverallRank[[#This Row],[OVERALL PLAYER]],TableOverallMaster[OVERALL PLAYER],0)),"")</f>
        <v>WR18</v>
      </c>
      <c r="AR57" s="257">
        <f>IFERROR(INDEX(TableOverallMaster[BYE],MATCH(TableOverallRank[[#This Row],[OVERALL PLAYER]],TableOverallMaster[OVERALL PLAYER],0)),"")</f>
        <v>11</v>
      </c>
      <c r="AS57" s="258">
        <f>IFERROR(INDEX(TableOverallMaster[Custom],MATCH(TableOverallRank[[#This Row],[OVERALL PLAYER]],TableOverallMaster[OVERALL PLAYER],0)),"")</f>
        <v>150.29995128334309</v>
      </c>
      <c r="AT57" s="259">
        <f>IFERROR(INDEX(TableOverallMaster[VORP],MATCH(TableOverallRank[[#This Row],[OVERALL PLAYER]],TableOverallMaster[OVERALL PLAYER],0)),"")</f>
        <v>0.37924670269847871</v>
      </c>
      <c r="AU57" s="250"/>
      <c r="AV57" s="246">
        <v>56</v>
      </c>
      <c r="AW57" s="260" t="str">
        <f>IFERROR(INDEX(TableWRTECalcPts[PLAYER],MATCH(TableWRTERank[[#This Row],[RK]],TableWRTECalcPts[RK],0)),"")</f>
        <v>Michael Thomas</v>
      </c>
      <c r="AX57" s="260" t="str">
        <f>IFERROR(INDEX(TableWRTECalcPts[POS RK],MATCH(TableWRTERank[[#This Row],[WR and TE COMBINED]],TableWRTECalcPts[PLAYER],0)),"")</f>
        <v>WR49</v>
      </c>
      <c r="AY57" s="260">
        <f>IFERROR(INDEX(TableWRTECalcPts[BYE],MATCH(TableWRTERank[[#This Row],[RK]],TableWRTECalcPts[RK],0)),"")</f>
        <v>14</v>
      </c>
      <c r="AZ57" s="261">
        <f>IFERROR(INDEX(TableWRTECalcPts[Custom],MATCH(TableWRTERank[[#This Row],[RK]],TableWRTECalcPts[RK],0)),"")</f>
        <v>109.96520155385335</v>
      </c>
      <c r="BA57" s="249">
        <f>IFERROR((TableWRTERank[[#This Row],[FPS]]-INDEX(TableWRTERank[FPS],MATCH(WRTEVORPCalc,TableWRTERank[RK],0)))/INDEX(TableWRTERank[FPS],MATCH(WRTEVORPCalc,TableWRTERank[RK],0)),"")</f>
        <v>-7.3978468127160371E-2</v>
      </c>
      <c r="BC57" s="124" t="s">
        <v>358</v>
      </c>
      <c r="BD57" s="124">
        <v>56</v>
      </c>
      <c r="BE57" s="262">
        <f>RANK(TableWRTEMaster[[#This Row],[VORP]],TableWRTEMaster[VORP])+COUNTIF($BJ$2:BJ57,BJ57)-1</f>
        <v>71</v>
      </c>
      <c r="BF57" s="263" t="str">
        <f>IFERROR(INDEX(TableWRVORP[WIDE RECEIVER],MATCH(TableWRTEMaster[[#This Row],[RK]],TableWRVORP[RK],0)),"")</f>
        <v>DeAndre Hopkins</v>
      </c>
      <c r="BG57" s="263" t="str">
        <f>_xlfn.CONCAT(TableWRTEMaster[[#This Row],[POS]],TableWRTEMaster[[#This Row],[RK]])</f>
        <v>WR56</v>
      </c>
      <c r="BH57" s="263">
        <f>IFERROR(INDEX(TableWRVORP[BYE],MATCH(TableWRTEMaster[[#This Row],[RK]],TableWRVORP[RK],0)),"")</f>
        <v>13</v>
      </c>
      <c r="BI57" s="264">
        <f>IFERROR(INDEX(TableWRVORP[FPS],MATCH(TableWRTEMaster[[#This Row],[RK]],TableWRVORP[RK],0)),"")</f>
        <v>101.49414320839625</v>
      </c>
      <c r="BJ57" s="254">
        <f>IFERROR(INDEX(TableWRVORP[VORP],MATCH(TableWRTEMaster[[#This Row],[RK]],TableWRVORP[RK],0)),"")</f>
        <v>-6.8626029695183666E-2</v>
      </c>
    </row>
    <row r="58" spans="1:62" x14ac:dyDescent="0.3">
      <c r="A58" s="246">
        <v>57</v>
      </c>
      <c r="B58" s="247" t="str">
        <f>IFERROR(INDEX(TableQBCalcPts[PLAYER],MATCH(TableQBVORP[[#This Row],[RK]],TableQBCalcPts[RK],0)),"")</f>
        <v>Nick Foles</v>
      </c>
      <c r="C58" s="247" t="str">
        <f>IFERROR(INDEX(TableQBCalcPts[TM],MATCH(TableQBVORP[[#This Row],[RK]],TableQBCalcPts[RK],0)),"")</f>
        <v>IND</v>
      </c>
      <c r="D58" s="247">
        <f>IFERROR(INDEX(TableQBCalcPts[BYE],MATCH(TableQBVORP[[#This Row],[RK]],TableQBCalcPts[RK],0)),"")</f>
        <v>14</v>
      </c>
      <c r="E58" s="248">
        <f>IFERROR(INDEX(TableQBCalcPts[Custom],MATCH(TableQBVORP[[#This Row],[RK]],TableQBCalcPts[RK],0)),"")</f>
        <v>4.449325627104403</v>
      </c>
      <c r="F58" s="249">
        <f>(IFERROR((TableQBVORP[[#This Row],[FPS]]-INDEX(TableQBVORP[FPS],MATCH(QBVORPCalc,TableQBVORP[RK],0)))/INDEX(TableQBVORP[FPS],MATCH(QBVORPCalc,TableQBVORP[RK],0)),""))+(TableRBVORP[[#This Row],[VORP]]*0.45)</f>
        <v>-1.06504376587449</v>
      </c>
      <c r="G58" s="246"/>
      <c r="H58" s="246">
        <v>57</v>
      </c>
      <c r="I58" s="247" t="str">
        <f>IFERROR(INDEX(TableRBCalcPts[PLAYER],MATCH(TableRBVORP[[#This Row],[RK]],TableRBCalcPts[RK],0)),"")</f>
        <v>Darrel Williams</v>
      </c>
      <c r="J58" s="247" t="str">
        <f>IFERROR(INDEX(TableRBCalcPts[TM],MATCH(TableRBVORP[[#This Row],[RK]],TableRBCalcPts[RK],0)),"")</f>
        <v>ARI</v>
      </c>
      <c r="K58" s="247">
        <f>IFERROR(INDEX(TableRBCalcPts[BYE],MATCH(TableRBVORP[[#This Row],[RK]],TableRBCalcPts[RK],0)),"")</f>
        <v>13</v>
      </c>
      <c r="L58" s="248">
        <f>IFERROR(INDEX(TableRBCalcPts[Custom],MATCH(TableRBVORP[[#This Row],[RK]],TableRBCalcPts[RK],0)),"")</f>
        <v>84.070806040109474</v>
      </c>
      <c r="M58" s="249">
        <f>IFERROR((TableRBVORP[[#This Row],[FPS]]-INDEX(TableRBVORP[FPS],MATCH(RBVORPCalc,TableRBVORP[RK],0)))/INDEX(TableRBVORP[FPS],MATCH(RBVORPCalc,TableRBVORP[RK],0)),"")</f>
        <v>-0.17023791360966509</v>
      </c>
      <c r="N58" s="246"/>
      <c r="O58" s="246">
        <v>57</v>
      </c>
      <c r="P58" s="247" t="str">
        <f>IFERROR(INDEX(TableWRCalcPts[PLAYER],MATCH(TableWRVORP[[#This Row],[RK]],TableWRCalcPts[RK],0)),"")</f>
        <v>Alec Pierce</v>
      </c>
      <c r="Q58" s="247" t="str">
        <f>IFERROR(INDEX(TableWRCalcPts[TM],MATCH(TableWRVORP[[#This Row],[RK]],TableWRCalcPts[RK],0)),"")</f>
        <v>IND</v>
      </c>
      <c r="R58" s="247">
        <f>IFERROR(INDEX(TableWRCalcPts[BYE],MATCH(TableWRVORP[[#This Row],[RK]],TableWRCalcPts[RK],0)),"")</f>
        <v>14</v>
      </c>
      <c r="S58" s="248">
        <f>IFERROR(INDEX(TableWRCalcPts[Custom],MATCH(TableWRVORP[[#This Row],[RK]],TableWRCalcPts[RK],0)),"")</f>
        <v>101.41919743167956</v>
      </c>
      <c r="T58" s="249">
        <f>IFERROR((TableWRVORP[[#This Row],[FPS]]-INDEX(TableWRVORP[FPS],MATCH(WRVORPCalc,TableWRVORP[RK],0)))/INDEX(TableWRVORP[FPS],MATCH(WRVORPCalc,TableWRVORP[RK],0)),"")</f>
        <v>-6.9313779189012853E-2</v>
      </c>
      <c r="U58" s="246"/>
      <c r="V58" s="246">
        <v>57</v>
      </c>
      <c r="W58" s="247" t="str">
        <f>IFERROR(INDEX(TableTECalcPts[PLAYER],MATCH(TableTEVORP[[#This Row],[RK]],TableTECalcPts[RK],0)),"")</f>
        <v>Drew Sample</v>
      </c>
      <c r="X58" s="247" t="str">
        <f>IFERROR(INDEX(TableTECalcPts[TM],MATCH(TableTEVORP[[#This Row],[RK]],TableTECalcPts[RK],0)),"")</f>
        <v>CIN</v>
      </c>
      <c r="Y58" s="247">
        <f>IFERROR(INDEX(TableTECalcPts[BYE],MATCH(TableTEVORP[[#This Row],[RK]],TableTECalcPts[RK],0)),"")</f>
        <v>10</v>
      </c>
      <c r="Z58" s="248">
        <f>IFERROR(INDEX(TableTECalcPts[Custom],MATCH(TableTEVORP[[#This Row],[RK]],TableTECalcPts[RK],0)),"")</f>
        <v>18.28922772536642</v>
      </c>
      <c r="AA58" s="249">
        <f>IFERROR((TableTEVORP[[#This Row],[FPS]]-INDEX(TableTEVORP[FPS],MATCH(TEVORPCalc,TableTEVORP[RK],0)))/INDEX(TableTEVORP[FPS],MATCH(TEVORPCalc,TableTEVORP[RK],0)),"")</f>
        <v>-0.82148559763018858</v>
      </c>
      <c r="AB58" s="246"/>
      <c r="AC58" s="250"/>
      <c r="AD58" s="250"/>
      <c r="AE58" s="250"/>
      <c r="AF58" s="250" t="s">
        <v>357</v>
      </c>
      <c r="AG58" s="250">
        <v>17</v>
      </c>
      <c r="AH58" s="251">
        <f>RANK(TableOverallMaster[[#This Row],[VORP]],TableOverallMaster[VORP])+COUNTIF($AM$2:AM58,AM58)-1</f>
        <v>20</v>
      </c>
      <c r="AI58" s="252" t="str">
        <f>IFERROR(INDEX(TableRBVORP[RUNNING BACK],MATCH(TableOverallMaster[[#This Row],[RK]],TableRBVORP[RK],0)),"")</f>
        <v>Javonte Williams</v>
      </c>
      <c r="AJ58" s="252" t="str">
        <f t="shared" si="0"/>
        <v>RB17</v>
      </c>
      <c r="AK58" s="252">
        <f>IFERROR(INDEX(TableRBVORP[BYE],MATCH(TableOverallMaster[[#This Row],[RK]],TableRBVORP[RK],0)),"")</f>
        <v>9</v>
      </c>
      <c r="AL58" s="253">
        <f>IFERROR(INDEX(TableRBVORP[FPS],MATCH(TableOverallMaster[[#This Row],[RK]],TableRBVORP[RK],0)),"")</f>
        <v>192.73629649734781</v>
      </c>
      <c r="AM58" s="254">
        <f>IFERROR(INDEX(TableRBVORP[VORP],MATCH(TableOverallMaster[[#This Row],[RK]],TableRBVORP[RK],0)),"")</f>
        <v>0.9022688021866534</v>
      </c>
      <c r="AN58" s="250"/>
      <c r="AO58" s="250">
        <v>57</v>
      </c>
      <c r="AP58" s="255" t="str">
        <f>IFERROR(INDEX(TableOverallMaster[OVERALL PLAYER],MATCH(TableOverallRank[[#This Row],[RK]],TableOverallMaster[OVR RK],0)),"")</f>
        <v>Gabriel Davis</v>
      </c>
      <c r="AQ58" s="256" t="str">
        <f>IFERROR(INDEX(TableOverallMaster[POS RK],MATCH(TableOverallRank[[#This Row],[OVERALL PLAYER]],TableOverallMaster[OVERALL PLAYER],0)),"")</f>
        <v>WR19</v>
      </c>
      <c r="AR58" s="257">
        <f>IFERROR(INDEX(TableOverallMaster[BYE],MATCH(TableOverallRank[[#This Row],[OVERALL PLAYER]],TableOverallMaster[OVERALL PLAYER],0)),"")</f>
        <v>7</v>
      </c>
      <c r="AS58" s="258">
        <f>IFERROR(INDEX(TableOverallMaster[Custom],MATCH(TableOverallRank[[#This Row],[OVERALL PLAYER]],TableOverallMaster[OVERALL PLAYER],0)),"")</f>
        <v>149.8562933454524</v>
      </c>
      <c r="AT58" s="259">
        <f>IFERROR(INDEX(TableOverallMaster[VORP],MATCH(TableOverallRank[[#This Row],[OVERALL PLAYER]],TableOverallMaster[OVERALL PLAYER],0)),"")</f>
        <v>0.37517541895728729</v>
      </c>
      <c r="AU58" s="250"/>
      <c r="AV58" s="246">
        <v>57</v>
      </c>
      <c r="AW58" s="260" t="str">
        <f>IFERROR(INDEX(TableWRTECalcPts[PLAYER],MATCH(TableWRTERank[[#This Row],[RK]],TableWRTECalcPts[RK],0)),"")</f>
        <v>Chris Olave</v>
      </c>
      <c r="AX58" s="260" t="str">
        <f>IFERROR(INDEX(TableWRTECalcPts[POS RK],MATCH(TableWRTERank[[#This Row],[WR and TE COMBINED]],TableWRTECalcPts[PLAYER],0)),"")</f>
        <v>WR50</v>
      </c>
      <c r="AY58" s="260">
        <f>IFERROR(INDEX(TableWRTECalcPts[BYE],MATCH(TableWRTERank[[#This Row],[RK]],TableWRTECalcPts[RK],0)),"")</f>
        <v>14</v>
      </c>
      <c r="AZ58" s="261">
        <f>IFERROR(INDEX(TableWRTECalcPts[Custom],MATCH(TableWRTERank[[#This Row],[RK]],TableWRTECalcPts[RK],0)),"")</f>
        <v>108.97249273047609</v>
      </c>
      <c r="BA58" s="249">
        <f>IFERROR((TableWRTERank[[#This Row],[FPS]]-INDEX(TableWRTERank[FPS],MATCH(WRTEVORPCalc,TableWRTERank[RK],0)))/INDEX(TableWRTERank[FPS],MATCH(WRTEVORPCalc,TableWRTERank[RK],0)),"")</f>
        <v>-8.2338110380689972E-2</v>
      </c>
      <c r="BC58" s="124" t="s">
        <v>358</v>
      </c>
      <c r="BD58" s="124">
        <v>57</v>
      </c>
      <c r="BE58" s="262">
        <f>RANK(TableWRTEMaster[[#This Row],[VORP]],TableWRTEMaster[VORP])+COUNTIF($BJ$2:BJ58,BJ58)-1</f>
        <v>72</v>
      </c>
      <c r="BF58" s="263" t="str">
        <f>IFERROR(INDEX(TableWRVORP[WIDE RECEIVER],MATCH(TableWRTEMaster[[#This Row],[RK]],TableWRVORP[RK],0)),"")</f>
        <v>Alec Pierce</v>
      </c>
      <c r="BG58" s="263" t="str">
        <f>_xlfn.CONCAT(TableWRTEMaster[[#This Row],[POS]],TableWRTEMaster[[#This Row],[RK]])</f>
        <v>WR57</v>
      </c>
      <c r="BH58" s="263">
        <f>IFERROR(INDEX(TableWRVORP[BYE],MATCH(TableWRTEMaster[[#This Row],[RK]],TableWRVORP[RK],0)),"")</f>
        <v>14</v>
      </c>
      <c r="BI58" s="264">
        <f>IFERROR(INDEX(TableWRVORP[FPS],MATCH(TableWRTEMaster[[#This Row],[RK]],TableWRVORP[RK],0)),"")</f>
        <v>101.41919743167956</v>
      </c>
      <c r="BJ58" s="254">
        <f>IFERROR(INDEX(TableWRVORP[VORP],MATCH(TableWRTEMaster[[#This Row],[RK]],TableWRVORP[RK],0)),"")</f>
        <v>-6.9313779189012853E-2</v>
      </c>
    </row>
    <row r="59" spans="1:62" x14ac:dyDescent="0.3">
      <c r="A59" s="246">
        <v>58</v>
      </c>
      <c r="B59" s="247" t="str">
        <f>IFERROR(INDEX(TableQBCalcPts[PLAYER],MATCH(TableQBVORP[[#This Row],[RK]],TableQBCalcPts[RK],0)),"")</f>
        <v>Jordan Love</v>
      </c>
      <c r="C59" s="247" t="str">
        <f>IFERROR(INDEX(TableQBCalcPts[TM],MATCH(TableQBVORP[[#This Row],[RK]],TableQBCalcPts[RK],0)),"")</f>
        <v>GB</v>
      </c>
      <c r="D59" s="247">
        <f>IFERROR(INDEX(TableQBCalcPts[BYE],MATCH(TableQBVORP[[#This Row],[RK]],TableQBCalcPts[RK],0)),"")</f>
        <v>14</v>
      </c>
      <c r="E59" s="248">
        <f>IFERROR(INDEX(TableQBCalcPts[Custom],MATCH(TableQBVORP[[#This Row],[RK]],TableQBCalcPts[RK],0)),"")</f>
        <v>4.1197163358902698</v>
      </c>
      <c r="F59" s="249">
        <f>(IFERROR((TableQBVORP[[#This Row],[FPS]]-INDEX(TableQBVORP[FPS],MATCH(QBVORPCalc,TableQBVORP[RK],0)))/INDEX(TableQBVORP[FPS],MATCH(QBVORPCalc,TableQBVORP[RK],0)),""))+(TableRBVORP[[#This Row],[VORP]]*0.45)</f>
        <v>-1.0969479299196003</v>
      </c>
      <c r="G59" s="246"/>
      <c r="H59" s="246">
        <v>58</v>
      </c>
      <c r="I59" s="247" t="str">
        <f>IFERROR(INDEX(TableRBCalcPts[PLAYER],MATCH(TableRBVORP[[#This Row],[RK]],TableRBCalcPts[RK],0)),"")</f>
        <v>James White</v>
      </c>
      <c r="J59" s="247" t="str">
        <f>IFERROR(INDEX(TableRBCalcPts[TM],MATCH(TableRBVORP[[#This Row],[RK]],TableRBCalcPts[RK],0)),"")</f>
        <v>NE</v>
      </c>
      <c r="K59" s="247">
        <f>IFERROR(INDEX(TableRBCalcPts[BYE],MATCH(TableRBVORP[[#This Row],[RK]],TableRBCalcPts[RK],0)),"")</f>
        <v>10</v>
      </c>
      <c r="L59" s="248">
        <f>IFERROR(INDEX(TableRBCalcPts[Custom],MATCH(TableRBVORP[[#This Row],[RK]],TableRBCalcPts[RK],0)),"")</f>
        <v>77.080335669558565</v>
      </c>
      <c r="M59" s="249">
        <f>IFERROR((TableRBVORP[[#This Row],[FPS]]-INDEX(TableRBVORP[FPS],MATCH(RBVORPCalc,TableRBVORP[RK],0)))/INDEX(TableRBVORP[FPS],MATCH(RBVORPCalc,TableRBVORP[RK],0)),"")</f>
        <v>-0.23923246180931962</v>
      </c>
      <c r="N59" s="246"/>
      <c r="O59" s="246">
        <v>58</v>
      </c>
      <c r="P59" s="247" t="str">
        <f>IFERROR(INDEX(TableWRCalcPts[PLAYER],MATCH(TableWRVORP[[#This Row],[RK]],TableWRCalcPts[RK],0)),"")</f>
        <v>Jarvis Landry</v>
      </c>
      <c r="Q59" s="247" t="str">
        <f>IFERROR(INDEX(TableWRCalcPts[TM],MATCH(TableWRVORP[[#This Row],[RK]],TableWRCalcPts[RK],0)),"")</f>
        <v>NO</v>
      </c>
      <c r="R59" s="247">
        <f>IFERROR(INDEX(TableWRCalcPts[BYE],MATCH(TableWRVORP[[#This Row],[RK]],TableWRCalcPts[RK],0)),"")</f>
        <v>14</v>
      </c>
      <c r="S59" s="248">
        <f>IFERROR(INDEX(TableWRCalcPts[Custom],MATCH(TableWRVORP[[#This Row],[RK]],TableWRCalcPts[RK],0)),"")</f>
        <v>100.36232784392826</v>
      </c>
      <c r="T59" s="249">
        <f>IFERROR((TableWRVORP[[#This Row],[FPS]]-INDEX(TableWRVORP[FPS],MATCH(WRVORPCalc,TableWRVORP[RK],0)))/INDEX(TableWRVORP[FPS],MATCH(WRVORPCalc,TableWRVORP[RK],0)),"")</f>
        <v>-7.9012277968565275E-2</v>
      </c>
      <c r="U59" s="246"/>
      <c r="V59" s="246">
        <v>58</v>
      </c>
      <c r="W59" s="247" t="str">
        <f>IFERROR(INDEX(TableTECalcPts[PLAYER],MATCH(TableTEVORP[[#This Row],[RK]],TableTECalcPts[RK],0)),"")</f>
        <v>Maxx Williams</v>
      </c>
      <c r="X59" s="247" t="str">
        <f>IFERROR(INDEX(TableTECalcPts[TM],MATCH(TableTEVORP[[#This Row],[RK]],TableTECalcPts[RK],0)),"")</f>
        <v>ARI</v>
      </c>
      <c r="Y59" s="247">
        <f>IFERROR(INDEX(TableTECalcPts[BYE],MATCH(TableTEVORP[[#This Row],[RK]],TableTECalcPts[RK],0)),"")</f>
        <v>13</v>
      </c>
      <c r="Z59" s="248">
        <f>IFERROR(INDEX(TableTECalcPts[Custom],MATCH(TableTEVORP[[#This Row],[RK]],TableTECalcPts[RK],0)),"")</f>
        <v>17.246651607505306</v>
      </c>
      <c r="AA59" s="249">
        <f>IFERROR((TableTEVORP[[#This Row],[FPS]]-INDEX(TableTEVORP[FPS],MATCH(TEVORPCalc,TableTEVORP[RK],0)))/INDEX(TableTEVORP[FPS],MATCH(TEVORPCalc,TableTEVORP[RK],0)),"")</f>
        <v>-0.83166179836428966</v>
      </c>
      <c r="AB59" s="246"/>
      <c r="AC59" s="250"/>
      <c r="AD59" s="250"/>
      <c r="AE59" s="250"/>
      <c r="AF59" s="250" t="s">
        <v>357</v>
      </c>
      <c r="AG59" s="250">
        <v>18</v>
      </c>
      <c r="AH59" s="251">
        <f>RANK(TableOverallMaster[[#This Row],[VORP]],TableOverallMaster[VORP])+COUNTIF($AM$2:AM59,AM59)-1</f>
        <v>22</v>
      </c>
      <c r="AI59" s="252" t="str">
        <f>IFERROR(INDEX(TableRBVORP[RUNNING BACK],MATCH(TableOverallMaster[[#This Row],[RK]],TableRBVORP[RK],0)),"")</f>
        <v>Alvin Kamara</v>
      </c>
      <c r="AJ59" s="252" t="str">
        <f t="shared" si="0"/>
        <v>RB18</v>
      </c>
      <c r="AK59" s="252">
        <f>IFERROR(INDEX(TableRBVORP[BYE],MATCH(TableOverallMaster[[#This Row],[RK]],TableRBVORP[RK],0)),"")</f>
        <v>14</v>
      </c>
      <c r="AL59" s="253">
        <f>IFERROR(INDEX(TableRBVORP[FPS],MATCH(TableOverallMaster[[#This Row],[RK]],TableRBVORP[RK],0)),"")</f>
        <v>190.20018269680975</v>
      </c>
      <c r="AM59" s="254">
        <f>IFERROR(INDEX(TableRBVORP[VORP],MATCH(TableOverallMaster[[#This Row],[RK]],TableRBVORP[RK],0)),"")</f>
        <v>0.87723786484255561</v>
      </c>
      <c r="AN59" s="250"/>
      <c r="AO59" s="250">
        <v>58</v>
      </c>
      <c r="AP59" s="255" t="str">
        <f>IFERROR(INDEX(TableOverallMaster[OVERALL PLAYER],MATCH(TableOverallRank[[#This Row],[RK]],TableOverallMaster[OVR RK],0)),"")</f>
        <v>Clyde Edwards-Helaire</v>
      </c>
      <c r="AQ59" s="256" t="str">
        <f>IFERROR(INDEX(TableOverallMaster[POS RK],MATCH(TableOverallRank[[#This Row],[OVERALL PLAYER]],TableOverallMaster[OVERALL PLAYER],0)),"")</f>
        <v>RB28</v>
      </c>
      <c r="AR59" s="257">
        <f>IFERROR(INDEX(TableOverallMaster[BYE],MATCH(TableOverallRank[[#This Row],[OVERALL PLAYER]],TableOverallMaster[OVERALL PLAYER],0)),"")</f>
        <v>8</v>
      </c>
      <c r="AS59" s="258">
        <f>IFERROR(INDEX(TableOverallMaster[Custom],MATCH(TableOverallRank[[#This Row],[OVERALL PLAYER]],TableOverallMaster[OVERALL PLAYER],0)),"")</f>
        <v>139.27997244322847</v>
      </c>
      <c r="AT59" s="259">
        <f>IFERROR(INDEX(TableOverallMaster[VORP],MATCH(TableOverallRank[[#This Row],[OVERALL PLAYER]],TableOverallMaster[OVERALL PLAYER],0)),"")</f>
        <v>0.37466554646501782</v>
      </c>
      <c r="AU59" s="250"/>
      <c r="AV59" s="246">
        <v>58</v>
      </c>
      <c r="AW59" s="260" t="str">
        <f>IFERROR(INDEX(TableWRTECalcPts[PLAYER],MATCH(TableWRTERank[[#This Row],[RK]],TableWRTECalcPts[RK],0)),"")</f>
        <v>Chase Claypool</v>
      </c>
      <c r="AX59" s="260" t="str">
        <f>IFERROR(INDEX(TableWRTECalcPts[POS RK],MATCH(TableWRTERank[[#This Row],[WR and TE COMBINED]],TableWRTECalcPts[PLAYER],0)),"")</f>
        <v>WR51</v>
      </c>
      <c r="AY59" s="260">
        <f>IFERROR(INDEX(TableWRTECalcPts[BYE],MATCH(TableWRTERank[[#This Row],[RK]],TableWRTECalcPts[RK],0)),"")</f>
        <v>9</v>
      </c>
      <c r="AZ59" s="261">
        <f>IFERROR(INDEX(TableWRTECalcPts[Custom],MATCH(TableWRTERank[[#This Row],[RK]],TableWRTECalcPts[RK],0)),"")</f>
        <v>106.93345533928145</v>
      </c>
      <c r="BA59" s="249">
        <f>IFERROR((TableWRTERank[[#This Row],[FPS]]-INDEX(TableWRTERank[FPS],MATCH(WRTEVORPCalc,TableWRTERank[RK],0)))/INDEX(TableWRTERank[FPS],MATCH(WRTEVORPCalc,TableWRTERank[RK],0)),"")</f>
        <v>-9.9508928983840103E-2</v>
      </c>
      <c r="BC59" s="124" t="s">
        <v>358</v>
      </c>
      <c r="BD59" s="124">
        <v>58</v>
      </c>
      <c r="BE59" s="262">
        <f>RANK(TableWRTEMaster[[#This Row],[VORP]],TableWRTEMaster[VORP])+COUNTIF($BJ$2:BJ59,BJ59)-1</f>
        <v>73</v>
      </c>
      <c r="BF59" s="263" t="str">
        <f>IFERROR(INDEX(TableWRVORP[WIDE RECEIVER],MATCH(TableWRTEMaster[[#This Row],[RK]],TableWRVORP[RK],0)),"")</f>
        <v>Jarvis Landry</v>
      </c>
      <c r="BG59" s="263" t="str">
        <f>_xlfn.CONCAT(TableWRTEMaster[[#This Row],[POS]],TableWRTEMaster[[#This Row],[RK]])</f>
        <v>WR58</v>
      </c>
      <c r="BH59" s="263">
        <f>IFERROR(INDEX(TableWRVORP[BYE],MATCH(TableWRTEMaster[[#This Row],[RK]],TableWRVORP[RK],0)),"")</f>
        <v>14</v>
      </c>
      <c r="BI59" s="264">
        <f>IFERROR(INDEX(TableWRVORP[FPS],MATCH(TableWRTEMaster[[#This Row],[RK]],TableWRVORP[RK],0)),"")</f>
        <v>100.36232784392826</v>
      </c>
      <c r="BJ59" s="254">
        <f>IFERROR(INDEX(TableWRVORP[VORP],MATCH(TableWRTEMaster[[#This Row],[RK]],TableWRVORP[RK],0)),"")</f>
        <v>-7.9012277968565275E-2</v>
      </c>
    </row>
    <row r="60" spans="1:62" x14ac:dyDescent="0.3">
      <c r="A60" s="246">
        <v>59</v>
      </c>
      <c r="B60" s="247" t="str">
        <f>IFERROR(INDEX(TableQBCalcPts[PLAYER],MATCH(TableQBVORP[[#This Row],[RK]],TableQBCalcPts[RK],0)),"")</f>
        <v>Case Keenum</v>
      </c>
      <c r="C60" s="247" t="str">
        <f>IFERROR(INDEX(TableQBCalcPts[TM],MATCH(TableQBVORP[[#This Row],[RK]],TableQBCalcPts[RK],0)),"")</f>
        <v>BUF</v>
      </c>
      <c r="D60" s="247">
        <f>IFERROR(INDEX(TableQBCalcPts[BYE],MATCH(TableQBVORP[[#This Row],[RK]],TableQBCalcPts[RK],0)),"")</f>
        <v>7</v>
      </c>
      <c r="E60" s="248">
        <f>IFERROR(INDEX(TableQBCalcPts[Custom],MATCH(TableQBVORP[[#This Row],[RK]],TableQBCalcPts[RK],0)),"")</f>
        <v>3.446918512326516</v>
      </c>
      <c r="F60" s="249">
        <f>(IFERROR((TableQBVORP[[#This Row],[FPS]]-INDEX(TableQBVORP[FPS],MATCH(QBVORPCalc,TableQBVORP[RK],0)))/INDEX(TableQBVORP[FPS],MATCH(QBVORPCalc,TableQBVORP[RK],0)),""))+(TableRBVORP[[#This Row],[VORP]]*0.45)</f>
        <v>-1.1037063118111898</v>
      </c>
      <c r="G60" s="246"/>
      <c r="H60" s="246">
        <v>59</v>
      </c>
      <c r="I60" s="247" t="str">
        <f>IFERROR(INDEX(TableRBCalcPts[PLAYER],MATCH(TableRBVORP[[#This Row],[RK]],TableRBCalcPts[RK],0)),"")</f>
        <v>Rex Burkhead</v>
      </c>
      <c r="J60" s="247" t="str">
        <f>IFERROR(INDEX(TableRBCalcPts[TM],MATCH(TableRBVORP[[#This Row],[RK]],TableRBCalcPts[RK],0)),"")</f>
        <v>HOU</v>
      </c>
      <c r="K60" s="247">
        <f>IFERROR(INDEX(TableRBCalcPts[BYE],MATCH(TableRBVORP[[#This Row],[RK]],TableRBCalcPts[RK],0)),"")</f>
        <v>6</v>
      </c>
      <c r="L60" s="248">
        <f>IFERROR(INDEX(TableRBCalcPts[Custom],MATCH(TableRBVORP[[#This Row],[RK]],TableRBCalcPts[RK],0)),"")</f>
        <v>75.952347937216942</v>
      </c>
      <c r="M60" s="249">
        <f>IFERROR((TableRBVORP[[#This Row],[FPS]]-INDEX(TableRBVORP[FPS],MATCH(RBVORPCalc,TableRBVORP[RK],0)))/INDEX(TableRBVORP[FPS],MATCH(RBVORPCalc,TableRBVORP[RK],0)),"")</f>
        <v>-0.25036547573289192</v>
      </c>
      <c r="N60" s="246"/>
      <c r="O60" s="246">
        <v>59</v>
      </c>
      <c r="P60" s="247" t="str">
        <f>IFERROR(INDEX(TableWRCalcPts[PLAYER],MATCH(TableWRVORP[[#This Row],[RK]],TableWRCalcPts[RK],0)),"")</f>
        <v>Robbie Anderson</v>
      </c>
      <c r="Q60" s="247" t="str">
        <f>IFERROR(INDEX(TableWRCalcPts[TM],MATCH(TableWRVORP[[#This Row],[RK]],TableWRCalcPts[RK],0)),"")</f>
        <v>CAR</v>
      </c>
      <c r="R60" s="247">
        <f>IFERROR(INDEX(TableWRCalcPts[BYE],MATCH(TableWRVORP[[#This Row],[RK]],TableWRCalcPts[RK],0)),"")</f>
        <v>13</v>
      </c>
      <c r="S60" s="248">
        <f>IFERROR(INDEX(TableWRCalcPts[Custom],MATCH(TableWRVORP[[#This Row],[RK]],TableWRCalcPts[RK],0)),"")</f>
        <v>99.022998253309396</v>
      </c>
      <c r="T60" s="249">
        <f>IFERROR((TableWRVORP[[#This Row],[FPS]]-INDEX(TableWRVORP[FPS],MATCH(WRVORPCalc,TableWRVORP[RK],0)))/INDEX(TableWRVORP[FPS],MATCH(WRVORPCalc,TableWRVORP[RK],0)),"")</f>
        <v>-9.1302807046682727E-2</v>
      </c>
      <c r="U60" s="246"/>
      <c r="V60" s="246">
        <v>59</v>
      </c>
      <c r="W60" s="247" t="str">
        <f>IFERROR(INDEX(TableTECalcPts[PLAYER],MATCH(TableTEVORP[[#This Row],[RK]],TableTECalcPts[RK],0)),"")</f>
        <v>Jelani Woods</v>
      </c>
      <c r="X60" s="247" t="str">
        <f>IFERROR(INDEX(TableTECalcPts[TM],MATCH(TableTEVORP[[#This Row],[RK]],TableTECalcPts[RK],0)),"")</f>
        <v>IND</v>
      </c>
      <c r="Y60" s="247">
        <f>IFERROR(INDEX(TableTECalcPts[BYE],MATCH(TableTEVORP[[#This Row],[RK]],TableTECalcPts[RK],0)),"")</f>
        <v>14</v>
      </c>
      <c r="Z60" s="248">
        <f>IFERROR(INDEX(TableTECalcPts[Custom],MATCH(TableTEVORP[[#This Row],[RK]],TableTECalcPts[RK],0)),"")</f>
        <v>17.171626089126345</v>
      </c>
      <c r="AA60" s="249">
        <f>IFERROR((TableTEVORP[[#This Row],[FPS]]-INDEX(TableTEVORP[FPS],MATCH(TEVORPCalc,TableTEVORP[RK],0)))/INDEX(TableTEVORP[FPS],MATCH(TEVORPCalc,TableTEVORP[RK],0)),"")</f>
        <v>-0.83239409476176562</v>
      </c>
      <c r="AB60" s="246"/>
      <c r="AC60" s="250"/>
      <c r="AD60" s="250"/>
      <c r="AE60" s="250"/>
      <c r="AF60" s="250" t="s">
        <v>357</v>
      </c>
      <c r="AG60" s="250">
        <v>19</v>
      </c>
      <c r="AH60" s="251">
        <f>RANK(TableOverallMaster[[#This Row],[VORP]],TableOverallMaster[VORP])+COUNTIF($AM$2:AM60,AM60)-1</f>
        <v>25</v>
      </c>
      <c r="AI60" s="252" t="str">
        <f>IFERROR(INDEX(TableRBVORP[RUNNING BACK],MATCH(TableOverallMaster[[#This Row],[RK]],TableRBVORP[RK],0)),"")</f>
        <v>Josh Jacobs</v>
      </c>
      <c r="AJ60" s="252" t="str">
        <f t="shared" si="0"/>
        <v>RB19</v>
      </c>
      <c r="AK60" s="252">
        <f>IFERROR(INDEX(TableRBVORP[BYE],MATCH(TableOverallMaster[[#This Row],[RK]],TableRBVORP[RK],0)),"")</f>
        <v>6</v>
      </c>
      <c r="AL60" s="253">
        <f>IFERROR(INDEX(TableRBVORP[FPS],MATCH(TableOverallMaster[[#This Row],[RK]],TableRBVORP[RK],0)),"")</f>
        <v>188.18402241660306</v>
      </c>
      <c r="AM60" s="254">
        <f>IFERROR(INDEX(TableRBVORP[VORP],MATCH(TableOverallMaster[[#This Row],[RK]],TableRBVORP[RK],0)),"")</f>
        <v>0.85733876503133832</v>
      </c>
      <c r="AN60" s="250"/>
      <c r="AO60" s="250">
        <v>59</v>
      </c>
      <c r="AP60" s="255" t="str">
        <f>IFERROR(INDEX(TableOverallMaster[OVERALL PLAYER],MATCH(TableOverallRank[[#This Row],[RK]],TableOverallMaster[OVR RK],0)),"")</f>
        <v>Rashod Bateman</v>
      </c>
      <c r="AQ60" s="256" t="str">
        <f>IFERROR(INDEX(TableOverallMaster[POS RK],MATCH(TableOverallRank[[#This Row],[OVERALL PLAYER]],TableOverallMaster[OVERALL PLAYER],0)),"")</f>
        <v>WR20</v>
      </c>
      <c r="AR60" s="257">
        <f>IFERROR(INDEX(TableOverallMaster[BYE],MATCH(TableOverallRank[[#This Row],[OVERALL PLAYER]],TableOverallMaster[OVERALL PLAYER],0)),"")</f>
        <v>10</v>
      </c>
      <c r="AS60" s="258">
        <f>IFERROR(INDEX(TableOverallMaster[Custom],MATCH(TableOverallRank[[#This Row],[OVERALL PLAYER]],TableOverallMaster[OVERALL PLAYER],0)),"")</f>
        <v>148.63992321748958</v>
      </c>
      <c r="AT60" s="259">
        <f>IFERROR(INDEX(TableOverallMaster[VORP],MATCH(TableOverallRank[[#This Row],[OVERALL PLAYER]],TableOverallMaster[OVERALL PLAYER],0)),"")</f>
        <v>0.36401324309542743</v>
      </c>
      <c r="AU60" s="250"/>
      <c r="AV60" s="246">
        <v>59</v>
      </c>
      <c r="AW60" s="260" t="str">
        <f>IFERROR(INDEX(TableWRTECalcPts[PLAYER],MATCH(TableWRTERank[[#This Row],[RK]],TableWRTECalcPts[RK],0)),"")</f>
        <v>Van Jefferson</v>
      </c>
      <c r="AX60" s="260" t="str">
        <f>IFERROR(INDEX(TableWRTECalcPts[POS RK],MATCH(TableWRTERank[[#This Row],[WR and TE COMBINED]],TableWRTECalcPts[PLAYER],0)),"")</f>
        <v>WR52</v>
      </c>
      <c r="AY60" s="260">
        <f>IFERROR(INDEX(TableWRTECalcPts[BYE],MATCH(TableWRTERank[[#This Row],[RK]],TableWRTECalcPts[RK],0)),"")</f>
        <v>7</v>
      </c>
      <c r="AZ60" s="261">
        <f>IFERROR(INDEX(TableWRTECalcPts[Custom],MATCH(TableWRTERank[[#This Row],[RK]],TableWRTECalcPts[RK],0)),"")</f>
        <v>106.76394680560256</v>
      </c>
      <c r="BA60" s="249">
        <f>IFERROR((TableWRTERank[[#This Row],[FPS]]-INDEX(TableWRTERank[FPS],MATCH(WRTEVORPCalc,TableWRTERank[RK],0)))/INDEX(TableWRTERank[FPS],MATCH(WRTEVORPCalc,TableWRTERank[RK],0)),"")</f>
        <v>-0.10093636738985234</v>
      </c>
      <c r="BC60" s="124" t="s">
        <v>358</v>
      </c>
      <c r="BD60" s="124">
        <v>59</v>
      </c>
      <c r="BE60" s="262">
        <f>RANK(TableWRTEMaster[[#This Row],[VORP]],TableWRTEMaster[VORP])+COUNTIF($BJ$2:BJ60,BJ60)-1</f>
        <v>74</v>
      </c>
      <c r="BF60" s="263" t="str">
        <f>IFERROR(INDEX(TableWRVORP[WIDE RECEIVER],MATCH(TableWRTEMaster[[#This Row],[RK]],TableWRVORP[RK],0)),"")</f>
        <v>Robbie Anderson</v>
      </c>
      <c r="BG60" s="263" t="str">
        <f>_xlfn.CONCAT(TableWRTEMaster[[#This Row],[POS]],TableWRTEMaster[[#This Row],[RK]])</f>
        <v>WR59</v>
      </c>
      <c r="BH60" s="263">
        <f>IFERROR(INDEX(TableWRVORP[BYE],MATCH(TableWRTEMaster[[#This Row],[RK]],TableWRVORP[RK],0)),"")</f>
        <v>13</v>
      </c>
      <c r="BI60" s="264">
        <f>IFERROR(INDEX(TableWRVORP[FPS],MATCH(TableWRTEMaster[[#This Row],[RK]],TableWRVORP[RK],0)),"")</f>
        <v>99.022998253309396</v>
      </c>
      <c r="BJ60" s="254">
        <f>IFERROR(INDEX(TableWRVORP[VORP],MATCH(TableWRTEMaster[[#This Row],[RK]],TableWRVORP[RK],0)),"")</f>
        <v>-9.1302807046682727E-2</v>
      </c>
    </row>
    <row r="61" spans="1:62" x14ac:dyDescent="0.3">
      <c r="A61" s="246">
        <v>60</v>
      </c>
      <c r="B61" s="247" t="str">
        <f>IFERROR(INDEX(TableQBCalcPts[PLAYER],MATCH(TableQBVORP[[#This Row],[RK]],TableQBCalcPts[RK],0)),"")</f>
        <v>Mason Rudolph</v>
      </c>
      <c r="C61" s="247" t="str">
        <f>IFERROR(INDEX(TableQBCalcPts[TM],MATCH(TableQBVORP[[#This Row],[RK]],TableQBCalcPts[RK],0)),"")</f>
        <v>PIT</v>
      </c>
      <c r="D61" s="247">
        <f>IFERROR(INDEX(TableQBCalcPts[BYE],MATCH(TableQBVORP[[#This Row],[RK]],TableQBCalcPts[RK],0)),"")</f>
        <v>9</v>
      </c>
      <c r="E61" s="248">
        <f>IFERROR(INDEX(TableQBCalcPts[Custom],MATCH(TableQBVORP[[#This Row],[RK]],TableQBCalcPts[RK],0)),"")</f>
        <v>3.4144949110272025</v>
      </c>
      <c r="F61" s="249">
        <f>(IFERROR((TableQBVORP[[#This Row],[FPS]]-INDEX(TableQBVORP[FPS],MATCH(QBVORPCalc,TableQBVORP[RK],0)))/INDEX(TableQBVORP[FPS],MATCH(QBVORPCalc,TableQBVORP[RK],0)),""))+(TableRBVORP[[#This Row],[VORP]]*0.45)</f>
        <v>-1.1046847790429413</v>
      </c>
      <c r="G61" s="246"/>
      <c r="H61" s="246">
        <v>60</v>
      </c>
      <c r="I61" s="247" t="str">
        <f>IFERROR(INDEX(TableRBCalcPts[PLAYER],MATCH(TableRBVORP[[#This Row],[RK]],TableRBCalcPts[RK],0)),"")</f>
        <v>Damien Williams</v>
      </c>
      <c r="J61" s="247" t="str">
        <f>IFERROR(INDEX(TableRBCalcPts[TM],MATCH(TableRBVORP[[#This Row],[RK]],TableRBCalcPts[RK],0)),"")</f>
        <v>ATL</v>
      </c>
      <c r="K61" s="247">
        <f>IFERROR(INDEX(TableRBCalcPts[BYE],MATCH(TableRBVORP[[#This Row],[RK]],TableRBCalcPts[RK],0)),"")</f>
        <v>14</v>
      </c>
      <c r="L61" s="248">
        <f>IFERROR(INDEX(TableRBCalcPts[Custom],MATCH(TableRBVORP[[#This Row],[RK]],TableRBCalcPts[RK],0)),"")</f>
        <v>75.751015049197633</v>
      </c>
      <c r="M61" s="249">
        <f>IFERROR((TableRBVORP[[#This Row],[FPS]]-INDEX(TableRBVORP[FPS],MATCH(RBVORPCalc,TableRBVORP[RK],0)))/INDEX(TableRBVORP[FPS],MATCH(RBVORPCalc,TableRBVORP[RK],0)),"")</f>
        <v>-0.25235259117867692</v>
      </c>
      <c r="N61" s="246"/>
      <c r="O61" s="246">
        <v>60</v>
      </c>
      <c r="P61" s="247" t="str">
        <f>IFERROR(INDEX(TableWRCalcPts[PLAYER],MATCH(TableWRVORP[[#This Row],[RK]],TableWRCalcPts[RK],0)),"")</f>
        <v>Jahan Dotson</v>
      </c>
      <c r="Q61" s="247" t="str">
        <f>IFERROR(INDEX(TableWRCalcPts[TM],MATCH(TableWRVORP[[#This Row],[RK]],TableWRCalcPts[RK],0)),"")</f>
        <v>WSH</v>
      </c>
      <c r="R61" s="247">
        <f>IFERROR(INDEX(TableWRCalcPts[BYE],MATCH(TableWRVORP[[#This Row],[RK]],TableWRCalcPts[RK],0)),"")</f>
        <v>14</v>
      </c>
      <c r="S61" s="248">
        <f>IFERROR(INDEX(TableWRCalcPts[Custom],MATCH(TableWRVORP[[#This Row],[RK]],TableWRCalcPts[RK],0)),"")</f>
        <v>97.971643167931461</v>
      </c>
      <c r="T61" s="249">
        <f>IFERROR((TableWRVORP[[#This Row],[FPS]]-INDEX(TableWRVORP[FPS],MATCH(WRVORPCalc,TableWRVORP[RK],0)))/INDEX(TableWRVORP[FPS],MATCH(WRVORPCalc,TableWRVORP[RK],0)),"")</f>
        <v>-0.10095070129076755</v>
      </c>
      <c r="U61" s="246"/>
      <c r="V61" s="246">
        <v>60</v>
      </c>
      <c r="W61" s="247" t="str">
        <f>IFERROR(INDEX(TableTECalcPts[PLAYER],MATCH(TableTEVORP[[#This Row],[RK]],TableTECalcPts[RK],0)),"")</f>
        <v>Ryan Griffin</v>
      </c>
      <c r="X61" s="247" t="str">
        <f>IFERROR(INDEX(TableTECalcPts[TM],MATCH(TableTEVORP[[#This Row],[RK]],TableTECalcPts[RK],0)),"")</f>
        <v>CHI</v>
      </c>
      <c r="Y61" s="247">
        <f>IFERROR(INDEX(TableTECalcPts[BYE],MATCH(TableTEVORP[[#This Row],[RK]],TableTECalcPts[RK],0)),"")</f>
        <v>14</v>
      </c>
      <c r="Z61" s="248">
        <f>IFERROR(INDEX(TableTECalcPts[Custom],MATCH(TableTEVORP[[#This Row],[RK]],TableTECalcPts[RK],0)),"")</f>
        <v>16.703697622663206</v>
      </c>
      <c r="AA61" s="249">
        <f>IFERROR((TableTEVORP[[#This Row],[FPS]]-INDEX(TableTEVORP[FPS],MATCH(TEVORPCalc,TableTEVORP[RK],0)))/INDEX(TableTEVORP[FPS],MATCH(TEVORPCalc,TableTEVORP[RK],0)),"")</f>
        <v>-0.83696137183856822</v>
      </c>
      <c r="AB61" s="246"/>
      <c r="AC61" s="250"/>
      <c r="AD61" s="250"/>
      <c r="AE61" s="250"/>
      <c r="AF61" s="250" t="s">
        <v>357</v>
      </c>
      <c r="AG61" s="250">
        <v>20</v>
      </c>
      <c r="AH61" s="251">
        <f>RANK(TableOverallMaster[[#This Row],[VORP]],TableOverallMaster[VORP])+COUNTIF($AM$2:AM61,AM61)-1</f>
        <v>26</v>
      </c>
      <c r="AI61" s="252" t="str">
        <f>IFERROR(INDEX(TableRBVORP[RUNNING BACK],MATCH(TableOverallMaster[[#This Row],[RK]],TableRBVORP[RK],0)),"")</f>
        <v>Ezekiel Elliott</v>
      </c>
      <c r="AJ61" s="252" t="str">
        <f t="shared" si="0"/>
        <v>RB20</v>
      </c>
      <c r="AK61" s="252">
        <f>IFERROR(INDEX(TableRBVORP[BYE],MATCH(TableOverallMaster[[#This Row],[RK]],TableRBVORP[RK],0)),"")</f>
        <v>9</v>
      </c>
      <c r="AL61" s="253">
        <f>IFERROR(INDEX(TableRBVORP[FPS],MATCH(TableOverallMaster[[#This Row],[RK]],TableRBVORP[RK],0)),"")</f>
        <v>182.36319695224904</v>
      </c>
      <c r="AM61" s="254">
        <f>IFERROR(INDEX(TableRBVORP[VORP],MATCH(TableOverallMaster[[#This Row],[RK]],TableRBVORP[RK],0)),"")</f>
        <v>0.79988837875203855</v>
      </c>
      <c r="AN61" s="250"/>
      <c r="AO61" s="250">
        <v>60</v>
      </c>
      <c r="AP61" s="255" t="str">
        <f>IFERROR(INDEX(TableOverallMaster[OVERALL PLAYER],MATCH(TableOverallRank[[#This Row],[RK]],TableOverallMaster[OVR RK],0)),"")</f>
        <v>Aaron Rodgers</v>
      </c>
      <c r="AQ61" s="256" t="str">
        <f>IFERROR(INDEX(TableOverallMaster[POS RK],MATCH(TableOverallRank[[#This Row],[OVERALL PLAYER]],TableOverallMaster[OVERALL PLAYER],0)),"")</f>
        <v>QB9</v>
      </c>
      <c r="AR61" s="257">
        <f>IFERROR(INDEX(TableOverallMaster[BYE],MATCH(TableOverallRank[[#This Row],[OVERALL PLAYER]],TableOverallMaster[OVERALL PLAYER],0)),"")</f>
        <v>14</v>
      </c>
      <c r="AS61" s="258">
        <f>IFERROR(INDEX(TableOverallMaster[Custom],MATCH(TableOverallRank[[#This Row],[OVERALL PLAYER]],TableOverallMaster[OVERALL PLAYER],0)),"")</f>
        <v>337.00673385001676</v>
      </c>
      <c r="AT61" s="259">
        <f>IFERROR(INDEX(TableOverallMaster[VORP],MATCH(TableOverallRank[[#This Row],[OVERALL PLAYER]],TableOverallMaster[OVERALL PLAYER],0)),"")</f>
        <v>0.36270877724935235</v>
      </c>
      <c r="AU61" s="250"/>
      <c r="AV61" s="246">
        <v>60</v>
      </c>
      <c r="AW61" s="260" t="str">
        <f>IFERROR(INDEX(TableWRTECalcPts[PLAYER],MATCH(TableWRTERank[[#This Row],[RK]],TableWRTECalcPts[RK],0)),"")</f>
        <v>Mecole Hardman</v>
      </c>
      <c r="AX61" s="260" t="str">
        <f>IFERROR(INDEX(TableWRTECalcPts[POS RK],MATCH(TableWRTERank[[#This Row],[WR and TE COMBINED]],TableWRTECalcPts[PLAYER],0)),"")</f>
        <v>WR53</v>
      </c>
      <c r="AY61" s="260">
        <f>IFERROR(INDEX(TableWRTECalcPts[BYE],MATCH(TableWRTERank[[#This Row],[RK]],TableWRTECalcPts[RK],0)),"")</f>
        <v>8</v>
      </c>
      <c r="AZ61" s="261">
        <f>IFERROR(INDEX(TableWRTECalcPts[Custom],MATCH(TableWRTERank[[#This Row],[RK]],TableWRTECalcPts[RK],0)),"")</f>
        <v>106.4869180452002</v>
      </c>
      <c r="BA61" s="249">
        <f>IFERROR((TableWRTERank[[#This Row],[FPS]]-INDEX(TableWRTERank[FPS],MATCH(WRTEVORPCalc,TableWRTERank[RK],0)))/INDEX(TableWRTERank[FPS],MATCH(WRTEVORPCalc,TableWRTERank[RK],0)),"")</f>
        <v>-0.10326923809309017</v>
      </c>
      <c r="BC61" s="124" t="s">
        <v>358</v>
      </c>
      <c r="BD61" s="124">
        <v>60</v>
      </c>
      <c r="BE61" s="262">
        <f>RANK(TableWRTEMaster[[#This Row],[VORP]],TableWRTEMaster[VORP])+COUNTIF($BJ$2:BJ61,BJ61)-1</f>
        <v>76</v>
      </c>
      <c r="BF61" s="263" t="str">
        <f>IFERROR(INDEX(TableWRVORP[WIDE RECEIVER],MATCH(TableWRTEMaster[[#This Row],[RK]],TableWRVORP[RK],0)),"")</f>
        <v>Jahan Dotson</v>
      </c>
      <c r="BG61" s="263" t="str">
        <f>_xlfn.CONCAT(TableWRTEMaster[[#This Row],[POS]],TableWRTEMaster[[#This Row],[RK]])</f>
        <v>WR60</v>
      </c>
      <c r="BH61" s="263">
        <f>IFERROR(INDEX(TableWRVORP[BYE],MATCH(TableWRTEMaster[[#This Row],[RK]],TableWRVORP[RK],0)),"")</f>
        <v>14</v>
      </c>
      <c r="BI61" s="264">
        <f>IFERROR(INDEX(TableWRVORP[FPS],MATCH(TableWRTEMaster[[#This Row],[RK]],TableWRVORP[RK],0)),"")</f>
        <v>97.971643167931461</v>
      </c>
      <c r="BJ61" s="254">
        <f>IFERROR(INDEX(TableWRVORP[VORP],MATCH(TableWRTEMaster[[#This Row],[RK]],TableWRVORP[RK],0)),"")</f>
        <v>-0.10095070129076755</v>
      </c>
    </row>
    <row r="62" spans="1:62" x14ac:dyDescent="0.3">
      <c r="A62" s="246">
        <v>61</v>
      </c>
      <c r="B62" s="247" t="str">
        <f>IFERROR(INDEX(TableQBCalcPts[PLAYER],MATCH(TableQBVORP[[#This Row],[RK]],TableQBCalcPts[RK],0)),"")</f>
        <v>Kyle Trask</v>
      </c>
      <c r="C62" s="247" t="str">
        <f>IFERROR(INDEX(TableQBCalcPts[TM],MATCH(TableQBVORP[[#This Row],[RK]],TableQBCalcPts[RK],0)),"")</f>
        <v>TB</v>
      </c>
      <c r="D62" s="247">
        <f>IFERROR(INDEX(TableQBCalcPts[BYE],MATCH(TableQBVORP[[#This Row],[RK]],TableQBCalcPts[RK],0)),"")</f>
        <v>11</v>
      </c>
      <c r="E62" s="248">
        <f>IFERROR(INDEX(TableQBCalcPts[Custom],MATCH(TableQBVORP[[#This Row],[RK]],TableQBCalcPts[RK],0)),"")</f>
        <v>2.9468850686177452</v>
      </c>
      <c r="F62" s="249">
        <f>(IFERROR((TableQBVORP[[#This Row],[FPS]]-INDEX(TableQBVORP[FPS],MATCH(QBVORPCalc,TableQBVORP[RK],0)))/INDEX(TableQBVORP[FPS],MATCH(QBVORPCalc,TableQBVORP[RK],0)),""))+(TableRBVORP[[#This Row],[VORP]]*0.45)</f>
        <v>-1.1617961266727408</v>
      </c>
      <c r="G62" s="246"/>
      <c r="H62" s="246">
        <v>61</v>
      </c>
      <c r="I62" s="247" t="str">
        <f>IFERROR(INDEX(TableRBCalcPts[PLAYER],MATCH(TableRBVORP[[#This Row],[RK]],TableRBCalcPts[RK],0)),"")</f>
        <v>Chris Evans</v>
      </c>
      <c r="J62" s="247" t="str">
        <f>IFERROR(INDEX(TableRBCalcPts[TM],MATCH(TableRBVORP[[#This Row],[RK]],TableRBCalcPts[RK],0)),"")</f>
        <v>CIN</v>
      </c>
      <c r="K62" s="247">
        <f>IFERROR(INDEX(TableRBCalcPts[BYE],MATCH(TableRBVORP[[#This Row],[RK]],TableRBCalcPts[RK],0)),"")</f>
        <v>10</v>
      </c>
      <c r="L62" s="248">
        <f>IFERROR(INDEX(TableRBCalcPts[Custom],MATCH(TableRBVORP[[#This Row],[RK]],TableRBCalcPts[RK],0)),"")</f>
        <v>63.165804634779782</v>
      </c>
      <c r="M62" s="249">
        <f>IFERROR((TableRBVORP[[#This Row],[FPS]]-INDEX(TableRBVORP[FPS],MATCH(RBVORPCalc,TableRBVORP[RK],0)))/INDEX(TableRBVORP[FPS],MATCH(RBVORPCalc,TableRBVORP[RK],0)),"")</f>
        <v>-0.37656610765366572</v>
      </c>
      <c r="N62" s="246"/>
      <c r="O62" s="246">
        <v>61</v>
      </c>
      <c r="P62" s="247" t="str">
        <f>IFERROR(INDEX(TableWRCalcPts[PLAYER],MATCH(TableWRVORP[[#This Row],[RK]],TableWRCalcPts[RK],0)),"")</f>
        <v>Kadarius Toney</v>
      </c>
      <c r="Q62" s="247" t="str">
        <f>IFERROR(INDEX(TableWRCalcPts[TM],MATCH(TableWRVORP[[#This Row],[RK]],TableWRCalcPts[RK],0)),"")</f>
        <v>NYG</v>
      </c>
      <c r="R62" s="247">
        <f>IFERROR(INDEX(TableWRCalcPts[BYE],MATCH(TableWRVORP[[#This Row],[RK]],TableWRCalcPts[RK],0)),"")</f>
        <v>9</v>
      </c>
      <c r="S62" s="248">
        <f>IFERROR(INDEX(TableWRCalcPts[Custom],MATCH(TableWRVORP[[#This Row],[RK]],TableWRCalcPts[RK],0)),"")</f>
        <v>97.721870227738862</v>
      </c>
      <c r="T62" s="249">
        <f>IFERROR((TableWRVORP[[#This Row],[FPS]]-INDEX(TableWRVORP[FPS],MATCH(WRVORPCalc,TableWRVORP[RK],0)))/INDEX(TableWRVORP[FPS],MATCH(WRVORPCalc,TableWRVORP[RK],0)),"")</f>
        <v>-0.10324277458315674</v>
      </c>
      <c r="U62" s="246"/>
      <c r="V62" s="246">
        <v>61</v>
      </c>
      <c r="W62" s="247" t="str">
        <f>IFERROR(INDEX(TableTECalcPts[PLAYER],MATCH(TableTEVORP[[#This Row],[RK]],TableTECalcPts[RK],0)),"")</f>
        <v>Marcedes Lewis</v>
      </c>
      <c r="X62" s="247" t="str">
        <f>IFERROR(INDEX(TableTECalcPts[TM],MATCH(TableTEVORP[[#This Row],[RK]],TableTECalcPts[RK],0)),"")</f>
        <v>GB</v>
      </c>
      <c r="Y62" s="247">
        <f>IFERROR(INDEX(TableTECalcPts[BYE],MATCH(TableTEVORP[[#This Row],[RK]],TableTECalcPts[RK],0)),"")</f>
        <v>14</v>
      </c>
      <c r="Z62" s="248">
        <f>IFERROR(INDEX(TableTECalcPts[Custom],MATCH(TableTEVORP[[#This Row],[RK]],TableTECalcPts[RK],0)),"")</f>
        <v>16.650207266330391</v>
      </c>
      <c r="AA62" s="249">
        <f>IFERROR((TableTEVORP[[#This Row],[FPS]]-INDEX(TableTEVORP[FPS],MATCH(TEVORPCalc,TableTEVORP[RK],0)))/INDEX(TableTEVORP[FPS],MATCH(TEVORPCalc,TableTEVORP[RK],0)),"")</f>
        <v>-0.83748347146664914</v>
      </c>
      <c r="AB62" s="246"/>
      <c r="AC62" s="250"/>
      <c r="AD62" s="250"/>
      <c r="AE62" s="250"/>
      <c r="AF62" s="250" t="s">
        <v>357</v>
      </c>
      <c r="AG62" s="250">
        <v>21</v>
      </c>
      <c r="AH62" s="251">
        <f>RANK(TableOverallMaster[[#This Row],[VORP]],TableOverallMaster[VORP])+COUNTIF($AM$2:AM62,AM62)-1</f>
        <v>30</v>
      </c>
      <c r="AI62" s="252" t="str">
        <f>IFERROR(INDEX(TableRBVORP[RUNNING BACK],MATCH(TableOverallMaster[[#This Row],[RK]],TableRBVORP[RK],0)),"")</f>
        <v>Damien Harris</v>
      </c>
      <c r="AJ62" s="252" t="str">
        <f t="shared" si="0"/>
        <v>RB21</v>
      </c>
      <c r="AK62" s="252">
        <f>IFERROR(INDEX(TableRBVORP[BYE],MATCH(TableOverallMaster[[#This Row],[RK]],TableRBVORP[RK],0)),"")</f>
        <v>10</v>
      </c>
      <c r="AL62" s="253">
        <f>IFERROR(INDEX(TableRBVORP[FPS],MATCH(TableOverallMaster[[#This Row],[RK]],TableRBVORP[RK],0)),"")</f>
        <v>172.68702648572901</v>
      </c>
      <c r="AM62" s="254">
        <f>IFERROR(INDEX(TableRBVORP[VORP],MATCH(TableOverallMaster[[#This Row],[RK]],TableRBVORP[RK],0)),"")</f>
        <v>0.70438650630968713</v>
      </c>
      <c r="AN62" s="250"/>
      <c r="AO62" s="250">
        <v>61</v>
      </c>
      <c r="AP62" s="255" t="str">
        <f>IFERROR(INDEX(TableOverallMaster[OVERALL PLAYER],MATCH(TableOverallRank[[#This Row],[RK]],TableOverallMaster[OVR RK],0)),"")</f>
        <v>Tony Pollard</v>
      </c>
      <c r="AQ62" s="256" t="str">
        <f>IFERROR(INDEX(TableOverallMaster[POS RK],MATCH(TableOverallRank[[#This Row],[OVERALL PLAYER]],TableOverallMaster[OVERALL PLAYER],0)),"")</f>
        <v>RB29</v>
      </c>
      <c r="AR62" s="257">
        <f>IFERROR(INDEX(TableOverallMaster[BYE],MATCH(TableOverallRank[[#This Row],[OVERALL PLAYER]],TableOverallMaster[OVERALL PLAYER],0)),"")</f>
        <v>9</v>
      </c>
      <c r="AS62" s="258">
        <f>IFERROR(INDEX(TableOverallMaster[Custom],MATCH(TableOverallRank[[#This Row],[OVERALL PLAYER]],TableOverallMaster[OVERALL PLAYER],0)),"")</f>
        <v>137.65492223051754</v>
      </c>
      <c r="AT62" s="259">
        <f>IFERROR(INDEX(TableOverallMaster[VORP],MATCH(TableOverallRank[[#This Row],[OVERALL PLAYER]],TableOverallMaster[OVERALL PLAYER],0)),"")</f>
        <v>0.3586266250070177</v>
      </c>
      <c r="AU62" s="250"/>
      <c r="AV62" s="246">
        <v>61</v>
      </c>
      <c r="AW62" s="260" t="str">
        <f>IFERROR(INDEX(TableWRTECalcPts[PLAYER],MATCH(TableWRTERank[[#This Row],[RK]],TableWRTECalcPts[RK],0)),"")</f>
        <v>Marvin Jones</v>
      </c>
      <c r="AX62" s="260" t="str">
        <f>IFERROR(INDEX(TableWRTECalcPts[POS RK],MATCH(TableWRTERank[[#This Row],[WR and TE COMBINED]],TableWRTECalcPts[PLAYER],0)),"")</f>
        <v>WR54</v>
      </c>
      <c r="AY62" s="260">
        <f>IFERROR(INDEX(TableWRTECalcPts[BYE],MATCH(TableWRTERank[[#This Row],[RK]],TableWRTECalcPts[RK],0)),"")</f>
        <v>11</v>
      </c>
      <c r="AZ62" s="261">
        <f>IFERROR(INDEX(TableWRTECalcPts[Custom],MATCH(TableWRTERank[[#This Row],[RK]],TableWRTECalcPts[RK],0)),"")</f>
        <v>105.82007116870886</v>
      </c>
      <c r="BA62" s="249">
        <f>IFERROR((TableWRTERank[[#This Row],[FPS]]-INDEX(TableWRTERank[FPS],MATCH(WRTEVORPCalc,TableWRTERank[RK],0)))/INDEX(TableWRTERank[FPS],MATCH(WRTEVORPCalc,TableWRTERank[RK],0)),"")</f>
        <v>-0.10888478335074796</v>
      </c>
      <c r="BC62" s="124" t="s">
        <v>358</v>
      </c>
      <c r="BD62" s="124">
        <v>61</v>
      </c>
      <c r="BE62" s="262">
        <f>RANK(TableWRTEMaster[[#This Row],[VORP]],TableWRTEMaster[VORP])+COUNTIF($BJ$2:BJ62,BJ62)-1</f>
        <v>77</v>
      </c>
      <c r="BF62" s="263" t="str">
        <f>IFERROR(INDEX(TableWRVORP[WIDE RECEIVER],MATCH(TableWRTEMaster[[#This Row],[RK]],TableWRVORP[RK],0)),"")</f>
        <v>Kadarius Toney</v>
      </c>
      <c r="BG62" s="263" t="str">
        <f>_xlfn.CONCAT(TableWRTEMaster[[#This Row],[POS]],TableWRTEMaster[[#This Row],[RK]])</f>
        <v>WR61</v>
      </c>
      <c r="BH62" s="263">
        <f>IFERROR(INDEX(TableWRVORP[BYE],MATCH(TableWRTEMaster[[#This Row],[RK]],TableWRVORP[RK],0)),"")</f>
        <v>9</v>
      </c>
      <c r="BI62" s="264">
        <f>IFERROR(INDEX(TableWRVORP[FPS],MATCH(TableWRTEMaster[[#This Row],[RK]],TableWRVORP[RK],0)),"")</f>
        <v>97.721870227738862</v>
      </c>
      <c r="BJ62" s="254">
        <f>IFERROR(INDEX(TableWRVORP[VORP],MATCH(TableWRTEMaster[[#This Row],[RK]],TableWRVORP[RK],0)),"")</f>
        <v>-0.10324277458315674</v>
      </c>
    </row>
    <row r="63" spans="1:62" x14ac:dyDescent="0.3">
      <c r="A63" s="246">
        <v>62</v>
      </c>
      <c r="B63" s="247" t="str">
        <f>IFERROR(INDEX(TableQBCalcPts[PLAYER],MATCH(TableQBVORP[[#This Row],[RK]],TableQBCalcPts[RK],0)),"")</f>
        <v>Chase Daniel</v>
      </c>
      <c r="C63" s="247" t="str">
        <f>IFERROR(INDEX(TableQBCalcPts[TM],MATCH(TableQBVORP[[#This Row],[RK]],TableQBCalcPts[RK],0)),"")</f>
        <v>LAC</v>
      </c>
      <c r="D63" s="247">
        <f>IFERROR(INDEX(TableQBCalcPts[BYE],MATCH(TableQBVORP[[#This Row],[RK]],TableQBCalcPts[RK],0)),"")</f>
        <v>8</v>
      </c>
      <c r="E63" s="248">
        <f>IFERROR(INDEX(TableQBCalcPts[Custom],MATCH(TableQBVORP[[#This Row],[RK]],TableQBCalcPts[RK],0)),"")</f>
        <v>2.9261791987692596</v>
      </c>
      <c r="F63" s="249">
        <f>(IFERROR((TableQBVORP[[#This Row],[FPS]]-INDEX(TableQBVORP[FPS],MATCH(QBVORPCalc,TableQBVORP[RK],0)))/INDEX(TableQBVORP[FPS],MATCH(QBVORPCalc,TableQBVORP[RK],0)),""))+(TableRBVORP[[#This Row],[VORP]]*0.45)</f>
        <v>-1.1752260686343006</v>
      </c>
      <c r="G63" s="246"/>
      <c r="H63" s="246">
        <v>62</v>
      </c>
      <c r="I63" s="247" t="str">
        <f>IFERROR(INDEX(TableRBCalcPts[PLAYER],MATCH(TableRBVORP[[#This Row],[RK]],TableRBCalcPts[RK],0)),"")</f>
        <v>Kenyan Drake</v>
      </c>
      <c r="J63" s="247" t="str">
        <f>IFERROR(INDEX(TableRBCalcPts[TM],MATCH(TableRBVORP[[#This Row],[RK]],TableRBCalcPts[RK],0)),"")</f>
        <v>LV</v>
      </c>
      <c r="K63" s="247">
        <f>IFERROR(INDEX(TableRBCalcPts[BYE],MATCH(TableRBVORP[[#This Row],[RK]],TableRBCalcPts[RK],0)),"")</f>
        <v>6</v>
      </c>
      <c r="L63" s="248">
        <f>IFERROR(INDEX(TableRBCalcPts[Custom],MATCH(TableRBVORP[[#This Row],[RK]],TableRBCalcPts[RK],0)),"")</f>
        <v>60.154119377652194</v>
      </c>
      <c r="M63" s="249">
        <f>IFERROR((TableRBVORP[[#This Row],[FPS]]-INDEX(TableRBVORP[FPS],MATCH(RBVORPCalc,TableRBVORP[RK],0)))/INDEX(TableRBVORP[FPS],MATCH(RBVORPCalc,TableRBVORP[RK],0)),"")</f>
        <v>-0.40629084041420277</v>
      </c>
      <c r="N63" s="246"/>
      <c r="O63" s="246">
        <v>62</v>
      </c>
      <c r="P63" s="247" t="str">
        <f>IFERROR(INDEX(TableWRCalcPts[PLAYER],MATCH(TableWRVORP[[#This Row],[RK]],TableWRCalcPts[RK],0)),"")</f>
        <v>George Pickens</v>
      </c>
      <c r="Q63" s="247" t="str">
        <f>IFERROR(INDEX(TableWRCalcPts[TM],MATCH(TableWRVORP[[#This Row],[RK]],TableWRCalcPts[RK],0)),"")</f>
        <v>PIT</v>
      </c>
      <c r="R63" s="247">
        <f>IFERROR(INDEX(TableWRCalcPts[BYE],MATCH(TableWRVORP[[#This Row],[RK]],TableWRCalcPts[RK],0)),"")</f>
        <v>9</v>
      </c>
      <c r="S63" s="248">
        <f>IFERROR(INDEX(TableWRCalcPts[Custom],MATCH(TableWRVORP[[#This Row],[RK]],TableWRCalcPts[RK],0)),"")</f>
        <v>96.635223734682157</v>
      </c>
      <c r="T63" s="249">
        <f>IFERROR((TableWRVORP[[#This Row],[FPS]]-INDEX(TableWRVORP[FPS],MATCH(WRVORPCalc,TableWRVORP[RK],0)))/INDEX(TableWRVORP[FPS],MATCH(WRVORPCalc,TableWRVORP[RK],0)),"")</f>
        <v>-0.11321452493803143</v>
      </c>
      <c r="U63" s="246"/>
      <c r="V63" s="246">
        <v>62</v>
      </c>
      <c r="W63" s="247" t="str">
        <f>IFERROR(INDEX(TableTECalcPts[PLAYER],MATCH(TableTEVORP[[#This Row],[RK]],TableTECalcPts[RK],0)),"")</f>
        <v>Brycen Hopkins</v>
      </c>
      <c r="X63" s="247" t="str">
        <f>IFERROR(INDEX(TableTECalcPts[TM],MATCH(TableTEVORP[[#This Row],[RK]],TableTECalcPts[RK],0)),"")</f>
        <v>LAR</v>
      </c>
      <c r="Y63" s="247">
        <f>IFERROR(INDEX(TableTECalcPts[BYE],MATCH(TableTEVORP[[#This Row],[RK]],TableTECalcPts[RK],0)),"")</f>
        <v>7</v>
      </c>
      <c r="Z63" s="248">
        <f>IFERROR(INDEX(TableTECalcPts[Custom],MATCH(TableTEVORP[[#This Row],[RK]],TableTECalcPts[RK],0)),"")</f>
        <v>15.042983008922885</v>
      </c>
      <c r="AA63" s="249">
        <f>IFERROR((TableTEVORP[[#This Row],[FPS]]-INDEX(TableTEVORP[FPS],MATCH(TEVORPCalc,TableTEVORP[RK],0)))/INDEX(TableTEVORP[FPS],MATCH(TEVORPCalc,TableTEVORP[RK],0)),"")</f>
        <v>-0.85317099431308563</v>
      </c>
      <c r="AB63" s="246"/>
      <c r="AC63" s="250"/>
      <c r="AD63" s="250"/>
      <c r="AE63" s="250"/>
      <c r="AF63" s="250" t="s">
        <v>357</v>
      </c>
      <c r="AG63" s="250">
        <v>22</v>
      </c>
      <c r="AH63" s="251">
        <f>RANK(TableOverallMaster[[#This Row],[VORP]],TableOverallMaster[VORP])+COUNTIF($AM$2:AM63,AM63)-1</f>
        <v>34</v>
      </c>
      <c r="AI63" s="252" t="str">
        <f>IFERROR(INDEX(TableRBVORP[RUNNING BACK],MATCH(TableOverallMaster[[#This Row],[RK]],TableRBVORP[RK],0)),"")</f>
        <v>Elijah Mitchell</v>
      </c>
      <c r="AJ63" s="252" t="str">
        <f t="shared" si="0"/>
        <v>RB22</v>
      </c>
      <c r="AK63" s="252">
        <f>IFERROR(INDEX(TableRBVORP[BYE],MATCH(TableOverallMaster[[#This Row],[RK]],TableRBVORP[RK],0)),"")</f>
        <v>9</v>
      </c>
      <c r="AL63" s="253">
        <f>IFERROR(INDEX(TableRBVORP[FPS],MATCH(TableOverallMaster[[#This Row],[RK]],TableRBVORP[RK],0)),"")</f>
        <v>165.25365451656748</v>
      </c>
      <c r="AM63" s="254">
        <f>IFERROR(INDEX(TableRBVORP[VORP],MATCH(TableOverallMaster[[#This Row],[RK]],TableRBVORP[RK],0)),"")</f>
        <v>0.63102060767533552</v>
      </c>
      <c r="AN63" s="250"/>
      <c r="AO63" s="250">
        <v>62</v>
      </c>
      <c r="AP63" s="255" t="str">
        <f>IFERROR(INDEX(TableOverallMaster[OVERALL PLAYER],MATCH(TableOverallRank[[#This Row],[RK]],TableOverallMaster[OVR RK],0)),"")</f>
        <v>Jaylen Waddle</v>
      </c>
      <c r="AQ63" s="256" t="str">
        <f>IFERROR(INDEX(TableOverallMaster[POS RK],MATCH(TableOverallRank[[#This Row],[OVERALL PLAYER]],TableOverallMaster[OVERALL PLAYER],0)),"")</f>
        <v>WR21</v>
      </c>
      <c r="AR63" s="257">
        <f>IFERROR(INDEX(TableOverallMaster[BYE],MATCH(TableOverallRank[[#This Row],[OVERALL PLAYER]],TableOverallMaster[OVERALL PLAYER],0)),"")</f>
        <v>11</v>
      </c>
      <c r="AS63" s="258">
        <f>IFERROR(INDEX(TableOverallMaster[Custom],MATCH(TableOverallRank[[#This Row],[OVERALL PLAYER]],TableOverallMaster[OVERALL PLAYER],0)),"")</f>
        <v>147.75272085722844</v>
      </c>
      <c r="AT63" s="259">
        <f>IFERROR(INDEX(TableOverallMaster[VORP],MATCH(TableOverallRank[[#This Row],[OVERALL PLAYER]],TableOverallMaster[OVERALL PLAYER],0)),"")</f>
        <v>0.35587171730271677</v>
      </c>
      <c r="AU63" s="250"/>
      <c r="AV63" s="246">
        <v>62</v>
      </c>
      <c r="AW63" s="260" t="str">
        <f>IFERROR(INDEX(TableWRTECalcPts[PLAYER],MATCH(TableWRTERank[[#This Row],[RK]],TableWRTECalcPts[RK],0)),"")</f>
        <v>Irv Smith</v>
      </c>
      <c r="AX63" s="260" t="str">
        <f>IFERROR(INDEX(TableWRTECalcPts[POS RK],MATCH(TableWRTERank[[#This Row],[WR and TE COMBINED]],TableWRTECalcPts[PLAYER],0)),"")</f>
        <v>TE8</v>
      </c>
      <c r="AY63" s="260">
        <f>IFERROR(INDEX(TableWRTECalcPts[BYE],MATCH(TableWRTERank[[#This Row],[RK]],TableWRTECalcPts[RK],0)),"")</f>
        <v>7</v>
      </c>
      <c r="AZ63" s="261">
        <f>IFERROR(INDEX(TableWRTECalcPts[Custom],MATCH(TableWRTERank[[#This Row],[RK]],TableWRTECalcPts[RK],0)),"")</f>
        <v>104.82297141661108</v>
      </c>
      <c r="BA63" s="249">
        <f>IFERROR((TableWRTERank[[#This Row],[FPS]]-INDEX(TableWRTERank[FPS],MATCH(WRTEVORPCalc,TableWRTERank[RK],0)))/INDEX(TableWRTERank[FPS],MATCH(WRTEVORPCalc,TableWRTERank[RK],0)),"")</f>
        <v>-0.11728140179749749</v>
      </c>
      <c r="BC63" s="124" t="s">
        <v>358</v>
      </c>
      <c r="BD63" s="124">
        <v>62</v>
      </c>
      <c r="BE63" s="262">
        <f>RANK(TableWRTEMaster[[#This Row],[VORP]],TableWRTEMaster[VORP])+COUNTIF($BJ$2:BJ63,BJ63)-1</f>
        <v>78</v>
      </c>
      <c r="BF63" s="263" t="str">
        <f>IFERROR(INDEX(TableWRVORP[WIDE RECEIVER],MATCH(TableWRTEMaster[[#This Row],[RK]],TableWRVORP[RK],0)),"")</f>
        <v>George Pickens</v>
      </c>
      <c r="BG63" s="263" t="str">
        <f>_xlfn.CONCAT(TableWRTEMaster[[#This Row],[POS]],TableWRTEMaster[[#This Row],[RK]])</f>
        <v>WR62</v>
      </c>
      <c r="BH63" s="263">
        <f>IFERROR(INDEX(TableWRVORP[BYE],MATCH(TableWRTEMaster[[#This Row],[RK]],TableWRVORP[RK],0)),"")</f>
        <v>9</v>
      </c>
      <c r="BI63" s="264">
        <f>IFERROR(INDEX(TableWRVORP[FPS],MATCH(TableWRTEMaster[[#This Row],[RK]],TableWRVORP[RK],0)),"")</f>
        <v>96.635223734682157</v>
      </c>
      <c r="BJ63" s="254">
        <f>IFERROR(INDEX(TableWRVORP[VORP],MATCH(TableWRTEMaster[[#This Row],[RK]],TableWRVORP[RK],0)),"")</f>
        <v>-0.11321452493803143</v>
      </c>
    </row>
    <row r="64" spans="1:62" x14ac:dyDescent="0.3">
      <c r="A64" s="246">
        <v>63</v>
      </c>
      <c r="B64" s="247" t="str">
        <f>IFERROR(INDEX(TableQBCalcPts[PLAYER],MATCH(TableQBVORP[[#This Row],[RK]],TableQBCalcPts[RK],0)),"")</f>
        <v>Brandon Allen</v>
      </c>
      <c r="C64" s="247" t="str">
        <f>IFERROR(INDEX(TableQBCalcPts[TM],MATCH(TableQBVORP[[#This Row],[RK]],TableQBCalcPts[RK],0)),"")</f>
        <v>CIN</v>
      </c>
      <c r="D64" s="247">
        <f>IFERROR(INDEX(TableQBCalcPts[BYE],MATCH(TableQBVORP[[#This Row],[RK]],TableQBCalcPts[RK],0)),"")</f>
        <v>10</v>
      </c>
      <c r="E64" s="248">
        <f>IFERROR(INDEX(TableQBCalcPts[Custom],MATCH(TableQBVORP[[#This Row],[RK]],TableQBCalcPts[RK],0)),"")</f>
        <v>2.8531185766886535</v>
      </c>
      <c r="F64" s="249">
        <f>(IFERROR((TableQBVORP[[#This Row],[FPS]]-INDEX(TableQBVORP[FPS],MATCH(QBVORPCalc,TableQBVORP[RK],0)))/INDEX(TableQBVORP[FPS],MATCH(QBVORPCalc,TableQBVORP[RK],0)),""))+(TableRBVORP[[#This Row],[VORP]]*0.45)</f>
        <v>-1.1792852945390124</v>
      </c>
      <c r="G64" s="246"/>
      <c r="H64" s="246">
        <v>63</v>
      </c>
      <c r="I64" s="247" t="str">
        <f>IFERROR(INDEX(TableRBCalcPts[PLAYER],MATCH(TableRBVORP[[#This Row],[RK]],TableRBCalcPts[RK],0)),"")</f>
        <v>Boston Scott</v>
      </c>
      <c r="J64" s="247" t="str">
        <f>IFERROR(INDEX(TableRBCalcPts[TM],MATCH(TableRBVORP[[#This Row],[RK]],TableRBCalcPts[RK],0)),"")</f>
        <v>PHI</v>
      </c>
      <c r="K64" s="247">
        <f>IFERROR(INDEX(TableRBCalcPts[BYE],MATCH(TableRBVORP[[#This Row],[RK]],TableRBCalcPts[RK],0)),"")</f>
        <v>7</v>
      </c>
      <c r="L64" s="248">
        <f>IFERROR(INDEX(TableRBCalcPts[Custom],MATCH(TableRBVORP[[#This Row],[RK]],TableRBCalcPts[RK],0)),"")</f>
        <v>59.282920955883633</v>
      </c>
      <c r="M64" s="249">
        <f>IFERROR((TableRBVORP[[#This Row],[FPS]]-INDEX(TableRBVORP[FPS],MATCH(RBVORPCalc,TableRBVORP[RK],0)))/INDEX(TableRBVORP[FPS],MATCH(RBVORPCalc,TableRBVORP[RK],0)),"")</f>
        <v>-0.4148893950630278</v>
      </c>
      <c r="N64" s="246"/>
      <c r="O64" s="246">
        <v>63</v>
      </c>
      <c r="P64" s="247" t="str">
        <f>IFERROR(INDEX(TableWRCalcPts[PLAYER],MATCH(TableWRVORP[[#This Row],[RK]],TableWRCalcPts[RK],0)),"")</f>
        <v>Christian Watson</v>
      </c>
      <c r="Q64" s="247" t="str">
        <f>IFERROR(INDEX(TableWRCalcPts[TM],MATCH(TableWRVORP[[#This Row],[RK]],TableWRCalcPts[RK],0)),"")</f>
        <v>GB</v>
      </c>
      <c r="R64" s="247">
        <f>IFERROR(INDEX(TableWRCalcPts[BYE],MATCH(TableWRVORP[[#This Row],[RK]],TableWRCalcPts[RK],0)),"")</f>
        <v>14</v>
      </c>
      <c r="S64" s="248">
        <f>IFERROR(INDEX(TableWRCalcPts[Custom],MATCH(TableWRVORP[[#This Row],[RK]],TableWRCalcPts[RK],0)),"")</f>
        <v>96.138985959044319</v>
      </c>
      <c r="T64" s="249">
        <f>IFERROR((TableWRVORP[[#This Row],[FPS]]-INDEX(TableWRVORP[FPS],MATCH(WRVORPCalc,TableWRVORP[RK],0)))/INDEX(TableWRVORP[FPS],MATCH(WRVORPCalc,TableWRVORP[RK],0)),"")</f>
        <v>-0.11776831427700886</v>
      </c>
      <c r="U64" s="246"/>
      <c r="V64" s="246">
        <v>63</v>
      </c>
      <c r="W64" s="247" t="str">
        <f>IFERROR(INDEX(TableTECalcPts[PLAYER],MATCH(TableTEVORP[[#This Row],[RK]],TableTECalcPts[RK],0)),"")</f>
        <v>Nick Vannett</v>
      </c>
      <c r="X64" s="247" t="str">
        <f>IFERROR(INDEX(TableTECalcPts[TM],MATCH(TableTEVORP[[#This Row],[RK]],TableTECalcPts[RK],0)),"")</f>
        <v>NO</v>
      </c>
      <c r="Y64" s="247">
        <f>IFERROR(INDEX(TableTECalcPts[BYE],MATCH(TableTEVORP[[#This Row],[RK]],TableTECalcPts[RK],0)),"")</f>
        <v>14</v>
      </c>
      <c r="Z64" s="248">
        <f>IFERROR(INDEX(TableTECalcPts[Custom],MATCH(TableTEVORP[[#This Row],[RK]],TableTECalcPts[RK],0)),"")</f>
        <v>14.882710410612825</v>
      </c>
      <c r="AA64" s="249">
        <f>IFERROR((TableTEVORP[[#This Row],[FPS]]-INDEX(TableTEVORP[FPS],MATCH(TEVORPCalc,TableTEVORP[RK],0)))/INDEX(TableTEVORP[FPS],MATCH(TEVORPCalc,TableTEVORP[RK],0)),"")</f>
        <v>-0.85473535599818262</v>
      </c>
      <c r="AB64" s="246"/>
      <c r="AC64" s="250"/>
      <c r="AD64" s="250"/>
      <c r="AE64" s="250"/>
      <c r="AF64" s="250" t="s">
        <v>357</v>
      </c>
      <c r="AG64" s="250">
        <v>23</v>
      </c>
      <c r="AH64" s="251">
        <f>RANK(TableOverallMaster[[#This Row],[VORP]],TableOverallMaster[VORP])+COUNTIF($AM$2:AM64,AM64)-1</f>
        <v>36</v>
      </c>
      <c r="AI64" s="252" t="str">
        <f>IFERROR(INDEX(TableRBVORP[RUNNING BACK],MATCH(TableOverallMaster[[#This Row],[RK]],TableRBVORP[RK],0)),"")</f>
        <v>David Montgomery</v>
      </c>
      <c r="AJ64" s="252" t="str">
        <f t="shared" si="0"/>
        <v>RB23</v>
      </c>
      <c r="AK64" s="252">
        <f>IFERROR(INDEX(TableRBVORP[BYE],MATCH(TableOverallMaster[[#This Row],[RK]],TableRBVORP[RK],0)),"")</f>
        <v>14</v>
      </c>
      <c r="AL64" s="253">
        <f>IFERROR(INDEX(TableRBVORP[FPS],MATCH(TableOverallMaster[[#This Row],[RK]],TableRBVORP[RK],0)),"")</f>
        <v>161.24434243597648</v>
      </c>
      <c r="AM64" s="254">
        <f>IFERROR(INDEX(TableRBVORP[VORP],MATCH(TableOverallMaster[[#This Row],[RK]],TableRBVORP[RK],0)),"")</f>
        <v>0.59144949715934991</v>
      </c>
      <c r="AN64" s="250"/>
      <c r="AO64" s="250">
        <v>63</v>
      </c>
      <c r="AP64" s="255" t="str">
        <f>IFERROR(INDEX(TableOverallMaster[OVERALL PLAYER],MATCH(TableOverallRank[[#This Row],[RK]],TableOverallMaster[OVR RK],0)),"")</f>
        <v>Matthew Stafford</v>
      </c>
      <c r="AQ64" s="256" t="str">
        <f>IFERROR(INDEX(TableOverallMaster[POS RK],MATCH(TableOverallRank[[#This Row],[OVERALL PLAYER]],TableOverallMaster[OVERALL PLAYER],0)),"")</f>
        <v>QB10</v>
      </c>
      <c r="AR64" s="257">
        <f>IFERROR(INDEX(TableOverallMaster[BYE],MATCH(TableOverallRank[[#This Row],[OVERALL PLAYER]],TableOverallMaster[OVERALL PLAYER],0)),"")</f>
        <v>7</v>
      </c>
      <c r="AS64" s="258">
        <f>IFERROR(INDEX(TableOverallMaster[Custom],MATCH(TableOverallRank[[#This Row],[OVERALL PLAYER]],TableOverallMaster[OVERALL PLAYER],0)),"")</f>
        <v>334.82539842089091</v>
      </c>
      <c r="AT64" s="259">
        <f>IFERROR(INDEX(TableOverallMaster[VORP],MATCH(TableOverallRank[[#This Row],[OVERALL PLAYER]],TableOverallMaster[OVERALL PLAYER],0)),"")</f>
        <v>0.3547682680854064</v>
      </c>
      <c r="AU64" s="250"/>
      <c r="AV64" s="246">
        <v>63</v>
      </c>
      <c r="AW64" s="260" t="str">
        <f>IFERROR(INDEX(TableWRTECalcPts[PLAYER],MATCH(TableWRTERank[[#This Row],[RK]],TableWRTECalcPts[RK],0)),"")</f>
        <v>Kenny Golladay</v>
      </c>
      <c r="AX64" s="260" t="str">
        <f>IFERROR(INDEX(TableWRTECalcPts[POS RK],MATCH(TableWRTERank[[#This Row],[WR and TE COMBINED]],TableWRTECalcPts[PLAYER],0)),"")</f>
        <v>WR55</v>
      </c>
      <c r="AY64" s="260">
        <f>IFERROR(INDEX(TableWRTECalcPts[BYE],MATCH(TableWRTERank[[#This Row],[RK]],TableWRTECalcPts[RK],0)),"")</f>
        <v>9</v>
      </c>
      <c r="AZ64" s="261">
        <f>IFERROR(INDEX(TableWRTECalcPts[Custom],MATCH(TableWRTERank[[#This Row],[RK]],TableWRTECalcPts[RK],0)),"")</f>
        <v>104.4107223692055</v>
      </c>
      <c r="BA64" s="249">
        <f>IFERROR((TableWRTERank[[#This Row],[FPS]]-INDEX(TableWRTERank[FPS],MATCH(WRTEVORPCalc,TableWRTERank[RK],0)))/INDEX(TableWRTERank[FPS],MATCH(WRTEVORPCalc,TableWRTERank[RK],0)),"")</f>
        <v>-0.12075296815664867</v>
      </c>
      <c r="BC64" s="124" t="s">
        <v>358</v>
      </c>
      <c r="BD64" s="124">
        <v>63</v>
      </c>
      <c r="BE64" s="262">
        <f>RANK(TableWRTEMaster[[#This Row],[VORP]],TableWRTEMaster[VORP])+COUNTIF($BJ$2:BJ64,BJ64)-1</f>
        <v>79</v>
      </c>
      <c r="BF64" s="263" t="str">
        <f>IFERROR(INDEX(TableWRVORP[WIDE RECEIVER],MATCH(TableWRTEMaster[[#This Row],[RK]],TableWRVORP[RK],0)),"")</f>
        <v>Christian Watson</v>
      </c>
      <c r="BG64" s="263" t="str">
        <f>_xlfn.CONCAT(TableWRTEMaster[[#This Row],[POS]],TableWRTEMaster[[#This Row],[RK]])</f>
        <v>WR63</v>
      </c>
      <c r="BH64" s="263">
        <f>IFERROR(INDEX(TableWRVORP[BYE],MATCH(TableWRTEMaster[[#This Row],[RK]],TableWRVORP[RK],0)),"")</f>
        <v>14</v>
      </c>
      <c r="BI64" s="264">
        <f>IFERROR(INDEX(TableWRVORP[FPS],MATCH(TableWRTEMaster[[#This Row],[RK]],TableWRVORP[RK],0)),"")</f>
        <v>96.138985959044319</v>
      </c>
      <c r="BJ64" s="254">
        <f>IFERROR(INDEX(TableWRVORP[VORP],MATCH(TableWRTEMaster[[#This Row],[RK]],TableWRVORP[RK],0)),"")</f>
        <v>-0.11776831427700886</v>
      </c>
    </row>
    <row r="65" spans="1:62" x14ac:dyDescent="0.3">
      <c r="A65" s="246">
        <v>64</v>
      </c>
      <c r="B65" s="247" t="str">
        <f>IFERROR(INDEX(TableQBCalcPts[PLAYER],MATCH(TableQBVORP[[#This Row],[RK]],TableQBCalcPts[RK],0)),"")</f>
        <v>Chad Henne</v>
      </c>
      <c r="C65" s="247" t="str">
        <f>IFERROR(INDEX(TableQBCalcPts[TM],MATCH(TableQBVORP[[#This Row],[RK]],TableQBCalcPts[RK],0)),"")</f>
        <v>KC</v>
      </c>
      <c r="D65" s="247">
        <f>IFERROR(INDEX(TableQBCalcPts[BYE],MATCH(TableQBVORP[[#This Row],[RK]],TableQBCalcPts[RK],0)),"")</f>
        <v>8</v>
      </c>
      <c r="E65" s="248">
        <f>IFERROR(INDEX(TableQBCalcPts[Custom],MATCH(TableQBVORP[[#This Row],[RK]],TableQBCalcPts[RK],0)),"")</f>
        <v>2.8219708856031982</v>
      </c>
      <c r="F65" s="249">
        <f>(IFERROR((TableQBVORP[[#This Row],[FPS]]-INDEX(TableQBVORP[FPS],MATCH(QBVORPCalc,TableQBVORP[RK],0)))/INDEX(TableQBVORP[FPS],MATCH(QBVORPCalc,TableQBVORP[RK],0)),""))+(TableRBVORP[[#This Row],[VORP]]*0.45)</f>
        <v>-1.1915328369019444</v>
      </c>
      <c r="G65" s="246"/>
      <c r="H65" s="246">
        <v>64</v>
      </c>
      <c r="I65" s="247" t="str">
        <f>IFERROR(INDEX(TableRBCalcPts[PLAYER],MATCH(TableRBVORP[[#This Row],[RK]],TableRBCalcPts[RK],0)),"")</f>
        <v>Matt Breida</v>
      </c>
      <c r="J65" s="247" t="str">
        <f>IFERROR(INDEX(TableRBCalcPts[TM],MATCH(TableRBVORP[[#This Row],[RK]],TableRBCalcPts[RK],0)),"")</f>
        <v>NYG</v>
      </c>
      <c r="K65" s="247">
        <f>IFERROR(INDEX(TableRBCalcPts[BYE],MATCH(TableRBVORP[[#This Row],[RK]],TableRBCalcPts[RK],0)),"")</f>
        <v>9</v>
      </c>
      <c r="L65" s="248">
        <f>IFERROR(INDEX(TableRBCalcPts[Custom],MATCH(TableRBVORP[[#This Row],[RK]],TableRBCalcPts[RK],0)),"")</f>
        <v>56.543567379074069</v>
      </c>
      <c r="M65" s="249">
        <f>IFERROR((TableRBVORP[[#This Row],[FPS]]-INDEX(TableRBVORP[FPS],MATCH(RBVORPCalc,TableRBVORP[RK],0)))/INDEX(TableRBVORP[FPS],MATCH(RBVORPCalc,TableRBVORP[RK],0)),"")</f>
        <v>-0.44192626845960131</v>
      </c>
      <c r="N65" s="246"/>
      <c r="O65" s="246">
        <v>64</v>
      </c>
      <c r="P65" s="247" t="str">
        <f>IFERROR(INDEX(TableWRCalcPts[PLAYER],MATCH(TableWRVORP[[#This Row],[RK]],TableWRCalcPts[RK],0)),"")</f>
        <v>Skyy Moore</v>
      </c>
      <c r="Q65" s="247" t="str">
        <f>IFERROR(INDEX(TableWRCalcPts[TM],MATCH(TableWRVORP[[#This Row],[RK]],TableWRCalcPts[RK],0)),"")</f>
        <v>KC</v>
      </c>
      <c r="R65" s="247">
        <f>IFERROR(INDEX(TableWRCalcPts[BYE],MATCH(TableWRVORP[[#This Row],[RK]],TableWRCalcPts[RK],0)),"")</f>
        <v>8</v>
      </c>
      <c r="S65" s="248">
        <f>IFERROR(INDEX(TableWRCalcPts[Custom],MATCH(TableWRVORP[[#This Row],[RK]],TableWRCalcPts[RK],0)),"")</f>
        <v>95.335174796868472</v>
      </c>
      <c r="T65" s="249">
        <f>IFERROR((TableWRVORP[[#This Row],[FPS]]-INDEX(TableWRVORP[FPS],MATCH(WRVORPCalc,TableWRVORP[RK],0)))/INDEX(TableWRVORP[FPS],MATCH(WRVORPCalc,TableWRVORP[RK],0)),"")</f>
        <v>-0.12514459008785894</v>
      </c>
      <c r="U65" s="246"/>
      <c r="V65" s="246">
        <v>64</v>
      </c>
      <c r="W65" s="247" t="str">
        <f>IFERROR(INDEX(TableTECalcPts[PLAYER],MATCH(TableTEVORP[[#This Row],[RK]],TableTECalcPts[RK],0)),"")</f>
        <v>Noah Gray</v>
      </c>
      <c r="X65" s="247" t="str">
        <f>IFERROR(INDEX(TableTECalcPts[TM],MATCH(TableTEVORP[[#This Row],[RK]],TableTECalcPts[RK],0)),"")</f>
        <v>KC</v>
      </c>
      <c r="Y65" s="247">
        <f>IFERROR(INDEX(TableTECalcPts[BYE],MATCH(TableTEVORP[[#This Row],[RK]],TableTECalcPts[RK],0)),"")</f>
        <v>8</v>
      </c>
      <c r="Z65" s="248">
        <f>IFERROR(INDEX(TableTECalcPts[Custom],MATCH(TableTEVORP[[#This Row],[RK]],TableTECalcPts[RK],0)),"")</f>
        <v>13.871069075680589</v>
      </c>
      <c r="AA65" s="249">
        <f>IFERROR((TableTEVORP[[#This Row],[FPS]]-INDEX(TableTEVORP[FPS],MATCH(TEVORPCalc,TableTEVORP[RK],0)))/INDEX(TableTEVORP[FPS],MATCH(TEVORPCalc,TableTEVORP[RK],0)),"")</f>
        <v>-0.86460961373228873</v>
      </c>
      <c r="AB65" s="246"/>
      <c r="AC65" s="250"/>
      <c r="AD65" s="250"/>
      <c r="AE65" s="250"/>
      <c r="AF65" s="250" t="s">
        <v>357</v>
      </c>
      <c r="AG65" s="250">
        <v>24</v>
      </c>
      <c r="AH65" s="251">
        <f>RANK(TableOverallMaster[[#This Row],[VORP]],TableOverallMaster[VORP])+COUNTIF($AM$2:AM65,AM65)-1</f>
        <v>38</v>
      </c>
      <c r="AI65" s="252" t="str">
        <f>IFERROR(INDEX(TableRBVORP[RUNNING BACK],MATCH(TableOverallMaster[[#This Row],[RK]],TableRBVORP[RK],0)),"")</f>
        <v>Breece Hall</v>
      </c>
      <c r="AJ65" s="252" t="str">
        <f t="shared" si="0"/>
        <v>RB24</v>
      </c>
      <c r="AK65" s="252">
        <f>IFERROR(INDEX(TableRBVORP[BYE],MATCH(TableOverallMaster[[#This Row],[RK]],TableRBVORP[RK],0)),"")</f>
        <v>10</v>
      </c>
      <c r="AL65" s="253">
        <f>IFERROR(INDEX(TableRBVORP[FPS],MATCH(TableOverallMaster[[#This Row],[RK]],TableRBVORP[RK],0)),"")</f>
        <v>160.02904924432423</v>
      </c>
      <c r="AM65" s="254">
        <f>IFERROR(INDEX(TableRBVORP[VORP],MATCH(TableOverallMaster[[#This Row],[RK]],TableRBVORP[RK],0)),"")</f>
        <v>0.57945479576680903</v>
      </c>
      <c r="AN65" s="250"/>
      <c r="AO65" s="250">
        <v>64</v>
      </c>
      <c r="AP65" s="255" t="str">
        <f>IFERROR(INDEX(TableOverallMaster[OVERALL PLAYER],MATCH(TableOverallRank[[#This Row],[RK]],TableOverallMaster[OVR RK],0)),"")</f>
        <v>Dak Prescott</v>
      </c>
      <c r="AQ65" s="256" t="str">
        <f>IFERROR(INDEX(TableOverallMaster[POS RK],MATCH(TableOverallRank[[#This Row],[OVERALL PLAYER]],TableOverallMaster[OVERALL PLAYER],0)),"")</f>
        <v>QB11</v>
      </c>
      <c r="AR65" s="257">
        <f>IFERROR(INDEX(TableOverallMaster[BYE],MATCH(TableOverallRank[[#This Row],[OVERALL PLAYER]],TableOverallMaster[OVERALL PLAYER],0)),"")</f>
        <v>9</v>
      </c>
      <c r="AS65" s="258">
        <f>IFERROR(INDEX(TableOverallMaster[Custom],MATCH(TableOverallRank[[#This Row],[OVERALL PLAYER]],TableOverallMaster[OVERALL PLAYER],0)),"")</f>
        <v>334.42955697750307</v>
      </c>
      <c r="AT65" s="259">
        <f>IFERROR(INDEX(TableOverallMaster[VORP],MATCH(TableOverallRank[[#This Row],[OVERALL PLAYER]],TableOverallMaster[OVERALL PLAYER],0)),"")</f>
        <v>0.34665149770062642</v>
      </c>
      <c r="AU65" s="250"/>
      <c r="AV65" s="246">
        <v>64</v>
      </c>
      <c r="AW65" s="260" t="str">
        <f>IFERROR(INDEX(TableWRTECalcPts[PLAYER],MATCH(TableWRTERank[[#This Row],[RK]],TableWRTECalcPts[RK],0)),"")</f>
        <v>Dawson Knox</v>
      </c>
      <c r="AX65" s="260" t="str">
        <f>IFERROR(INDEX(TableWRTECalcPts[POS RK],MATCH(TableWRTERank[[#This Row],[WR and TE COMBINED]],TableWRTECalcPts[PLAYER],0)),"")</f>
        <v>TE9</v>
      </c>
      <c r="AY65" s="260">
        <f>IFERROR(INDEX(TableWRTECalcPts[BYE],MATCH(TableWRTERank[[#This Row],[RK]],TableWRTECalcPts[RK],0)),"")</f>
        <v>7</v>
      </c>
      <c r="AZ65" s="261">
        <f>IFERROR(INDEX(TableWRTECalcPts[Custom],MATCH(TableWRTERank[[#This Row],[RK]],TableWRTECalcPts[RK],0)),"")</f>
        <v>102.87952804843867</v>
      </c>
      <c r="BA65" s="249">
        <f>IFERROR((TableWRTERank[[#This Row],[FPS]]-INDEX(TableWRTERank[FPS],MATCH(WRTEVORPCalc,TableWRTERank[RK],0)))/INDEX(TableWRTERank[FPS],MATCH(WRTEVORPCalc,TableWRTERank[RK],0)),"")</f>
        <v>-0.1336472191603818</v>
      </c>
      <c r="BC65" s="124" t="s">
        <v>358</v>
      </c>
      <c r="BD65" s="124">
        <v>64</v>
      </c>
      <c r="BE65" s="262">
        <f>RANK(TableWRTEMaster[[#This Row],[VORP]],TableWRTEMaster[VORP])+COUNTIF($BJ$2:BJ65,BJ65)-1</f>
        <v>80</v>
      </c>
      <c r="BF65" s="263" t="str">
        <f>IFERROR(INDEX(TableWRVORP[WIDE RECEIVER],MATCH(TableWRTEMaster[[#This Row],[RK]],TableWRVORP[RK],0)),"")</f>
        <v>Skyy Moore</v>
      </c>
      <c r="BG65" s="263" t="str">
        <f>_xlfn.CONCAT(TableWRTEMaster[[#This Row],[POS]],TableWRTEMaster[[#This Row],[RK]])</f>
        <v>WR64</v>
      </c>
      <c r="BH65" s="263">
        <f>IFERROR(INDEX(TableWRVORP[BYE],MATCH(TableWRTEMaster[[#This Row],[RK]],TableWRVORP[RK],0)),"")</f>
        <v>8</v>
      </c>
      <c r="BI65" s="264">
        <f>IFERROR(INDEX(TableWRVORP[FPS],MATCH(TableWRTEMaster[[#This Row],[RK]],TableWRVORP[RK],0)),"")</f>
        <v>95.335174796868472</v>
      </c>
      <c r="BJ65" s="254">
        <f>IFERROR(INDEX(TableWRVORP[VORP],MATCH(TableWRTEMaster[[#This Row],[RK]],TableWRVORP[RK],0)),"")</f>
        <v>-0.12514459008785894</v>
      </c>
    </row>
    <row r="66" spans="1:62" x14ac:dyDescent="0.3">
      <c r="A66" s="246">
        <v>65</v>
      </c>
      <c r="B66" s="247" t="str">
        <f>IFERROR(INDEX(TableQBCalcPts[PLAYER],MATCH(TableQBVORP[[#This Row],[RK]],TableQBCalcPts[RK],0)),"")</f>
        <v>C.J. Beathard</v>
      </c>
      <c r="C66" s="247" t="str">
        <f>IFERROR(INDEX(TableQBCalcPts[TM],MATCH(TableQBVORP[[#This Row],[RK]],TableQBCalcPts[RK],0)),"")</f>
        <v>JAX</v>
      </c>
      <c r="D66" s="247">
        <f>IFERROR(INDEX(TableQBCalcPts[BYE],MATCH(TableQBVORP[[#This Row],[RK]],TableQBCalcPts[RK],0)),"")</f>
        <v>11</v>
      </c>
      <c r="E66" s="248">
        <f>IFERROR(INDEX(TableQBCalcPts[Custom],MATCH(TableQBVORP[[#This Row],[RK]],TableQBCalcPts[RK],0)),"")</f>
        <v>2.544242137896862</v>
      </c>
      <c r="F66" s="249">
        <f>(IFERROR((TableQBVORP[[#This Row],[FPS]]-INDEX(TableQBVORP[FPS],MATCH(QBVORPCalc,TableQBVORP[RK],0)))/INDEX(TableQBVORP[FPS],MATCH(QBVORPCalc,TableQBVORP[RK],0)),""))+(TableRBVORP[[#This Row],[VORP]]*0.45)</f>
        <v>-1.1989513647044427</v>
      </c>
      <c r="G66" s="246"/>
      <c r="H66" s="246">
        <v>65</v>
      </c>
      <c r="I66" s="247" t="str">
        <f>IFERROR(INDEX(TableRBCalcPts[PLAYER],MATCH(TableRBVORP[[#This Row],[RK]],TableRBCalcPts[RK],0)),"")</f>
        <v>Zamir White</v>
      </c>
      <c r="J66" s="247" t="str">
        <f>IFERROR(INDEX(TableRBCalcPts[TM],MATCH(TableRBVORP[[#This Row],[RK]],TableRBCalcPts[RK],0)),"")</f>
        <v>LV</v>
      </c>
      <c r="K66" s="247">
        <f>IFERROR(INDEX(TableRBCalcPts[BYE],MATCH(TableRBVORP[[#This Row],[RK]],TableRBCalcPts[RK],0)),"")</f>
        <v>6</v>
      </c>
      <c r="L66" s="248">
        <f>IFERROR(INDEX(TableRBCalcPts[Custom],MATCH(TableRBVORP[[#This Row],[RK]],TableRBCalcPts[RK],0)),"")</f>
        <v>55.035771034438397</v>
      </c>
      <c r="M66" s="249">
        <f>IFERROR((TableRBVORP[[#This Row],[FPS]]-INDEX(TableRBVORP[FPS],MATCH(RBVORPCalc,TableRBVORP[RK],0)))/INDEX(TableRBVORP[FPS],MATCH(RBVORPCalc,TableRBVORP[RK],0)),"")</f>
        <v>-0.45680791762780032</v>
      </c>
      <c r="N66" s="246"/>
      <c r="O66" s="246">
        <v>65</v>
      </c>
      <c r="P66" s="247" t="str">
        <f>IFERROR(INDEX(TableWRCalcPts[PLAYER],MATCH(TableWRVORP[[#This Row],[RK]],TableWRCalcPts[RK],0)),"")</f>
        <v>Rondale Moore</v>
      </c>
      <c r="Q66" s="247" t="str">
        <f>IFERROR(INDEX(TableWRCalcPts[TM],MATCH(TableWRVORP[[#This Row],[RK]],TableWRCalcPts[RK],0)),"")</f>
        <v>ARI</v>
      </c>
      <c r="R66" s="247">
        <f>IFERROR(INDEX(TableWRCalcPts[BYE],MATCH(TableWRVORP[[#This Row],[RK]],TableWRCalcPts[RK],0)),"")</f>
        <v>13</v>
      </c>
      <c r="S66" s="248">
        <f>IFERROR(INDEX(TableWRCalcPts[Custom],MATCH(TableWRVORP[[#This Row],[RK]],TableWRCalcPts[RK],0)),"")</f>
        <v>92.583937690627096</v>
      </c>
      <c r="T66" s="249">
        <f>IFERROR((TableWRVORP[[#This Row],[FPS]]-INDEX(TableWRVORP[FPS],MATCH(WRVORPCalc,TableWRVORP[RK],0)))/INDEX(TableWRVORP[FPS],MATCH(WRVORPCalc,TableWRVORP[RK],0)),"")</f>
        <v>-0.15039166884420224</v>
      </c>
      <c r="U66" s="246"/>
      <c r="V66" s="246">
        <v>65</v>
      </c>
      <c r="W66" s="247" t="str">
        <f>IFERROR(INDEX(TableTECalcPts[PLAYER],MATCH(TableTEVORP[[#This Row],[RK]],TableTECalcPts[RK],0)),"")</f>
        <v>Tre' McKitty</v>
      </c>
      <c r="X66" s="247" t="str">
        <f>IFERROR(INDEX(TableTECalcPts[TM],MATCH(TableTEVORP[[#This Row],[RK]],TableTECalcPts[RK],0)),"")</f>
        <v>LAC</v>
      </c>
      <c r="Y66" s="247">
        <f>IFERROR(INDEX(TableTECalcPts[BYE],MATCH(TableTEVORP[[#This Row],[RK]],TableTECalcPts[RK],0)),"")</f>
        <v>8</v>
      </c>
      <c r="Z66" s="248">
        <f>IFERROR(INDEX(TableTECalcPts[Custom],MATCH(TableTEVORP[[#This Row],[RK]],TableTECalcPts[RK],0)),"")</f>
        <v>13.755391915959006</v>
      </c>
      <c r="AA66" s="249">
        <f>IFERROR((TableTEVORP[[#This Row],[FPS]]-INDEX(TableTEVORP[FPS],MATCH(TEVORPCalc,TableTEVORP[RK],0)))/INDEX(TableTEVORP[FPS],MATCH(TEVORPCalc,TableTEVORP[RK],0)),"")</f>
        <v>-0.86573869579882645</v>
      </c>
      <c r="AB66" s="246"/>
      <c r="AC66" s="250"/>
      <c r="AD66" s="250"/>
      <c r="AE66" s="250"/>
      <c r="AF66" s="250" t="s">
        <v>357</v>
      </c>
      <c r="AG66" s="250">
        <v>25</v>
      </c>
      <c r="AH66" s="251">
        <f>RANK(TableOverallMaster[[#This Row],[VORP]],TableOverallMaster[VORP])+COUNTIF($AM$2:AM66,AM66)-1</f>
        <v>39</v>
      </c>
      <c r="AI66" s="252" t="str">
        <f>IFERROR(INDEX(TableRBVORP[RUNNING BACK],MATCH(TableOverallMaster[[#This Row],[RK]],TableRBVORP[RK],0)),"")</f>
        <v>Travis Etienne</v>
      </c>
      <c r="AJ66" s="252" t="str">
        <f t="shared" ref="AJ66:AJ129" si="1">CONCATENATE(AF66,AG66)</f>
        <v>RB25</v>
      </c>
      <c r="AK66" s="252">
        <f>IFERROR(INDEX(TableRBVORP[BYE],MATCH(TableOverallMaster[[#This Row],[RK]],TableRBVORP[RK],0)),"")</f>
        <v>11</v>
      </c>
      <c r="AL66" s="253">
        <f>IFERROR(INDEX(TableRBVORP[FPS],MATCH(TableOverallMaster[[#This Row],[RK]],TableRBVORP[RK],0)),"")</f>
        <v>159.76301092855081</v>
      </c>
      <c r="AM66" s="254">
        <f>IFERROR(INDEX(TableRBVORP[VORP],MATCH(TableOverallMaster[[#This Row],[RK]],TableRBVORP[RK],0)),"")</f>
        <v>0.57682905065559165</v>
      </c>
      <c r="AN66" s="250"/>
      <c r="AO66" s="250">
        <v>65</v>
      </c>
      <c r="AP66" s="255" t="str">
        <f>IFERROR(INDEX(TableOverallMaster[OVERALL PLAYER],MATCH(TableOverallRank[[#This Row],[RK]],TableOverallMaster[OVR RK],0)),"")</f>
        <v>Cordarrelle Patterson</v>
      </c>
      <c r="AQ66" s="256" t="str">
        <f>IFERROR(INDEX(TableOverallMaster[POS RK],MATCH(TableOverallRank[[#This Row],[OVERALL PLAYER]],TableOverallMaster[OVERALL PLAYER],0)),"")</f>
        <v>RB30</v>
      </c>
      <c r="AR66" s="257">
        <f>IFERROR(INDEX(TableOverallMaster[BYE],MATCH(TableOverallRank[[#This Row],[OVERALL PLAYER]],TableOverallMaster[OVERALL PLAYER],0)),"")</f>
        <v>14</v>
      </c>
      <c r="AS66" s="258">
        <f>IFERROR(INDEX(TableOverallMaster[Custom],MATCH(TableOverallRank[[#This Row],[OVERALL PLAYER]],TableOverallMaster[OVERALL PLAYER],0)),"")</f>
        <v>136.0108356235321</v>
      </c>
      <c r="AT66" s="259">
        <f>IFERROR(INDEX(TableOverallMaster[VORP],MATCH(TableOverallRank[[#This Row],[OVERALL PLAYER]],TableOverallMaster[OVERALL PLAYER],0)),"")</f>
        <v>0.34239981813463211</v>
      </c>
      <c r="AU66" s="250"/>
      <c r="AV66" s="246">
        <v>65</v>
      </c>
      <c r="AW66" s="260" t="str">
        <f>IFERROR(INDEX(TableWRTECalcPts[PLAYER],MATCH(TableWRTERank[[#This Row],[RK]],TableWRTECalcPts[RK],0)),"")</f>
        <v>T.J. Hockenson</v>
      </c>
      <c r="AX66" s="260" t="str">
        <f>IFERROR(INDEX(TableWRTECalcPts[POS RK],MATCH(TableWRTERank[[#This Row],[WR and TE COMBINED]],TableWRTECalcPts[PLAYER],0)),"")</f>
        <v>TE10</v>
      </c>
      <c r="AY66" s="260">
        <f>IFERROR(INDEX(TableWRTECalcPts[BYE],MATCH(TableWRTERank[[#This Row],[RK]],TableWRTECalcPts[RK],0)),"")</f>
        <v>6</v>
      </c>
      <c r="AZ66" s="261">
        <f>IFERROR(INDEX(TableWRTECalcPts[Custom],MATCH(TableWRTERank[[#This Row],[RK]],TableWRTECalcPts[RK],0)),"")</f>
        <v>102.45239309867193</v>
      </c>
      <c r="BA66" s="249">
        <f>IFERROR((TableWRTERank[[#This Row],[FPS]]-INDEX(TableWRTERank[FPS],MATCH(WRTEVORPCalc,TableWRTERank[RK],0)))/INDEX(TableWRTERank[FPS],MATCH(WRTEVORPCalc,TableWRTERank[RK],0)),"")</f>
        <v>-0.13724414032189777</v>
      </c>
      <c r="BC66" s="124" t="s">
        <v>358</v>
      </c>
      <c r="BD66" s="124">
        <v>65</v>
      </c>
      <c r="BE66" s="262">
        <f>RANK(TableWRTEMaster[[#This Row],[VORP]],TableWRTEMaster[VORP])+COUNTIF($BJ$2:BJ66,BJ66)-1</f>
        <v>82</v>
      </c>
      <c r="BF66" s="263" t="str">
        <f>IFERROR(INDEX(TableWRVORP[WIDE RECEIVER],MATCH(TableWRTEMaster[[#This Row],[RK]],TableWRVORP[RK],0)),"")</f>
        <v>Rondale Moore</v>
      </c>
      <c r="BG66" s="263" t="str">
        <f>_xlfn.CONCAT(TableWRTEMaster[[#This Row],[POS]],TableWRTEMaster[[#This Row],[RK]])</f>
        <v>WR65</v>
      </c>
      <c r="BH66" s="263">
        <f>IFERROR(INDEX(TableWRVORP[BYE],MATCH(TableWRTEMaster[[#This Row],[RK]],TableWRVORP[RK],0)),"")</f>
        <v>13</v>
      </c>
      <c r="BI66" s="264">
        <f>IFERROR(INDEX(TableWRVORP[FPS],MATCH(TableWRTEMaster[[#This Row],[RK]],TableWRVORP[RK],0)),"")</f>
        <v>92.583937690627096</v>
      </c>
      <c r="BJ66" s="254">
        <f>IFERROR(INDEX(TableWRVORP[VORP],MATCH(TableWRTEMaster[[#This Row],[RK]],TableWRVORP[RK],0)),"")</f>
        <v>-0.15039166884420224</v>
      </c>
    </row>
    <row r="67" spans="1:62" x14ac:dyDescent="0.3">
      <c r="A67" s="246">
        <v>66</v>
      </c>
      <c r="B67" s="247" t="str">
        <f>IFERROR(INDEX(TableQBCalcPts[PLAYER],MATCH(TableQBVORP[[#This Row],[RK]],TableQBCalcPts[RK],0)),"")</f>
        <v>Kellen Mond</v>
      </c>
      <c r="C67" s="247" t="str">
        <f>IFERROR(INDEX(TableQBCalcPts[TM],MATCH(TableQBVORP[[#This Row],[RK]],TableQBCalcPts[RK],0)),"")</f>
        <v>MIN</v>
      </c>
      <c r="D67" s="247">
        <f>IFERROR(INDEX(TableQBCalcPts[BYE],MATCH(TableQBVORP[[#This Row],[RK]],TableQBCalcPts[RK],0)),"")</f>
        <v>7</v>
      </c>
      <c r="E67" s="248">
        <f>IFERROR(INDEX(TableQBCalcPts[Custom],MATCH(TableQBVORP[[#This Row],[RK]],TableQBCalcPts[RK],0)),"")</f>
        <v>2.1864285817745461</v>
      </c>
      <c r="F67" s="249">
        <f>(IFERROR((TableQBVORP[[#This Row],[FPS]]-INDEX(TableQBVORP[FPS],MATCH(QBVORPCalc,TableQBVORP[RK],0)))/INDEX(TableQBVORP[FPS],MATCH(QBVORPCalc,TableQBVORP[RK],0)),""))+(TableRBVORP[[#This Row],[VORP]]*0.45)</f>
        <v>-1.2114246878852715</v>
      </c>
      <c r="G67" s="246"/>
      <c r="H67" s="246">
        <v>66</v>
      </c>
      <c r="I67" s="247" t="str">
        <f>IFERROR(INDEX(TableRBCalcPts[PLAYER],MATCH(TableRBVORP[[#This Row],[RK]],TableRBCalcPts[RK],0)),"")</f>
        <v>Brian Robinson</v>
      </c>
      <c r="J67" s="247" t="str">
        <f>IFERROR(INDEX(TableRBCalcPts[TM],MATCH(TableRBVORP[[#This Row],[RK]],TableRBCalcPts[RK],0)),"")</f>
        <v>WSH</v>
      </c>
      <c r="K67" s="247">
        <f>IFERROR(INDEX(TableRBCalcPts[BYE],MATCH(TableRBVORP[[#This Row],[RK]],TableRBCalcPts[RK],0)),"")</f>
        <v>14</v>
      </c>
      <c r="L67" s="248">
        <f>IFERROR(INDEX(TableRBCalcPts[Custom],MATCH(TableRBVORP[[#This Row],[RK]],TableRBCalcPts[RK],0)),"")</f>
        <v>52.436730302224909</v>
      </c>
      <c r="M67" s="249">
        <f>IFERROR((TableRBVORP[[#This Row],[FPS]]-INDEX(TableRBVORP[FPS],MATCH(RBVORPCalc,TableRBVORP[RK],0)))/INDEX(TableRBVORP[FPS],MATCH(RBVORPCalc,TableRBVORP[RK],0)),"")</f>
        <v>-0.48245993123578262</v>
      </c>
      <c r="N67" s="246"/>
      <c r="O67" s="246">
        <v>66</v>
      </c>
      <c r="P67" s="247" t="str">
        <f>IFERROR(INDEX(TableWRCalcPts[PLAYER],MATCH(TableWRVORP[[#This Row],[RK]],TableWRCalcPts[RK],0)),"")</f>
        <v>Jakobi Meyers</v>
      </c>
      <c r="Q67" s="247" t="str">
        <f>IFERROR(INDEX(TableWRCalcPts[TM],MATCH(TableWRVORP[[#This Row],[RK]],TableWRCalcPts[RK],0)),"")</f>
        <v>NE</v>
      </c>
      <c r="R67" s="247">
        <f>IFERROR(INDEX(TableWRCalcPts[BYE],MATCH(TableWRVORP[[#This Row],[RK]],TableWRCalcPts[RK],0)),"")</f>
        <v>10</v>
      </c>
      <c r="S67" s="248">
        <f>IFERROR(INDEX(TableWRCalcPts[Custom],MATCH(TableWRVORP[[#This Row],[RK]],TableWRCalcPts[RK],0)),"")</f>
        <v>90.896112461128411</v>
      </c>
      <c r="T67" s="249">
        <f>IFERROR((TableWRVORP[[#This Row],[FPS]]-INDEX(TableWRVORP[FPS],MATCH(WRVORPCalc,TableWRVORP[RK],0)))/INDEX(TableWRVORP[FPS],MATCH(WRVORPCalc,TableWRVORP[RK],0)),"")</f>
        <v>-0.1658802126703329</v>
      </c>
      <c r="U67" s="246"/>
      <c r="V67" s="246">
        <v>66</v>
      </c>
      <c r="W67" s="247" t="str">
        <f>IFERROR(INDEX(TableTECalcPts[PLAYER],MATCH(TableTEVORP[[#This Row],[RK]],TableTECalcPts[RK],0)),"")</f>
        <v>Jacob Harris</v>
      </c>
      <c r="X67" s="247" t="str">
        <f>IFERROR(INDEX(TableTECalcPts[TM],MATCH(TableTEVORP[[#This Row],[RK]],TableTECalcPts[RK],0)),"")</f>
        <v>LAR</v>
      </c>
      <c r="Y67" s="247">
        <f>IFERROR(INDEX(TableTECalcPts[BYE],MATCH(TableTEVORP[[#This Row],[RK]],TableTECalcPts[RK],0)),"")</f>
        <v>7</v>
      </c>
      <c r="Z67" s="248">
        <f>IFERROR(INDEX(TableTECalcPts[Custom],MATCH(TableTEVORP[[#This Row],[RK]],TableTECalcPts[RK],0)),"")</f>
        <v>13.679370776556084</v>
      </c>
      <c r="AA67" s="249">
        <f>IFERROR((TableTEVORP[[#This Row],[FPS]]-INDEX(TableTEVORP[FPS],MATCH(TEVORPCalc,TableTEVORP[RK],0)))/INDEX(TableTEVORP[FPS],MATCH(TEVORPCalc,TableTEVORP[RK],0)),"")</f>
        <v>-0.86648071008569338</v>
      </c>
      <c r="AB67" s="246"/>
      <c r="AC67" s="250"/>
      <c r="AD67" s="250"/>
      <c r="AE67" s="250"/>
      <c r="AF67" s="250" t="s">
        <v>357</v>
      </c>
      <c r="AG67" s="250">
        <v>26</v>
      </c>
      <c r="AH67" s="251">
        <f>RANK(TableOverallMaster[[#This Row],[VORP]],TableOverallMaster[VORP])+COUNTIF($AM$2:AM67,AM67)-1</f>
        <v>43</v>
      </c>
      <c r="AI67" s="252" t="str">
        <f>IFERROR(INDEX(TableRBVORP[RUNNING BACK],MATCH(TableOverallMaster[[#This Row],[RK]],TableRBVORP[RK],0)),"")</f>
        <v>AJ Dillon</v>
      </c>
      <c r="AJ67" s="252" t="str">
        <f t="shared" si="1"/>
        <v>RB26</v>
      </c>
      <c r="AK67" s="252">
        <f>IFERROR(INDEX(TableRBVORP[BYE],MATCH(TableOverallMaster[[#This Row],[RK]],TableRBVORP[RK],0)),"")</f>
        <v>14</v>
      </c>
      <c r="AL67" s="253">
        <f>IFERROR(INDEX(TableRBVORP[FPS],MATCH(TableOverallMaster[[#This Row],[RK]],TableRBVORP[RK],0)),"")</f>
        <v>157.91538928118763</v>
      </c>
      <c r="AM67" s="254">
        <f>IFERROR(INDEX(TableRBVORP[VORP],MATCH(TableOverallMaster[[#This Row],[RK]],TableRBVORP[RK],0)),"")</f>
        <v>0.55859339353289672</v>
      </c>
      <c r="AN67" s="250"/>
      <c r="AO67" s="250">
        <v>66</v>
      </c>
      <c r="AP67" s="255" t="str">
        <f>IFERROR(INDEX(TableOverallMaster[OVERALL PLAYER],MATCH(TableOverallRank[[#This Row],[RK]],TableOverallMaster[OVR RK],0)),"")</f>
        <v>DJ Moore</v>
      </c>
      <c r="AQ67" s="256" t="str">
        <f>IFERROR(INDEX(TableOverallMaster[POS RK],MATCH(TableOverallRank[[#This Row],[OVERALL PLAYER]],TableOverallMaster[OVERALL PLAYER],0)),"")</f>
        <v>WR22</v>
      </c>
      <c r="AR67" s="257">
        <f>IFERROR(INDEX(TableOverallMaster[BYE],MATCH(TableOverallRank[[#This Row],[OVERALL PLAYER]],TableOverallMaster[OVERALL PLAYER],0)),"")</f>
        <v>13</v>
      </c>
      <c r="AS67" s="258">
        <f>IFERROR(INDEX(TableOverallMaster[Custom],MATCH(TableOverallRank[[#This Row],[OVERALL PLAYER]],TableOverallMaster[OVERALL PLAYER],0)),"")</f>
        <v>145.62594698031444</v>
      </c>
      <c r="AT67" s="259">
        <f>IFERROR(INDEX(TableOverallMaster[VORP],MATCH(TableOverallRank[[#This Row],[OVERALL PLAYER]],TableOverallMaster[OVERALL PLAYER],0)),"")</f>
        <v>0.33635510514102024</v>
      </c>
      <c r="AU67" s="250"/>
      <c r="AV67" s="246">
        <v>66</v>
      </c>
      <c r="AW67" s="260" t="str">
        <f>IFERROR(INDEX(TableWRTECalcPts[PLAYER],MATCH(TableWRTERank[[#This Row],[RK]],TableWRTECalcPts[RK],0)),"")</f>
        <v>DeAndre Hopkins</v>
      </c>
      <c r="AX67" s="260" t="str">
        <f>IFERROR(INDEX(TableWRTECalcPts[POS RK],MATCH(TableWRTERank[[#This Row],[WR and TE COMBINED]],TableWRTECalcPts[PLAYER],0)),"")</f>
        <v>WR56</v>
      </c>
      <c r="AY67" s="260">
        <f>IFERROR(INDEX(TableWRTECalcPts[BYE],MATCH(TableWRTERank[[#This Row],[RK]],TableWRTECalcPts[RK],0)),"")</f>
        <v>13</v>
      </c>
      <c r="AZ67" s="261">
        <f>IFERROR(INDEX(TableWRTECalcPts[Custom],MATCH(TableWRTERank[[#This Row],[RK]],TableWRTECalcPts[RK],0)),"")</f>
        <v>101.49414320839625</v>
      </c>
      <c r="BA67" s="249">
        <f>IFERROR((TableWRTERank[[#This Row],[FPS]]-INDEX(TableWRTERank[FPS],MATCH(WRTEVORPCalc,TableWRTERank[RK],0)))/INDEX(TableWRTERank[FPS],MATCH(WRTEVORPCalc,TableWRTERank[RK],0)),"")</f>
        <v>-0.14531360246784311</v>
      </c>
      <c r="BC67" s="124" t="s">
        <v>358</v>
      </c>
      <c r="BD67" s="124">
        <v>66</v>
      </c>
      <c r="BE67" s="262">
        <f>RANK(TableWRTEMaster[[#This Row],[VORP]],TableWRTEMaster[VORP])+COUNTIF($BJ$2:BJ67,BJ67)-1</f>
        <v>85</v>
      </c>
      <c r="BF67" s="263" t="str">
        <f>IFERROR(INDEX(TableWRVORP[WIDE RECEIVER],MATCH(TableWRTEMaster[[#This Row],[RK]],TableWRVORP[RK],0)),"")</f>
        <v>Jakobi Meyers</v>
      </c>
      <c r="BG67" s="263" t="str">
        <f>_xlfn.CONCAT(TableWRTEMaster[[#This Row],[POS]],TableWRTEMaster[[#This Row],[RK]])</f>
        <v>WR66</v>
      </c>
      <c r="BH67" s="263">
        <f>IFERROR(INDEX(TableWRVORP[BYE],MATCH(TableWRTEMaster[[#This Row],[RK]],TableWRVORP[RK],0)),"")</f>
        <v>10</v>
      </c>
      <c r="BI67" s="264">
        <f>IFERROR(INDEX(TableWRVORP[FPS],MATCH(TableWRTEMaster[[#This Row],[RK]],TableWRVORP[RK],0)),"")</f>
        <v>90.896112461128411</v>
      </c>
      <c r="BJ67" s="254">
        <f>IFERROR(INDEX(TableWRVORP[VORP],MATCH(TableWRTEMaster[[#This Row],[RK]],TableWRVORP[RK],0)),"")</f>
        <v>-0.1658802126703329</v>
      </c>
    </row>
    <row r="68" spans="1:62" x14ac:dyDescent="0.3">
      <c r="A68" s="246">
        <v>67</v>
      </c>
      <c r="B68" s="247" t="str">
        <f>IFERROR(INDEX(TableQBCalcPts[PLAYER],MATCH(TableQBVORP[[#This Row],[RK]],TableQBCalcPts[RK],0)),"")</f>
        <v/>
      </c>
      <c r="C68" s="247" t="str">
        <f>IFERROR(INDEX(TableQBCalcPts[TM],MATCH(TableQBVORP[[#This Row],[RK]],TableQBCalcPts[RK],0)),"")</f>
        <v/>
      </c>
      <c r="D68" s="247" t="str">
        <f>IFERROR(INDEX(TableQBCalcPts[BYE],MATCH(TableQBVORP[[#This Row],[RK]],TableQBCalcPts[RK],0)),"")</f>
        <v/>
      </c>
      <c r="E68" s="248" t="str">
        <f>IFERROR(INDEX(TableQBCalcPts[Custom],MATCH(TableQBVORP[[#This Row],[RK]],TableQBCalcPts[RK],0)),"")</f>
        <v/>
      </c>
      <c r="F68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68" s="246"/>
      <c r="H68" s="246">
        <v>67</v>
      </c>
      <c r="I68" s="247" t="str">
        <f>IFERROR(INDEX(TableRBCalcPts[PLAYER],MATCH(TableRBVORP[[#This Row],[RK]],TableRBCalcPts[RK],0)),"")</f>
        <v>Sony Michel</v>
      </c>
      <c r="J68" s="247" t="str">
        <f>IFERROR(INDEX(TableRBCalcPts[TM],MATCH(TableRBVORP[[#This Row],[RK]],TableRBCalcPts[RK],0)),"")</f>
        <v>MIA</v>
      </c>
      <c r="K68" s="247">
        <f>IFERROR(INDEX(TableRBCalcPts[BYE],MATCH(TableRBVORP[[#This Row],[RK]],TableRBCalcPts[RK],0)),"")</f>
        <v>11</v>
      </c>
      <c r="L68" s="248">
        <f>IFERROR(INDEX(TableRBCalcPts[Custom],MATCH(TableRBVORP[[#This Row],[RK]],TableRBCalcPts[RK],0)),"")</f>
        <v>48.094947777259016</v>
      </c>
      <c r="M68" s="249">
        <f>IFERROR((TableRBVORP[[#This Row],[FPS]]-INDEX(TableRBVORP[FPS],MATCH(RBVORPCalc,TableRBVORP[RK],0)))/INDEX(TableRBVORP[FPS],MATCH(RBVORPCalc,TableRBVORP[RK],0)),"")</f>
        <v>-0.52531245872136434</v>
      </c>
      <c r="N68" s="246"/>
      <c r="O68" s="246">
        <v>67</v>
      </c>
      <c r="P68" s="247" t="str">
        <f>IFERROR(INDEX(TableWRCalcPts[PLAYER],MATCH(TableWRVORP[[#This Row],[RK]],TableWRCalcPts[RK],0)),"")</f>
        <v>John Metchie</v>
      </c>
      <c r="Q68" s="247" t="str">
        <f>IFERROR(INDEX(TableWRCalcPts[TM],MATCH(TableWRVORP[[#This Row],[RK]],TableWRCalcPts[RK],0)),"")</f>
        <v>HOU</v>
      </c>
      <c r="R68" s="247">
        <f>IFERROR(INDEX(TableWRCalcPts[BYE],MATCH(TableWRVORP[[#This Row],[RK]],TableWRCalcPts[RK],0)),"")</f>
        <v>6</v>
      </c>
      <c r="S68" s="248">
        <f>IFERROR(INDEX(TableWRCalcPts[Custom],MATCH(TableWRVORP[[#This Row],[RK]],TableWRCalcPts[RK],0)),"")</f>
        <v>89.873250374261502</v>
      </c>
      <c r="T68" s="249">
        <f>IFERROR((TableWRVORP[[#This Row],[FPS]]-INDEX(TableWRVORP[FPS],MATCH(WRVORPCalc,TableWRVORP[RK],0)))/INDEX(TableWRVORP[FPS],MATCH(WRVORPCalc,TableWRVORP[RK],0)),"")</f>
        <v>-0.17526663727380393</v>
      </c>
      <c r="U68" s="246"/>
      <c r="V68" s="246">
        <v>67</v>
      </c>
      <c r="W68" s="247" t="str">
        <f>IFERROR(INDEX(TableTECalcPts[PLAYER],MATCH(TableTEVORP[[#This Row],[RK]],TableTECalcPts[RK],0)),"")</f>
        <v>Tyree Jackson</v>
      </c>
      <c r="X68" s="247" t="str">
        <f>IFERROR(INDEX(TableTECalcPts[TM],MATCH(TableTEVORP[[#This Row],[RK]],TableTECalcPts[RK],0)),"")</f>
        <v>PHI</v>
      </c>
      <c r="Y68" s="247">
        <f>IFERROR(INDEX(TableTECalcPts[BYE],MATCH(TableTEVORP[[#This Row],[RK]],TableTECalcPts[RK],0)),"")</f>
        <v>7</v>
      </c>
      <c r="Z68" s="248">
        <f>IFERROR(INDEX(TableTECalcPts[Custom],MATCH(TableTEVORP[[#This Row],[RK]],TableTECalcPts[RK],0)),"")</f>
        <v>12.58346719098485</v>
      </c>
      <c r="AA68" s="249">
        <f>IFERROR((TableTEVORP[[#This Row],[FPS]]-INDEX(TableTEVORP[FPS],MATCH(TEVORPCalc,TableTEVORP[RK],0)))/INDEX(TableTEVORP[FPS],MATCH(TEVORPCalc,TableTEVORP[RK],0)),"")</f>
        <v>-0.87717742055214165</v>
      </c>
      <c r="AB68" s="246"/>
      <c r="AC68" s="250"/>
      <c r="AD68" s="250"/>
      <c r="AE68" s="250"/>
      <c r="AF68" s="250" t="s">
        <v>357</v>
      </c>
      <c r="AG68" s="250">
        <v>27</v>
      </c>
      <c r="AH68" s="251">
        <f>RANK(TableOverallMaster[[#This Row],[VORP]],TableOverallMaster[VORP])+COUNTIF($AM$2:AM68,AM68)-1</f>
        <v>52</v>
      </c>
      <c r="AI68" s="252" t="str">
        <f>IFERROR(INDEX(TableRBVORP[RUNNING BACK],MATCH(TableOverallMaster[[#This Row],[RK]],TableRBVORP[RK],0)),"")</f>
        <v>Ken Walker</v>
      </c>
      <c r="AJ68" s="252" t="str">
        <f t="shared" si="1"/>
        <v>RB27</v>
      </c>
      <c r="AK68" s="252">
        <f>IFERROR(INDEX(TableRBVORP[BYE],MATCH(TableOverallMaster[[#This Row],[RK]],TableRBVORP[RK],0)),"")</f>
        <v>11</v>
      </c>
      <c r="AL68" s="253">
        <f>IFERROR(INDEX(TableRBVORP[FPS],MATCH(TableOverallMaster[[#This Row],[RK]],TableRBVORP[RK],0)),"")</f>
        <v>142.27892276141387</v>
      </c>
      <c r="AM68" s="254">
        <f>IFERROR(INDEX(TableRBVORP[VORP],MATCH(TableOverallMaster[[#This Row],[RK]],TableRBVORP[RK],0)),"")</f>
        <v>0.40426458791837644</v>
      </c>
      <c r="AN68" s="250"/>
      <c r="AO68" s="250">
        <v>67</v>
      </c>
      <c r="AP68" s="255" t="str">
        <f>IFERROR(INDEX(TableOverallMaster[OVERALL PLAYER],MATCH(TableOverallRank[[#This Row],[RK]],TableOverallMaster[OVR RK],0)),"")</f>
        <v>Devin Singletary</v>
      </c>
      <c r="AQ68" s="256" t="str">
        <f>IFERROR(INDEX(TableOverallMaster[POS RK],MATCH(TableOverallRank[[#This Row],[OVERALL PLAYER]],TableOverallMaster[OVERALL PLAYER],0)),"")</f>
        <v>RB31</v>
      </c>
      <c r="AR68" s="257">
        <f>IFERROR(INDEX(TableOverallMaster[BYE],MATCH(TableOverallRank[[#This Row],[OVERALL PLAYER]],TableOverallMaster[OVERALL PLAYER],0)),"")</f>
        <v>7</v>
      </c>
      <c r="AS68" s="258">
        <f>IFERROR(INDEX(TableOverallMaster[Custom],MATCH(TableOverallRank[[#This Row],[OVERALL PLAYER]],TableOverallMaster[OVERALL PLAYER],0)),"")</f>
        <v>134.98798518855412</v>
      </c>
      <c r="AT68" s="259">
        <f>IFERROR(INDEX(TableOverallMaster[VORP],MATCH(TableOverallRank[[#This Row],[OVERALL PLAYER]],TableOverallMaster[OVERALL PLAYER],0)),"")</f>
        <v>0.33230448836477505</v>
      </c>
      <c r="AU68" s="250"/>
      <c r="AV68" s="246">
        <v>67</v>
      </c>
      <c r="AW68" s="260" t="str">
        <f>IFERROR(INDEX(TableWRTECalcPts[PLAYER],MATCH(TableWRTERank[[#This Row],[RK]],TableWRTECalcPts[RK],0)),"")</f>
        <v>Alec Pierce</v>
      </c>
      <c r="AX68" s="260" t="str">
        <f>IFERROR(INDEX(TableWRTECalcPts[POS RK],MATCH(TableWRTERank[[#This Row],[WR and TE COMBINED]],TableWRTECalcPts[PLAYER],0)),"")</f>
        <v>WR57</v>
      </c>
      <c r="AY68" s="260">
        <f>IFERROR(INDEX(TableWRTECalcPts[BYE],MATCH(TableWRTERank[[#This Row],[RK]],TableWRTECalcPts[RK],0)),"")</f>
        <v>14</v>
      </c>
      <c r="AZ68" s="261">
        <f>IFERROR(INDEX(TableWRTECalcPts[Custom],MATCH(TableWRTERank[[#This Row],[RK]],TableWRTECalcPts[RK],0)),"")</f>
        <v>101.41919743167956</v>
      </c>
      <c r="BA68" s="249">
        <f>IFERROR((TableWRTERank[[#This Row],[FPS]]-INDEX(TableWRTERank[FPS],MATCH(WRTEVORPCalc,TableWRTERank[RK],0)))/INDEX(TableWRTERank[FPS],MATCH(WRTEVORPCalc,TableWRTERank[RK],0)),"")</f>
        <v>-0.14594472396793512</v>
      </c>
      <c r="BC68" s="124" t="s">
        <v>358</v>
      </c>
      <c r="BD68" s="124">
        <v>67</v>
      </c>
      <c r="BE68" s="262">
        <f>RANK(TableWRTEMaster[[#This Row],[VORP]],TableWRTEMaster[VORP])+COUNTIF($BJ$2:BJ68,BJ68)-1</f>
        <v>88</v>
      </c>
      <c r="BF68" s="263" t="str">
        <f>IFERROR(INDEX(TableWRVORP[WIDE RECEIVER],MATCH(TableWRTEMaster[[#This Row],[RK]],TableWRVORP[RK],0)),"")</f>
        <v>John Metchie</v>
      </c>
      <c r="BG68" s="263" t="str">
        <f>_xlfn.CONCAT(TableWRTEMaster[[#This Row],[POS]],TableWRTEMaster[[#This Row],[RK]])</f>
        <v>WR67</v>
      </c>
      <c r="BH68" s="263">
        <f>IFERROR(INDEX(TableWRVORP[BYE],MATCH(TableWRTEMaster[[#This Row],[RK]],TableWRVORP[RK],0)),"")</f>
        <v>6</v>
      </c>
      <c r="BI68" s="264">
        <f>IFERROR(INDEX(TableWRVORP[FPS],MATCH(TableWRTEMaster[[#This Row],[RK]],TableWRVORP[RK],0)),"")</f>
        <v>89.873250374261502</v>
      </c>
      <c r="BJ68" s="254">
        <f>IFERROR(INDEX(TableWRVORP[VORP],MATCH(TableWRTEMaster[[#This Row],[RK]],TableWRVORP[RK],0)),"")</f>
        <v>-0.17526663727380393</v>
      </c>
    </row>
    <row r="69" spans="1:62" x14ac:dyDescent="0.3">
      <c r="A69" s="246">
        <v>68</v>
      </c>
      <c r="B69" s="247" t="str">
        <f>IFERROR(INDEX(TableQBCalcPts[PLAYER],MATCH(TableQBVORP[[#This Row],[RK]],TableQBCalcPts[RK],0)),"")</f>
        <v/>
      </c>
      <c r="C69" s="247" t="str">
        <f>IFERROR(INDEX(TableQBCalcPts[TM],MATCH(TableQBVORP[[#This Row],[RK]],TableQBCalcPts[RK],0)),"")</f>
        <v/>
      </c>
      <c r="D69" s="247" t="str">
        <f>IFERROR(INDEX(TableQBCalcPts[BYE],MATCH(TableQBVORP[[#This Row],[RK]],TableQBCalcPts[RK],0)),"")</f>
        <v/>
      </c>
      <c r="E69" s="248" t="str">
        <f>IFERROR(INDEX(TableQBCalcPts[Custom],MATCH(TableQBVORP[[#This Row],[RK]],TableQBCalcPts[RK],0)),"")</f>
        <v/>
      </c>
      <c r="F69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69" s="246"/>
      <c r="H69" s="246">
        <v>68</v>
      </c>
      <c r="I69" s="247" t="str">
        <f>IFERROR(INDEX(TableRBCalcPts[PLAYER],MATCH(TableRBVORP[[#This Row],[RK]],TableRBCalcPts[RK],0)),"")</f>
        <v>D'Onta Foreman</v>
      </c>
      <c r="J69" s="247" t="str">
        <f>IFERROR(INDEX(TableRBCalcPts[TM],MATCH(TableRBVORP[[#This Row],[RK]],TableRBCalcPts[RK],0)),"")</f>
        <v>CAR</v>
      </c>
      <c r="K69" s="247">
        <f>IFERROR(INDEX(TableRBCalcPts[BYE],MATCH(TableRBVORP[[#This Row],[RK]],TableRBCalcPts[RK],0)),"")</f>
        <v>13</v>
      </c>
      <c r="L69" s="248">
        <f>IFERROR(INDEX(TableRBCalcPts[Custom],MATCH(TableRBVORP[[#This Row],[RK]],TableRBCalcPts[RK],0)),"")</f>
        <v>44.950911550462322</v>
      </c>
      <c r="M69" s="249">
        <f>IFERROR((TableRBVORP[[#This Row],[FPS]]-INDEX(TableRBVORP[FPS],MATCH(RBVORPCalc,TableRBVORP[RK],0)))/INDEX(TableRBVORP[FPS],MATCH(RBVORPCalc,TableRBVORP[RK],0)),"")</f>
        <v>-0.55634346915308275</v>
      </c>
      <c r="N69" s="246"/>
      <c r="O69" s="246">
        <v>68</v>
      </c>
      <c r="P69" s="247" t="str">
        <f>IFERROR(INDEX(TableWRCalcPts[PLAYER],MATCH(TableWRVORP[[#This Row],[RK]],TableWRCalcPts[RK],0)),"")</f>
        <v>DeVante Parker</v>
      </c>
      <c r="Q69" s="247" t="str">
        <f>IFERROR(INDEX(TableWRCalcPts[TM],MATCH(TableWRVORP[[#This Row],[RK]],TableWRCalcPts[RK],0)),"")</f>
        <v>NE</v>
      </c>
      <c r="R69" s="247">
        <f>IFERROR(INDEX(TableWRCalcPts[BYE],MATCH(TableWRVORP[[#This Row],[RK]],TableWRCalcPts[RK],0)),"")</f>
        <v>10</v>
      </c>
      <c r="S69" s="248">
        <f>IFERROR(INDEX(TableWRCalcPts[Custom],MATCH(TableWRVORP[[#This Row],[RK]],TableWRCalcPts[RK],0)),"")</f>
        <v>87.406039713146185</v>
      </c>
      <c r="T69" s="249">
        <f>IFERROR((TableWRVORP[[#This Row],[FPS]]-INDEX(TableWRVORP[FPS],MATCH(WRVORPCalc,TableWRVORP[RK],0)))/INDEX(TableWRVORP[FPS],MATCH(WRVORPCalc,TableWRVORP[RK],0)),"")</f>
        <v>-0.19790731107409518</v>
      </c>
      <c r="U69" s="246"/>
      <c r="V69" s="246">
        <v>68</v>
      </c>
      <c r="W69" s="247" t="str">
        <f>IFERROR(INDEX(TableTECalcPts[PLAYER],MATCH(TableTEVORP[[#This Row],[RK]],TableTECalcPts[RK],0)),"")</f>
        <v>Chris Manhertz</v>
      </c>
      <c r="X69" s="247" t="str">
        <f>IFERROR(INDEX(TableTECalcPts[TM],MATCH(TableTEVORP[[#This Row],[RK]],TableTECalcPts[RK],0)),"")</f>
        <v>JAX</v>
      </c>
      <c r="Y69" s="247">
        <f>IFERROR(INDEX(TableTECalcPts[BYE],MATCH(TableTEVORP[[#This Row],[RK]],TableTECalcPts[RK],0)),"")</f>
        <v>11</v>
      </c>
      <c r="Z69" s="248">
        <f>IFERROR(INDEX(TableTECalcPts[Custom],MATCH(TableTEVORP[[#This Row],[RK]],TableTECalcPts[RK],0)),"")</f>
        <v>11.678836361164802</v>
      </c>
      <c r="AA69" s="249">
        <f>IFERROR((TableTEVORP[[#This Row],[FPS]]-INDEX(TableTEVORP[FPS],MATCH(TEVORPCalc,TableTEVORP[RK],0)))/INDEX(TableTEVORP[FPS],MATCH(TEVORPCalc,TableTEVORP[RK],0)),"")</f>
        <v>-0.88600718823700964</v>
      </c>
      <c r="AB69" s="246"/>
      <c r="AC69" s="250"/>
      <c r="AD69" s="250"/>
      <c r="AE69" s="250"/>
      <c r="AF69" s="250" t="s">
        <v>357</v>
      </c>
      <c r="AG69" s="250">
        <v>28</v>
      </c>
      <c r="AH69" s="251">
        <f>RANK(TableOverallMaster[[#This Row],[VORP]],TableOverallMaster[VORP])+COUNTIF($AM$2:AM69,AM69)-1</f>
        <v>58</v>
      </c>
      <c r="AI69" s="252" t="str">
        <f>IFERROR(INDEX(TableRBVORP[RUNNING BACK],MATCH(TableOverallMaster[[#This Row],[RK]],TableRBVORP[RK],0)),"")</f>
        <v>Clyde Edwards-Helaire</v>
      </c>
      <c r="AJ69" s="252" t="str">
        <f t="shared" si="1"/>
        <v>RB28</v>
      </c>
      <c r="AK69" s="252">
        <f>IFERROR(INDEX(TableRBVORP[BYE],MATCH(TableOverallMaster[[#This Row],[RK]],TableRBVORP[RK],0)),"")</f>
        <v>8</v>
      </c>
      <c r="AL69" s="253">
        <f>IFERROR(INDEX(TableRBVORP[FPS],MATCH(TableOverallMaster[[#This Row],[RK]],TableRBVORP[RK],0)),"")</f>
        <v>139.27997244322847</v>
      </c>
      <c r="AM69" s="254">
        <f>IFERROR(INDEX(TableRBVORP[VORP],MATCH(TableOverallMaster[[#This Row],[RK]],TableRBVORP[RK],0)),"")</f>
        <v>0.37466554646501782</v>
      </c>
      <c r="AN69" s="250"/>
      <c r="AO69" s="250">
        <v>68</v>
      </c>
      <c r="AP69" s="255" t="str">
        <f>IFERROR(INDEX(TableOverallMaster[OVERALL PLAYER],MATCH(TableOverallRank[[#This Row],[RK]],TableOverallMaster[OVR RK],0)),"")</f>
        <v>Terry McLaurin</v>
      </c>
      <c r="AQ69" s="256" t="str">
        <f>IFERROR(INDEX(TableOverallMaster[POS RK],MATCH(TableOverallRank[[#This Row],[OVERALL PLAYER]],TableOverallMaster[OVERALL PLAYER],0)),"")</f>
        <v>WR23</v>
      </c>
      <c r="AR69" s="257">
        <f>IFERROR(INDEX(TableOverallMaster[BYE],MATCH(TableOverallRank[[#This Row],[OVERALL PLAYER]],TableOverallMaster[OVERALL PLAYER],0)),"")</f>
        <v>14</v>
      </c>
      <c r="AS69" s="258">
        <f>IFERROR(INDEX(TableOverallMaster[Custom],MATCH(TableOverallRank[[#This Row],[OVERALL PLAYER]],TableOverallMaster[OVERALL PLAYER],0)),"")</f>
        <v>144.79369367514585</v>
      </c>
      <c r="AT69" s="259">
        <f>IFERROR(INDEX(TableOverallMaster[VORP],MATCH(TableOverallRank[[#This Row],[OVERALL PLAYER]],TableOverallMaster[OVERALL PLAYER],0)),"")</f>
        <v>0.32871782637171626</v>
      </c>
      <c r="AU69" s="250"/>
      <c r="AV69" s="246">
        <v>68</v>
      </c>
      <c r="AW69" s="260" t="str">
        <f>IFERROR(INDEX(TableWRTECalcPts[PLAYER],MATCH(TableWRTERank[[#This Row],[RK]],TableWRTECalcPts[RK],0)),"")</f>
        <v>Jarvis Landry</v>
      </c>
      <c r="AX69" s="260" t="str">
        <f>IFERROR(INDEX(TableWRTECalcPts[POS RK],MATCH(TableWRTERank[[#This Row],[WR and TE COMBINED]],TableWRTECalcPts[PLAYER],0)),"")</f>
        <v>WR58</v>
      </c>
      <c r="AY69" s="260">
        <f>IFERROR(INDEX(TableWRTECalcPts[BYE],MATCH(TableWRTERank[[#This Row],[RK]],TableWRTECalcPts[RK],0)),"")</f>
        <v>14</v>
      </c>
      <c r="AZ69" s="261">
        <f>IFERROR(INDEX(TableWRTECalcPts[Custom],MATCH(TableWRTERank[[#This Row],[RK]],TableWRTECalcPts[RK],0)),"")</f>
        <v>100.36232784392826</v>
      </c>
      <c r="BA69" s="249">
        <f>IFERROR((TableWRTERank[[#This Row],[FPS]]-INDEX(TableWRTERank[FPS],MATCH(WRTEVORPCalc,TableWRTERank[RK],0)))/INDEX(TableWRTERank[FPS],MATCH(WRTEVORPCalc,TableWRTERank[RK],0)),"")</f>
        <v>-0.15484466668444977</v>
      </c>
      <c r="BC69" s="124" t="s">
        <v>358</v>
      </c>
      <c r="BD69" s="124">
        <v>68</v>
      </c>
      <c r="BE69" s="262">
        <f>RANK(TableWRTEMaster[[#This Row],[VORP]],TableWRTEMaster[VORP])+COUNTIF($BJ$2:BJ69,BJ69)-1</f>
        <v>90</v>
      </c>
      <c r="BF69" s="263" t="str">
        <f>IFERROR(INDEX(TableWRVORP[WIDE RECEIVER],MATCH(TableWRTEMaster[[#This Row],[RK]],TableWRVORP[RK],0)),"")</f>
        <v>DeVante Parker</v>
      </c>
      <c r="BG69" s="263" t="str">
        <f>_xlfn.CONCAT(TableWRTEMaster[[#This Row],[POS]],TableWRTEMaster[[#This Row],[RK]])</f>
        <v>WR68</v>
      </c>
      <c r="BH69" s="263">
        <f>IFERROR(INDEX(TableWRVORP[BYE],MATCH(TableWRTEMaster[[#This Row],[RK]],TableWRVORP[RK],0)),"")</f>
        <v>10</v>
      </c>
      <c r="BI69" s="264">
        <f>IFERROR(INDEX(TableWRVORP[FPS],MATCH(TableWRTEMaster[[#This Row],[RK]],TableWRVORP[RK],0)),"")</f>
        <v>87.406039713146185</v>
      </c>
      <c r="BJ69" s="254">
        <f>IFERROR(INDEX(TableWRVORP[VORP],MATCH(TableWRTEMaster[[#This Row],[RK]],TableWRVORP[RK],0)),"")</f>
        <v>-0.19790731107409518</v>
      </c>
    </row>
    <row r="70" spans="1:62" x14ac:dyDescent="0.3">
      <c r="A70" s="246">
        <v>69</v>
      </c>
      <c r="B70" s="247" t="str">
        <f>IFERROR(INDEX(TableQBCalcPts[PLAYER],MATCH(TableQBVORP[[#This Row],[RK]],TableQBCalcPts[RK],0)),"")</f>
        <v/>
      </c>
      <c r="C70" s="247" t="str">
        <f>IFERROR(INDEX(TableQBCalcPts[TM],MATCH(TableQBVORP[[#This Row],[RK]],TableQBCalcPts[RK],0)),"")</f>
        <v/>
      </c>
      <c r="D70" s="247" t="str">
        <f>IFERROR(INDEX(TableQBCalcPts[BYE],MATCH(TableQBVORP[[#This Row],[RK]],TableQBCalcPts[RK],0)),"")</f>
        <v/>
      </c>
      <c r="E70" s="248" t="str">
        <f>IFERROR(INDEX(TableQBCalcPts[Custom],MATCH(TableQBVORP[[#This Row],[RK]],TableQBCalcPts[RK],0)),"")</f>
        <v/>
      </c>
      <c r="F70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0" s="246"/>
      <c r="H70" s="246">
        <v>69</v>
      </c>
      <c r="I70" s="247" t="str">
        <f>IFERROR(INDEX(TableRBCalcPts[PLAYER],MATCH(TableRBVORP[[#This Row],[RK]],TableRBCalcPts[RK],0)),"")</f>
        <v>Brandon Bolden</v>
      </c>
      <c r="J70" s="247" t="str">
        <f>IFERROR(INDEX(TableRBCalcPts[TM],MATCH(TableRBVORP[[#This Row],[RK]],TableRBCalcPts[RK],0)),"")</f>
        <v>LV</v>
      </c>
      <c r="K70" s="247">
        <f>IFERROR(INDEX(TableRBCalcPts[BYE],MATCH(TableRBVORP[[#This Row],[RK]],TableRBCalcPts[RK],0)),"")</f>
        <v>6</v>
      </c>
      <c r="L70" s="248">
        <f>IFERROR(INDEX(TableRBCalcPts[Custom],MATCH(TableRBVORP[[#This Row],[RK]],TableRBCalcPts[RK],0)),"")</f>
        <v>43.365317129300699</v>
      </c>
      <c r="M70" s="249">
        <f>IFERROR((TableRBVORP[[#This Row],[FPS]]-INDEX(TableRBVORP[FPS],MATCH(RBVORPCalc,TableRBVORP[RK],0)))/INDEX(TableRBVORP[FPS],MATCH(RBVORPCalc,TableRBVORP[RK],0)),"")</f>
        <v>-0.57199296981856051</v>
      </c>
      <c r="N70" s="246"/>
      <c r="O70" s="246">
        <v>69</v>
      </c>
      <c r="P70" s="247" t="str">
        <f>IFERROR(INDEX(TableWRCalcPts[PLAYER],MATCH(TableWRVORP[[#This Row],[RK]],TableWRCalcPts[RK],0)),"")</f>
        <v>Curtis Samuel</v>
      </c>
      <c r="Q70" s="247" t="str">
        <f>IFERROR(INDEX(TableWRCalcPts[TM],MATCH(TableWRVORP[[#This Row],[RK]],TableWRCalcPts[RK],0)),"")</f>
        <v>WSH</v>
      </c>
      <c r="R70" s="247">
        <f>IFERROR(INDEX(TableWRCalcPts[BYE],MATCH(TableWRVORP[[#This Row],[RK]],TableWRCalcPts[RK],0)),"")</f>
        <v>14</v>
      </c>
      <c r="S70" s="248">
        <f>IFERROR(INDEX(TableWRCalcPts[Custom],MATCH(TableWRVORP[[#This Row],[RK]],TableWRCalcPts[RK],0)),"")</f>
        <v>87.266912262059535</v>
      </c>
      <c r="T70" s="249">
        <f>IFERROR((TableWRVORP[[#This Row],[FPS]]-INDEX(TableWRVORP[FPS],MATCH(WRVORPCalc,TableWRVORP[RK],0)))/INDEX(TableWRVORP[FPS],MATCH(WRVORPCalc,TableWRVORP[RK],0)),"")</f>
        <v>-0.19918403190153147</v>
      </c>
      <c r="U70" s="246"/>
      <c r="V70" s="246">
        <v>69</v>
      </c>
      <c r="W70" s="247" t="str">
        <f>IFERROR(INDEX(TableTECalcPts[PLAYER],MATCH(TableTEVORP[[#This Row],[RK]],TableTECalcPts[RK],0)),"")</f>
        <v>Nick Eubanks</v>
      </c>
      <c r="X70" s="247" t="str">
        <f>IFERROR(INDEX(TableTECalcPts[TM],MATCH(TableTEVORP[[#This Row],[RK]],TableTECalcPts[RK],0)),"")</f>
        <v>CIN</v>
      </c>
      <c r="Y70" s="247">
        <f>IFERROR(INDEX(TableTECalcPts[BYE],MATCH(TableTEVORP[[#This Row],[RK]],TableTECalcPts[RK],0)),"")</f>
        <v>10</v>
      </c>
      <c r="Z70" s="248">
        <f>IFERROR(INDEX(TableTECalcPts[Custom],MATCH(TableTEVORP[[#This Row],[RK]],TableTECalcPts[RK],0)),"")</f>
        <v>11.358717136259679</v>
      </c>
      <c r="AA70" s="249">
        <f>IFERROR((TableTEVORP[[#This Row],[FPS]]-INDEX(TableTEVORP[FPS],MATCH(TEVORPCalc,TableTEVORP[RK],0)))/INDEX(TableTEVORP[FPS],MATCH(TEVORPCalc,TableTEVORP[RK],0)),"")</f>
        <v>-0.88913175385449417</v>
      </c>
      <c r="AB70" s="246"/>
      <c r="AC70" s="250"/>
      <c r="AD70" s="250"/>
      <c r="AE70" s="250"/>
      <c r="AF70" s="250" t="s">
        <v>357</v>
      </c>
      <c r="AG70" s="250">
        <v>29</v>
      </c>
      <c r="AH70" s="251">
        <f>RANK(TableOverallMaster[[#This Row],[VORP]],TableOverallMaster[VORP])+COUNTIF($AM$2:AM70,AM70)-1</f>
        <v>61</v>
      </c>
      <c r="AI70" s="252" t="str">
        <f>IFERROR(INDEX(TableRBVORP[RUNNING BACK],MATCH(TableOverallMaster[[#This Row],[RK]],TableRBVORP[RK],0)),"")</f>
        <v>Tony Pollard</v>
      </c>
      <c r="AJ70" s="252" t="str">
        <f t="shared" si="1"/>
        <v>RB29</v>
      </c>
      <c r="AK70" s="252">
        <f>IFERROR(INDEX(TableRBVORP[BYE],MATCH(TableOverallMaster[[#This Row],[RK]],TableRBVORP[RK],0)),"")</f>
        <v>9</v>
      </c>
      <c r="AL70" s="253">
        <f>IFERROR(INDEX(TableRBVORP[FPS],MATCH(TableOverallMaster[[#This Row],[RK]],TableRBVORP[RK],0)),"")</f>
        <v>137.65492223051754</v>
      </c>
      <c r="AM70" s="254">
        <f>IFERROR(INDEX(TableRBVORP[VORP],MATCH(TableOverallMaster[[#This Row],[RK]],TableRBVORP[RK],0)),"")</f>
        <v>0.3586266250070177</v>
      </c>
      <c r="AN70" s="250"/>
      <c r="AO70" s="250">
        <v>69</v>
      </c>
      <c r="AP70" s="255" t="str">
        <f>IFERROR(INDEX(TableOverallMaster[OVERALL PLAYER],MATCH(TableOverallRank[[#This Row],[RK]],TableOverallMaster[OVR RK],0)),"")</f>
        <v>Brandin Cooks</v>
      </c>
      <c r="AQ70" s="256" t="str">
        <f>IFERROR(INDEX(TableOverallMaster[POS RK],MATCH(TableOverallRank[[#This Row],[OVERALL PLAYER]],TableOverallMaster[OVERALL PLAYER],0)),"")</f>
        <v>WR24</v>
      </c>
      <c r="AR70" s="257">
        <f>IFERROR(INDEX(TableOverallMaster[BYE],MATCH(TableOverallRank[[#This Row],[OVERALL PLAYER]],TableOverallMaster[OVERALL PLAYER],0)),"")</f>
        <v>6</v>
      </c>
      <c r="AS70" s="258">
        <f>IFERROR(INDEX(TableOverallMaster[Custom],MATCH(TableOverallRank[[#This Row],[OVERALL PLAYER]],TableOverallMaster[OVERALL PLAYER],0)),"")</f>
        <v>143.01669018608655</v>
      </c>
      <c r="AT70" s="259">
        <f>IFERROR(INDEX(TableOverallMaster[VORP],MATCH(TableOverallRank[[#This Row],[OVERALL PLAYER]],TableOverallMaster[OVERALL PLAYER],0)),"")</f>
        <v>0.31241092685484101</v>
      </c>
      <c r="AU70" s="250"/>
      <c r="AV70" s="246">
        <v>69</v>
      </c>
      <c r="AW70" s="260" t="str">
        <f>IFERROR(INDEX(TableWRTECalcPts[PLAYER],MATCH(TableWRTERank[[#This Row],[RK]],TableWRTECalcPts[RK],0)),"")</f>
        <v>Zach Ertz</v>
      </c>
      <c r="AX70" s="260" t="str">
        <f>IFERROR(INDEX(TableWRTECalcPts[POS RK],MATCH(TableWRTERank[[#This Row],[WR and TE COMBINED]],TableWRTECalcPts[PLAYER],0)),"")</f>
        <v>TE11</v>
      </c>
      <c r="AY70" s="260">
        <f>IFERROR(INDEX(TableWRTECalcPts[BYE],MATCH(TableWRTERank[[#This Row],[RK]],TableWRTECalcPts[RK],0)),"")</f>
        <v>13</v>
      </c>
      <c r="AZ70" s="261">
        <f>IFERROR(INDEX(TableWRTECalcPts[Custom],MATCH(TableWRTERank[[#This Row],[RK]],TableWRTECalcPts[RK],0)),"")</f>
        <v>99.340220639314538</v>
      </c>
      <c r="BA70" s="249">
        <f>IFERROR((TableWRTERank[[#This Row],[FPS]]-INDEX(TableWRTERank[FPS],MATCH(WRTEVORPCalc,TableWRTERank[RK],0)))/INDEX(TableWRTERank[FPS],MATCH(WRTEVORPCalc,TableWRTERank[RK],0)),"")</f>
        <v>-0.16345187392801702</v>
      </c>
      <c r="BC70" s="124" t="s">
        <v>358</v>
      </c>
      <c r="BD70" s="124">
        <v>69</v>
      </c>
      <c r="BE70" s="262">
        <f>RANK(TableWRTEMaster[[#This Row],[VORP]],TableWRTEMaster[VORP])+COUNTIF($BJ$2:BJ70,BJ70)-1</f>
        <v>91</v>
      </c>
      <c r="BF70" s="263" t="str">
        <f>IFERROR(INDEX(TableWRVORP[WIDE RECEIVER],MATCH(TableWRTEMaster[[#This Row],[RK]],TableWRVORP[RK],0)),"")</f>
        <v>Curtis Samuel</v>
      </c>
      <c r="BG70" s="263" t="str">
        <f>_xlfn.CONCAT(TableWRTEMaster[[#This Row],[POS]],TableWRTEMaster[[#This Row],[RK]])</f>
        <v>WR69</v>
      </c>
      <c r="BH70" s="263">
        <f>IFERROR(INDEX(TableWRVORP[BYE],MATCH(TableWRTEMaster[[#This Row],[RK]],TableWRVORP[RK],0)),"")</f>
        <v>14</v>
      </c>
      <c r="BI70" s="264">
        <f>IFERROR(INDEX(TableWRVORP[FPS],MATCH(TableWRTEMaster[[#This Row],[RK]],TableWRVORP[RK],0)),"")</f>
        <v>87.266912262059535</v>
      </c>
      <c r="BJ70" s="254">
        <f>IFERROR(INDEX(TableWRVORP[VORP],MATCH(TableWRTEMaster[[#This Row],[RK]],TableWRVORP[RK],0)),"")</f>
        <v>-0.19918403190153147</v>
      </c>
    </row>
    <row r="71" spans="1:62" x14ac:dyDescent="0.3">
      <c r="A71" s="246">
        <v>70</v>
      </c>
      <c r="B71" s="247" t="str">
        <f>IFERROR(INDEX(TableQBCalcPts[PLAYER],MATCH(TableQBVORP[[#This Row],[RK]],TableQBCalcPts[RK],0)),"")</f>
        <v/>
      </c>
      <c r="C71" s="247" t="str">
        <f>IFERROR(INDEX(TableQBCalcPts[TM],MATCH(TableQBVORP[[#This Row],[RK]],TableQBCalcPts[RK],0)),"")</f>
        <v/>
      </c>
      <c r="D71" s="247" t="str">
        <f>IFERROR(INDEX(TableQBCalcPts[BYE],MATCH(TableQBVORP[[#This Row],[RK]],TableQBCalcPts[RK],0)),"")</f>
        <v/>
      </c>
      <c r="E71" s="248" t="str">
        <f>IFERROR(INDEX(TableQBCalcPts[Custom],MATCH(TableQBVORP[[#This Row],[RK]],TableQBCalcPts[RK],0)),"")</f>
        <v/>
      </c>
      <c r="F71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1" s="246"/>
      <c r="H71" s="246">
        <v>70</v>
      </c>
      <c r="I71" s="247" t="str">
        <f>IFERROR(INDEX(TableRBCalcPts[PLAYER],MATCH(TableRBVORP[[#This Row],[RK]],TableRBCalcPts[RK],0)),"")</f>
        <v>Giovani Bernard</v>
      </c>
      <c r="J71" s="247" t="str">
        <f>IFERROR(INDEX(TableRBCalcPts[TM],MATCH(TableRBVORP[[#This Row],[RK]],TableRBCalcPts[RK],0)),"")</f>
        <v>TB</v>
      </c>
      <c r="K71" s="247">
        <f>IFERROR(INDEX(TableRBCalcPts[BYE],MATCH(TableRBVORP[[#This Row],[RK]],TableRBCalcPts[RK],0)),"")</f>
        <v>11</v>
      </c>
      <c r="L71" s="248">
        <f>IFERROR(INDEX(TableRBCalcPts[Custom],MATCH(TableRBVORP[[#This Row],[RK]],TableRBCalcPts[RK],0)),"")</f>
        <v>41.758958386492125</v>
      </c>
      <c r="M71" s="249">
        <f>IFERROR((TableRBVORP[[#This Row],[FPS]]-INDEX(TableRBVORP[FPS],MATCH(RBVORPCalc,TableRBVORP[RK],0)))/INDEX(TableRBVORP[FPS],MATCH(RBVORPCalc,TableRBVORP[RK],0)),"")</f>
        <v>-0.58784741019692788</v>
      </c>
      <c r="N71" s="246"/>
      <c r="O71" s="246">
        <v>70</v>
      </c>
      <c r="P71" s="247" t="str">
        <f>IFERROR(INDEX(TableWRCalcPts[PLAYER],MATCH(TableWRVORP[[#This Row],[RK]],TableWRCalcPts[RK],0)),"")</f>
        <v>Byron Pringle</v>
      </c>
      <c r="Q71" s="247" t="str">
        <f>IFERROR(INDEX(TableWRCalcPts[TM],MATCH(TableWRVORP[[#This Row],[RK]],TableWRCalcPts[RK],0)),"")</f>
        <v>CHI</v>
      </c>
      <c r="R71" s="247">
        <f>IFERROR(INDEX(TableWRCalcPts[BYE],MATCH(TableWRVORP[[#This Row],[RK]],TableWRCalcPts[RK],0)),"")</f>
        <v>14</v>
      </c>
      <c r="S71" s="248">
        <f>IFERROR(INDEX(TableWRCalcPts[Custom],MATCH(TableWRVORP[[#This Row],[RK]],TableWRCalcPts[RK],0)),"")</f>
        <v>86.965222387666444</v>
      </c>
      <c r="T71" s="249">
        <f>IFERROR((TableWRVORP[[#This Row],[FPS]]-INDEX(TableWRVORP[FPS],MATCH(WRVORPCalc,TableWRVORP[RK],0)))/INDEX(TableWRVORP[FPS],MATCH(WRVORPCalc,TableWRVORP[RK],0)),"")</f>
        <v>-0.20195252757262958</v>
      </c>
      <c r="U71" s="246"/>
      <c r="V71" s="246">
        <v>70</v>
      </c>
      <c r="W71" s="247" t="str">
        <f>IFERROR(INDEX(TableTECalcPts[PLAYER],MATCH(TableTEVORP[[#This Row],[RK]],TableTECalcPts[RK],0)),"")</f>
        <v>Zach Gentry</v>
      </c>
      <c r="X71" s="247" t="str">
        <f>IFERROR(INDEX(TableTECalcPts[TM],MATCH(TableTEVORP[[#This Row],[RK]],TableTECalcPts[RK],0)),"")</f>
        <v>PIT</v>
      </c>
      <c r="Y71" s="247">
        <f>IFERROR(INDEX(TableTECalcPts[BYE],MATCH(TableTEVORP[[#This Row],[RK]],TableTECalcPts[RK],0)),"")</f>
        <v>9</v>
      </c>
      <c r="Z71" s="248">
        <f>IFERROR(INDEX(TableTECalcPts[Custom],MATCH(TableTEVORP[[#This Row],[RK]],TableTECalcPts[RK],0)),"")</f>
        <v>10.814157745203755</v>
      </c>
      <c r="AA71" s="249">
        <f>IFERROR((TableTEVORP[[#This Row],[FPS]]-INDEX(TableTEVORP[FPS],MATCH(TEVORPCalc,TableTEVORP[RK],0)))/INDEX(TableTEVORP[FPS],MATCH(TEVORPCalc,TableTEVORP[RK],0)),"")</f>
        <v>-0.89444699710636688</v>
      </c>
      <c r="AB71" s="246"/>
      <c r="AC71" s="250"/>
      <c r="AD71" s="250"/>
      <c r="AE71" s="250"/>
      <c r="AF71" s="250" t="s">
        <v>357</v>
      </c>
      <c r="AG71" s="250">
        <v>30</v>
      </c>
      <c r="AH71" s="251">
        <f>RANK(TableOverallMaster[[#This Row],[VORP]],TableOverallMaster[VORP])+COUNTIF($AM$2:AM71,AM71)-1</f>
        <v>65</v>
      </c>
      <c r="AI71" s="252" t="str">
        <f>IFERROR(INDEX(TableRBVORP[RUNNING BACK],MATCH(TableOverallMaster[[#This Row],[RK]],TableRBVORP[RK],0)),"")</f>
        <v>Cordarrelle Patterson</v>
      </c>
      <c r="AJ71" s="252" t="str">
        <f t="shared" si="1"/>
        <v>RB30</v>
      </c>
      <c r="AK71" s="252">
        <f>IFERROR(INDEX(TableRBVORP[BYE],MATCH(TableOverallMaster[[#This Row],[RK]],TableRBVORP[RK],0)),"")</f>
        <v>14</v>
      </c>
      <c r="AL71" s="253">
        <f>IFERROR(INDEX(TableRBVORP[FPS],MATCH(TableOverallMaster[[#This Row],[RK]],TableRBVORP[RK],0)),"")</f>
        <v>136.0108356235321</v>
      </c>
      <c r="AM71" s="254">
        <f>IFERROR(INDEX(TableRBVORP[VORP],MATCH(TableOverallMaster[[#This Row],[RK]],TableRBVORP[RK],0)),"")</f>
        <v>0.34239981813463211</v>
      </c>
      <c r="AN71" s="250"/>
      <c r="AO71" s="250">
        <v>70</v>
      </c>
      <c r="AP71" s="255" t="str">
        <f>IFERROR(INDEX(TableOverallMaster[OVERALL PLAYER],MATCH(TableOverallRank[[#This Row],[RK]],TableOverallMaster[OVR RK],0)),"")</f>
        <v>DeVonta Smith</v>
      </c>
      <c r="AQ71" s="256" t="str">
        <f>IFERROR(INDEX(TableOverallMaster[POS RK],MATCH(TableOverallRank[[#This Row],[OVERALL PLAYER]],TableOverallMaster[OVERALL PLAYER],0)),"")</f>
        <v>WR25</v>
      </c>
      <c r="AR71" s="257">
        <f>IFERROR(INDEX(TableOverallMaster[BYE],MATCH(TableOverallRank[[#This Row],[OVERALL PLAYER]],TableOverallMaster[OVERALL PLAYER],0)),"")</f>
        <v>7</v>
      </c>
      <c r="AS71" s="258">
        <f>IFERROR(INDEX(TableOverallMaster[Custom],MATCH(TableOverallRank[[#This Row],[OVERALL PLAYER]],TableOverallMaster[OVERALL PLAYER],0)),"")</f>
        <v>141.82410304289172</v>
      </c>
      <c r="AT71" s="259">
        <f>IFERROR(INDEX(TableOverallMaster[VORP],MATCH(TableOverallRank[[#This Row],[OVERALL PLAYER]],TableOverallMaster[OVERALL PLAYER],0)),"")</f>
        <v>0.30146699859081127</v>
      </c>
      <c r="AU71" s="250"/>
      <c r="AV71" s="246">
        <v>70</v>
      </c>
      <c r="AW71" s="260" t="str">
        <f>IFERROR(INDEX(TableWRTECalcPts[PLAYER],MATCH(TableWRTERank[[#This Row],[RK]],TableWRTECalcPts[RK],0)),"")</f>
        <v>Cameron Brate</v>
      </c>
      <c r="AX71" s="260" t="str">
        <f>IFERROR(INDEX(TableWRTECalcPts[POS RK],MATCH(TableWRTERank[[#This Row],[WR and TE COMBINED]],TableWRTECalcPts[PLAYER],0)),"")</f>
        <v>TE12</v>
      </c>
      <c r="AY71" s="260">
        <f>IFERROR(INDEX(TableWRTECalcPts[BYE],MATCH(TableWRTERank[[#This Row],[RK]],TableWRTECalcPts[RK],0)),"")</f>
        <v>11</v>
      </c>
      <c r="AZ71" s="261">
        <f>IFERROR(INDEX(TableWRTECalcPts[Custom],MATCH(TableWRTERank[[#This Row],[RK]],TableWRTECalcPts[RK],0)),"")</f>
        <v>99.231125452288012</v>
      </c>
      <c r="BA71" s="249">
        <f>IFERROR((TableWRTERank[[#This Row],[FPS]]-INDEX(TableWRTERank[FPS],MATCH(WRTEVORPCalc,TableWRTERank[RK],0)))/INDEX(TableWRTERank[FPS],MATCH(WRTEVORPCalc,TableWRTERank[RK],0)),"")</f>
        <v>-0.1643705690314019</v>
      </c>
      <c r="BC71" s="124" t="s">
        <v>358</v>
      </c>
      <c r="BD71" s="124">
        <v>70</v>
      </c>
      <c r="BE71" s="262">
        <f>RANK(TableWRTEMaster[[#This Row],[VORP]],TableWRTEMaster[VORP])+COUNTIF($BJ$2:BJ71,BJ71)-1</f>
        <v>92</v>
      </c>
      <c r="BF71" s="263" t="str">
        <f>IFERROR(INDEX(TableWRVORP[WIDE RECEIVER],MATCH(TableWRTEMaster[[#This Row],[RK]],TableWRVORP[RK],0)),"")</f>
        <v>Byron Pringle</v>
      </c>
      <c r="BG71" s="263" t="str">
        <f>_xlfn.CONCAT(TableWRTEMaster[[#This Row],[POS]],TableWRTEMaster[[#This Row],[RK]])</f>
        <v>WR70</v>
      </c>
      <c r="BH71" s="263">
        <f>IFERROR(INDEX(TableWRVORP[BYE],MATCH(TableWRTEMaster[[#This Row],[RK]],TableWRVORP[RK],0)),"")</f>
        <v>14</v>
      </c>
      <c r="BI71" s="264">
        <f>IFERROR(INDEX(TableWRVORP[FPS],MATCH(TableWRTEMaster[[#This Row],[RK]],TableWRVORP[RK],0)),"")</f>
        <v>86.965222387666444</v>
      </c>
      <c r="BJ71" s="254">
        <f>IFERROR(INDEX(TableWRVORP[VORP],MATCH(TableWRTEMaster[[#This Row],[RK]],TableWRVORP[RK],0)),"")</f>
        <v>-0.20195252757262958</v>
      </c>
    </row>
    <row r="72" spans="1:62" x14ac:dyDescent="0.3">
      <c r="A72" s="246">
        <v>71</v>
      </c>
      <c r="B72" s="247" t="str">
        <f>IFERROR(INDEX(TableQBCalcPts[PLAYER],MATCH(TableQBVORP[[#This Row],[RK]],TableQBCalcPts[RK],0)),"")</f>
        <v/>
      </c>
      <c r="C72" s="247" t="str">
        <f>IFERROR(INDEX(TableQBCalcPts[TM],MATCH(TableQBVORP[[#This Row],[RK]],TableQBCalcPts[RK],0)),"")</f>
        <v/>
      </c>
      <c r="D72" s="247" t="str">
        <f>IFERROR(INDEX(TableQBCalcPts[BYE],MATCH(TableQBVORP[[#This Row],[RK]],TableQBCalcPts[RK],0)),"")</f>
        <v/>
      </c>
      <c r="E72" s="248" t="str">
        <f>IFERROR(INDEX(TableQBCalcPts[Custom],MATCH(TableQBVORP[[#This Row],[RK]],TableQBCalcPts[RK],0)),"")</f>
        <v/>
      </c>
      <c r="F72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2" s="246"/>
      <c r="H72" s="246">
        <v>71</v>
      </c>
      <c r="I72" s="247" t="str">
        <f>IFERROR(INDEX(TableRBCalcPts[PLAYER],MATCH(TableRBVORP[[#This Row],[RK]],TableRBCalcPts[RK],0)),"")</f>
        <v>Dontrell Hilliard</v>
      </c>
      <c r="J72" s="247" t="str">
        <f>IFERROR(INDEX(TableRBCalcPts[TM],MATCH(TableRBVORP[[#This Row],[RK]],TableRBCalcPts[RK],0)),"")</f>
        <v>TEN</v>
      </c>
      <c r="K72" s="247">
        <f>IFERROR(INDEX(TableRBCalcPts[BYE],MATCH(TableRBVORP[[#This Row],[RK]],TableRBCalcPts[RK],0)),"")</f>
        <v>6</v>
      </c>
      <c r="L72" s="248">
        <f>IFERROR(INDEX(TableRBCalcPts[Custom],MATCH(TableRBVORP[[#This Row],[RK]],TableRBCalcPts[RK],0)),"")</f>
        <v>40.937847165105438</v>
      </c>
      <c r="M72" s="249">
        <f>IFERROR((TableRBVORP[[#This Row],[FPS]]-INDEX(TableRBVORP[FPS],MATCH(RBVORPCalc,TableRBVORP[RK],0)))/INDEX(TableRBVORP[FPS],MATCH(RBVORPCalc,TableRBVORP[RK],0)),"")</f>
        <v>-0.59595161416865239</v>
      </c>
      <c r="N72" s="246"/>
      <c r="O72" s="246">
        <v>71</v>
      </c>
      <c r="P72" s="247" t="str">
        <f>IFERROR(INDEX(TableWRCalcPts[PLAYER],MATCH(TableWRVORP[[#This Row],[RK]],TableWRCalcPts[RK],0)),"")</f>
        <v>Joshua Palmer</v>
      </c>
      <c r="Q72" s="247" t="str">
        <f>IFERROR(INDEX(TableWRCalcPts[TM],MATCH(TableWRVORP[[#This Row],[RK]],TableWRCalcPts[RK],0)),"")</f>
        <v>LAC</v>
      </c>
      <c r="R72" s="247">
        <f>IFERROR(INDEX(TableWRCalcPts[BYE],MATCH(TableWRVORP[[#This Row],[RK]],TableWRCalcPts[RK],0)),"")</f>
        <v>8</v>
      </c>
      <c r="S72" s="248">
        <f>IFERROR(INDEX(TableWRCalcPts[Custom],MATCH(TableWRVORP[[#This Row],[RK]],TableWRCalcPts[RK],0)),"")</f>
        <v>86.180512483488769</v>
      </c>
      <c r="T72" s="249">
        <f>IFERROR((TableWRVORP[[#This Row],[FPS]]-INDEX(TableWRVORP[FPS],MATCH(WRVORPCalc,TableWRVORP[RK],0)))/INDEX(TableWRVORP[FPS],MATCH(WRVORPCalc,TableWRVORP[RK],0)),"")</f>
        <v>-0.20915351824940992</v>
      </c>
      <c r="U72" s="246"/>
      <c r="V72" s="246">
        <v>71</v>
      </c>
      <c r="W72" s="247" t="str">
        <f>IFERROR(INDEX(TableTECalcPts[PLAYER],MATCH(TableTEVORP[[#This Row],[RK]],TableTECalcPts[RK],0)),"")</f>
        <v>Charlie Kolar</v>
      </c>
      <c r="X72" s="247" t="str">
        <f>IFERROR(INDEX(TableTECalcPts[TM],MATCH(TableTEVORP[[#This Row],[RK]],TableTECalcPts[RK],0)),"")</f>
        <v>BAL</v>
      </c>
      <c r="Y72" s="247">
        <f>IFERROR(INDEX(TableTECalcPts[BYE],MATCH(TableTEVORP[[#This Row],[RK]],TableTECalcPts[RK],0)),"")</f>
        <v>10</v>
      </c>
      <c r="Z72" s="248">
        <f>IFERROR(INDEX(TableTECalcPts[Custom],MATCH(TableTEVORP[[#This Row],[RK]],TableTECalcPts[RK],0)),"")</f>
        <v>10.31898266790072</v>
      </c>
      <c r="AA72" s="249">
        <f>IFERROR((TableTEVORP[[#This Row],[FPS]]-INDEX(TableTEVORP[FPS],MATCH(TEVORPCalc,TableTEVORP[RK],0)))/INDEX(TableTEVORP[FPS],MATCH(TEVORPCalc,TableTEVORP[RK],0)),"")</f>
        <v>-0.8992802182964873</v>
      </c>
      <c r="AB72" s="246"/>
      <c r="AC72" s="250"/>
      <c r="AD72" s="250"/>
      <c r="AE72" s="250"/>
      <c r="AF72" s="250" t="s">
        <v>357</v>
      </c>
      <c r="AG72" s="250">
        <v>31</v>
      </c>
      <c r="AH72" s="251">
        <f>RANK(TableOverallMaster[[#This Row],[VORP]],TableOverallMaster[VORP])+COUNTIF($AM$2:AM72,AM72)-1</f>
        <v>67</v>
      </c>
      <c r="AI72" s="252" t="str">
        <f>IFERROR(INDEX(TableRBVORP[RUNNING BACK],MATCH(TableOverallMaster[[#This Row],[RK]],TableRBVORP[RK],0)),"")</f>
        <v>Devin Singletary</v>
      </c>
      <c r="AJ72" s="252" t="str">
        <f t="shared" si="1"/>
        <v>RB31</v>
      </c>
      <c r="AK72" s="252">
        <f>IFERROR(INDEX(TableRBVORP[BYE],MATCH(TableOverallMaster[[#This Row],[RK]],TableRBVORP[RK],0)),"")</f>
        <v>7</v>
      </c>
      <c r="AL72" s="253">
        <f>IFERROR(INDEX(TableRBVORP[FPS],MATCH(TableOverallMaster[[#This Row],[RK]],TableRBVORP[RK],0)),"")</f>
        <v>134.98798518855412</v>
      </c>
      <c r="AM72" s="254">
        <f>IFERROR(INDEX(TableRBVORP[VORP],MATCH(TableOverallMaster[[#This Row],[RK]],TableRBVORP[RK],0)),"")</f>
        <v>0.33230448836477505</v>
      </c>
      <c r="AN72" s="250"/>
      <c r="AO72" s="250">
        <v>71</v>
      </c>
      <c r="AP72" s="255" t="str">
        <f>IFERROR(INDEX(TableOverallMaster[OVERALL PLAYER],MATCH(TableOverallRank[[#This Row],[RK]],TableOverallMaster[OVR RK],0)),"")</f>
        <v>JuJu Smith-Schuster</v>
      </c>
      <c r="AQ72" s="256" t="str">
        <f>IFERROR(INDEX(TableOverallMaster[POS RK],MATCH(TableOverallRank[[#This Row],[OVERALL PLAYER]],TableOverallMaster[OVERALL PLAYER],0)),"")</f>
        <v>WR26</v>
      </c>
      <c r="AR72" s="257">
        <f>IFERROR(INDEX(TableOverallMaster[BYE],MATCH(TableOverallRank[[#This Row],[OVERALL PLAYER]],TableOverallMaster[OVERALL PLAYER],0)),"")</f>
        <v>8</v>
      </c>
      <c r="AS72" s="258">
        <f>IFERROR(INDEX(TableOverallMaster[Custom],MATCH(TableOverallRank[[#This Row],[OVERALL PLAYER]],TableOverallMaster[OVERALL PLAYER],0)),"")</f>
        <v>141.77739977868507</v>
      </c>
      <c r="AT72" s="259">
        <f>IFERROR(INDEX(TableOverallMaster[VORP],MATCH(TableOverallRank[[#This Row],[OVERALL PLAYER]],TableOverallMaster[OVERALL PLAYER],0)),"")</f>
        <v>0.30103842012081</v>
      </c>
      <c r="AU72" s="250"/>
      <c r="AV72" s="246">
        <v>71</v>
      </c>
      <c r="AW72" s="260" t="str">
        <f>IFERROR(INDEX(TableWRTECalcPts[PLAYER],MATCH(TableWRTERank[[#This Row],[RK]],TableWRTECalcPts[RK],0)),"")</f>
        <v>Robbie Anderson</v>
      </c>
      <c r="AX72" s="260" t="str">
        <f>IFERROR(INDEX(TableWRTECalcPts[POS RK],MATCH(TableWRTERank[[#This Row],[WR and TE COMBINED]],TableWRTECalcPts[PLAYER],0)),"")</f>
        <v>WR59</v>
      </c>
      <c r="AY72" s="260">
        <f>IFERROR(INDEX(TableWRTECalcPts[BYE],MATCH(TableWRTERank[[#This Row],[RK]],TableWRTECalcPts[RK],0)),"")</f>
        <v>13</v>
      </c>
      <c r="AZ72" s="261">
        <f>IFERROR(INDEX(TableWRTECalcPts[Custom],MATCH(TableWRTERank[[#This Row],[RK]],TableWRTECalcPts[RK],0)),"")</f>
        <v>99.022998253309396</v>
      </c>
      <c r="BA72" s="249">
        <f>IFERROR((TableWRTERank[[#This Row],[FPS]]-INDEX(TableWRTERank[FPS],MATCH(WRTEVORPCalc,TableWRTERank[RK],0)))/INDEX(TableWRTERank[FPS],MATCH(WRTEVORPCalc,TableWRTERank[RK],0)),"")</f>
        <v>-0.1661232168226961</v>
      </c>
      <c r="BC72" s="124" t="s">
        <v>358</v>
      </c>
      <c r="BD72" s="124">
        <v>71</v>
      </c>
      <c r="BE72" s="262">
        <f>RANK(TableWRTEMaster[[#This Row],[VORP]],TableWRTEMaster[VORP])+COUNTIF($BJ$2:BJ72,BJ72)-1</f>
        <v>94</v>
      </c>
      <c r="BF72" s="263" t="str">
        <f>IFERROR(INDEX(TableWRVORP[WIDE RECEIVER],MATCH(TableWRTEMaster[[#This Row],[RK]],TableWRVORP[RK],0)),"")</f>
        <v>Joshua Palmer</v>
      </c>
      <c r="BG72" s="263" t="str">
        <f>_xlfn.CONCAT(TableWRTEMaster[[#This Row],[POS]],TableWRTEMaster[[#This Row],[RK]])</f>
        <v>WR71</v>
      </c>
      <c r="BH72" s="263">
        <f>IFERROR(INDEX(TableWRVORP[BYE],MATCH(TableWRTEMaster[[#This Row],[RK]],TableWRVORP[RK],0)),"")</f>
        <v>8</v>
      </c>
      <c r="BI72" s="264">
        <f>IFERROR(INDEX(TableWRVORP[FPS],MATCH(TableWRTEMaster[[#This Row],[RK]],TableWRVORP[RK],0)),"")</f>
        <v>86.180512483488769</v>
      </c>
      <c r="BJ72" s="254">
        <f>IFERROR(INDEX(TableWRVORP[VORP],MATCH(TableWRTEMaster[[#This Row],[RK]],TableWRVORP[RK],0)),"")</f>
        <v>-0.20915351824940992</v>
      </c>
    </row>
    <row r="73" spans="1:62" x14ac:dyDescent="0.3">
      <c r="A73" s="246">
        <v>72</v>
      </c>
      <c r="B73" s="247" t="str">
        <f>IFERROR(INDEX(TableQBCalcPts[PLAYER],MATCH(TableQBVORP[[#This Row],[RK]],TableQBCalcPts[RK],0)),"")</f>
        <v/>
      </c>
      <c r="C73" s="247" t="str">
        <f>IFERROR(INDEX(TableQBCalcPts[TM],MATCH(TableQBVORP[[#This Row],[RK]],TableQBCalcPts[RK],0)),"")</f>
        <v/>
      </c>
      <c r="D73" s="247" t="str">
        <f>IFERROR(INDEX(TableQBCalcPts[BYE],MATCH(TableQBVORP[[#This Row],[RK]],TableQBCalcPts[RK],0)),"")</f>
        <v/>
      </c>
      <c r="E73" s="248" t="str">
        <f>IFERROR(INDEX(TableQBCalcPts[Custom],MATCH(TableQBVORP[[#This Row],[RK]],TableQBCalcPts[RK],0)),"")</f>
        <v/>
      </c>
      <c r="F73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3" s="246"/>
      <c r="H73" s="246">
        <v>72</v>
      </c>
      <c r="I73" s="247" t="str">
        <f>IFERROR(INDEX(TableRBCalcPts[PLAYER],MATCH(TableRBVORP[[#This Row],[RK]],TableRBCalcPts[RK],0)),"")</f>
        <v>Hassan Haskins</v>
      </c>
      <c r="J73" s="247" t="str">
        <f>IFERROR(INDEX(TableRBCalcPts[TM],MATCH(TableRBVORP[[#This Row],[RK]],TableRBCalcPts[RK],0)),"")</f>
        <v>TEN</v>
      </c>
      <c r="K73" s="247">
        <f>IFERROR(INDEX(TableRBCalcPts[BYE],MATCH(TableRBVORP[[#This Row],[RK]],TableRBCalcPts[RK],0)),"")</f>
        <v>6</v>
      </c>
      <c r="L73" s="248">
        <f>IFERROR(INDEX(TableRBCalcPts[Custom],MATCH(TableRBVORP[[#This Row],[RK]],TableRBCalcPts[RK],0)),"")</f>
        <v>40.841685253732471</v>
      </c>
      <c r="M73" s="249">
        <f>IFERROR((TableRBVORP[[#This Row],[FPS]]-INDEX(TableRBVORP[FPS],MATCH(RBVORPCalc,TableRBVORP[RK],0)))/INDEX(TableRBVORP[FPS],MATCH(RBVORPCalc,TableRBVORP[RK],0)),"")</f>
        <v>-0.59690071305291958</v>
      </c>
      <c r="N73" s="246"/>
      <c r="O73" s="246">
        <v>72</v>
      </c>
      <c r="P73" s="247" t="str">
        <f>IFERROR(INDEX(TableWRCalcPts[PLAYER],MATCH(TableWRVORP[[#This Row],[RK]],TableWRCalcPts[RK],0)),"")</f>
        <v>Marquez Valdes-Scantling</v>
      </c>
      <c r="Q73" s="247" t="str">
        <f>IFERROR(INDEX(TableWRCalcPts[TM],MATCH(TableWRVORP[[#This Row],[RK]],TableWRCalcPts[RK],0)),"")</f>
        <v>KC</v>
      </c>
      <c r="R73" s="247">
        <f>IFERROR(INDEX(TableWRCalcPts[BYE],MATCH(TableWRVORP[[#This Row],[RK]],TableWRCalcPts[RK],0)),"")</f>
        <v>8</v>
      </c>
      <c r="S73" s="248">
        <f>IFERROR(INDEX(TableWRCalcPts[Custom],MATCH(TableWRVORP[[#This Row],[RK]],TableWRCalcPts[RK],0)),"")</f>
        <v>85.989633923707842</v>
      </c>
      <c r="T73" s="249">
        <f>IFERROR((TableWRVORP[[#This Row],[FPS]]-INDEX(TableWRVORP[FPS],MATCH(WRVORPCalc,TableWRVORP[RK],0)))/INDEX(TableWRVORP[FPS],MATCH(WRVORPCalc,TableWRVORP[RK],0)),"")</f>
        <v>-0.21090513973661432</v>
      </c>
      <c r="U73" s="246"/>
      <c r="V73" s="246">
        <v>72</v>
      </c>
      <c r="W73" s="247" t="str">
        <f>IFERROR(INDEX(TableTECalcPts[PLAYER],MATCH(TableTEVORP[[#This Row],[RK]],TableTECalcPts[RK],0)),"")</f>
        <v>Blake Bell</v>
      </c>
      <c r="X73" s="247" t="str">
        <f>IFERROR(INDEX(TableTECalcPts[TM],MATCH(TableTEVORP[[#This Row],[RK]],TableTECalcPts[RK],0)),"")</f>
        <v>KC</v>
      </c>
      <c r="Y73" s="247">
        <f>IFERROR(INDEX(TableTECalcPts[BYE],MATCH(TableTEVORP[[#This Row],[RK]],TableTECalcPts[RK],0)),"")</f>
        <v>8</v>
      </c>
      <c r="Z73" s="248">
        <f>IFERROR(INDEX(TableTECalcPts[Custom],MATCH(TableTEVORP[[#This Row],[RK]],TableTECalcPts[RK],0)),"")</f>
        <v>10.307958659393259</v>
      </c>
      <c r="AA73" s="249">
        <f>IFERROR((TableTEVORP[[#This Row],[FPS]]-INDEX(TableTEVORP[FPS],MATCH(TEVORPCalc,TableTEVORP[RK],0)))/INDEX(TableTEVORP[FPS],MATCH(TEVORPCalc,TableTEVORP[RK],0)),"")</f>
        <v>-0.89938781957522784</v>
      </c>
      <c r="AB73" s="246"/>
      <c r="AC73" s="250"/>
      <c r="AD73" s="250"/>
      <c r="AE73" s="250"/>
      <c r="AF73" s="250" t="s">
        <v>357</v>
      </c>
      <c r="AG73" s="250">
        <v>32</v>
      </c>
      <c r="AH73" s="251">
        <f>RANK(TableOverallMaster[[#This Row],[VORP]],TableOverallMaster[VORP])+COUNTIF($AM$2:AM73,AM73)-1</f>
        <v>73</v>
      </c>
      <c r="AI73" s="252" t="str">
        <f>IFERROR(INDEX(TableRBVORP[RUNNING BACK],MATCH(TableOverallMaster[[#This Row],[RK]],TableRBVORP[RK],0)),"")</f>
        <v>Melvin Gordon</v>
      </c>
      <c r="AJ73" s="252" t="str">
        <f t="shared" si="1"/>
        <v>RB32</v>
      </c>
      <c r="AK73" s="252">
        <f>IFERROR(INDEX(TableRBVORP[BYE],MATCH(TableOverallMaster[[#This Row],[RK]],TableRBVORP[RK],0)),"")</f>
        <v>9</v>
      </c>
      <c r="AL73" s="253">
        <f>IFERROR(INDEX(TableRBVORP[FPS],MATCH(TableOverallMaster[[#This Row],[RK]],TableRBVORP[RK],0)),"")</f>
        <v>130.42698157645512</v>
      </c>
      <c r="AM73" s="254">
        <f>IFERROR(INDEX(TableRBVORP[VORP],MATCH(TableOverallMaster[[#This Row],[RK]],TableRBVORP[RK],0)),"")</f>
        <v>0.28728829247623389</v>
      </c>
      <c r="AN73" s="250"/>
      <c r="AO73" s="250">
        <v>72</v>
      </c>
      <c r="AP73" s="255" t="str">
        <f>IFERROR(INDEX(TableOverallMaster[OVERALL PLAYER],MATCH(TableOverallRank[[#This Row],[RK]],TableOverallMaster[OVR RK],0)),"")</f>
        <v>Elijah Moore</v>
      </c>
      <c r="AQ73" s="256" t="str">
        <f>IFERROR(INDEX(TableOverallMaster[POS RK],MATCH(TableOverallRank[[#This Row],[OVERALL PLAYER]],TableOverallMaster[OVERALL PLAYER],0)),"")</f>
        <v>WR27</v>
      </c>
      <c r="AR73" s="257">
        <f>IFERROR(INDEX(TableOverallMaster[BYE],MATCH(TableOverallRank[[#This Row],[OVERALL PLAYER]],TableOverallMaster[OVERALL PLAYER],0)),"")</f>
        <v>10</v>
      </c>
      <c r="AS73" s="258">
        <f>IFERROR(INDEX(TableOverallMaster[Custom],MATCH(TableOverallRank[[#This Row],[OVERALL PLAYER]],TableOverallMaster[OVERALL PLAYER],0)),"")</f>
        <v>140.30061800932492</v>
      </c>
      <c r="AT73" s="259">
        <f>IFERROR(INDEX(TableOverallMaster[VORP],MATCH(TableOverallRank[[#This Row],[OVERALL PLAYER]],TableOverallMaster[OVERALL PLAYER],0)),"")</f>
        <v>0.28748654356593756</v>
      </c>
      <c r="AU73" s="250"/>
      <c r="AV73" s="246">
        <v>72</v>
      </c>
      <c r="AW73" s="260" t="str">
        <f>IFERROR(INDEX(TableWRTECalcPts[PLAYER],MATCH(TableWRTERank[[#This Row],[RK]],TableWRTECalcPts[RK],0)),"")</f>
        <v>David Njoku</v>
      </c>
      <c r="AX73" s="260" t="str">
        <f>IFERROR(INDEX(TableWRTECalcPts[POS RK],MATCH(TableWRTERank[[#This Row],[WR and TE COMBINED]],TableWRTECalcPts[PLAYER],0)),"")</f>
        <v>TE13</v>
      </c>
      <c r="AY73" s="260">
        <f>IFERROR(INDEX(TableWRTECalcPts[BYE],MATCH(TableWRTERank[[#This Row],[RK]],TableWRTECalcPts[RK],0)),"")</f>
        <v>9</v>
      </c>
      <c r="AZ73" s="261">
        <f>IFERROR(INDEX(TableWRTECalcPts[Custom],MATCH(TableWRTERank[[#This Row],[RK]],TableWRTECalcPts[RK],0)),"")</f>
        <v>98.103124524733062</v>
      </c>
      <c r="BA73" s="249">
        <f>IFERROR((TableWRTERank[[#This Row],[FPS]]-INDEX(TableWRTERank[FPS],MATCH(WRTEVORPCalc,TableWRTERank[RK],0)))/INDEX(TableWRTERank[FPS],MATCH(WRTEVORPCalc,TableWRTERank[RK],0)),"")</f>
        <v>-0.17386951171625545</v>
      </c>
      <c r="BC73" s="124" t="s">
        <v>358</v>
      </c>
      <c r="BD73" s="124">
        <v>72</v>
      </c>
      <c r="BE73" s="262">
        <f>RANK(TableWRTEMaster[[#This Row],[VORP]],TableWRTEMaster[VORP])+COUNTIF($BJ$2:BJ73,BJ73)-1</f>
        <v>95</v>
      </c>
      <c r="BF73" s="263" t="str">
        <f>IFERROR(INDEX(TableWRVORP[WIDE RECEIVER],MATCH(TableWRTEMaster[[#This Row],[RK]],TableWRVORP[RK],0)),"")</f>
        <v>Marquez Valdes-Scantling</v>
      </c>
      <c r="BG73" s="263" t="str">
        <f>_xlfn.CONCAT(TableWRTEMaster[[#This Row],[POS]],TableWRTEMaster[[#This Row],[RK]])</f>
        <v>WR72</v>
      </c>
      <c r="BH73" s="263">
        <f>IFERROR(INDEX(TableWRVORP[BYE],MATCH(TableWRTEMaster[[#This Row],[RK]],TableWRVORP[RK],0)),"")</f>
        <v>8</v>
      </c>
      <c r="BI73" s="264">
        <f>IFERROR(INDEX(TableWRVORP[FPS],MATCH(TableWRTEMaster[[#This Row],[RK]],TableWRVORP[RK],0)),"")</f>
        <v>85.989633923707842</v>
      </c>
      <c r="BJ73" s="254">
        <f>IFERROR(INDEX(TableWRVORP[VORP],MATCH(TableWRTEMaster[[#This Row],[RK]],TableWRVORP[RK],0)),"")</f>
        <v>-0.21090513973661432</v>
      </c>
    </row>
    <row r="74" spans="1:62" x14ac:dyDescent="0.3">
      <c r="A74" s="246">
        <v>73</v>
      </c>
      <c r="B74" s="247" t="str">
        <f>IFERROR(INDEX(TableQBCalcPts[PLAYER],MATCH(TableQBVORP[[#This Row],[RK]],TableQBCalcPts[RK],0)),"")</f>
        <v/>
      </c>
      <c r="C74" s="247" t="str">
        <f>IFERROR(INDEX(TableQBCalcPts[TM],MATCH(TableQBVORP[[#This Row],[RK]],TableQBCalcPts[RK],0)),"")</f>
        <v/>
      </c>
      <c r="D74" s="247" t="str">
        <f>IFERROR(INDEX(TableQBCalcPts[BYE],MATCH(TableQBVORP[[#This Row],[RK]],TableQBCalcPts[RK],0)),"")</f>
        <v/>
      </c>
      <c r="E74" s="248" t="str">
        <f>IFERROR(INDEX(TableQBCalcPts[Custom],MATCH(TableQBVORP[[#This Row],[RK]],TableQBCalcPts[RK],0)),"")</f>
        <v/>
      </c>
      <c r="F74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4" s="246"/>
      <c r="H74" s="246">
        <v>73</v>
      </c>
      <c r="I74" s="247" t="str">
        <f>IFERROR(INDEX(TableRBCalcPts[PLAYER],MATCH(TableRBVORP[[#This Row],[RK]],TableRBCalcPts[RK],0)),"")</f>
        <v>Samaje Perine</v>
      </c>
      <c r="J74" s="247" t="str">
        <f>IFERROR(INDEX(TableRBCalcPts[TM],MATCH(TableRBVORP[[#This Row],[RK]],TableRBCalcPts[RK],0)),"")</f>
        <v>CIN</v>
      </c>
      <c r="K74" s="247">
        <f>IFERROR(INDEX(TableRBCalcPts[BYE],MATCH(TableRBVORP[[#This Row],[RK]],TableRBCalcPts[RK],0)),"")</f>
        <v>10</v>
      </c>
      <c r="L74" s="248">
        <f>IFERROR(INDEX(TableRBCalcPts[Custom],MATCH(TableRBVORP[[#This Row],[RK]],TableRBCalcPts[RK],0)),"")</f>
        <v>37.390647163356761</v>
      </c>
      <c r="M74" s="249">
        <f>IFERROR((TableRBVORP[[#This Row],[FPS]]-INDEX(TableRBVORP[FPS],MATCH(RBVORPCalc,TableRBVORP[RK],0)))/INDEX(TableRBVORP[FPS],MATCH(RBVORPCalc,TableRBVORP[RK],0)),"")</f>
        <v>-0.63096177064188208</v>
      </c>
      <c r="N74" s="246"/>
      <c r="O74" s="246">
        <v>73</v>
      </c>
      <c r="P74" s="247" t="str">
        <f>IFERROR(INDEX(TableWRCalcPts[PLAYER],MATCH(TableWRVORP[[#This Row],[RK]],TableWRCalcPts[RK],0)),"")</f>
        <v>Donovan Peoples-Jones</v>
      </c>
      <c r="Q74" s="247" t="str">
        <f>IFERROR(INDEX(TableWRCalcPts[TM],MATCH(TableWRVORP[[#This Row],[RK]],TableWRCalcPts[RK],0)),"")</f>
        <v>CLE</v>
      </c>
      <c r="R74" s="247">
        <f>IFERROR(INDEX(TableWRCalcPts[BYE],MATCH(TableWRVORP[[#This Row],[RK]],TableWRCalcPts[RK],0)),"")</f>
        <v>9</v>
      </c>
      <c r="S74" s="248">
        <f>IFERROR(INDEX(TableWRCalcPts[Custom],MATCH(TableWRVORP[[#This Row],[RK]],TableWRCalcPts[RK],0)),"")</f>
        <v>85.670822503733376</v>
      </c>
      <c r="T74" s="249">
        <f>IFERROR((TableWRVORP[[#This Row],[FPS]]-INDEX(TableWRVORP[FPS],MATCH(WRVORPCalc,TableWRVORP[RK],0)))/INDEX(TableWRVORP[FPS],MATCH(WRVORPCalc,TableWRVORP[RK],0)),"")</f>
        <v>-0.21383075345789523</v>
      </c>
      <c r="U74" s="246"/>
      <c r="V74" s="246">
        <v>73</v>
      </c>
      <c r="W74" s="247" t="str">
        <f>IFERROR(INDEX(TableTECalcPts[PLAYER],MATCH(TableTEVORP[[#This Row],[RK]],TableTECalcPts[RK],0)),"")</f>
        <v>Jeremy Ruckert</v>
      </c>
      <c r="X74" s="247" t="str">
        <f>IFERROR(INDEX(TableTECalcPts[TM],MATCH(TableTEVORP[[#This Row],[RK]],TableTECalcPts[RK],0)),"")</f>
        <v>NYJ</v>
      </c>
      <c r="Y74" s="247">
        <f>IFERROR(INDEX(TableTECalcPts[BYE],MATCH(TableTEVORP[[#This Row],[RK]],TableTECalcPts[RK],0)),"")</f>
        <v>10</v>
      </c>
      <c r="Z74" s="248">
        <f>IFERROR(INDEX(TableTECalcPts[Custom],MATCH(TableTEVORP[[#This Row],[RK]],TableTECalcPts[RK],0)),"")</f>
        <v>9.9825376579927561</v>
      </c>
      <c r="AA74" s="249">
        <f>IFERROR((TableTEVORP[[#This Row],[FPS]]-INDEX(TableTEVORP[FPS],MATCH(TEVORPCalc,TableTEVORP[RK],0)))/INDEX(TableTEVORP[FPS],MATCH(TEVORPCalc,TableTEVORP[RK],0)),"")</f>
        <v>-0.90256413387651602</v>
      </c>
      <c r="AB74" s="246"/>
      <c r="AC74" s="250"/>
      <c r="AD74" s="250"/>
      <c r="AE74" s="250"/>
      <c r="AF74" s="250" t="s">
        <v>357</v>
      </c>
      <c r="AG74" s="250">
        <v>33</v>
      </c>
      <c r="AH74" s="251">
        <f>RANK(TableOverallMaster[[#This Row],[VORP]],TableOverallMaster[VORP])+COUNTIF($AM$2:AM74,AM74)-1</f>
        <v>78</v>
      </c>
      <c r="AI74" s="252" t="str">
        <f>IFERROR(INDEX(TableRBVORP[RUNNING BACK],MATCH(TableOverallMaster[[#This Row],[RK]],TableRBVORP[RK],0)),"")</f>
        <v>Miles Sanders</v>
      </c>
      <c r="AJ74" s="252" t="str">
        <f t="shared" si="1"/>
        <v>RB33</v>
      </c>
      <c r="AK74" s="252">
        <f>IFERROR(INDEX(TableRBVORP[BYE],MATCH(TableOverallMaster[[#This Row],[RK]],TableRBVORP[RK],0)),"")</f>
        <v>7</v>
      </c>
      <c r="AL74" s="253">
        <f>IFERROR(INDEX(TableRBVORP[FPS],MATCH(TableOverallMaster[[#This Row],[RK]],TableRBVORP[RK],0)),"")</f>
        <v>128.25968330598508</v>
      </c>
      <c r="AM74" s="254">
        <f>IFERROR(INDEX(TableRBVORP[VORP],MATCH(TableOverallMaster[[#This Row],[RK]],TableRBVORP[RK],0)),"")</f>
        <v>0.26589749084793246</v>
      </c>
      <c r="AN74" s="250"/>
      <c r="AO74" s="250">
        <v>73</v>
      </c>
      <c r="AP74" s="255" t="str">
        <f>IFERROR(INDEX(TableOverallMaster[OVERALL PLAYER],MATCH(TableOverallRank[[#This Row],[RK]],TableOverallMaster[OVR RK],0)),"")</f>
        <v>Melvin Gordon</v>
      </c>
      <c r="AQ74" s="256" t="str">
        <f>IFERROR(INDEX(TableOverallMaster[POS RK],MATCH(TableOverallRank[[#This Row],[OVERALL PLAYER]],TableOverallMaster[OVERALL PLAYER],0)),"")</f>
        <v>RB32</v>
      </c>
      <c r="AR74" s="257">
        <f>IFERROR(INDEX(TableOverallMaster[BYE],MATCH(TableOverallRank[[#This Row],[OVERALL PLAYER]],TableOverallMaster[OVERALL PLAYER],0)),"")</f>
        <v>9</v>
      </c>
      <c r="AS74" s="258">
        <f>IFERROR(INDEX(TableOverallMaster[Custom],MATCH(TableOverallRank[[#This Row],[OVERALL PLAYER]],TableOverallMaster[OVERALL PLAYER],0)),"")</f>
        <v>130.42698157645512</v>
      </c>
      <c r="AT74" s="259">
        <f>IFERROR(INDEX(TableOverallMaster[VORP],MATCH(TableOverallRank[[#This Row],[OVERALL PLAYER]],TableOverallMaster[OVERALL PLAYER],0)),"")</f>
        <v>0.28728829247623389</v>
      </c>
      <c r="AU74" s="250"/>
      <c r="AV74" s="246">
        <v>73</v>
      </c>
      <c r="AW74" s="260" t="str">
        <f>IFERROR(INDEX(TableWRTECalcPts[PLAYER],MATCH(TableWRTERank[[#This Row],[RK]],TableWRTECalcPts[RK],0)),"")</f>
        <v>Jahan Dotson</v>
      </c>
      <c r="AX74" s="260" t="str">
        <f>IFERROR(INDEX(TableWRTECalcPts[POS RK],MATCH(TableWRTERank[[#This Row],[WR and TE COMBINED]],TableWRTECalcPts[PLAYER],0)),"")</f>
        <v>WR60</v>
      </c>
      <c r="AY74" s="260">
        <f>IFERROR(INDEX(TableWRTECalcPts[BYE],MATCH(TableWRTERank[[#This Row],[RK]],TableWRTECalcPts[RK],0)),"")</f>
        <v>14</v>
      </c>
      <c r="AZ74" s="261">
        <f>IFERROR(INDEX(TableWRTECalcPts[Custom],MATCH(TableWRTERank[[#This Row],[RK]],TableWRTECalcPts[RK],0)),"")</f>
        <v>97.971643167931461</v>
      </c>
      <c r="BA74" s="249">
        <f>IFERROR((TableWRTERank[[#This Row],[FPS]]-INDEX(TableWRTERank[FPS],MATCH(WRTEVORPCalc,TableWRTERank[RK],0)))/INDEX(TableWRTERank[FPS],MATCH(WRTEVORPCalc,TableWRTERank[RK],0)),"")</f>
        <v>-0.17497672168557024</v>
      </c>
      <c r="BC74" s="124" t="s">
        <v>358</v>
      </c>
      <c r="BD74" s="124">
        <v>73</v>
      </c>
      <c r="BE74" s="262">
        <f>RANK(TableWRTEMaster[[#This Row],[VORP]],TableWRTEMaster[VORP])+COUNTIF($BJ$2:BJ74,BJ74)-1</f>
        <v>96</v>
      </c>
      <c r="BF74" s="263" t="str">
        <f>IFERROR(INDEX(TableWRVORP[WIDE RECEIVER],MATCH(TableWRTEMaster[[#This Row],[RK]],TableWRVORP[RK],0)),"")</f>
        <v>Donovan Peoples-Jones</v>
      </c>
      <c r="BG74" s="263" t="str">
        <f>_xlfn.CONCAT(TableWRTEMaster[[#This Row],[POS]],TableWRTEMaster[[#This Row],[RK]])</f>
        <v>WR73</v>
      </c>
      <c r="BH74" s="263">
        <f>IFERROR(INDEX(TableWRVORP[BYE],MATCH(TableWRTEMaster[[#This Row],[RK]],TableWRVORP[RK],0)),"")</f>
        <v>9</v>
      </c>
      <c r="BI74" s="264">
        <f>IFERROR(INDEX(TableWRVORP[FPS],MATCH(TableWRTEMaster[[#This Row],[RK]],TableWRVORP[RK],0)),"")</f>
        <v>85.670822503733376</v>
      </c>
      <c r="BJ74" s="254">
        <f>IFERROR(INDEX(TableWRVORP[VORP],MATCH(TableWRTEMaster[[#This Row],[RK]],TableWRVORP[RK],0)),"")</f>
        <v>-0.21383075345789523</v>
      </c>
    </row>
    <row r="75" spans="1:62" x14ac:dyDescent="0.3">
      <c r="A75" s="246">
        <v>74</v>
      </c>
      <c r="B75" s="247" t="str">
        <f>IFERROR(INDEX(TableQBCalcPts[PLAYER],MATCH(TableQBVORP[[#This Row],[RK]],TableQBCalcPts[RK],0)),"")</f>
        <v/>
      </c>
      <c r="C75" s="247" t="str">
        <f>IFERROR(INDEX(TableQBCalcPts[TM],MATCH(TableQBVORP[[#This Row],[RK]],TableQBCalcPts[RK],0)),"")</f>
        <v/>
      </c>
      <c r="D75" s="247" t="str">
        <f>IFERROR(INDEX(TableQBCalcPts[BYE],MATCH(TableQBVORP[[#This Row],[RK]],TableQBCalcPts[RK],0)),"")</f>
        <v/>
      </c>
      <c r="E75" s="248" t="str">
        <f>IFERROR(INDEX(TableQBCalcPts[Custom],MATCH(TableQBVORP[[#This Row],[RK]],TableQBCalcPts[RK],0)),"")</f>
        <v/>
      </c>
      <c r="F75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5" s="246"/>
      <c r="H75" s="246">
        <v>74</v>
      </c>
      <c r="I75" s="247" t="str">
        <f>IFERROR(INDEX(TableRBCalcPts[PLAYER],MATCH(TableRBVORP[[#This Row],[RK]],TableRBCalcPts[RK],0)),"")</f>
        <v>Tyrion Davis-Price</v>
      </c>
      <c r="J75" s="247" t="str">
        <f>IFERROR(INDEX(TableRBCalcPts[TM],MATCH(TableRBVORP[[#This Row],[RK]],TableRBCalcPts[RK],0)),"")</f>
        <v>SF</v>
      </c>
      <c r="K75" s="247">
        <f>IFERROR(INDEX(TableRBCalcPts[BYE],MATCH(TableRBVORP[[#This Row],[RK]],TableRBCalcPts[RK],0)),"")</f>
        <v>9</v>
      </c>
      <c r="L75" s="248">
        <f>IFERROR(INDEX(TableRBCalcPts[Custom],MATCH(TableRBVORP[[#This Row],[RK]],TableRBCalcPts[RK],0)),"")</f>
        <v>36.149053134488504</v>
      </c>
      <c r="M75" s="249">
        <f>IFERROR((TableRBVORP[[#This Row],[FPS]]-INDEX(TableRBVORP[FPS],MATCH(RBVORPCalc,TableRBVORP[RK],0)))/INDEX(TableRBVORP[FPS],MATCH(RBVORPCalc,TableRBVORP[RK],0)),"")</f>
        <v>-0.64321605605163523</v>
      </c>
      <c r="N75" s="246"/>
      <c r="O75" s="246">
        <v>74</v>
      </c>
      <c r="P75" s="247" t="str">
        <f>IFERROR(INDEX(TableWRCalcPts[PLAYER],MATCH(TableWRVORP[[#This Row],[RK]],TableWRCalcPts[RK],0)),"")</f>
        <v>Cedrick Wilson</v>
      </c>
      <c r="Q75" s="247" t="str">
        <f>IFERROR(INDEX(TableWRCalcPts[TM],MATCH(TableWRVORP[[#This Row],[RK]],TableWRCalcPts[RK],0)),"")</f>
        <v>MIA</v>
      </c>
      <c r="R75" s="247">
        <f>IFERROR(INDEX(TableWRCalcPts[BYE],MATCH(TableWRVORP[[#This Row],[RK]],TableWRCalcPts[RK],0)),"")</f>
        <v>11</v>
      </c>
      <c r="S75" s="248">
        <f>IFERROR(INDEX(TableWRCalcPts[Custom],MATCH(TableWRVORP[[#This Row],[RK]],TableWRCalcPts[RK],0)),"")</f>
        <v>83.805271165984095</v>
      </c>
      <c r="T75" s="249">
        <f>IFERROR((TableWRVORP[[#This Row],[FPS]]-INDEX(TableWRVORP[FPS],MATCH(WRVORPCalc,TableWRVORP[RK],0)))/INDEX(TableWRVORP[FPS],MATCH(WRVORPCalc,TableWRVORP[RK],0)),"")</f>
        <v>-0.23095022361963036</v>
      </c>
      <c r="U75" s="246"/>
      <c r="V75" s="246">
        <v>74</v>
      </c>
      <c r="W75" s="247" t="str">
        <f>IFERROR(INDEX(TableTECalcPts[PLAYER],MATCH(TableTEVORP[[#This Row],[RK]],TableTECalcPts[RK],0)),"")</f>
        <v>Sean McKeon</v>
      </c>
      <c r="X75" s="247" t="str">
        <f>IFERROR(INDEX(TableTECalcPts[TM],MATCH(TableTEVORP[[#This Row],[RK]],TableTECalcPts[RK],0)),"")</f>
        <v>DAL</v>
      </c>
      <c r="Y75" s="247">
        <f>IFERROR(INDEX(TableTECalcPts[BYE],MATCH(TableTEVORP[[#This Row],[RK]],TableTECalcPts[RK],0)),"")</f>
        <v>9</v>
      </c>
      <c r="Z75" s="248">
        <f>IFERROR(INDEX(TableTECalcPts[Custom],MATCH(TableTEVORP[[#This Row],[RK]],TableTECalcPts[RK],0)),"")</f>
        <v>9.6478881416634454</v>
      </c>
      <c r="AA75" s="249">
        <f>IFERROR((TableTEVORP[[#This Row],[FPS]]-INDEX(TableTEVORP[FPS],MATCH(TEVORPCalc,TableTEVORP[RK],0)))/INDEX(TableTEVORP[FPS],MATCH(TEVORPCalc,TableTEVORP[RK],0)),"")</f>
        <v>-0.9058305243063326</v>
      </c>
      <c r="AB75" s="246"/>
      <c r="AC75" s="250"/>
      <c r="AD75" s="250"/>
      <c r="AE75" s="250"/>
      <c r="AF75" s="250" t="s">
        <v>357</v>
      </c>
      <c r="AG75" s="250">
        <v>34</v>
      </c>
      <c r="AH75" s="251">
        <f>RANK(TableOverallMaster[[#This Row],[VORP]],TableOverallMaster[VORP])+COUNTIF($AM$2:AM75,AM75)-1</f>
        <v>87</v>
      </c>
      <c r="AI75" s="252" t="str">
        <f>IFERROR(INDEX(TableRBVORP[RUNNING BACK],MATCH(TableOverallMaster[[#This Row],[RK]],TableRBVORP[RK],0)),"")</f>
        <v>Rashaad Penny</v>
      </c>
      <c r="AJ75" s="252" t="str">
        <f t="shared" si="1"/>
        <v>RB34</v>
      </c>
      <c r="AK75" s="252">
        <f>IFERROR(INDEX(TableRBVORP[BYE],MATCH(TableOverallMaster[[#This Row],[RK]],TableRBVORP[RK],0)),"")</f>
        <v>11</v>
      </c>
      <c r="AL75" s="253">
        <f>IFERROR(INDEX(TableRBVORP[FPS],MATCH(TableOverallMaster[[#This Row],[RK]],TableRBVORP[RK],0)),"")</f>
        <v>123.99955197448789</v>
      </c>
      <c r="AM75" s="254">
        <f>IFERROR(INDEX(TableRBVORP[VORP],MATCH(TableOverallMaster[[#This Row],[RK]],TableRBVORP[RK],0)),"")</f>
        <v>0.22385084435529057</v>
      </c>
      <c r="AN75" s="250"/>
      <c r="AO75" s="250">
        <v>74</v>
      </c>
      <c r="AP75" s="255" t="str">
        <f>IFERROR(INDEX(TableOverallMaster[OVERALL PLAYER],MATCH(TableOverallRank[[#This Row],[RK]],TableOverallMaster[OVR RK],0)),"")</f>
        <v>Darren Waller</v>
      </c>
      <c r="AQ75" s="256" t="str">
        <f>IFERROR(INDEX(TableOverallMaster[POS RK],MATCH(TableOverallRank[[#This Row],[OVERALL PLAYER]],TableOverallMaster[OVERALL PLAYER],0)),"")</f>
        <v>TE4</v>
      </c>
      <c r="AR75" s="257">
        <f>IFERROR(INDEX(TableOverallMaster[BYE],MATCH(TableOverallRank[[#This Row],[OVERALL PLAYER]],TableOverallMaster[OVERALL PLAYER],0)),"")</f>
        <v>6</v>
      </c>
      <c r="AS75" s="258">
        <f>IFERROR(INDEX(TableOverallMaster[Custom],MATCH(TableOverallRank[[#This Row],[OVERALL PLAYER]],TableOverallMaster[OVERALL PLAYER],0)),"")</f>
        <v>131.83146212938658</v>
      </c>
      <c r="AT75" s="259">
        <f>IFERROR(INDEX(TableOverallMaster[VORP],MATCH(TableOverallRank[[#This Row],[OVERALL PLAYER]],TableOverallMaster[OVERALL PLAYER],0)),"")</f>
        <v>0.28675825075574035</v>
      </c>
      <c r="AU75" s="250"/>
      <c r="AV75" s="246">
        <v>74</v>
      </c>
      <c r="AW75" s="260" t="str">
        <f>IFERROR(INDEX(TableWRTECalcPts[PLAYER],MATCH(TableWRTERank[[#This Row],[RK]],TableWRTECalcPts[RK],0)),"")</f>
        <v>Kadarius Toney</v>
      </c>
      <c r="AX75" s="260" t="str">
        <f>IFERROR(INDEX(TableWRTECalcPts[POS RK],MATCH(TableWRTERank[[#This Row],[WR and TE COMBINED]],TableWRTECalcPts[PLAYER],0)),"")</f>
        <v>WR61</v>
      </c>
      <c r="AY75" s="260">
        <f>IFERROR(INDEX(TableWRTECalcPts[BYE],MATCH(TableWRTERank[[#This Row],[RK]],TableWRTECalcPts[RK],0)),"")</f>
        <v>9</v>
      </c>
      <c r="AZ75" s="261">
        <f>IFERROR(INDEX(TableWRTECalcPts[Custom],MATCH(TableWRTERank[[#This Row],[RK]],TableWRTECalcPts[RK],0)),"")</f>
        <v>97.721870227738862</v>
      </c>
      <c r="BA75" s="249">
        <f>IFERROR((TableWRTERank[[#This Row],[FPS]]-INDEX(TableWRTERank[FPS],MATCH(WRTEVORPCalc,TableWRTERank[RK],0)))/INDEX(TableWRTERank[FPS],MATCH(WRTEVORPCalc,TableWRTERank[RK],0)),"")</f>
        <v>-0.17708006999421005</v>
      </c>
      <c r="BC75" s="124" t="s">
        <v>358</v>
      </c>
      <c r="BD75" s="124">
        <v>74</v>
      </c>
      <c r="BE75" s="262">
        <f>RANK(TableWRTEMaster[[#This Row],[VORP]],TableWRTEMaster[VORP])+COUNTIF($BJ$2:BJ75,BJ75)-1</f>
        <v>100</v>
      </c>
      <c r="BF75" s="263" t="str">
        <f>IFERROR(INDEX(TableWRVORP[WIDE RECEIVER],MATCH(TableWRTEMaster[[#This Row],[RK]],TableWRVORP[RK],0)),"")</f>
        <v>Cedrick Wilson</v>
      </c>
      <c r="BG75" s="263" t="str">
        <f>_xlfn.CONCAT(TableWRTEMaster[[#This Row],[POS]],TableWRTEMaster[[#This Row],[RK]])</f>
        <v>WR74</v>
      </c>
      <c r="BH75" s="263">
        <f>IFERROR(INDEX(TableWRVORP[BYE],MATCH(TableWRTEMaster[[#This Row],[RK]],TableWRVORP[RK],0)),"")</f>
        <v>11</v>
      </c>
      <c r="BI75" s="264">
        <f>IFERROR(INDEX(TableWRVORP[FPS],MATCH(TableWRTEMaster[[#This Row],[RK]],TableWRVORP[RK],0)),"")</f>
        <v>83.805271165984095</v>
      </c>
      <c r="BJ75" s="254">
        <f>IFERROR(INDEX(TableWRVORP[VORP],MATCH(TableWRTEMaster[[#This Row],[RK]],TableWRVORP[RK],0)),"")</f>
        <v>-0.23095022361963036</v>
      </c>
    </row>
    <row r="76" spans="1:62" x14ac:dyDescent="0.3">
      <c r="A76" s="246">
        <v>75</v>
      </c>
      <c r="B76" s="247" t="str">
        <f>IFERROR(INDEX(TableQBCalcPts[PLAYER],MATCH(TableQBVORP[[#This Row],[RK]],TableQBCalcPts[RK],0)),"")</f>
        <v/>
      </c>
      <c r="C76" s="247" t="str">
        <f>IFERROR(INDEX(TableQBCalcPts[TM],MATCH(TableQBVORP[[#This Row],[RK]],TableQBCalcPts[RK],0)),"")</f>
        <v/>
      </c>
      <c r="D76" s="247" t="str">
        <f>IFERROR(INDEX(TableQBCalcPts[BYE],MATCH(TableQBVORP[[#This Row],[RK]],TableQBCalcPts[RK],0)),"")</f>
        <v/>
      </c>
      <c r="E76" s="248" t="str">
        <f>IFERROR(INDEX(TableQBCalcPts[Custom],MATCH(TableQBVORP[[#This Row],[RK]],TableQBCalcPts[RK],0)),"")</f>
        <v/>
      </c>
      <c r="F76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6" s="246"/>
      <c r="H76" s="246">
        <v>75</v>
      </c>
      <c r="I76" s="247" t="str">
        <f>IFERROR(INDEX(TableRBCalcPts[PLAYER],MATCH(TableRBVORP[[#This Row],[RK]],TableRBCalcPts[RK],0)),"")</f>
        <v>Tony Jones</v>
      </c>
      <c r="J76" s="247" t="str">
        <f>IFERROR(INDEX(TableRBCalcPts[TM],MATCH(TableRBVORP[[#This Row],[RK]],TableRBCalcPts[RK],0)),"")</f>
        <v>NO</v>
      </c>
      <c r="K76" s="247">
        <f>IFERROR(INDEX(TableRBCalcPts[BYE],MATCH(TableRBVORP[[#This Row],[RK]],TableRBCalcPts[RK],0)),"")</f>
        <v>14</v>
      </c>
      <c r="L76" s="248">
        <f>IFERROR(INDEX(TableRBCalcPts[Custom],MATCH(TableRBVORP[[#This Row],[RK]],TableRBCalcPts[RK],0)),"")</f>
        <v>35.395921736950839</v>
      </c>
      <c r="M76" s="249">
        <f>IFERROR((TableRBVORP[[#This Row],[FPS]]-INDEX(TableRBVORP[FPS],MATCH(RBVORPCalc,TableRBVORP[RK],0)))/INDEX(TableRBVORP[FPS],MATCH(RBVORPCalc,TableRBVORP[RK],0)),"")</f>
        <v>-0.65064931272159965</v>
      </c>
      <c r="N76" s="246"/>
      <c r="O76" s="246">
        <v>75</v>
      </c>
      <c r="P76" s="247" t="str">
        <f>IFERROR(INDEX(TableWRCalcPts[PLAYER],MATCH(TableWRVORP[[#This Row],[RK]],TableWRCalcPts[RK],0)),"")</f>
        <v>K.J. Osborn</v>
      </c>
      <c r="Q76" s="247" t="str">
        <f>IFERROR(INDEX(TableWRCalcPts[TM],MATCH(TableWRVORP[[#This Row],[RK]],TableWRCalcPts[RK],0)),"")</f>
        <v>MIN</v>
      </c>
      <c r="R76" s="247">
        <f>IFERROR(INDEX(TableWRCalcPts[BYE],MATCH(TableWRVORP[[#This Row],[RK]],TableWRCalcPts[RK],0)),"")</f>
        <v>7</v>
      </c>
      <c r="S76" s="248">
        <f>IFERROR(INDEX(TableWRCalcPts[Custom],MATCH(TableWRVORP[[#This Row],[RK]],TableWRCalcPts[RK],0)),"")</f>
        <v>80.302367519801066</v>
      </c>
      <c r="T76" s="249">
        <f>IFERROR((TableWRVORP[[#This Row],[FPS]]-INDEX(TableWRVORP[FPS],MATCH(WRVORPCalc,TableWRVORP[RK],0)))/INDEX(TableWRVORP[FPS],MATCH(WRVORPCalc,TableWRVORP[RK],0)),"")</f>
        <v>-0.26309506639978802</v>
      </c>
      <c r="U76" s="246"/>
      <c r="V76" s="246">
        <v>75</v>
      </c>
      <c r="W76" s="247" t="str">
        <f>IFERROR(INDEX(TableTECalcPts[PLAYER],MATCH(TableTEVORP[[#This Row],[RK]],TableTECalcPts[RK],0)),"")</f>
        <v>Johnny Mundt</v>
      </c>
      <c r="X76" s="247" t="str">
        <f>IFERROR(INDEX(TableTECalcPts[TM],MATCH(TableTEVORP[[#This Row],[RK]],TableTECalcPts[RK],0)),"")</f>
        <v>MIN</v>
      </c>
      <c r="Y76" s="247">
        <f>IFERROR(INDEX(TableTECalcPts[BYE],MATCH(TableTEVORP[[#This Row],[RK]],TableTECalcPts[RK],0)),"")</f>
        <v>7</v>
      </c>
      <c r="Z76" s="248">
        <f>IFERROR(INDEX(TableTECalcPts[Custom],MATCH(TableTEVORP[[#This Row],[RK]],TableTECalcPts[RK],0)),"")</f>
        <v>8.2190190845786351</v>
      </c>
      <c r="AA76" s="249">
        <f>IFERROR((TableTEVORP[[#This Row],[FPS]]-INDEX(TableTEVORP[FPS],MATCH(TEVORPCalc,TableTEVORP[RK],0)))/INDEX(TableTEVORP[FPS],MATCH(TEVORPCalc,TableTEVORP[RK],0)),"")</f>
        <v>-0.91977718786263107</v>
      </c>
      <c r="AB76" s="246"/>
      <c r="AC76" s="250"/>
      <c r="AD76" s="250"/>
      <c r="AE76" s="250"/>
      <c r="AF76" s="250" t="s">
        <v>357</v>
      </c>
      <c r="AG76" s="250">
        <v>35</v>
      </c>
      <c r="AH76" s="251">
        <f>RANK(TableOverallMaster[[#This Row],[VORP]],TableOverallMaster[VORP])+COUNTIF($AM$2:AM76,AM76)-1</f>
        <v>88</v>
      </c>
      <c r="AI76" s="252" t="str">
        <f>IFERROR(INDEX(TableRBVORP[RUNNING BACK],MATCH(TableOverallMaster[[#This Row],[RK]],TableRBVORP[RK],0)),"")</f>
        <v>Kareem Hunt</v>
      </c>
      <c r="AJ76" s="252" t="str">
        <f t="shared" si="1"/>
        <v>RB35</v>
      </c>
      <c r="AK76" s="252">
        <f>IFERROR(INDEX(TableRBVORP[BYE],MATCH(TableOverallMaster[[#This Row],[RK]],TableRBVORP[RK],0)),"")</f>
        <v>9</v>
      </c>
      <c r="AL76" s="253">
        <f>IFERROR(INDEX(TableRBVORP[FPS],MATCH(TableOverallMaster[[#This Row],[RK]],TableRBVORP[RK],0)),"")</f>
        <v>123.52378859510981</v>
      </c>
      <c r="AM76" s="254">
        <f>IFERROR(INDEX(TableRBVORP[VORP],MATCH(TableOverallMaster[[#This Row],[RK]],TableRBVORP[RK],0)),"")</f>
        <v>0.21915515469921032</v>
      </c>
      <c r="AN76" s="250"/>
      <c r="AO76" s="250">
        <v>75</v>
      </c>
      <c r="AP76" s="255" t="str">
        <f>IFERROR(INDEX(TableOverallMaster[OVERALL PLAYER],MATCH(TableOverallRank[[#This Row],[RK]],TableOverallMaster[OVR RK],0)),"")</f>
        <v>Trey Lance</v>
      </c>
      <c r="AQ76" s="256" t="str">
        <f>IFERROR(INDEX(TableOverallMaster[POS RK],MATCH(TableOverallRank[[#This Row],[OVERALL PLAYER]],TableOverallMaster[OVERALL PLAYER],0)),"")</f>
        <v>QB12</v>
      </c>
      <c r="AR76" s="257">
        <f>IFERROR(INDEX(TableOverallMaster[BYE],MATCH(TableOverallRank[[#This Row],[OVERALL PLAYER]],TableOverallMaster[OVERALL PLAYER],0)),"")</f>
        <v>9</v>
      </c>
      <c r="AS76" s="258">
        <f>IFERROR(INDEX(TableOverallMaster[Custom],MATCH(TableOverallRank[[#This Row],[OVERALL PLAYER]],TableOverallMaster[OVERALL PLAYER],0)),"")</f>
        <v>324.0209681257009</v>
      </c>
      <c r="AT76" s="259">
        <f>IFERROR(INDEX(TableOverallMaster[VORP],MATCH(TableOverallRank[[#This Row],[OVERALL PLAYER]],TableOverallMaster[OVERALL PLAYER],0)),"")</f>
        <v>0.28170314359239351</v>
      </c>
      <c r="AU76" s="250"/>
      <c r="AV76" s="246">
        <v>75</v>
      </c>
      <c r="AW76" s="260" t="str">
        <f>IFERROR(INDEX(TableWRTECalcPts[PLAYER],MATCH(TableWRTERank[[#This Row],[RK]],TableWRTECalcPts[RK],0)),"")</f>
        <v>George Pickens</v>
      </c>
      <c r="AX76" s="260" t="str">
        <f>IFERROR(INDEX(TableWRTECalcPts[POS RK],MATCH(TableWRTERank[[#This Row],[WR and TE COMBINED]],TableWRTECalcPts[PLAYER],0)),"")</f>
        <v>WR62</v>
      </c>
      <c r="AY76" s="260">
        <f>IFERROR(INDEX(TableWRTECalcPts[BYE],MATCH(TableWRTERank[[#This Row],[RK]],TableWRTECalcPts[RK],0)),"")</f>
        <v>9</v>
      </c>
      <c r="AZ76" s="261">
        <f>IFERROR(INDEX(TableWRTECalcPts[Custom],MATCH(TableWRTERank[[#This Row],[RK]],TableWRTECalcPts[RK],0)),"")</f>
        <v>96.635223734682157</v>
      </c>
      <c r="BA76" s="249">
        <f>IFERROR((TableWRTERank[[#This Row],[FPS]]-INDEX(TableWRTERank[FPS],MATCH(WRTEVORPCalc,TableWRTERank[RK],0)))/INDEX(TableWRTERank[FPS],MATCH(WRTEVORPCalc,TableWRTERank[RK],0)),"")</f>
        <v>-0.1862307652676764</v>
      </c>
      <c r="BC76" s="124" t="s">
        <v>358</v>
      </c>
      <c r="BD76" s="124">
        <v>75</v>
      </c>
      <c r="BE76" s="262">
        <f>RANK(TableWRTEMaster[[#This Row],[VORP]],TableWRTEMaster[VORP])+COUNTIF($BJ$2:BJ76,BJ76)-1</f>
        <v>102</v>
      </c>
      <c r="BF76" s="263" t="str">
        <f>IFERROR(INDEX(TableWRVORP[WIDE RECEIVER],MATCH(TableWRTEMaster[[#This Row],[RK]],TableWRVORP[RK],0)),"")</f>
        <v>K.J. Osborn</v>
      </c>
      <c r="BG76" s="263" t="str">
        <f>_xlfn.CONCAT(TableWRTEMaster[[#This Row],[POS]],TableWRTEMaster[[#This Row],[RK]])</f>
        <v>WR75</v>
      </c>
      <c r="BH76" s="263">
        <f>IFERROR(INDEX(TableWRVORP[BYE],MATCH(TableWRTEMaster[[#This Row],[RK]],TableWRVORP[RK],0)),"")</f>
        <v>7</v>
      </c>
      <c r="BI76" s="264">
        <f>IFERROR(INDEX(TableWRVORP[FPS],MATCH(TableWRTEMaster[[#This Row],[RK]],TableWRVORP[RK],0)),"")</f>
        <v>80.302367519801066</v>
      </c>
      <c r="BJ76" s="254">
        <f>IFERROR(INDEX(TableWRVORP[VORP],MATCH(TableWRTEMaster[[#This Row],[RK]],TableWRVORP[RK],0)),"")</f>
        <v>-0.26309506639978802</v>
      </c>
    </row>
    <row r="77" spans="1:62" x14ac:dyDescent="0.3">
      <c r="A77" s="246">
        <v>76</v>
      </c>
      <c r="B77" s="247" t="str">
        <f>IFERROR(INDEX(TableQBCalcPts[PLAYER],MATCH(TableQBVORP[[#This Row],[RK]],TableQBCalcPts[RK],0)),"")</f>
        <v/>
      </c>
      <c r="C77" s="247" t="str">
        <f>IFERROR(INDEX(TableQBCalcPts[TM],MATCH(TableQBVORP[[#This Row],[RK]],TableQBCalcPts[RK],0)),"")</f>
        <v/>
      </c>
      <c r="D77" s="247" t="str">
        <f>IFERROR(INDEX(TableQBCalcPts[BYE],MATCH(TableQBVORP[[#This Row],[RK]],TableQBCalcPts[RK],0)),"")</f>
        <v/>
      </c>
      <c r="E77" s="248" t="str">
        <f>IFERROR(INDEX(TableQBCalcPts[Custom],MATCH(TableQBVORP[[#This Row],[RK]],TableQBCalcPts[RK],0)),"")</f>
        <v/>
      </c>
      <c r="F77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7" s="246"/>
      <c r="H77" s="246">
        <v>76</v>
      </c>
      <c r="I77" s="247" t="str">
        <f>IFERROR(INDEX(TableRBCalcPts[PLAYER],MATCH(TableRBVORP[[#This Row],[RK]],TableRBCalcPts[RK],0)),"")</f>
        <v>Chuba Hubbard</v>
      </c>
      <c r="J77" s="247" t="str">
        <f>IFERROR(INDEX(TableRBCalcPts[TM],MATCH(TableRBVORP[[#This Row],[RK]],TableRBCalcPts[RK],0)),"")</f>
        <v>CAR</v>
      </c>
      <c r="K77" s="247">
        <f>IFERROR(INDEX(TableRBCalcPts[BYE],MATCH(TableRBVORP[[#This Row],[RK]],TableRBCalcPts[RK],0)),"")</f>
        <v>13</v>
      </c>
      <c r="L77" s="248">
        <f>IFERROR(INDEX(TableRBCalcPts[Custom],MATCH(TableRBVORP[[#This Row],[RK]],TableRBCalcPts[RK],0)),"")</f>
        <v>35.014982512176438</v>
      </c>
      <c r="M77" s="249">
        <f>IFERROR((TableRBVORP[[#This Row],[FPS]]-INDEX(TableRBVORP[FPS],MATCH(RBVORPCalc,TableRBVORP[RK],0)))/INDEX(TableRBVORP[FPS],MATCH(RBVORPCalc,TableRBVORP[RK],0)),"")</f>
        <v>-0.65440910688588916</v>
      </c>
      <c r="N77" s="246"/>
      <c r="O77" s="246">
        <v>76</v>
      </c>
      <c r="P77" s="247" t="str">
        <f>IFERROR(INDEX(TableWRCalcPts[PLAYER],MATCH(TableWRVORP[[#This Row],[RK]],TableWRCalcPts[RK],0)),"")</f>
        <v>Jalen Tolbert</v>
      </c>
      <c r="Q77" s="247" t="str">
        <f>IFERROR(INDEX(TableWRCalcPts[TM],MATCH(TableWRVORP[[#This Row],[RK]],TableWRCalcPts[RK],0)),"")</f>
        <v>DAL</v>
      </c>
      <c r="R77" s="247">
        <f>IFERROR(INDEX(TableWRCalcPts[BYE],MATCH(TableWRVORP[[#This Row],[RK]],TableWRCalcPts[RK],0)),"")</f>
        <v>9</v>
      </c>
      <c r="S77" s="248">
        <f>IFERROR(INDEX(TableWRCalcPts[Custom],MATCH(TableWRVORP[[#This Row],[RK]],TableWRCalcPts[RK],0)),"")</f>
        <v>77.913830424519318</v>
      </c>
      <c r="T77" s="249">
        <f>IFERROR((TableWRVORP[[#This Row],[FPS]]-INDEX(TableWRVORP[FPS],MATCH(WRVORPCalc,TableWRVORP[RK],0)))/INDEX(TableWRVORP[FPS],MATCH(WRVORPCalc,TableWRVORP[RK],0)),"")</f>
        <v>-0.28501378217322054</v>
      </c>
      <c r="U77" s="246"/>
      <c r="V77" s="246">
        <v>76</v>
      </c>
      <c r="W77" s="247" t="str">
        <f>IFERROR(INDEX(TableTECalcPts[PLAYER],MATCH(TableTEVORP[[#This Row],[RK]],TableTECalcPts[RK],0)),"")</f>
        <v>Ross Dwelley</v>
      </c>
      <c r="X77" s="247" t="str">
        <f>IFERROR(INDEX(TableTECalcPts[TM],MATCH(TableTEVORP[[#This Row],[RK]],TableTECalcPts[RK],0)),"")</f>
        <v>SF</v>
      </c>
      <c r="Y77" s="247">
        <f>IFERROR(INDEX(TableTECalcPts[BYE],MATCH(TableTEVORP[[#This Row],[RK]],TableTECalcPts[RK],0)),"")</f>
        <v>9</v>
      </c>
      <c r="Z77" s="248">
        <f>IFERROR(INDEX(TableTECalcPts[Custom],MATCH(TableTEVORP[[#This Row],[RK]],TableTECalcPts[RK],0)),"")</f>
        <v>8.0552134352965439</v>
      </c>
      <c r="AA77" s="249">
        <f>IFERROR((TableTEVORP[[#This Row],[FPS]]-INDEX(TableTEVORP[FPS],MATCH(TEVORPCalc,TableTEVORP[RK],0)))/INDEX(TableTEVORP[FPS],MATCH(TEVORPCalc,TableTEVORP[RK],0)),"")</f>
        <v>-0.92137603435442883</v>
      </c>
      <c r="AB77" s="246"/>
      <c r="AC77" s="250"/>
      <c r="AD77" s="250"/>
      <c r="AE77" s="250"/>
      <c r="AF77" s="250" t="s">
        <v>357</v>
      </c>
      <c r="AG77" s="250">
        <v>36</v>
      </c>
      <c r="AH77" s="251">
        <f>RANK(TableOverallMaster[[#This Row],[VORP]],TableOverallMaster[VORP])+COUNTIF($AM$2:AM77,AM77)-1</f>
        <v>98</v>
      </c>
      <c r="AI77" s="252" t="str">
        <f>IFERROR(INDEX(TableRBVORP[RUNNING BACK],MATCH(TableOverallMaster[[#This Row],[RK]],TableRBVORP[RK],0)),"")</f>
        <v>Chase Edmonds</v>
      </c>
      <c r="AJ77" s="252" t="str">
        <f t="shared" si="1"/>
        <v>RB36</v>
      </c>
      <c r="AK77" s="252">
        <f>IFERROR(INDEX(TableRBVORP[BYE],MATCH(TableOverallMaster[[#This Row],[RK]],TableRBVORP[RK],0)),"")</f>
        <v>11</v>
      </c>
      <c r="AL77" s="253">
        <f>IFERROR(INDEX(TableRBVORP[FPS],MATCH(TableOverallMaster[[#This Row],[RK]],TableRBVORP[RK],0)),"")</f>
        <v>117.21232006859266</v>
      </c>
      <c r="AM77" s="254">
        <f>IFERROR(INDEX(TableRBVORP[VORP],MATCH(TableOverallMaster[[#This Row],[RK]],TableRBVORP[RK],0)),"")</f>
        <v>0.15686221926272523</v>
      </c>
      <c r="AN77" s="250"/>
      <c r="AO77" s="250">
        <v>76</v>
      </c>
      <c r="AP77" s="255" t="str">
        <f>IFERROR(INDEX(TableOverallMaster[OVERALL PLAYER],MATCH(TableOverallRank[[#This Row],[RK]],TableOverallMaster[OVR RK],0)),"")</f>
        <v>Russell Wilson</v>
      </c>
      <c r="AQ77" s="256" t="str">
        <f>IFERROR(INDEX(TableOverallMaster[POS RK],MATCH(TableOverallRank[[#This Row],[OVERALL PLAYER]],TableOverallMaster[OVERALL PLAYER],0)),"")</f>
        <v>QB13</v>
      </c>
      <c r="AR77" s="257">
        <f>IFERROR(INDEX(TableOverallMaster[BYE],MATCH(TableOverallRank[[#This Row],[OVERALL PLAYER]],TableOverallMaster[OVERALL PLAYER],0)),"")</f>
        <v>9</v>
      </c>
      <c r="AS77" s="258">
        <f>IFERROR(INDEX(TableOverallMaster[Custom],MATCH(TableOverallRank[[#This Row],[OVERALL PLAYER]],TableOverallMaster[OVERALL PLAYER],0)),"")</f>
        <v>321.28473990032666</v>
      </c>
      <c r="AT77" s="259">
        <f>IFERROR(INDEX(TableOverallMaster[VORP],MATCH(TableOverallRank[[#This Row],[OVERALL PLAYER]],TableOverallMaster[OVERALL PLAYER],0)),"")</f>
        <v>0.27430692658026878</v>
      </c>
      <c r="AU77" s="250"/>
      <c r="AV77" s="246">
        <v>76</v>
      </c>
      <c r="AW77" s="260" t="str">
        <f>IFERROR(INDEX(TableWRTECalcPts[PLAYER],MATCH(TableWRTERank[[#This Row],[RK]],TableWRTECalcPts[RK],0)),"")</f>
        <v>Christian Watson</v>
      </c>
      <c r="AX77" s="260" t="str">
        <f>IFERROR(INDEX(TableWRTECalcPts[POS RK],MATCH(TableWRTERank[[#This Row],[WR and TE COMBINED]],TableWRTECalcPts[PLAYER],0)),"")</f>
        <v>WR63</v>
      </c>
      <c r="AY77" s="260">
        <f>IFERROR(INDEX(TableWRTECalcPts[BYE],MATCH(TableWRTERank[[#This Row],[RK]],TableWRTECalcPts[RK],0)),"")</f>
        <v>14</v>
      </c>
      <c r="AZ77" s="261">
        <f>IFERROR(INDEX(TableWRTECalcPts[Custom],MATCH(TableWRTERank[[#This Row],[RK]],TableWRTECalcPts[RK],0)),"")</f>
        <v>96.138985959044319</v>
      </c>
      <c r="BA77" s="249">
        <f>IFERROR((TableWRTERank[[#This Row],[FPS]]-INDEX(TableWRTERank[FPS],MATCH(WRTEVORPCalc,TableWRTERank[RK],0)))/INDEX(TableWRTERank[FPS],MATCH(WRTEVORPCalc,TableWRTERank[RK],0)),"")</f>
        <v>-0.19040960419741068</v>
      </c>
      <c r="BC77" s="124" t="s">
        <v>358</v>
      </c>
      <c r="BD77" s="124">
        <v>76</v>
      </c>
      <c r="BE77" s="262">
        <f>RANK(TableWRTEMaster[[#This Row],[VORP]],TableWRTEMaster[VORP])+COUNTIF($BJ$2:BJ77,BJ77)-1</f>
        <v>104</v>
      </c>
      <c r="BF77" s="263" t="str">
        <f>IFERROR(INDEX(TableWRVORP[WIDE RECEIVER],MATCH(TableWRTEMaster[[#This Row],[RK]],TableWRVORP[RK],0)),"")</f>
        <v>Jalen Tolbert</v>
      </c>
      <c r="BG77" s="263" t="str">
        <f>_xlfn.CONCAT(TableWRTEMaster[[#This Row],[POS]],TableWRTEMaster[[#This Row],[RK]])</f>
        <v>WR76</v>
      </c>
      <c r="BH77" s="263">
        <f>IFERROR(INDEX(TableWRVORP[BYE],MATCH(TableWRTEMaster[[#This Row],[RK]],TableWRVORP[RK],0)),"")</f>
        <v>9</v>
      </c>
      <c r="BI77" s="264">
        <f>IFERROR(INDEX(TableWRVORP[FPS],MATCH(TableWRTEMaster[[#This Row],[RK]],TableWRVORP[RK],0)),"")</f>
        <v>77.913830424519318</v>
      </c>
      <c r="BJ77" s="254">
        <f>IFERROR(INDEX(TableWRVORP[VORP],MATCH(TableWRTEMaster[[#This Row],[RK]],TableWRVORP[RK],0)),"")</f>
        <v>-0.28501378217322054</v>
      </c>
    </row>
    <row r="78" spans="1:62" x14ac:dyDescent="0.3">
      <c r="A78" s="246">
        <v>77</v>
      </c>
      <c r="B78" s="247" t="str">
        <f>IFERROR(INDEX(TableQBCalcPts[PLAYER],MATCH(TableQBVORP[[#This Row],[RK]],TableQBCalcPts[RK],0)),"")</f>
        <v/>
      </c>
      <c r="C78" s="247" t="str">
        <f>IFERROR(INDEX(TableQBCalcPts[TM],MATCH(TableQBVORP[[#This Row],[RK]],TableQBCalcPts[RK],0)),"")</f>
        <v/>
      </c>
      <c r="D78" s="247" t="str">
        <f>IFERROR(INDEX(TableQBCalcPts[BYE],MATCH(TableQBVORP[[#This Row],[RK]],TableQBCalcPts[RK],0)),"")</f>
        <v/>
      </c>
      <c r="E78" s="248" t="str">
        <f>IFERROR(INDEX(TableQBCalcPts[Custom],MATCH(TableQBVORP[[#This Row],[RK]],TableQBCalcPts[RK],0)),"")</f>
        <v/>
      </c>
      <c r="F78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8" s="246"/>
      <c r="H78" s="246">
        <v>77</v>
      </c>
      <c r="I78" s="247" t="str">
        <f>IFERROR(INDEX(TableRBCalcPts[PLAYER],MATCH(TableRBVORP[[#This Row],[RK]],TableRBCalcPts[RK],0)),"")</f>
        <v>Kyle Juszczyk</v>
      </c>
      <c r="J78" s="247" t="str">
        <f>IFERROR(INDEX(TableRBCalcPts[TM],MATCH(TableRBVORP[[#This Row],[RK]],TableRBCalcPts[RK],0)),"")</f>
        <v>SF</v>
      </c>
      <c r="K78" s="247">
        <f>IFERROR(INDEX(TableRBCalcPts[BYE],MATCH(TableRBVORP[[#This Row],[RK]],TableRBCalcPts[RK],0)),"")</f>
        <v>9</v>
      </c>
      <c r="L78" s="248">
        <f>IFERROR(INDEX(TableRBCalcPts[Custom],MATCH(TableRBVORP[[#This Row],[RK]],TableRBCalcPts[RK],0)),"")</f>
        <v>28.443327184365195</v>
      </c>
      <c r="M78" s="249">
        <f>IFERROR((TableRBVORP[[#This Row],[FPS]]-INDEX(TableRBVORP[FPS],MATCH(RBVORPCalc,TableRBVORP[RK],0)))/INDEX(TableRBVORP[FPS],MATCH(RBVORPCalc,TableRBVORP[RK],0)),"")</f>
        <v>-0.71927003415285595</v>
      </c>
      <c r="N78" s="246"/>
      <c r="O78" s="246">
        <v>77</v>
      </c>
      <c r="P78" s="247" t="str">
        <f>IFERROR(INDEX(TableWRCalcPts[PLAYER],MATCH(TableWRVORP[[#This Row],[RK]],TableWRCalcPts[RK],0)),"")</f>
        <v>DJ Chark</v>
      </c>
      <c r="Q78" s="247" t="str">
        <f>IFERROR(INDEX(TableWRCalcPts[TM],MATCH(TableWRVORP[[#This Row],[RK]],TableWRCalcPts[RK],0)),"")</f>
        <v>DET</v>
      </c>
      <c r="R78" s="247">
        <f>IFERROR(INDEX(TableWRCalcPts[BYE],MATCH(TableWRVORP[[#This Row],[RK]],TableWRCalcPts[RK],0)),"")</f>
        <v>6</v>
      </c>
      <c r="S78" s="248">
        <f>IFERROR(INDEX(TableWRCalcPts[Custom],MATCH(TableWRVORP[[#This Row],[RK]],TableWRCalcPts[RK],0)),"")</f>
        <v>76.972782029526599</v>
      </c>
      <c r="T78" s="249">
        <f>IFERROR((TableWRVORP[[#This Row],[FPS]]-INDEX(TableWRVORP[FPS],MATCH(WRVORPCalc,TableWRVORP[RK],0)))/INDEX(TableWRVORP[FPS],MATCH(WRVORPCalc,TableWRVORP[RK],0)),"")</f>
        <v>-0.2936494329820924</v>
      </c>
      <c r="U78" s="246"/>
      <c r="V78" s="246">
        <v>77</v>
      </c>
      <c r="W78" s="247" t="str">
        <f>IFERROR(INDEX(TableTECalcPts[PLAYER],MATCH(TableTEVORP[[#This Row],[RK]],TableTECalcPts[RK],0)),"")</f>
        <v>Juwan Johnson</v>
      </c>
      <c r="X78" s="247" t="str">
        <f>IFERROR(INDEX(TableTECalcPts[TM],MATCH(TableTEVORP[[#This Row],[RK]],TableTECalcPts[RK],0)),"")</f>
        <v>NO</v>
      </c>
      <c r="Y78" s="247">
        <f>IFERROR(INDEX(TableTECalcPts[BYE],MATCH(TableTEVORP[[#This Row],[RK]],TableTECalcPts[RK],0)),"")</f>
        <v>14</v>
      </c>
      <c r="Z78" s="248">
        <f>IFERROR(INDEX(TableTECalcPts[Custom],MATCH(TableTEVORP[[#This Row],[RK]],TableTECalcPts[RK],0)),"")</f>
        <v>7.9065147190705183</v>
      </c>
      <c r="AA78" s="249">
        <f>IFERROR((TableTEVORP[[#This Row],[FPS]]-INDEX(TableTEVORP[FPS],MATCH(TEVORPCalc,TableTEVORP[RK],0)))/INDEX(TableTEVORP[FPS],MATCH(TEVORPCalc,TableTEVORP[RK],0)),"")</f>
        <v>-0.92282742764772951</v>
      </c>
      <c r="AB78" s="246"/>
      <c r="AC78" s="250"/>
      <c r="AD78" s="250"/>
      <c r="AE78" s="250"/>
      <c r="AF78" s="250" t="s">
        <v>357</v>
      </c>
      <c r="AG78" s="250">
        <v>37</v>
      </c>
      <c r="AH78" s="251">
        <f>RANK(TableOverallMaster[[#This Row],[VORP]],TableOverallMaster[VORP])+COUNTIF($AM$2:AM78,AM78)-1</f>
        <v>99</v>
      </c>
      <c r="AI78" s="252" t="str">
        <f>IFERROR(INDEX(TableRBVORP[RUNNING BACK],MATCH(TableOverallMaster[[#This Row],[RK]],TableRBVORP[RK],0)),"")</f>
        <v>Gus Edwards</v>
      </c>
      <c r="AJ78" s="252" t="str">
        <f t="shared" si="1"/>
        <v>RB37</v>
      </c>
      <c r="AK78" s="252">
        <f>IFERROR(INDEX(TableRBVORP[BYE],MATCH(TableOverallMaster[[#This Row],[RK]],TableRBVORP[RK],0)),"")</f>
        <v>10</v>
      </c>
      <c r="AL78" s="253">
        <f>IFERROR(INDEX(TableRBVORP[FPS],MATCH(TableOverallMaster[[#This Row],[RK]],TableRBVORP[RK],0)),"")</f>
        <v>115.70214139841576</v>
      </c>
      <c r="AM78" s="254">
        <f>IFERROR(INDEX(TableRBVORP[VORP],MATCH(TableOverallMaster[[#This Row],[RK]],TableRBVORP[RK],0)),"")</f>
        <v>0.14195705701662606</v>
      </c>
      <c r="AN78" s="250"/>
      <c r="AO78" s="250">
        <v>77</v>
      </c>
      <c r="AP78" s="255" t="str">
        <f>IFERROR(INDEX(TableOverallMaster[OVERALL PLAYER],MATCH(TableOverallRank[[#This Row],[RK]],TableOverallMaster[OVR RK],0)),"")</f>
        <v>Courtland Sutton</v>
      </c>
      <c r="AQ78" s="256" t="str">
        <f>IFERROR(INDEX(TableOverallMaster[POS RK],MATCH(TableOverallRank[[#This Row],[OVERALL PLAYER]],TableOverallMaster[OVERALL PLAYER],0)),"")</f>
        <v>WR28</v>
      </c>
      <c r="AR78" s="257">
        <f>IFERROR(INDEX(TableOverallMaster[BYE],MATCH(TableOverallRank[[#This Row],[OVERALL PLAYER]],TableOverallMaster[OVERALL PLAYER],0)),"")</f>
        <v>9</v>
      </c>
      <c r="AS78" s="258">
        <f>IFERROR(INDEX(TableOverallMaster[Custom],MATCH(TableOverallRank[[#This Row],[OVERALL PLAYER]],TableOverallMaster[OVERALL PLAYER],0)),"")</f>
        <v>138.39974689846576</v>
      </c>
      <c r="AT78" s="259">
        <f>IFERROR(INDEX(TableOverallMaster[VORP],MATCH(TableOverallRank[[#This Row],[OVERALL PLAYER]],TableOverallMaster[OVERALL PLAYER],0)),"")</f>
        <v>0.27004295699441055</v>
      </c>
      <c r="AU78" s="250"/>
      <c r="AV78" s="246">
        <v>77</v>
      </c>
      <c r="AW78" s="260" t="str">
        <f>IFERROR(INDEX(TableWRTECalcPts[PLAYER],MATCH(TableWRTERank[[#This Row],[RK]],TableWRTECalcPts[RK],0)),"")</f>
        <v>Pat Freiermuth</v>
      </c>
      <c r="AX78" s="260" t="str">
        <f>IFERROR(INDEX(TableWRTECalcPts[POS RK],MATCH(TableWRTERank[[#This Row],[WR and TE COMBINED]],TableWRTECalcPts[PLAYER],0)),"")</f>
        <v>TE14</v>
      </c>
      <c r="AY78" s="260">
        <f>IFERROR(INDEX(TableWRTECalcPts[BYE],MATCH(TableWRTERank[[#This Row],[RK]],TableWRTECalcPts[RK],0)),"")</f>
        <v>9</v>
      </c>
      <c r="AZ78" s="261">
        <f>IFERROR(INDEX(TableWRTECalcPts[Custom],MATCH(TableWRTERank[[#This Row],[RK]],TableWRTECalcPts[RK],0)),"")</f>
        <v>95.849834967367968</v>
      </c>
      <c r="BA78" s="249">
        <f>IFERROR((TableWRTERank[[#This Row],[FPS]]-INDEX(TableWRTERank[FPS],MATCH(WRTEVORPCalc,TableWRTERank[RK],0)))/INDEX(TableWRTERank[FPS],MATCH(WRTEVORPCalc,TableWRTERank[RK],0)),"")</f>
        <v>-0.19284455671394435</v>
      </c>
      <c r="BC78" s="124" t="s">
        <v>358</v>
      </c>
      <c r="BD78" s="124">
        <v>77</v>
      </c>
      <c r="BE78" s="262">
        <f>RANK(TableWRTEMaster[[#This Row],[VORP]],TableWRTEMaster[VORP])+COUNTIF($BJ$2:BJ78,BJ78)-1</f>
        <v>105</v>
      </c>
      <c r="BF78" s="263" t="str">
        <f>IFERROR(INDEX(TableWRVORP[WIDE RECEIVER],MATCH(TableWRTEMaster[[#This Row],[RK]],TableWRVORP[RK],0)),"")</f>
        <v>DJ Chark</v>
      </c>
      <c r="BG78" s="263" t="str">
        <f>_xlfn.CONCAT(TableWRTEMaster[[#This Row],[POS]],TableWRTEMaster[[#This Row],[RK]])</f>
        <v>WR77</v>
      </c>
      <c r="BH78" s="263">
        <f>IFERROR(INDEX(TableWRVORP[BYE],MATCH(TableWRTEMaster[[#This Row],[RK]],TableWRVORP[RK],0)),"")</f>
        <v>6</v>
      </c>
      <c r="BI78" s="264">
        <f>IFERROR(INDEX(TableWRVORP[FPS],MATCH(TableWRTEMaster[[#This Row],[RK]],TableWRVORP[RK],0)),"")</f>
        <v>76.972782029526599</v>
      </c>
      <c r="BJ78" s="254">
        <f>IFERROR(INDEX(TableWRVORP[VORP],MATCH(TableWRTEMaster[[#This Row],[RK]],TableWRVORP[RK],0)),"")</f>
        <v>-0.2936494329820924</v>
      </c>
    </row>
    <row r="79" spans="1:62" x14ac:dyDescent="0.3">
      <c r="A79" s="246">
        <v>78</v>
      </c>
      <c r="B79" s="247" t="str">
        <f>IFERROR(INDEX(TableQBCalcPts[PLAYER],MATCH(TableQBVORP[[#This Row],[RK]],TableQBCalcPts[RK],0)),"")</f>
        <v/>
      </c>
      <c r="C79" s="247" t="str">
        <f>IFERROR(INDEX(TableQBCalcPts[TM],MATCH(TableQBVORP[[#This Row],[RK]],TableQBCalcPts[RK],0)),"")</f>
        <v/>
      </c>
      <c r="D79" s="247" t="str">
        <f>IFERROR(INDEX(TableQBCalcPts[BYE],MATCH(TableQBVORP[[#This Row],[RK]],TableQBCalcPts[RK],0)),"")</f>
        <v/>
      </c>
      <c r="E79" s="248" t="str">
        <f>IFERROR(INDEX(TableQBCalcPts[Custom],MATCH(TableQBVORP[[#This Row],[RK]],TableQBCalcPts[RK],0)),"")</f>
        <v/>
      </c>
      <c r="F79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79" s="246"/>
      <c r="H79" s="246">
        <v>78</v>
      </c>
      <c r="I79" s="247" t="str">
        <f>IFERROR(INDEX(TableRBCalcPts[PLAYER],MATCH(TableRBVORP[[#This Row],[RK]],TableRBCalcPts[RK],0)),"")</f>
        <v>Kyren Williams</v>
      </c>
      <c r="J79" s="247" t="str">
        <f>IFERROR(INDEX(TableRBCalcPts[TM],MATCH(TableRBVORP[[#This Row],[RK]],TableRBCalcPts[RK],0)),"")</f>
        <v>LAR</v>
      </c>
      <c r="K79" s="247">
        <f>IFERROR(INDEX(TableRBCalcPts[BYE],MATCH(TableRBVORP[[#This Row],[RK]],TableRBCalcPts[RK],0)),"")</f>
        <v>7</v>
      </c>
      <c r="L79" s="248">
        <f>IFERROR(INDEX(TableRBCalcPts[Custom],MATCH(TableRBVORP[[#This Row],[RK]],TableRBCalcPts[RK],0)),"")</f>
        <v>28.393753218575068</v>
      </c>
      <c r="M79" s="249">
        <f>IFERROR((TableRBVORP[[#This Row],[FPS]]-INDEX(TableRBVORP[FPS],MATCH(RBVORPCalc,TableRBVORP[RK],0)))/INDEX(TableRBVORP[FPS],MATCH(RBVORPCalc,TableRBVORP[RK],0)),"")</f>
        <v>-0.71975931930690862</v>
      </c>
      <c r="N79" s="246"/>
      <c r="O79" s="246">
        <v>78</v>
      </c>
      <c r="P79" s="247" t="str">
        <f>IFERROR(INDEX(TableWRCalcPts[PLAYER],MATCH(TableWRVORP[[#This Row],[RK]],TableWRCalcPts[RK],0)),"")</f>
        <v>Nick Westbrook-Ikhine</v>
      </c>
      <c r="Q79" s="247" t="str">
        <f>IFERROR(INDEX(TableWRCalcPts[TM],MATCH(TableWRVORP[[#This Row],[RK]],TableWRCalcPts[RK],0)),"")</f>
        <v>TEN</v>
      </c>
      <c r="R79" s="247">
        <f>IFERROR(INDEX(TableWRCalcPts[BYE],MATCH(TableWRVORP[[#This Row],[RK]],TableWRCalcPts[RK],0)),"")</f>
        <v>6</v>
      </c>
      <c r="S79" s="248">
        <f>IFERROR(INDEX(TableWRCalcPts[Custom],MATCH(TableWRVORP[[#This Row],[RK]],TableWRCalcPts[RK],0)),"")</f>
        <v>75.820601020051214</v>
      </c>
      <c r="T79" s="249">
        <f>IFERROR((TableWRVORP[[#This Row],[FPS]]-INDEX(TableWRVORP[FPS],MATCH(WRVORPCalc,TableWRVORP[RK],0)))/INDEX(TableWRVORP[FPS],MATCH(WRVORPCalc,TableWRVORP[RK],0)),"")</f>
        <v>-0.30422256919845025</v>
      </c>
      <c r="U79" s="246"/>
      <c r="V79" s="246">
        <v>78</v>
      </c>
      <c r="W79" s="247" t="str">
        <f>IFERROR(INDEX(TableTECalcPts[PLAYER],MATCH(TableTEVORP[[#This Row],[RK]],TableTECalcPts[RK],0)),"")</f>
        <v>Chigoziem Okonkwo</v>
      </c>
      <c r="X79" s="247" t="str">
        <f>IFERROR(INDEX(TableTECalcPts[TM],MATCH(TableTEVORP[[#This Row],[RK]],TableTECalcPts[RK],0)),"")</f>
        <v>TEN</v>
      </c>
      <c r="Y79" s="247">
        <f>IFERROR(INDEX(TableTECalcPts[BYE],MATCH(TableTEVORP[[#This Row],[RK]],TableTECalcPts[RK],0)),"")</f>
        <v>6</v>
      </c>
      <c r="Z79" s="248">
        <f>IFERROR(INDEX(TableTECalcPts[Custom],MATCH(TableTEVORP[[#This Row],[RK]],TableTECalcPts[RK],0)),"")</f>
        <v>7.3622479869012727</v>
      </c>
      <c r="AA79" s="249">
        <f>IFERROR((TableTEVORP[[#This Row],[FPS]]-INDEX(TableTEVORP[FPS],MATCH(TEVORPCalc,TableTEVORP[RK],0)))/INDEX(TableTEVORP[FPS],MATCH(TEVORPCalc,TableTEVORP[RK],0)),"")</f>
        <v>-0.92813981436421222</v>
      </c>
      <c r="AB79" s="246"/>
      <c r="AC79" s="250"/>
      <c r="AD79" s="250"/>
      <c r="AE79" s="250"/>
      <c r="AF79" s="250" t="s">
        <v>357</v>
      </c>
      <c r="AG79" s="250">
        <v>38</v>
      </c>
      <c r="AH79" s="251">
        <f>RANK(TableOverallMaster[[#This Row],[VORP]],TableOverallMaster[VORP])+COUNTIF($AM$2:AM79,AM79)-1</f>
        <v>103</v>
      </c>
      <c r="AI79" s="252" t="str">
        <f>IFERROR(INDEX(TableRBVORP[RUNNING BACK],MATCH(TableOverallMaster[[#This Row],[RK]],TableRBVORP[RK],0)),"")</f>
        <v>Rhamondre Stevenson</v>
      </c>
      <c r="AJ79" s="252" t="str">
        <f t="shared" si="1"/>
        <v>RB38</v>
      </c>
      <c r="AK79" s="252">
        <f>IFERROR(INDEX(TableRBVORP[BYE],MATCH(TableOverallMaster[[#This Row],[RK]],TableRBVORP[RK],0)),"")</f>
        <v>10</v>
      </c>
      <c r="AL79" s="253">
        <f>IFERROR(INDEX(TableRBVORP[FPS],MATCH(TableOverallMaster[[#This Row],[RK]],TableRBVORP[RK],0)),"")</f>
        <v>114.52110630677849</v>
      </c>
      <c r="AM79" s="254">
        <f>IFERROR(INDEX(TableRBVORP[VORP],MATCH(TableOverallMaster[[#This Row],[RK]],TableRBVORP[RK],0)),"")</f>
        <v>0.13030047623792387</v>
      </c>
      <c r="AN79" s="250"/>
      <c r="AO79" s="250">
        <v>78</v>
      </c>
      <c r="AP79" s="255" t="str">
        <f>IFERROR(INDEX(TableOverallMaster[OVERALL PLAYER],MATCH(TableOverallRank[[#This Row],[RK]],TableOverallMaster[OVR RK],0)),"")</f>
        <v>Miles Sanders</v>
      </c>
      <c r="AQ79" s="256" t="str">
        <f>IFERROR(INDEX(TableOverallMaster[POS RK],MATCH(TableOverallRank[[#This Row],[OVERALL PLAYER]],TableOverallMaster[OVERALL PLAYER],0)),"")</f>
        <v>RB33</v>
      </c>
      <c r="AR79" s="257">
        <f>IFERROR(INDEX(TableOverallMaster[BYE],MATCH(TableOverallRank[[#This Row],[OVERALL PLAYER]],TableOverallMaster[OVERALL PLAYER],0)),"")</f>
        <v>7</v>
      </c>
      <c r="AS79" s="258">
        <f>IFERROR(INDEX(TableOverallMaster[Custom],MATCH(TableOverallRank[[#This Row],[OVERALL PLAYER]],TableOverallMaster[OVERALL PLAYER],0)),"")</f>
        <v>128.25968330598508</v>
      </c>
      <c r="AT79" s="259">
        <f>IFERROR(INDEX(TableOverallMaster[VORP],MATCH(TableOverallRank[[#This Row],[OVERALL PLAYER]],TableOverallMaster[OVERALL PLAYER],0)),"")</f>
        <v>0.26589749084793246</v>
      </c>
      <c r="AU79" s="250"/>
      <c r="AV79" s="246">
        <v>78</v>
      </c>
      <c r="AW79" s="260" t="str">
        <f>IFERROR(INDEX(TableWRTECalcPts[PLAYER],MATCH(TableWRTERank[[#This Row],[RK]],TableWRTECalcPts[RK],0)),"")</f>
        <v>Hunter Henry</v>
      </c>
      <c r="AX79" s="260" t="str">
        <f>IFERROR(INDEX(TableWRTECalcPts[POS RK],MATCH(TableWRTERank[[#This Row],[WR and TE COMBINED]],TableWRTECalcPts[PLAYER],0)),"")</f>
        <v>TE15</v>
      </c>
      <c r="AY79" s="260">
        <f>IFERROR(INDEX(TableWRTECalcPts[BYE],MATCH(TableWRTERank[[#This Row],[RK]],TableWRTECalcPts[RK],0)),"")</f>
        <v>10</v>
      </c>
      <c r="AZ79" s="261">
        <f>IFERROR(INDEX(TableWRTECalcPts[Custom],MATCH(TableWRTERank[[#This Row],[RK]],TableWRTECalcPts[RK],0)),"")</f>
        <v>95.676800335250789</v>
      </c>
      <c r="BA79" s="249">
        <f>IFERROR((TableWRTERank[[#This Row],[FPS]]-INDEX(TableWRTERank[FPS],MATCH(WRTEVORPCalc,TableWRTERank[RK],0)))/INDEX(TableWRTERank[FPS],MATCH(WRTEVORPCalc,TableWRTERank[RK],0)),"")</f>
        <v>-0.1943016885414319</v>
      </c>
      <c r="BC79" s="124" t="s">
        <v>358</v>
      </c>
      <c r="BD79" s="124">
        <v>78</v>
      </c>
      <c r="BE79" s="262">
        <f>RANK(TableWRTEMaster[[#This Row],[VORP]],TableWRTEMaster[VORP])+COUNTIF($BJ$2:BJ79,BJ79)-1</f>
        <v>106</v>
      </c>
      <c r="BF79" s="263" t="str">
        <f>IFERROR(INDEX(TableWRVORP[WIDE RECEIVER],MATCH(TableWRTEMaster[[#This Row],[RK]],TableWRVORP[RK],0)),"")</f>
        <v>Nick Westbrook-Ikhine</v>
      </c>
      <c r="BG79" s="263" t="str">
        <f>_xlfn.CONCAT(TableWRTEMaster[[#This Row],[POS]],TableWRTEMaster[[#This Row],[RK]])</f>
        <v>WR78</v>
      </c>
      <c r="BH79" s="263">
        <f>IFERROR(INDEX(TableWRVORP[BYE],MATCH(TableWRTEMaster[[#This Row],[RK]],TableWRVORP[RK],0)),"")</f>
        <v>6</v>
      </c>
      <c r="BI79" s="264">
        <f>IFERROR(INDEX(TableWRVORP[FPS],MATCH(TableWRTEMaster[[#This Row],[RK]],TableWRVORP[RK],0)),"")</f>
        <v>75.820601020051214</v>
      </c>
      <c r="BJ79" s="254">
        <f>IFERROR(INDEX(TableWRVORP[VORP],MATCH(TableWRTEMaster[[#This Row],[RK]],TableWRVORP[RK],0)),"")</f>
        <v>-0.30422256919845025</v>
      </c>
    </row>
    <row r="80" spans="1:62" x14ac:dyDescent="0.3">
      <c r="A80" s="246">
        <v>79</v>
      </c>
      <c r="B80" s="247" t="str">
        <f>IFERROR(INDEX(TableQBCalcPts[PLAYER],MATCH(TableQBVORP[[#This Row],[RK]],TableQBCalcPts[RK],0)),"")</f>
        <v/>
      </c>
      <c r="C80" s="247" t="str">
        <f>IFERROR(INDEX(TableQBCalcPts[TM],MATCH(TableQBVORP[[#This Row],[RK]],TableQBCalcPts[RK],0)),"")</f>
        <v/>
      </c>
      <c r="D80" s="247" t="str">
        <f>IFERROR(INDEX(TableQBCalcPts[BYE],MATCH(TableQBVORP[[#This Row],[RK]],TableQBCalcPts[RK],0)),"")</f>
        <v/>
      </c>
      <c r="E80" s="248" t="str">
        <f>IFERROR(INDEX(TableQBCalcPts[Custom],MATCH(TableQBVORP[[#This Row],[RK]],TableQBCalcPts[RK],0)),"")</f>
        <v/>
      </c>
      <c r="F80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0" s="246"/>
      <c r="H80" s="246">
        <v>79</v>
      </c>
      <c r="I80" s="247" t="str">
        <f>IFERROR(INDEX(TableRBCalcPts[PLAYER],MATCH(TableRBVORP[[#This Row],[RK]],TableRBCalcPts[RK],0)),"")</f>
        <v>Eno Benjamin</v>
      </c>
      <c r="J80" s="247" t="str">
        <f>IFERROR(INDEX(TableRBCalcPts[TM],MATCH(TableRBVORP[[#This Row],[RK]],TableRBCalcPts[RK],0)),"")</f>
        <v>ARI</v>
      </c>
      <c r="K80" s="247">
        <f>IFERROR(INDEX(TableRBCalcPts[BYE],MATCH(TableRBVORP[[#This Row],[RK]],TableRBCalcPts[RK],0)),"")</f>
        <v>13</v>
      </c>
      <c r="L80" s="248">
        <f>IFERROR(INDEX(TableRBCalcPts[Custom],MATCH(TableRBVORP[[#This Row],[RK]],TableRBCalcPts[RK],0)),"")</f>
        <v>27.91771576544798</v>
      </c>
      <c r="M80" s="249">
        <f>IFERROR((TableRBVORP[[#This Row],[FPS]]-INDEX(TableRBVORP[FPS],MATCH(RBVORPCalc,TableRBVORP[RK],0)))/INDEX(TableRBVORP[FPS],MATCH(RBVORPCalc,TableRBVORP[RK],0)),"")</f>
        <v>-0.72445771401622339</v>
      </c>
      <c r="N80" s="246"/>
      <c r="O80" s="246">
        <v>79</v>
      </c>
      <c r="P80" s="247" t="str">
        <f>IFERROR(INDEX(TableWRCalcPts[PLAYER],MATCH(TableWRVORP[[#This Row],[RK]],TableWRCalcPts[RK],0)),"")</f>
        <v>Devin Duvernay</v>
      </c>
      <c r="Q80" s="247" t="str">
        <f>IFERROR(INDEX(TableWRCalcPts[TM],MATCH(TableWRVORP[[#This Row],[RK]],TableWRCalcPts[RK],0)),"")</f>
        <v>BAL</v>
      </c>
      <c r="R80" s="247">
        <f>IFERROR(INDEX(TableWRCalcPts[BYE],MATCH(TableWRVORP[[#This Row],[RK]],TableWRCalcPts[RK],0)),"")</f>
        <v>10</v>
      </c>
      <c r="S80" s="248">
        <f>IFERROR(INDEX(TableWRCalcPts[Custom],MATCH(TableWRVORP[[#This Row],[RK]],TableWRCalcPts[RK],0)),"")</f>
        <v>74.782966884277229</v>
      </c>
      <c r="T80" s="249">
        <f>IFERROR((TableWRVORP[[#This Row],[FPS]]-INDEX(TableWRVORP[FPS],MATCH(WRVORPCalc,TableWRVORP[RK],0)))/INDEX(TableWRVORP[FPS],MATCH(WRVORPCalc,TableWRVORP[RK],0)),"")</f>
        <v>-0.31374455139574092</v>
      </c>
      <c r="U80" s="246"/>
      <c r="V80" s="246">
        <v>79</v>
      </c>
      <c r="W80" s="247" t="str">
        <f>IFERROR(INDEX(TableTECalcPts[PLAYER],MATCH(TableTEVORP[[#This Row],[RK]],TableTECalcPts[RK],0)),"")</f>
        <v>Grant Calcaterra</v>
      </c>
      <c r="X80" s="247" t="str">
        <f>IFERROR(INDEX(TableTECalcPts[TM],MATCH(TableTEVORP[[#This Row],[RK]],TableTECalcPts[RK],0)),"")</f>
        <v>PHI</v>
      </c>
      <c r="Y80" s="247">
        <f>IFERROR(INDEX(TableTECalcPts[BYE],MATCH(TableTEVORP[[#This Row],[RK]],TableTECalcPts[RK],0)),"")</f>
        <v>7</v>
      </c>
      <c r="Z80" s="248">
        <f>IFERROR(INDEX(TableTECalcPts[Custom],MATCH(TableTEVORP[[#This Row],[RK]],TableTECalcPts[RK],0)),"")</f>
        <v>7.3031380385457298</v>
      </c>
      <c r="AA80" s="249">
        <f>IFERROR((TableTEVORP[[#This Row],[FPS]]-INDEX(TableTEVORP[FPS],MATCH(TEVORPCalc,TableTEVORP[RK],0)))/INDEX(TableTEVORP[FPS],MATCH(TEVORPCalc,TableTEVORP[RK],0)),"")</f>
        <v>-0.92871676475617249</v>
      </c>
      <c r="AB80" s="246"/>
      <c r="AC80" s="250"/>
      <c r="AD80" s="250"/>
      <c r="AE80" s="250"/>
      <c r="AF80" s="250" t="s">
        <v>357</v>
      </c>
      <c r="AG80" s="250">
        <v>39</v>
      </c>
      <c r="AH80" s="251">
        <f>RANK(TableOverallMaster[[#This Row],[VORP]],TableOverallMaster[VORP])+COUNTIF($AM$2:AM80,AM80)-1</f>
        <v>109</v>
      </c>
      <c r="AI80" s="252" t="str">
        <f>IFERROR(INDEX(TableRBVORP[RUNNING BACK],MATCH(TableOverallMaster[[#This Row],[RK]],TableRBVORP[RK],0)),"")</f>
        <v>Ronald Jones</v>
      </c>
      <c r="AJ80" s="252" t="str">
        <f t="shared" si="1"/>
        <v>RB39</v>
      </c>
      <c r="AK80" s="252">
        <f>IFERROR(INDEX(TableRBVORP[BYE],MATCH(TableOverallMaster[[#This Row],[RK]],TableRBVORP[RK],0)),"")</f>
        <v>8</v>
      </c>
      <c r="AL80" s="253">
        <f>IFERROR(INDEX(TableRBVORP[FPS],MATCH(TableOverallMaster[[#This Row],[RK]],TableRBVORP[RK],0)),"")</f>
        <v>109.64140367045293</v>
      </c>
      <c r="AM80" s="254">
        <f>IFERROR(INDEX(TableRBVORP[VORP],MATCH(TableOverallMaster[[#This Row],[RK]],TableRBVORP[RK],0)),"")</f>
        <v>8.2138784549727423E-2</v>
      </c>
      <c r="AN80" s="250"/>
      <c r="AO80" s="250">
        <v>79</v>
      </c>
      <c r="AP80" s="255" t="str">
        <f>IFERROR(INDEX(TableOverallMaster[OVERALL PLAYER],MATCH(TableOverallRank[[#This Row],[RK]],TableOverallMaster[OVR RK],0)),"")</f>
        <v>Trevor Lawrence</v>
      </c>
      <c r="AQ80" s="256" t="str">
        <f>IFERROR(INDEX(TableOverallMaster[POS RK],MATCH(TableOverallRank[[#This Row],[OVERALL PLAYER]],TableOverallMaster[OVERALL PLAYER],0)),"")</f>
        <v>QB14</v>
      </c>
      <c r="AR80" s="257">
        <f>IFERROR(INDEX(TableOverallMaster[BYE],MATCH(TableOverallRank[[#This Row],[OVERALL PLAYER]],TableOverallMaster[OVERALL PLAYER],0)),"")</f>
        <v>11</v>
      </c>
      <c r="AS80" s="258">
        <f>IFERROR(INDEX(TableOverallMaster[Custom],MATCH(TableOverallRank[[#This Row],[OVERALL PLAYER]],TableOverallMaster[OVERALL PLAYER],0)),"")</f>
        <v>317.61171397799848</v>
      </c>
      <c r="AT80" s="259">
        <f>IFERROR(INDEX(TableOverallMaster[VORP],MATCH(TableOverallRank[[#This Row],[OVERALL PLAYER]],TableOverallMaster[OVERALL PLAYER],0)),"")</f>
        <v>0.26391930683581044</v>
      </c>
      <c r="AU80" s="250"/>
      <c r="AV80" s="246">
        <v>79</v>
      </c>
      <c r="AW80" s="260" t="str">
        <f>IFERROR(INDEX(TableWRTECalcPts[PLAYER],MATCH(TableWRTERank[[#This Row],[RK]],TableWRTECalcPts[RK],0)),"")</f>
        <v>Skyy Moore</v>
      </c>
      <c r="AX80" s="260" t="str">
        <f>IFERROR(INDEX(TableWRTECalcPts[POS RK],MATCH(TableWRTERank[[#This Row],[WR and TE COMBINED]],TableWRTECalcPts[PLAYER],0)),"")</f>
        <v>WR64</v>
      </c>
      <c r="AY80" s="260">
        <f>IFERROR(INDEX(TableWRTECalcPts[BYE],MATCH(TableWRTERank[[#This Row],[RK]],TableWRTECalcPts[RK],0)),"")</f>
        <v>8</v>
      </c>
      <c r="AZ80" s="261">
        <f>IFERROR(INDEX(TableWRTECalcPts[Custom],MATCH(TableWRTERank[[#This Row],[RK]],TableWRTECalcPts[RK],0)),"")</f>
        <v>95.335174796868472</v>
      </c>
      <c r="BA80" s="249">
        <f>IFERROR((TableWRTERank[[#This Row],[FPS]]-INDEX(TableWRTERank[FPS],MATCH(WRTEVORPCalc,TableWRTERank[RK],0)))/INDEX(TableWRTERank[FPS],MATCH(WRTEVORPCalc,TableWRTERank[RK],0)),"")</f>
        <v>-0.19717853139634858</v>
      </c>
      <c r="BC80" s="124" t="s">
        <v>358</v>
      </c>
      <c r="BD80" s="124">
        <v>79</v>
      </c>
      <c r="BE80" s="262">
        <f>RANK(TableWRTEMaster[[#This Row],[VORP]],TableWRTEMaster[VORP])+COUNTIF($BJ$2:BJ80,BJ80)-1</f>
        <v>107</v>
      </c>
      <c r="BF80" s="263" t="str">
        <f>IFERROR(INDEX(TableWRVORP[WIDE RECEIVER],MATCH(TableWRTEMaster[[#This Row],[RK]],TableWRVORP[RK],0)),"")</f>
        <v>Devin Duvernay</v>
      </c>
      <c r="BG80" s="263" t="str">
        <f>_xlfn.CONCAT(TableWRTEMaster[[#This Row],[POS]],TableWRTEMaster[[#This Row],[RK]])</f>
        <v>WR79</v>
      </c>
      <c r="BH80" s="263">
        <f>IFERROR(INDEX(TableWRVORP[BYE],MATCH(TableWRTEMaster[[#This Row],[RK]],TableWRVORP[RK],0)),"")</f>
        <v>10</v>
      </c>
      <c r="BI80" s="264">
        <f>IFERROR(INDEX(TableWRVORP[FPS],MATCH(TableWRTEMaster[[#This Row],[RK]],TableWRVORP[RK],0)),"")</f>
        <v>74.782966884277229</v>
      </c>
      <c r="BJ80" s="254">
        <f>IFERROR(INDEX(TableWRVORP[VORP],MATCH(TableWRTEMaster[[#This Row],[RK]],TableWRVORP[RK],0)),"")</f>
        <v>-0.31374455139574092</v>
      </c>
    </row>
    <row r="81" spans="1:62" x14ac:dyDescent="0.3">
      <c r="A81" s="246">
        <v>80</v>
      </c>
      <c r="B81" s="247" t="str">
        <f>IFERROR(INDEX(TableQBCalcPts[PLAYER],MATCH(TableQBVORP[[#This Row],[RK]],TableQBCalcPts[RK],0)),"")</f>
        <v/>
      </c>
      <c r="C81" s="247" t="str">
        <f>IFERROR(INDEX(TableQBCalcPts[TM],MATCH(TableQBVORP[[#This Row],[RK]],TableQBCalcPts[RK],0)),"")</f>
        <v/>
      </c>
      <c r="D81" s="247" t="str">
        <f>IFERROR(INDEX(TableQBCalcPts[BYE],MATCH(TableQBVORP[[#This Row],[RK]],TableQBCalcPts[RK],0)),"")</f>
        <v/>
      </c>
      <c r="E81" s="248" t="str">
        <f>IFERROR(INDEX(TableQBCalcPts[Custom],MATCH(TableQBVORP[[#This Row],[RK]],TableQBCalcPts[RK],0)),"")</f>
        <v/>
      </c>
      <c r="F81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1" s="246"/>
      <c r="H81" s="246">
        <v>80</v>
      </c>
      <c r="I81" s="247" t="str">
        <f>IFERROR(INDEX(TableRBCalcPts[PLAYER],MATCH(TableRBVORP[[#This Row],[RK]],TableRBCalcPts[RK],0)),"")</f>
        <v>D'Ernest Johnson</v>
      </c>
      <c r="J81" s="247" t="str">
        <f>IFERROR(INDEX(TableRBCalcPts[TM],MATCH(TableRBVORP[[#This Row],[RK]],TableRBCalcPts[RK],0)),"")</f>
        <v>CLE</v>
      </c>
      <c r="K81" s="247">
        <f>IFERROR(INDEX(TableRBCalcPts[BYE],MATCH(TableRBVORP[[#This Row],[RK]],TableRBCalcPts[RK],0)),"")</f>
        <v>9</v>
      </c>
      <c r="L81" s="248">
        <f>IFERROR(INDEX(TableRBCalcPts[Custom],MATCH(TableRBVORP[[#This Row],[RK]],TableRBCalcPts[RK],0)),"")</f>
        <v>25.953807734595877</v>
      </c>
      <c r="M81" s="249">
        <f>IFERROR((TableRBVORP[[#This Row],[FPS]]-INDEX(TableRBVORP[FPS],MATCH(RBVORPCalc,TableRBVORP[RK],0)))/INDEX(TableRBVORP[FPS],MATCH(RBVORPCalc,TableRBVORP[RK],0)),"")</f>
        <v>-0.74384109454883196</v>
      </c>
      <c r="N81" s="246"/>
      <c r="O81" s="246">
        <v>80</v>
      </c>
      <c r="P81" s="247" t="str">
        <f>IFERROR(INDEX(TableWRCalcPts[PLAYER],MATCH(TableWRVORP[[#This Row],[RK]],TableWRCalcPts[RK],0)),"")</f>
        <v>Randall Cobb</v>
      </c>
      <c r="Q81" s="247" t="str">
        <f>IFERROR(INDEX(TableWRCalcPts[TM],MATCH(TableWRVORP[[#This Row],[RK]],TableWRCalcPts[RK],0)),"")</f>
        <v>GB</v>
      </c>
      <c r="R81" s="247">
        <f>IFERROR(INDEX(TableWRCalcPts[BYE],MATCH(TableWRVORP[[#This Row],[RK]],TableWRCalcPts[RK],0)),"")</f>
        <v>14</v>
      </c>
      <c r="S81" s="248">
        <f>IFERROR(INDEX(TableWRCalcPts[Custom],MATCH(TableWRVORP[[#This Row],[RK]],TableWRCalcPts[RK],0)),"")</f>
        <v>74.517476593494493</v>
      </c>
      <c r="T81" s="249">
        <f>IFERROR((TableWRVORP[[#This Row],[FPS]]-INDEX(TableWRVORP[FPS],MATCH(WRVORPCalc,TableWRVORP[RK],0)))/INDEX(TableWRVORP[FPS],MATCH(WRVORPCalc,TableWRVORP[RK],0)),"")</f>
        <v>-0.31618085696359999</v>
      </c>
      <c r="U81" s="246"/>
      <c r="V81" s="246">
        <v>80</v>
      </c>
      <c r="W81" s="247" t="str">
        <f>IFERROR(INDEX(TableTECalcPts[PLAYER],MATCH(TableTEVORP[[#This Row],[RK]],TableTECalcPts[RK],0)),"")</f>
        <v>Ben Ellefson</v>
      </c>
      <c r="X81" s="247" t="str">
        <f>IFERROR(INDEX(TableTECalcPts[TM],MATCH(TableTEVORP[[#This Row],[RK]],TableTECalcPts[RK],0)),"")</f>
        <v>MIN</v>
      </c>
      <c r="Y81" s="247">
        <f>IFERROR(INDEX(TableTECalcPts[BYE],MATCH(TableTEVORP[[#This Row],[RK]],TableTECalcPts[RK],0)),"")</f>
        <v>7</v>
      </c>
      <c r="Z81" s="248">
        <f>IFERROR(INDEX(TableTECalcPts[Custom],MATCH(TableTEVORP[[#This Row],[RK]],TableTECalcPts[RK],0)),"")</f>
        <v>7.1504475317791831</v>
      </c>
      <c r="AA81" s="249">
        <f>IFERROR((TableTEVORP[[#This Row],[FPS]]-INDEX(TableTEVORP[FPS],MATCH(TEVORPCalc,TableTEVORP[RK],0)))/INDEX(TableTEVORP[FPS],MATCH(TEVORPCalc,TableTEVORP[RK],0)),"")</f>
        <v>-0.93020712044380871</v>
      </c>
      <c r="AB81" s="246"/>
      <c r="AC81" s="250"/>
      <c r="AD81" s="250"/>
      <c r="AE81" s="250"/>
      <c r="AF81" s="250" t="s">
        <v>357</v>
      </c>
      <c r="AG81" s="250">
        <v>40</v>
      </c>
      <c r="AH81" s="251">
        <f>RANK(TableOverallMaster[[#This Row],[VORP]],TableOverallMaster[VORP])+COUNTIF($AM$2:AM81,AM81)-1</f>
        <v>114</v>
      </c>
      <c r="AI81" s="252" t="str">
        <f>IFERROR(INDEX(TableRBVORP[RUNNING BACK],MATCH(TableOverallMaster[[#This Row],[RK]],TableRBVORP[RK],0)),"")</f>
        <v>Isaiah Spiller</v>
      </c>
      <c r="AJ81" s="252" t="str">
        <f t="shared" si="1"/>
        <v>RB40</v>
      </c>
      <c r="AK81" s="252">
        <f>IFERROR(INDEX(TableRBVORP[BYE],MATCH(TableOverallMaster[[#This Row],[RK]],TableRBVORP[RK],0)),"")</f>
        <v>8</v>
      </c>
      <c r="AL81" s="253">
        <f>IFERROR(INDEX(TableRBVORP[FPS],MATCH(TableOverallMaster[[#This Row],[RK]],TableRBVORP[RK],0)),"")</f>
        <v>104.69818536642967</v>
      </c>
      <c r="AM81" s="254">
        <f>IFERROR(INDEX(TableRBVORP[VORP],MATCH(TableOverallMaster[[#This Row],[RK]],TableRBVORP[RK],0)),"")</f>
        <v>3.3350205890539233E-2</v>
      </c>
      <c r="AN81" s="250"/>
      <c r="AO81" s="250">
        <v>80</v>
      </c>
      <c r="AP81" s="255" t="str">
        <f>IFERROR(INDEX(TableOverallMaster[OVERALL PLAYER],MATCH(TableOverallRank[[#This Row],[RK]],TableOverallMaster[OVR RK],0)),"")</f>
        <v>Tyler Lockett</v>
      </c>
      <c r="AQ81" s="256" t="str">
        <f>IFERROR(INDEX(TableOverallMaster[POS RK],MATCH(TableOverallRank[[#This Row],[OVERALL PLAYER]],TableOverallMaster[OVERALL PLAYER],0)),"")</f>
        <v>WR29</v>
      </c>
      <c r="AR81" s="257">
        <f>IFERROR(INDEX(TableOverallMaster[BYE],MATCH(TableOverallRank[[#This Row],[OVERALL PLAYER]],TableOverallMaster[OVERALL PLAYER],0)),"")</f>
        <v>11</v>
      </c>
      <c r="AS81" s="258">
        <f>IFERROR(INDEX(TableOverallMaster[Custom],MATCH(TableOverallRank[[#This Row],[OVERALL PLAYER]],TableOverallMaster[OVERALL PLAYER],0)),"")</f>
        <v>135.85216520741739</v>
      </c>
      <c r="AT81" s="259">
        <f>IFERROR(INDEX(TableOverallMaster[VORP],MATCH(TableOverallRank[[#This Row],[OVERALL PLAYER]],TableOverallMaster[OVERALL PLAYER],0)),"")</f>
        <v>0.2466647481711127</v>
      </c>
      <c r="AU81" s="250"/>
      <c r="AV81" s="246">
        <v>80</v>
      </c>
      <c r="AW81" s="260" t="str">
        <f>IFERROR(INDEX(TableWRTECalcPts[PLAYER],MATCH(TableWRTERank[[#This Row],[RK]],TableWRTECalcPts[RK],0)),"")</f>
        <v>Cole Kmet</v>
      </c>
      <c r="AX81" s="260" t="str">
        <f>IFERROR(INDEX(TableWRTECalcPts[POS RK],MATCH(TableWRTERank[[#This Row],[WR and TE COMBINED]],TableWRTECalcPts[PLAYER],0)),"")</f>
        <v>TE16</v>
      </c>
      <c r="AY81" s="260">
        <f>IFERROR(INDEX(TableWRTECalcPts[BYE],MATCH(TableWRTERank[[#This Row],[RK]],TableWRTECalcPts[RK],0)),"")</f>
        <v>14</v>
      </c>
      <c r="AZ81" s="261">
        <f>IFERROR(INDEX(TableWRTECalcPts[Custom],MATCH(TableWRTERank[[#This Row],[RK]],TableWRTECalcPts[RK],0)),"")</f>
        <v>92.695204078308137</v>
      </c>
      <c r="BA81" s="249">
        <f>IFERROR((TableWRTERank[[#This Row],[FPS]]-INDEX(TableWRTERank[FPS],MATCH(WRTEVORPCalc,TableWRTERank[RK],0)))/INDEX(TableWRTERank[FPS],MATCH(WRTEVORPCalc,TableWRTERank[RK],0)),"")</f>
        <v>-0.21940983452094162</v>
      </c>
      <c r="BC81" s="124" t="s">
        <v>358</v>
      </c>
      <c r="BD81" s="124">
        <v>80</v>
      </c>
      <c r="BE81" s="262">
        <f>RANK(TableWRTEMaster[[#This Row],[VORP]],TableWRTEMaster[VORP])+COUNTIF($BJ$2:BJ81,BJ81)-1</f>
        <v>108</v>
      </c>
      <c r="BF81" s="263" t="str">
        <f>IFERROR(INDEX(TableWRVORP[WIDE RECEIVER],MATCH(TableWRTEMaster[[#This Row],[RK]],TableWRVORP[RK],0)),"")</f>
        <v>Randall Cobb</v>
      </c>
      <c r="BG81" s="263" t="str">
        <f>_xlfn.CONCAT(TableWRTEMaster[[#This Row],[POS]],TableWRTEMaster[[#This Row],[RK]])</f>
        <v>WR80</v>
      </c>
      <c r="BH81" s="263">
        <f>IFERROR(INDEX(TableWRVORP[BYE],MATCH(TableWRTEMaster[[#This Row],[RK]],TableWRVORP[RK],0)),"")</f>
        <v>14</v>
      </c>
      <c r="BI81" s="264">
        <f>IFERROR(INDEX(TableWRVORP[FPS],MATCH(TableWRTEMaster[[#This Row],[RK]],TableWRVORP[RK],0)),"")</f>
        <v>74.517476593494493</v>
      </c>
      <c r="BJ81" s="254">
        <f>IFERROR(INDEX(TableWRVORP[VORP],MATCH(TableWRTEMaster[[#This Row],[RK]],TableWRVORP[RK],0)),"")</f>
        <v>-0.31618085696359999</v>
      </c>
    </row>
    <row r="82" spans="1:62" x14ac:dyDescent="0.3">
      <c r="A82" s="246">
        <v>81</v>
      </c>
      <c r="B82" s="247" t="str">
        <f>IFERROR(INDEX(TableQBCalcPts[PLAYER],MATCH(TableQBVORP[[#This Row],[RK]],TableQBCalcPts[RK],0)),"")</f>
        <v/>
      </c>
      <c r="C82" s="247" t="str">
        <f>IFERROR(INDEX(TableQBCalcPts[TM],MATCH(TableQBVORP[[#This Row],[RK]],TableQBCalcPts[RK],0)),"")</f>
        <v/>
      </c>
      <c r="D82" s="247" t="str">
        <f>IFERROR(INDEX(TableQBCalcPts[BYE],MATCH(TableQBVORP[[#This Row],[RK]],TableQBCalcPts[RK],0)),"")</f>
        <v/>
      </c>
      <c r="E82" s="248" t="str">
        <f>IFERROR(INDEX(TableQBCalcPts[Custom],MATCH(TableQBVORP[[#This Row],[RK]],TableQBCalcPts[RK],0)),"")</f>
        <v/>
      </c>
      <c r="F82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2" s="246"/>
      <c r="H82" s="246">
        <v>81</v>
      </c>
      <c r="I82" s="247" t="str">
        <f>IFERROR(INDEX(TableRBCalcPts[PLAYER],MATCH(TableRBVORP[[#This Row],[RK]],TableRBCalcPts[RK],0)),"")</f>
        <v>Phillip Lindsay</v>
      </c>
      <c r="J82" s="247" t="str">
        <f>IFERROR(INDEX(TableRBCalcPts[TM],MATCH(TableRBVORP[[#This Row],[RK]],TableRBCalcPts[RK],0)),"")</f>
        <v>IND</v>
      </c>
      <c r="K82" s="247">
        <f>IFERROR(INDEX(TableRBCalcPts[BYE],MATCH(TableRBVORP[[#This Row],[RK]],TableRBCalcPts[RK],0)),"")</f>
        <v>14</v>
      </c>
      <c r="L82" s="248">
        <f>IFERROR(INDEX(TableRBCalcPts[Custom],MATCH(TableRBVORP[[#This Row],[RK]],TableRBCalcPts[RK],0)),"")</f>
        <v>25.892326524405973</v>
      </c>
      <c r="M82" s="249">
        <f>IFERROR((TableRBVORP[[#This Row],[FPS]]-INDEX(TableRBVORP[FPS],MATCH(RBVORPCalc,TableRBVORP[RK],0)))/INDEX(TableRBVORP[FPS],MATCH(RBVORPCalc,TableRBVORP[RK],0)),"")</f>
        <v>-0.74444790183002585</v>
      </c>
      <c r="N82" s="246"/>
      <c r="O82" s="246">
        <v>81</v>
      </c>
      <c r="P82" s="247" t="str">
        <f>IFERROR(INDEX(TableWRCalcPts[PLAYER],MATCH(TableWRVORP[[#This Row],[RK]],TableWRCalcPts[RK],0)),"")</f>
        <v>Jamison Crowder</v>
      </c>
      <c r="Q82" s="247" t="str">
        <f>IFERROR(INDEX(TableWRCalcPts[TM],MATCH(TableWRVORP[[#This Row],[RK]],TableWRCalcPts[RK],0)),"")</f>
        <v>BUF</v>
      </c>
      <c r="R82" s="247">
        <f>IFERROR(INDEX(TableWRCalcPts[BYE],MATCH(TableWRVORP[[#This Row],[RK]],TableWRCalcPts[RK],0)),"")</f>
        <v>7</v>
      </c>
      <c r="S82" s="248">
        <f>IFERROR(INDEX(TableWRCalcPts[Custom],MATCH(TableWRVORP[[#This Row],[RK]],TableWRCalcPts[RK],0)),"")</f>
        <v>74.485484004772331</v>
      </c>
      <c r="T82" s="249">
        <f>IFERROR((TableWRVORP[[#This Row],[FPS]]-INDEX(TableWRVORP[FPS],MATCH(WRVORPCalc,TableWRVORP[RK],0)))/INDEX(TableWRVORP[FPS],MATCH(WRVORPCalc,TableWRVORP[RK],0)),"")</f>
        <v>-0.31647444104083394</v>
      </c>
      <c r="U82" s="246"/>
      <c r="V82" s="246">
        <v>81</v>
      </c>
      <c r="W82" s="247" t="str">
        <f>IFERROR(INDEX(TableTECalcPts[PLAYER],MATCH(TableTEVORP[[#This Row],[RK]],TableTECalcPts[RK],0)),"")</f>
        <v>Jeremy Sprinkle</v>
      </c>
      <c r="X82" s="247" t="str">
        <f>IFERROR(INDEX(TableTECalcPts[TM],MATCH(TableTEVORP[[#This Row],[RK]],TableTECalcPts[RK],0)),"")</f>
        <v>DAL</v>
      </c>
      <c r="Y82" s="247">
        <f>IFERROR(INDEX(TableTECalcPts[BYE],MATCH(TableTEVORP[[#This Row],[RK]],TableTECalcPts[RK],0)),"")</f>
        <v>9</v>
      </c>
      <c r="Z82" s="248">
        <f>IFERROR(INDEX(TableTECalcPts[Custom],MATCH(TableTEVORP[[#This Row],[RK]],TableTECalcPts[RK],0)),"")</f>
        <v>7.0531397331118484</v>
      </c>
      <c r="AA82" s="249">
        <f>IFERROR((TableTEVORP[[#This Row],[FPS]]-INDEX(TableTEVORP[FPS],MATCH(TEVORPCalc,TableTEVORP[RK],0)))/INDEX(TableTEVORP[FPS],MATCH(TEVORPCalc,TableTEVORP[RK],0)),"")</f>
        <v>-0.93115690595612577</v>
      </c>
      <c r="AB82" s="246"/>
      <c r="AC82" s="250"/>
      <c r="AD82" s="250"/>
      <c r="AE82" s="250"/>
      <c r="AF82" s="250" t="s">
        <v>357</v>
      </c>
      <c r="AG82" s="250">
        <v>41</v>
      </c>
      <c r="AH82" s="251">
        <f>RANK(TableOverallMaster[[#This Row],[VORP]],TableOverallMaster[VORP])+COUNTIF($AM$2:AM82,AM82)-1</f>
        <v>115</v>
      </c>
      <c r="AI82" s="252" t="str">
        <f>IFERROR(INDEX(TableRBVORP[RUNNING BACK],MATCH(TableOverallMaster[[#This Row],[RK]],TableRBVORP[RK],0)),"")</f>
        <v>Khalil Herbert</v>
      </c>
      <c r="AJ82" s="252" t="str">
        <f t="shared" si="1"/>
        <v>RB41</v>
      </c>
      <c r="AK82" s="252">
        <f>IFERROR(INDEX(TableRBVORP[BYE],MATCH(TableOverallMaster[[#This Row],[RK]],TableRBVORP[RK],0)),"")</f>
        <v>14</v>
      </c>
      <c r="AL82" s="253">
        <f>IFERROR(INDEX(TableRBVORP[FPS],MATCH(TableOverallMaster[[#This Row],[RK]],TableRBVORP[RK],0)),"")</f>
        <v>104.34152696576828</v>
      </c>
      <c r="AM82" s="254">
        <f>IFERROR(INDEX(TableRBVORP[VORP],MATCH(TableOverallMaster[[#This Row],[RK]],TableRBVORP[RK],0)),"")</f>
        <v>2.9830058617058331E-2</v>
      </c>
      <c r="AN82" s="250"/>
      <c r="AO82" s="250">
        <v>81</v>
      </c>
      <c r="AP82" s="255" t="str">
        <f>IFERROR(INDEX(TableOverallMaster[OVERALL PLAYER],MATCH(TableOverallRank[[#This Row],[RK]],TableOverallMaster[OVR RK],0)),"")</f>
        <v>Jerry Jeudy</v>
      </c>
      <c r="AQ82" s="256" t="str">
        <f>IFERROR(INDEX(TableOverallMaster[POS RK],MATCH(TableOverallRank[[#This Row],[OVERALL PLAYER]],TableOverallMaster[OVERALL PLAYER],0)),"")</f>
        <v>WR30</v>
      </c>
      <c r="AR82" s="257">
        <f>IFERROR(INDEX(TableOverallMaster[BYE],MATCH(TableOverallRank[[#This Row],[OVERALL PLAYER]],TableOverallMaster[OVERALL PLAYER],0)),"")</f>
        <v>9</v>
      </c>
      <c r="AS82" s="258">
        <f>IFERROR(INDEX(TableOverallMaster[Custom],MATCH(TableOverallRank[[#This Row],[OVERALL PLAYER]],TableOverallMaster[OVERALL PLAYER],0)),"")</f>
        <v>135.36511278671432</v>
      </c>
      <c r="AT82" s="259">
        <f>IFERROR(INDEX(TableOverallMaster[VORP],MATCH(TableOverallRank[[#This Row],[OVERALL PLAYER]],TableOverallMaster[OVERALL PLAYER],0)),"")</f>
        <v>0.2421952494150578</v>
      </c>
      <c r="AU82" s="250"/>
      <c r="AV82" s="246">
        <v>81</v>
      </c>
      <c r="AW82" s="260" t="str">
        <f>IFERROR(INDEX(TableWRTECalcPts[PLAYER],MATCH(TableWRTERank[[#This Row],[RK]],TableWRTECalcPts[RK],0)),"")</f>
        <v>Rondale Moore</v>
      </c>
      <c r="AX82" s="260" t="str">
        <f>IFERROR(INDEX(TableWRTECalcPts[POS RK],MATCH(TableWRTERank[[#This Row],[WR and TE COMBINED]],TableWRTECalcPts[PLAYER],0)),"")</f>
        <v>WR65</v>
      </c>
      <c r="AY82" s="260">
        <f>IFERROR(INDEX(TableWRTECalcPts[BYE],MATCH(TableWRTERank[[#This Row],[RK]],TableWRTECalcPts[RK],0)),"")</f>
        <v>13</v>
      </c>
      <c r="AZ82" s="261">
        <f>IFERROR(INDEX(TableWRTECalcPts[Custom],MATCH(TableWRTERank[[#This Row],[RK]],TableWRTECalcPts[RK],0)),"")</f>
        <v>92.583937690627096</v>
      </c>
      <c r="BA82" s="249">
        <f>IFERROR((TableWRTERank[[#This Row],[FPS]]-INDEX(TableWRTERank[FPS],MATCH(WRTEVORPCalc,TableWRTERank[RK],0)))/INDEX(TableWRTERank[FPS],MATCH(WRTEVORPCalc,TableWRTERank[RK],0)),"")</f>
        <v>-0.2203468133952621</v>
      </c>
      <c r="BC82" s="124" t="s">
        <v>358</v>
      </c>
      <c r="BD82" s="124">
        <v>81</v>
      </c>
      <c r="BE82" s="262">
        <f>RANK(TableWRTEMaster[[#This Row],[VORP]],TableWRTEMaster[VORP])+COUNTIF($BJ$2:BJ82,BJ82)-1</f>
        <v>109</v>
      </c>
      <c r="BF82" s="263" t="str">
        <f>IFERROR(INDEX(TableWRVORP[WIDE RECEIVER],MATCH(TableWRTEMaster[[#This Row],[RK]],TableWRVORP[RK],0)),"")</f>
        <v>Jamison Crowder</v>
      </c>
      <c r="BG82" s="263" t="str">
        <f>_xlfn.CONCAT(TableWRTEMaster[[#This Row],[POS]],TableWRTEMaster[[#This Row],[RK]])</f>
        <v>WR81</v>
      </c>
      <c r="BH82" s="263">
        <f>IFERROR(INDEX(TableWRVORP[BYE],MATCH(TableWRTEMaster[[#This Row],[RK]],TableWRVORP[RK],0)),"")</f>
        <v>7</v>
      </c>
      <c r="BI82" s="264">
        <f>IFERROR(INDEX(TableWRVORP[FPS],MATCH(TableWRTEMaster[[#This Row],[RK]],TableWRVORP[RK],0)),"")</f>
        <v>74.485484004772331</v>
      </c>
      <c r="BJ82" s="254">
        <f>IFERROR(INDEX(TableWRVORP[VORP],MATCH(TableWRTEMaster[[#This Row],[RK]],TableWRVORP[RK],0)),"")</f>
        <v>-0.31647444104083394</v>
      </c>
    </row>
    <row r="83" spans="1:62" x14ac:dyDescent="0.3">
      <c r="A83" s="246">
        <v>82</v>
      </c>
      <c r="B83" s="247" t="str">
        <f>IFERROR(INDEX(TableQBCalcPts[PLAYER],MATCH(TableQBVORP[[#This Row],[RK]],TableQBCalcPts[RK],0)),"")</f>
        <v/>
      </c>
      <c r="C83" s="247" t="str">
        <f>IFERROR(INDEX(TableQBCalcPts[TM],MATCH(TableQBVORP[[#This Row],[RK]],TableQBCalcPts[RK],0)),"")</f>
        <v/>
      </c>
      <c r="D83" s="247" t="str">
        <f>IFERROR(INDEX(TableQBCalcPts[BYE],MATCH(TableQBVORP[[#This Row],[RK]],TableQBCalcPts[RK],0)),"")</f>
        <v/>
      </c>
      <c r="E83" s="248" t="str">
        <f>IFERROR(INDEX(TableQBCalcPts[Custom],MATCH(TableQBVORP[[#This Row],[RK]],TableQBCalcPts[RK],0)),"")</f>
        <v/>
      </c>
      <c r="F83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3" s="246"/>
      <c r="H83" s="246">
        <v>82</v>
      </c>
      <c r="I83" s="247" t="str">
        <f>IFERROR(INDEX(TableRBCalcPts[PLAYER],MATCH(TableRBVORP[[#This Row],[RK]],TableRBCalcPts[RK],0)),"")</f>
        <v>Derrick Gore</v>
      </c>
      <c r="J83" s="247" t="str">
        <f>IFERROR(INDEX(TableRBCalcPts[TM],MATCH(TableRBVORP[[#This Row],[RK]],TableRBCalcPts[RK],0)),"")</f>
        <v>KC</v>
      </c>
      <c r="K83" s="247">
        <f>IFERROR(INDEX(TableRBCalcPts[BYE],MATCH(TableRBVORP[[#This Row],[RK]],TableRBCalcPts[RK],0)),"")</f>
        <v>8</v>
      </c>
      <c r="L83" s="248">
        <f>IFERROR(INDEX(TableRBCalcPts[Custom],MATCH(TableRBVORP[[#This Row],[RK]],TableRBCalcPts[RK],0)),"")</f>
        <v>25.814833604161549</v>
      </c>
      <c r="M83" s="249">
        <f>IFERROR((TableRBVORP[[#This Row],[FPS]]-INDEX(TableRBVORP[FPS],MATCH(RBVORPCalc,TableRBVORP[RK],0)))/INDEX(TableRBVORP[FPS],MATCH(RBVORPCalc,TableRBVORP[RK],0)),"")</f>
        <v>-0.74521274149567407</v>
      </c>
      <c r="N83" s="246"/>
      <c r="O83" s="246">
        <v>82</v>
      </c>
      <c r="P83" s="247" t="str">
        <f>IFERROR(INDEX(TableWRCalcPts[PLAYER],MATCH(TableWRVORP[[#This Row],[RK]],TableWRCalcPts[RK],0)),"")</f>
        <v>Sammy Watkins</v>
      </c>
      <c r="Q83" s="247" t="str">
        <f>IFERROR(INDEX(TableWRCalcPts[TM],MATCH(TableWRVORP[[#This Row],[RK]],TableWRCalcPts[RK],0)),"")</f>
        <v>GB</v>
      </c>
      <c r="R83" s="247">
        <f>IFERROR(INDEX(TableWRCalcPts[BYE],MATCH(TableWRVORP[[#This Row],[RK]],TableWRCalcPts[RK],0)),"")</f>
        <v>14</v>
      </c>
      <c r="S83" s="248">
        <f>IFERROR(INDEX(TableWRCalcPts[Custom],MATCH(TableWRVORP[[#This Row],[RK]],TableWRCalcPts[RK],0)),"")</f>
        <v>72.688142484359275</v>
      </c>
      <c r="T83" s="249">
        <f>IFERROR((TableWRVORP[[#This Row],[FPS]]-INDEX(TableWRVORP[FPS],MATCH(WRVORPCalc,TableWRVORP[RK],0)))/INDEX(TableWRVORP[FPS],MATCH(WRVORPCalc,TableWRVORP[RK],0)),"")</f>
        <v>-0.33296797510046544</v>
      </c>
      <c r="U83" s="246"/>
      <c r="V83" s="246">
        <v>82</v>
      </c>
      <c r="W83" s="247" t="str">
        <f>IFERROR(INDEX(TableTECalcPts[PLAYER],MATCH(TableTEVORP[[#This Row],[RK]],TableTECalcPts[RK],0)),"")</f>
        <v>Jacob Hollister</v>
      </c>
      <c r="X83" s="247" t="str">
        <f>IFERROR(INDEX(TableTECalcPts[TM],MATCH(TableTEVORP[[#This Row],[RK]],TableTECalcPts[RK],0)),"")</f>
        <v>LV</v>
      </c>
      <c r="Y83" s="247">
        <f>IFERROR(INDEX(TableTECalcPts[BYE],MATCH(TableTEVORP[[#This Row],[RK]],TableTECalcPts[RK],0)),"")</f>
        <v>6</v>
      </c>
      <c r="Z83" s="248">
        <f>IFERROR(INDEX(TableTECalcPts[Custom],MATCH(TableTEVORP[[#This Row],[RK]],TableTECalcPts[RK],0)),"")</f>
        <v>6.6649667723753367</v>
      </c>
      <c r="AA83" s="249">
        <f>IFERROR((TableTEVORP[[#This Row],[FPS]]-INDEX(TableTEVORP[FPS],MATCH(TEVORPCalc,TableTEVORP[RK],0)))/INDEX(TableTEVORP[FPS],MATCH(TEVORPCalc,TableTEVORP[RK],0)),"")</f>
        <v>-0.93494571897450651</v>
      </c>
      <c r="AB83" s="246"/>
      <c r="AC83" s="250"/>
      <c r="AD83" s="250"/>
      <c r="AE83" s="250"/>
      <c r="AF83" s="250" t="s">
        <v>357</v>
      </c>
      <c r="AG83" s="250">
        <v>42</v>
      </c>
      <c r="AH83" s="251">
        <f>RANK(TableOverallMaster[[#This Row],[VORP]],TableOverallMaster[VORP])+COUNTIF($AM$2:AM83,AM83)-1</f>
        <v>121</v>
      </c>
      <c r="AI83" s="252" t="str">
        <f>IFERROR(INDEX(TableRBVORP[RUNNING BACK],MATCH(TableOverallMaster[[#This Row],[RK]],TableRBVORP[RK],0)),"")</f>
        <v>Mark Ingram</v>
      </c>
      <c r="AJ83" s="252" t="str">
        <f t="shared" si="1"/>
        <v>RB42</v>
      </c>
      <c r="AK83" s="252">
        <f>IFERROR(INDEX(TableRBVORP[BYE],MATCH(TableOverallMaster[[#This Row],[RK]],TableRBVORP[RK],0)),"")</f>
        <v>14</v>
      </c>
      <c r="AL83" s="253">
        <f>IFERROR(INDEX(TableRBVORP[FPS],MATCH(TableOverallMaster[[#This Row],[RK]],TableRBVORP[RK],0)),"")</f>
        <v>101.31917018025943</v>
      </c>
      <c r="AM83" s="254">
        <f>IFERROR(INDEX(TableRBVORP[VORP],MATCH(TableOverallMaster[[#This Row],[RK]],TableRBVORP[RK],0)),"")</f>
        <v>0</v>
      </c>
      <c r="AN83" s="250"/>
      <c r="AO83" s="250">
        <v>82</v>
      </c>
      <c r="AP83" s="255" t="str">
        <f>IFERROR(INDEX(TableOverallMaster[OVERALL PLAYER],MATCH(TableOverallRank[[#This Row],[RK]],TableOverallMaster[OVR RK],0)),"")</f>
        <v>Allen Lazard</v>
      </c>
      <c r="AQ83" s="256" t="str">
        <f>IFERROR(INDEX(TableOverallMaster[POS RK],MATCH(TableOverallRank[[#This Row],[OVERALL PLAYER]],TableOverallMaster[OVERALL PLAYER],0)),"")</f>
        <v>WR31</v>
      </c>
      <c r="AR83" s="257">
        <f>IFERROR(INDEX(TableOverallMaster[BYE],MATCH(TableOverallRank[[#This Row],[OVERALL PLAYER]],TableOverallMaster[OVERALL PLAYER],0)),"")</f>
        <v>14</v>
      </c>
      <c r="AS83" s="258">
        <f>IFERROR(INDEX(TableOverallMaster[Custom],MATCH(TableOverallRank[[#This Row],[OVERALL PLAYER]],TableOverallMaster[OVERALL PLAYER],0)),"")</f>
        <v>134.96304503309676</v>
      </c>
      <c r="AT83" s="259">
        <f>IFERROR(INDEX(TableOverallMaster[VORP],MATCH(TableOverallRank[[#This Row],[OVERALL PLAYER]],TableOverallMaster[OVERALL PLAYER],0)),"")</f>
        <v>0.23850562331269817</v>
      </c>
      <c r="AU83" s="250"/>
      <c r="AV83" s="246">
        <v>82</v>
      </c>
      <c r="AW83" s="260" t="str">
        <f>IFERROR(INDEX(TableWRTECalcPts[PLAYER],MATCH(TableWRTERank[[#This Row],[RK]],TableWRTECalcPts[RK],0)),"")</f>
        <v>Jakobi Meyers</v>
      </c>
      <c r="AX83" s="260" t="str">
        <f>IFERROR(INDEX(TableWRTECalcPts[POS RK],MATCH(TableWRTERank[[#This Row],[WR and TE COMBINED]],TableWRTECalcPts[PLAYER],0)),"")</f>
        <v>WR66</v>
      </c>
      <c r="AY83" s="260">
        <f>IFERROR(INDEX(TableWRTECalcPts[BYE],MATCH(TableWRTERank[[#This Row],[RK]],TableWRTECalcPts[RK],0)),"")</f>
        <v>10</v>
      </c>
      <c r="AZ83" s="261">
        <f>IFERROR(INDEX(TableWRTECalcPts[Custom],MATCH(TableWRTERank[[#This Row],[RK]],TableWRTECalcPts[RK],0)),"")</f>
        <v>90.896112461128411</v>
      </c>
      <c r="BA83" s="249">
        <f>IFERROR((TableWRTERank[[#This Row],[FPS]]-INDEX(TableWRTERank[FPS],MATCH(WRTEVORPCalc,TableWRTERank[RK],0)))/INDEX(TableWRTERank[FPS],MATCH(WRTEVORPCalc,TableWRTERank[RK],0)),"")</f>
        <v>-0.23456005979020067</v>
      </c>
      <c r="BC83" s="124" t="s">
        <v>358</v>
      </c>
      <c r="BD83" s="124">
        <v>82</v>
      </c>
      <c r="BE83" s="262">
        <f>RANK(TableWRTEMaster[[#This Row],[VORP]],TableWRTEMaster[VORP])+COUNTIF($BJ$2:BJ83,BJ83)-1</f>
        <v>110</v>
      </c>
      <c r="BF83" s="263" t="str">
        <f>IFERROR(INDEX(TableWRVORP[WIDE RECEIVER],MATCH(TableWRTEMaster[[#This Row],[RK]],TableWRVORP[RK],0)),"")</f>
        <v>Sammy Watkins</v>
      </c>
      <c r="BG83" s="263" t="str">
        <f>_xlfn.CONCAT(TableWRTEMaster[[#This Row],[POS]],TableWRTEMaster[[#This Row],[RK]])</f>
        <v>WR82</v>
      </c>
      <c r="BH83" s="263">
        <f>IFERROR(INDEX(TableWRVORP[BYE],MATCH(TableWRTEMaster[[#This Row],[RK]],TableWRVORP[RK],0)),"")</f>
        <v>14</v>
      </c>
      <c r="BI83" s="264">
        <f>IFERROR(INDEX(TableWRVORP[FPS],MATCH(TableWRTEMaster[[#This Row],[RK]],TableWRVORP[RK],0)),"")</f>
        <v>72.688142484359275</v>
      </c>
      <c r="BJ83" s="254">
        <f>IFERROR(INDEX(TableWRVORP[VORP],MATCH(TableWRTEMaster[[#This Row],[RK]],TableWRVORP[RK],0)),"")</f>
        <v>-0.33296797510046544</v>
      </c>
    </row>
    <row r="84" spans="1:62" x14ac:dyDescent="0.3">
      <c r="A84" s="246">
        <v>83</v>
      </c>
      <c r="B84" s="247" t="str">
        <f>IFERROR(INDEX(TableQBCalcPts[PLAYER],MATCH(TableQBVORP[[#This Row],[RK]],TableQBCalcPts[RK],0)),"")</f>
        <v/>
      </c>
      <c r="C84" s="247" t="str">
        <f>IFERROR(INDEX(TableQBCalcPts[TM],MATCH(TableQBVORP[[#This Row],[RK]],TableQBCalcPts[RK],0)),"")</f>
        <v/>
      </c>
      <c r="D84" s="247" t="str">
        <f>IFERROR(INDEX(TableQBCalcPts[BYE],MATCH(TableQBVORP[[#This Row],[RK]],TableQBCalcPts[RK],0)),"")</f>
        <v/>
      </c>
      <c r="E84" s="248" t="str">
        <f>IFERROR(INDEX(TableQBCalcPts[Custom],MATCH(TableQBVORP[[#This Row],[RK]],TableQBCalcPts[RK],0)),"")</f>
        <v/>
      </c>
      <c r="F84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4" s="246"/>
      <c r="H84" s="246">
        <v>83</v>
      </c>
      <c r="I84" s="247" t="str">
        <f>IFERROR(INDEX(TableRBCalcPts[PLAYER],MATCH(TableRBVORP[[#This Row],[RK]],TableRBCalcPts[RK],0)),"")</f>
        <v>Keaontay Ingram</v>
      </c>
      <c r="J84" s="247" t="str">
        <f>IFERROR(INDEX(TableRBCalcPts[TM],MATCH(TableRBVORP[[#This Row],[RK]],TableRBCalcPts[RK],0)),"")</f>
        <v>ARI</v>
      </c>
      <c r="K84" s="247">
        <f>IFERROR(INDEX(TableRBCalcPts[BYE],MATCH(TableRBVORP[[#This Row],[RK]],TableRBCalcPts[RK],0)),"")</f>
        <v>13</v>
      </c>
      <c r="L84" s="248">
        <f>IFERROR(INDEX(TableRBCalcPts[Custom],MATCH(TableRBVORP[[#This Row],[RK]],TableRBCalcPts[RK],0)),"")</f>
        <v>24.057012080374395</v>
      </c>
      <c r="M84" s="249">
        <f>IFERROR((TableRBVORP[[#This Row],[FPS]]-INDEX(TableRBVORP[FPS],MATCH(RBVORPCalc,TableRBVORP[RK],0)))/INDEX(TableRBVORP[FPS],MATCH(RBVORPCalc,TableRBVORP[RK],0)),"")</f>
        <v>-0.76256208931070035</v>
      </c>
      <c r="N84" s="246"/>
      <c r="O84" s="246">
        <v>83</v>
      </c>
      <c r="P84" s="247" t="str">
        <f>IFERROR(INDEX(TableWRCalcPts[PLAYER],MATCH(TableWRVORP[[#This Row],[RK]],TableWRCalcPts[RK],0)),"")</f>
        <v>Kendrick Bourne</v>
      </c>
      <c r="Q84" s="247" t="str">
        <f>IFERROR(INDEX(TableWRCalcPts[TM],MATCH(TableWRVORP[[#This Row],[RK]],TableWRCalcPts[RK],0)),"")</f>
        <v>NE</v>
      </c>
      <c r="R84" s="247">
        <f>IFERROR(INDEX(TableWRCalcPts[BYE],MATCH(TableWRVORP[[#This Row],[RK]],TableWRCalcPts[RK],0)),"")</f>
        <v>10</v>
      </c>
      <c r="S84" s="248">
        <f>IFERROR(INDEX(TableWRCalcPts[Custom],MATCH(TableWRVORP[[#This Row],[RK]],TableWRCalcPts[RK],0)),"")</f>
        <v>72.660276936222047</v>
      </c>
      <c r="T84" s="249">
        <f>IFERROR((TableWRVORP[[#This Row],[FPS]]-INDEX(TableWRVORP[FPS],MATCH(WRVORPCalc,TableWRVORP[RK],0)))/INDEX(TableWRVORP[FPS],MATCH(WRVORPCalc,TableWRVORP[RK],0)),"")</f>
        <v>-0.33322368686257176</v>
      </c>
      <c r="U84" s="246"/>
      <c r="V84" s="246">
        <v>83</v>
      </c>
      <c r="W84" s="247" t="str">
        <f>IFERROR(INDEX(TableTECalcPts[PLAYER],MATCH(TableTEVORP[[#This Row],[RK]],TableTECalcPts[RK],0)),"")</f>
        <v>Adam Shaheen</v>
      </c>
      <c r="X84" s="247" t="str">
        <f>IFERROR(INDEX(TableTECalcPts[TM],MATCH(TableTEVORP[[#This Row],[RK]],TableTECalcPts[RK],0)),"")</f>
        <v>MIA</v>
      </c>
      <c r="Y84" s="247">
        <f>IFERROR(INDEX(TableTECalcPts[BYE],MATCH(TableTEVORP[[#This Row],[RK]],TableTECalcPts[RK],0)),"")</f>
        <v>11</v>
      </c>
      <c r="Z84" s="248">
        <f>IFERROR(INDEX(TableTECalcPts[Custom],MATCH(TableTEVORP[[#This Row],[RK]],TableTECalcPts[RK],0)),"")</f>
        <v>6.6432153022993292</v>
      </c>
      <c r="AA84" s="249">
        <f>IFERROR((TableTEVORP[[#This Row],[FPS]]-INDEX(TableTEVORP[FPS],MATCH(TEVORPCalc,TableTEVORP[RK],0)))/INDEX(TableTEVORP[FPS],MATCH(TEVORPCalc,TableTEVORP[RK],0)),"")</f>
        <v>-0.93515802704675488</v>
      </c>
      <c r="AB84" s="246"/>
      <c r="AC84" s="250"/>
      <c r="AD84" s="250"/>
      <c r="AE84" s="250"/>
      <c r="AF84" s="250" t="s">
        <v>357</v>
      </c>
      <c r="AG84" s="250">
        <v>43</v>
      </c>
      <c r="AH84" s="251">
        <f>RANK(TableOverallMaster[[#This Row],[VORP]],TableOverallMaster[VORP])+COUNTIF($AM$2:AM84,AM84)-1</f>
        <v>125</v>
      </c>
      <c r="AI84" s="252" t="str">
        <f>IFERROR(INDEX(TableRBVORP[RUNNING BACK],MATCH(TableOverallMaster[[#This Row],[RK]],TableRBVORP[RK],0)),"")</f>
        <v>Alexander Mattison</v>
      </c>
      <c r="AJ84" s="252" t="str">
        <f t="shared" si="1"/>
        <v>RB43</v>
      </c>
      <c r="AK84" s="252">
        <f>IFERROR(INDEX(TableRBVORP[BYE],MATCH(TableOverallMaster[[#This Row],[RK]],TableRBVORP[RK],0)),"")</f>
        <v>7</v>
      </c>
      <c r="AL84" s="253">
        <f>IFERROR(INDEX(TableRBVORP[FPS],MATCH(TableOverallMaster[[#This Row],[RK]],TableRBVORP[RK],0)),"")</f>
        <v>99.906737828742521</v>
      </c>
      <c r="AM84" s="254">
        <f>IFERROR(INDEX(TableRBVORP[VORP],MATCH(TableOverallMaster[[#This Row],[RK]],TableRBVORP[RK],0)),"")</f>
        <v>-1.3940425577943633E-2</v>
      </c>
      <c r="AN84" s="250"/>
      <c r="AO84" s="250">
        <v>83</v>
      </c>
      <c r="AP84" s="255" t="str">
        <f>IFERROR(INDEX(TableOverallMaster[OVERALL PLAYER],MATCH(TableOverallRank[[#This Row],[RK]],TableOverallMaster[OVR RK],0)),"")</f>
        <v>George Kittle</v>
      </c>
      <c r="AQ84" s="256" t="str">
        <f>IFERROR(INDEX(TableOverallMaster[POS RK],MATCH(TableOverallRank[[#This Row],[OVERALL PLAYER]],TableOverallMaster[OVERALL PLAYER],0)),"")</f>
        <v>TE5</v>
      </c>
      <c r="AR84" s="257">
        <f>IFERROR(INDEX(TableOverallMaster[BYE],MATCH(TableOverallRank[[#This Row],[OVERALL PLAYER]],TableOverallMaster[OVERALL PLAYER],0)),"")</f>
        <v>9</v>
      </c>
      <c r="AS84" s="258">
        <f>IFERROR(INDEX(TableOverallMaster[Custom],MATCH(TableOverallRank[[#This Row],[OVERALL PLAYER]],TableOverallMaster[OVERALL PLAYER],0)),"")</f>
        <v>126.30437701272027</v>
      </c>
      <c r="AT84" s="259">
        <f>IFERROR(INDEX(TableOverallMaster[VORP],MATCH(TableOverallRank[[#This Row],[OVERALL PLAYER]],TableOverallMaster[OVERALL PLAYER],0)),"")</f>
        <v>0.23281041264772095</v>
      </c>
      <c r="AU84" s="250"/>
      <c r="AV84" s="246">
        <v>83</v>
      </c>
      <c r="AW84" s="260" t="str">
        <f>IFERROR(INDEX(TableWRTECalcPts[PLAYER],MATCH(TableWRTERank[[#This Row],[RK]],TableWRTECalcPts[RK],0)),"")</f>
        <v>John Metchie</v>
      </c>
      <c r="AX84" s="260" t="str">
        <f>IFERROR(INDEX(TableWRTECalcPts[POS RK],MATCH(TableWRTERank[[#This Row],[WR and TE COMBINED]],TableWRTECalcPts[PLAYER],0)),"")</f>
        <v>WR67</v>
      </c>
      <c r="AY84" s="260">
        <f>IFERROR(INDEX(TableWRTECalcPts[BYE],MATCH(TableWRTERank[[#This Row],[RK]],TableWRTECalcPts[RK],0)),"")</f>
        <v>6</v>
      </c>
      <c r="AZ84" s="261">
        <f>IFERROR(INDEX(TableWRTECalcPts[Custom],MATCH(TableWRTERank[[#This Row],[RK]],TableWRTECalcPts[RK],0)),"")</f>
        <v>89.873250374261502</v>
      </c>
      <c r="BA84" s="249">
        <f>IFERROR((TableWRTERank[[#This Row],[FPS]]-INDEX(TableWRTERank[FPS],MATCH(WRTEVORPCalc,TableWRTERank[RK],0)))/INDEX(TableWRTERank[FPS],MATCH(WRTEVORPCalc,TableWRTERank[RK],0)),"")</f>
        <v>-0.24317362392859107</v>
      </c>
      <c r="BC84" s="124" t="s">
        <v>358</v>
      </c>
      <c r="BD84" s="124">
        <v>83</v>
      </c>
      <c r="BE84" s="262">
        <f>RANK(TableWRTEMaster[[#This Row],[VORP]],TableWRTEMaster[VORP])+COUNTIF($BJ$2:BJ84,BJ84)-1</f>
        <v>111</v>
      </c>
      <c r="BF84" s="263" t="str">
        <f>IFERROR(INDEX(TableWRVORP[WIDE RECEIVER],MATCH(TableWRTEMaster[[#This Row],[RK]],TableWRVORP[RK],0)),"")</f>
        <v>Kendrick Bourne</v>
      </c>
      <c r="BG84" s="263" t="str">
        <f>_xlfn.CONCAT(TableWRTEMaster[[#This Row],[POS]],TableWRTEMaster[[#This Row],[RK]])</f>
        <v>WR83</v>
      </c>
      <c r="BH84" s="263">
        <f>IFERROR(INDEX(TableWRVORP[BYE],MATCH(TableWRTEMaster[[#This Row],[RK]],TableWRVORP[RK],0)),"")</f>
        <v>10</v>
      </c>
      <c r="BI84" s="264">
        <f>IFERROR(INDEX(TableWRVORP[FPS],MATCH(TableWRTEMaster[[#This Row],[RK]],TableWRVORP[RK],0)),"")</f>
        <v>72.660276936222047</v>
      </c>
      <c r="BJ84" s="254">
        <f>IFERROR(INDEX(TableWRVORP[VORP],MATCH(TableWRTEMaster[[#This Row],[RK]],TableWRVORP[RK],0)),"")</f>
        <v>-0.33322368686257176</v>
      </c>
    </row>
    <row r="85" spans="1:62" x14ac:dyDescent="0.3">
      <c r="A85" s="246">
        <v>84</v>
      </c>
      <c r="B85" s="247" t="str">
        <f>IFERROR(INDEX(TableQBCalcPts[PLAYER],MATCH(TableQBVORP[[#This Row],[RK]],TableQBCalcPts[RK],0)),"")</f>
        <v/>
      </c>
      <c r="C85" s="247" t="str">
        <f>IFERROR(INDEX(TableQBCalcPts[TM],MATCH(TableQBVORP[[#This Row],[RK]],TableQBCalcPts[RK],0)),"")</f>
        <v/>
      </c>
      <c r="D85" s="247" t="str">
        <f>IFERROR(INDEX(TableQBCalcPts[BYE],MATCH(TableQBVORP[[#This Row],[RK]],TableQBCalcPts[RK],0)),"")</f>
        <v/>
      </c>
      <c r="E85" s="248" t="str">
        <f>IFERROR(INDEX(TableQBCalcPts[Custom],MATCH(TableQBVORP[[#This Row],[RK]],TableQBCalcPts[RK],0)),"")</f>
        <v/>
      </c>
      <c r="F85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5" s="246"/>
      <c r="H85" s="246">
        <v>84</v>
      </c>
      <c r="I85" s="247" t="str">
        <f>IFERROR(INDEX(TableRBCalcPts[PLAYER],MATCH(TableRBVORP[[#This Row],[RK]],TableRBCalcPts[RK],0)),"")</f>
        <v>Duke Johnson</v>
      </c>
      <c r="J85" s="247" t="str">
        <f>IFERROR(INDEX(TableRBCalcPts[TM],MATCH(TableRBVORP[[#This Row],[RK]],TableRBCalcPts[RK],0)),"")</f>
        <v>BUF</v>
      </c>
      <c r="K85" s="247">
        <f>IFERROR(INDEX(TableRBCalcPts[BYE],MATCH(TableRBVORP[[#This Row],[RK]],TableRBCalcPts[RK],0)),"")</f>
        <v>7</v>
      </c>
      <c r="L85" s="248">
        <f>IFERROR(INDEX(TableRBCalcPts[Custom],MATCH(TableRBVORP[[#This Row],[RK]],TableRBCalcPts[RK],0)),"")</f>
        <v>23.791529259382088</v>
      </c>
      <c r="M85" s="249">
        <f>IFERROR((TableRBVORP[[#This Row],[FPS]]-INDEX(TableRBVORP[FPS],MATCH(RBVORPCalc,TableRBVORP[RK],0)))/INDEX(TableRBVORP[FPS],MATCH(RBVORPCalc,TableRBVORP[RK],0)),"")</f>
        <v>-0.76518235179923022</v>
      </c>
      <c r="N85" s="246"/>
      <c r="O85" s="246">
        <v>84</v>
      </c>
      <c r="P85" s="247" t="str">
        <f>IFERROR(INDEX(TableWRCalcPts[PLAYER],MATCH(TableWRVORP[[#This Row],[RK]],TableWRCalcPts[RK],0)),"")</f>
        <v>Nico Collins</v>
      </c>
      <c r="Q85" s="247" t="str">
        <f>IFERROR(INDEX(TableWRCalcPts[TM],MATCH(TableWRVORP[[#This Row],[RK]],TableWRCalcPts[RK],0)),"")</f>
        <v>HOU</v>
      </c>
      <c r="R85" s="247">
        <f>IFERROR(INDEX(TableWRCalcPts[BYE],MATCH(TableWRVORP[[#This Row],[RK]],TableWRCalcPts[RK],0)),"")</f>
        <v>6</v>
      </c>
      <c r="S85" s="248">
        <f>IFERROR(INDEX(TableWRCalcPts[Custom],MATCH(TableWRVORP[[#This Row],[RK]],TableWRCalcPts[RK],0)),"")</f>
        <v>72.512646152315625</v>
      </c>
      <c r="T85" s="249">
        <f>IFERROR((TableWRVORP[[#This Row],[FPS]]-INDEX(TableWRVORP[FPS],MATCH(WRVORPCalc,TableWRVORP[RK],0)))/INDEX(TableWRVORP[FPS],MATCH(WRVORPCalc,TableWRVORP[RK],0)),"")</f>
        <v>-0.33457843960986883</v>
      </c>
      <c r="U85" s="246"/>
      <c r="V85" s="246">
        <v>84</v>
      </c>
      <c r="W85" s="247" t="str">
        <f>IFERROR(INDEX(TableTECalcPts[PLAYER],MATCH(TableTEVORP[[#This Row],[RK]],TableTECalcPts[RK],0)),"")</f>
        <v>Charlie Woerner</v>
      </c>
      <c r="X85" s="247" t="str">
        <f>IFERROR(INDEX(TableTECalcPts[TM],MATCH(TableTEVORP[[#This Row],[RK]],TableTECalcPts[RK],0)),"")</f>
        <v>SF</v>
      </c>
      <c r="Y85" s="247">
        <f>IFERROR(INDEX(TableTECalcPts[BYE],MATCH(TableTEVORP[[#This Row],[RK]],TableTECalcPts[RK],0)),"")</f>
        <v>9</v>
      </c>
      <c r="Z85" s="248">
        <f>IFERROR(INDEX(TableTECalcPts[Custom],MATCH(TableTEVORP[[#This Row],[RK]],TableTECalcPts[RK],0)),"")</f>
        <v>6.2327979156029176</v>
      </c>
      <c r="AA85" s="249">
        <f>IFERROR((TableTEVORP[[#This Row],[FPS]]-INDEX(TableTEVORP[FPS],MATCH(TEVORPCalc,TableTEVORP[RK],0)))/INDEX(TableTEVORP[FPS],MATCH(TEVORPCalc,TableTEVORP[RK],0)),"")</f>
        <v>-0.93916395969784616</v>
      </c>
      <c r="AB85" s="246"/>
      <c r="AC85" s="250"/>
      <c r="AD85" s="250"/>
      <c r="AE85" s="250"/>
      <c r="AF85" s="250" t="s">
        <v>357</v>
      </c>
      <c r="AG85" s="250">
        <v>44</v>
      </c>
      <c r="AH85" s="251">
        <f>RANK(TableOverallMaster[[#This Row],[VORP]],TableOverallMaster[VORP])+COUNTIF($AM$2:AM85,AM85)-1</f>
        <v>129</v>
      </c>
      <c r="AI85" s="252" t="str">
        <f>IFERROR(INDEX(TableRBVORP[RUNNING BACK],MATCH(TableOverallMaster[[#This Row],[RK]],TableRBVORP[RK],0)),"")</f>
        <v>James Cook</v>
      </c>
      <c r="AJ85" s="252" t="str">
        <f t="shared" si="1"/>
        <v>RB44</v>
      </c>
      <c r="AK85" s="252">
        <f>IFERROR(INDEX(TableRBVORP[BYE],MATCH(TableOverallMaster[[#This Row],[RK]],TableRBVORP[RK],0)),"")</f>
        <v>7</v>
      </c>
      <c r="AL85" s="253">
        <f>IFERROR(INDEX(TableRBVORP[FPS],MATCH(TableOverallMaster[[#This Row],[RK]],TableRBVORP[RK],0)),"")</f>
        <v>98.453293591470882</v>
      </c>
      <c r="AM85" s="254">
        <f>IFERROR(INDEX(TableRBVORP[VORP],MATCH(TableOverallMaster[[#This Row],[RK]],TableRBVORP[RK],0)),"")</f>
        <v>-2.8285630287830037E-2</v>
      </c>
      <c r="AN85" s="250"/>
      <c r="AO85" s="250">
        <v>84</v>
      </c>
      <c r="AP85" s="255" t="str">
        <f>IFERROR(INDEX(TableOverallMaster[OVERALL PLAYER],MATCH(TableOverallRank[[#This Row],[RK]],TableOverallMaster[OVR RK],0)),"")</f>
        <v>Darnell Mooney</v>
      </c>
      <c r="AQ85" s="256" t="str">
        <f>IFERROR(INDEX(TableOverallMaster[POS RK],MATCH(TableOverallRank[[#This Row],[OVERALL PLAYER]],TableOverallMaster[OVERALL PLAYER],0)),"")</f>
        <v>WR32</v>
      </c>
      <c r="AR85" s="257">
        <f>IFERROR(INDEX(TableOverallMaster[BYE],MATCH(TableOverallRank[[#This Row],[OVERALL PLAYER]],TableOverallMaster[OVERALL PLAYER],0)),"")</f>
        <v>14</v>
      </c>
      <c r="AS85" s="258">
        <f>IFERROR(INDEX(TableOverallMaster[Custom],MATCH(TableOverallRank[[#This Row],[OVERALL PLAYER]],TableOverallMaster[OVERALL PLAYER],0)),"")</f>
        <v>134.25338130240169</v>
      </c>
      <c r="AT85" s="259">
        <f>IFERROR(INDEX(TableOverallMaster[VORP],MATCH(TableOverallRank[[#This Row],[OVERALL PLAYER]],TableOverallMaster[OVERALL PLAYER],0)),"")</f>
        <v>0.23199330343349439</v>
      </c>
      <c r="AU85" s="250"/>
      <c r="AV85" s="246">
        <v>84</v>
      </c>
      <c r="AW85" s="260" t="str">
        <f>IFERROR(INDEX(TableWRTECalcPts[PLAYER],MATCH(TableWRTERank[[#This Row],[RK]],TableWRTECalcPts[RK],0)),"")</f>
        <v>Brevin Jordan</v>
      </c>
      <c r="AX85" s="260" t="str">
        <f>IFERROR(INDEX(TableWRTECalcPts[POS RK],MATCH(TableWRTERank[[#This Row],[WR and TE COMBINED]],TableWRTECalcPts[PLAYER],0)),"")</f>
        <v>TE17</v>
      </c>
      <c r="AY85" s="260">
        <f>IFERROR(INDEX(TableWRTECalcPts[BYE],MATCH(TableWRTERank[[#This Row],[RK]],TableWRTECalcPts[RK],0)),"")</f>
        <v>6</v>
      </c>
      <c r="AZ85" s="261">
        <f>IFERROR(INDEX(TableWRTECalcPts[Custom],MATCH(TableWRTERank[[#This Row],[RK]],TableWRTECalcPts[RK],0)),"")</f>
        <v>87.480985240276397</v>
      </c>
      <c r="BA85" s="249">
        <f>IFERROR((TableWRTERank[[#This Row],[FPS]]-INDEX(TableWRTERank[FPS],MATCH(WRTEVORPCalc,TableWRTERank[RK],0)))/INDEX(TableWRTERank[FPS],MATCH(WRTEVORPCalc,TableWRTERank[RK],0)),"")</f>
        <v>-0.26331898803210685</v>
      </c>
      <c r="BC85" s="124" t="s">
        <v>358</v>
      </c>
      <c r="BD85" s="124">
        <v>84</v>
      </c>
      <c r="BE85" s="262">
        <f>RANK(TableWRTEMaster[[#This Row],[VORP]],TableWRTEMaster[VORP])+COUNTIF($BJ$2:BJ85,BJ85)-1</f>
        <v>112</v>
      </c>
      <c r="BF85" s="263" t="str">
        <f>IFERROR(INDEX(TableWRVORP[WIDE RECEIVER],MATCH(TableWRTEMaster[[#This Row],[RK]],TableWRVORP[RK],0)),"")</f>
        <v>Nico Collins</v>
      </c>
      <c r="BG85" s="263" t="str">
        <f>_xlfn.CONCAT(TableWRTEMaster[[#This Row],[POS]],TableWRTEMaster[[#This Row],[RK]])</f>
        <v>WR84</v>
      </c>
      <c r="BH85" s="263">
        <f>IFERROR(INDEX(TableWRVORP[BYE],MATCH(TableWRTEMaster[[#This Row],[RK]],TableWRVORP[RK],0)),"")</f>
        <v>6</v>
      </c>
      <c r="BI85" s="264">
        <f>IFERROR(INDEX(TableWRVORP[FPS],MATCH(TableWRTEMaster[[#This Row],[RK]],TableWRVORP[RK],0)),"")</f>
        <v>72.512646152315625</v>
      </c>
      <c r="BJ85" s="254">
        <f>IFERROR(INDEX(TableWRVORP[VORP],MATCH(TableWRTEMaster[[#This Row],[RK]],TableWRVORP[RK],0)),"")</f>
        <v>-0.33457843960986883</v>
      </c>
    </row>
    <row r="86" spans="1:62" x14ac:dyDescent="0.3">
      <c r="A86" s="246">
        <v>85</v>
      </c>
      <c r="B86" s="247" t="str">
        <f>IFERROR(INDEX(TableQBCalcPts[PLAYER],MATCH(TableQBVORP[[#This Row],[RK]],TableQBCalcPts[RK],0)),"")</f>
        <v/>
      </c>
      <c r="C86" s="247" t="str">
        <f>IFERROR(INDEX(TableQBCalcPts[TM],MATCH(TableQBVORP[[#This Row],[RK]],TableQBCalcPts[RK],0)),"")</f>
        <v/>
      </c>
      <c r="D86" s="247" t="str">
        <f>IFERROR(INDEX(TableQBCalcPts[BYE],MATCH(TableQBVORP[[#This Row],[RK]],TableQBCalcPts[RK],0)),"")</f>
        <v/>
      </c>
      <c r="E86" s="248" t="str">
        <f>IFERROR(INDEX(TableQBCalcPts[Custom],MATCH(TableQBVORP[[#This Row],[RK]],TableQBCalcPts[RK],0)),"")</f>
        <v/>
      </c>
      <c r="F86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6" s="246"/>
      <c r="H86" s="246">
        <v>85</v>
      </c>
      <c r="I86" s="247" t="str">
        <f>IFERROR(INDEX(TableRBCalcPts[PLAYER],MATCH(TableRBVORP[[#This Row],[RK]],TableRBCalcPts[RK],0)),"")</f>
        <v>Joshua Kelley</v>
      </c>
      <c r="J86" s="247" t="str">
        <f>IFERROR(INDEX(TableRBCalcPts[TM],MATCH(TableRBVORP[[#This Row],[RK]],TableRBCalcPts[RK],0)),"")</f>
        <v>LAC</v>
      </c>
      <c r="K86" s="247">
        <f>IFERROR(INDEX(TableRBCalcPts[BYE],MATCH(TableRBVORP[[#This Row],[RK]],TableRBCalcPts[RK],0)),"")</f>
        <v>8</v>
      </c>
      <c r="L86" s="248">
        <f>IFERROR(INDEX(TableRBCalcPts[Custom],MATCH(TableRBVORP[[#This Row],[RK]],TableRBCalcPts[RK],0)),"")</f>
        <v>22.922049210206108</v>
      </c>
      <c r="M86" s="249">
        <f>IFERROR((TableRBVORP[[#This Row],[FPS]]-INDEX(TableRBVORP[FPS],MATCH(RBVORPCalc,TableRBVORP[RK],0)))/INDEX(TableRBVORP[FPS],MATCH(RBVORPCalc,TableRBVORP[RK],0)),"")</f>
        <v>-0.77376394645332247</v>
      </c>
      <c r="N86" s="246"/>
      <c r="O86" s="246">
        <v>85</v>
      </c>
      <c r="P86" s="247" t="str">
        <f>IFERROR(INDEX(TableWRCalcPts[PLAYER],MATCH(TableWRVORP[[#This Row],[RK]],TableWRCalcPts[RK],0)),"")</f>
        <v>Sterling Shepard</v>
      </c>
      <c r="Q86" s="247" t="str">
        <f>IFERROR(INDEX(TableWRCalcPts[TM],MATCH(TableWRVORP[[#This Row],[RK]],TableWRCalcPts[RK],0)),"")</f>
        <v>NYG</v>
      </c>
      <c r="R86" s="247">
        <f>IFERROR(INDEX(TableWRCalcPts[BYE],MATCH(TableWRVORP[[#This Row],[RK]],TableWRCalcPts[RK],0)),"")</f>
        <v>9</v>
      </c>
      <c r="S86" s="248">
        <f>IFERROR(INDEX(TableWRCalcPts[Custom],MATCH(TableWRVORP[[#This Row],[RK]],TableWRCalcPts[RK],0)),"")</f>
        <v>69.979573413176695</v>
      </c>
      <c r="T86" s="249">
        <f>IFERROR((TableWRVORP[[#This Row],[FPS]]-INDEX(TableWRVORP[FPS],MATCH(WRVORPCalc,TableWRVORP[RK],0)))/INDEX(TableWRVORP[FPS],MATCH(WRVORPCalc,TableWRVORP[RK],0)),"")</f>
        <v>-0.35782350518255451</v>
      </c>
      <c r="U86" s="246"/>
      <c r="V86" s="246">
        <v>85</v>
      </c>
      <c r="W86" s="247" t="str">
        <f>IFERROR(INDEX(TableTECalcPts[PLAYER],MATCH(TableTEVORP[[#This Row],[RK]],TableTECalcPts[RK],0)),"")</f>
        <v>Ko Kieft</v>
      </c>
      <c r="X86" s="247" t="str">
        <f>IFERROR(INDEX(TableTECalcPts[TM],MATCH(TableTEVORP[[#This Row],[RK]],TableTECalcPts[RK],0)),"")</f>
        <v>TB</v>
      </c>
      <c r="Y86" s="247">
        <f>IFERROR(INDEX(TableTECalcPts[BYE],MATCH(TableTEVORP[[#This Row],[RK]],TableTECalcPts[RK],0)),"")</f>
        <v>11</v>
      </c>
      <c r="Z86" s="248">
        <f>IFERROR(INDEX(TableTECalcPts[Custom],MATCH(TableTEVORP[[#This Row],[RK]],TableTECalcPts[RK],0)),"")</f>
        <v>6.0774354386616594</v>
      </c>
      <c r="AA86" s="249">
        <f>IFERROR((TableTEVORP[[#This Row],[FPS]]-INDEX(TableTEVORP[FPS],MATCH(TEVORPCalc,TableTEVORP[RK],0)))/INDEX(TableTEVORP[FPS],MATCH(TEVORPCalc,TableTEVORP[RK],0)),"")</f>
        <v>-0.94068039550029359</v>
      </c>
      <c r="AB86" s="246"/>
      <c r="AC86" s="250"/>
      <c r="AD86" s="250"/>
      <c r="AE86" s="250"/>
      <c r="AF86" s="250" t="s">
        <v>357</v>
      </c>
      <c r="AG86" s="250">
        <v>45</v>
      </c>
      <c r="AH86" s="251">
        <f>RANK(TableOverallMaster[[#This Row],[VORP]],TableOverallMaster[VORP])+COUNTIF($AM$2:AM86,AM86)-1</f>
        <v>134</v>
      </c>
      <c r="AI86" s="252" t="str">
        <f>IFERROR(INDEX(TableRBVORP[RUNNING BACK],MATCH(TableOverallMaster[[#This Row],[RK]],TableRBVORP[RK],0)),"")</f>
        <v>Kenneth Gainwell</v>
      </c>
      <c r="AJ86" s="252" t="str">
        <f t="shared" si="1"/>
        <v>RB45</v>
      </c>
      <c r="AK86" s="252">
        <f>IFERROR(INDEX(TableRBVORP[BYE],MATCH(TableOverallMaster[[#This Row],[RK]],TableRBVORP[RK],0)),"")</f>
        <v>7</v>
      </c>
      <c r="AL86" s="253">
        <f>IFERROR(INDEX(TableRBVORP[FPS],MATCH(TableOverallMaster[[#This Row],[RK]],TableRBVORP[RK],0)),"")</f>
        <v>97.466462689647429</v>
      </c>
      <c r="AM86" s="254">
        <f>IFERROR(INDEX(TableRBVORP[VORP],MATCH(TableOverallMaster[[#This Row],[RK]],TableRBVORP[RK],0)),"")</f>
        <v>-3.8025454450106112E-2</v>
      </c>
      <c r="AN86" s="250"/>
      <c r="AO86" s="250">
        <v>85</v>
      </c>
      <c r="AP86" s="255" t="str">
        <f>IFERROR(INDEX(TableOverallMaster[OVERALL PLAYER],MATCH(TableOverallRank[[#This Row],[RK]],TableOverallMaster[OVR RK],0)),"")</f>
        <v>Justin Fields</v>
      </c>
      <c r="AQ86" s="256" t="str">
        <f>IFERROR(INDEX(TableOverallMaster[POS RK],MATCH(TableOverallRank[[#This Row],[OVERALL PLAYER]],TableOverallMaster[OVERALL PLAYER],0)),"")</f>
        <v>QB15</v>
      </c>
      <c r="AR86" s="257">
        <f>IFERROR(INDEX(TableOverallMaster[BYE],MATCH(TableOverallRank[[#This Row],[OVERALL PLAYER]],TableOverallMaster[OVERALL PLAYER],0)),"")</f>
        <v>14</v>
      </c>
      <c r="AS86" s="258">
        <f>IFERROR(INDEX(TableOverallMaster[Custom],MATCH(TableOverallRank[[#This Row],[OVERALL PLAYER]],TableOverallMaster[OVERALL PLAYER],0)),"")</f>
        <v>309.50928958655686</v>
      </c>
      <c r="AT86" s="259">
        <f>IFERROR(INDEX(TableOverallMaster[VORP],MATCH(TableOverallRank[[#This Row],[OVERALL PLAYER]],TableOverallMaster[OVERALL PLAYER],0)),"")</f>
        <v>0.2313653334859942</v>
      </c>
      <c r="AU86" s="250"/>
      <c r="AV86" s="246">
        <v>85</v>
      </c>
      <c r="AW86" s="260" t="str">
        <f>IFERROR(INDEX(TableWRTECalcPts[PLAYER],MATCH(TableWRTERank[[#This Row],[RK]],TableWRTECalcPts[RK],0)),"")</f>
        <v>DeVante Parker</v>
      </c>
      <c r="AX86" s="260" t="str">
        <f>IFERROR(INDEX(TableWRTECalcPts[POS RK],MATCH(TableWRTERank[[#This Row],[WR and TE COMBINED]],TableWRTECalcPts[PLAYER],0)),"")</f>
        <v>WR68</v>
      </c>
      <c r="AY86" s="260">
        <f>IFERROR(INDEX(TableWRTECalcPts[BYE],MATCH(TableWRTERank[[#This Row],[RK]],TableWRTECalcPts[RK],0)),"")</f>
        <v>10</v>
      </c>
      <c r="AZ86" s="261">
        <f>IFERROR(INDEX(TableWRTECalcPts[Custom],MATCH(TableWRTERank[[#This Row],[RK]],TableWRTECalcPts[RK],0)),"")</f>
        <v>87.406039713146185</v>
      </c>
      <c r="BA86" s="249">
        <f>IFERROR((TableWRTERank[[#This Row],[FPS]]-INDEX(TableWRTERank[FPS],MATCH(WRTEVORPCalc,TableWRTERank[RK],0)))/INDEX(TableWRTERank[FPS],MATCH(WRTEVORPCalc,TableWRTERank[RK],0)),"")</f>
        <v>-0.26395010743042074</v>
      </c>
      <c r="BC86" s="124" t="s">
        <v>358</v>
      </c>
      <c r="BD86" s="124">
        <v>85</v>
      </c>
      <c r="BE86" s="262">
        <f>RANK(TableWRTEMaster[[#This Row],[VORP]],TableWRTEMaster[VORP])+COUNTIF($BJ$2:BJ86,BJ86)-1</f>
        <v>113</v>
      </c>
      <c r="BF86" s="263" t="str">
        <f>IFERROR(INDEX(TableWRVORP[WIDE RECEIVER],MATCH(TableWRTEMaster[[#This Row],[RK]],TableWRVORP[RK],0)),"")</f>
        <v>Sterling Shepard</v>
      </c>
      <c r="BG86" s="263" t="str">
        <f>_xlfn.CONCAT(TableWRTEMaster[[#This Row],[POS]],TableWRTEMaster[[#This Row],[RK]])</f>
        <v>WR85</v>
      </c>
      <c r="BH86" s="263">
        <f>IFERROR(INDEX(TableWRVORP[BYE],MATCH(TableWRTEMaster[[#This Row],[RK]],TableWRVORP[RK],0)),"")</f>
        <v>9</v>
      </c>
      <c r="BI86" s="264">
        <f>IFERROR(INDEX(TableWRVORP[FPS],MATCH(TableWRTEMaster[[#This Row],[RK]],TableWRVORP[RK],0)),"")</f>
        <v>69.979573413176695</v>
      </c>
      <c r="BJ86" s="254">
        <f>IFERROR(INDEX(TableWRVORP[VORP],MATCH(TableWRTEMaster[[#This Row],[RK]],TableWRVORP[RK],0)),"")</f>
        <v>-0.35782350518255451</v>
      </c>
    </row>
    <row r="87" spans="1:62" x14ac:dyDescent="0.3">
      <c r="A87" s="246">
        <v>86</v>
      </c>
      <c r="B87" s="247" t="str">
        <f>IFERROR(INDEX(TableQBCalcPts[PLAYER],MATCH(TableQBVORP[[#This Row],[RK]],TableQBCalcPts[RK],0)),"")</f>
        <v/>
      </c>
      <c r="C87" s="247" t="str">
        <f>IFERROR(INDEX(TableQBCalcPts[TM],MATCH(TableQBVORP[[#This Row],[RK]],TableQBCalcPts[RK],0)),"")</f>
        <v/>
      </c>
      <c r="D87" s="247" t="str">
        <f>IFERROR(INDEX(TableQBCalcPts[BYE],MATCH(TableQBVORP[[#This Row],[RK]],TableQBCalcPts[RK],0)),"")</f>
        <v/>
      </c>
      <c r="E87" s="248" t="str">
        <f>IFERROR(INDEX(TableQBCalcPts[Custom],MATCH(TableQBVORP[[#This Row],[RK]],TableQBCalcPts[RK],0)),"")</f>
        <v/>
      </c>
      <c r="F87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7" s="246"/>
      <c r="H87" s="246">
        <v>86</v>
      </c>
      <c r="I87" s="247" t="str">
        <f>IFERROR(INDEX(TableRBCalcPts[PLAYER],MATCH(TableRBVORP[[#This Row],[RK]],TableRBCalcPts[RK],0)),"")</f>
        <v>ZaQuandre White</v>
      </c>
      <c r="J87" s="247" t="str">
        <f>IFERROR(INDEX(TableRBCalcPts[TM],MATCH(TableRBVORP[[#This Row],[RK]],TableRBCalcPts[RK],0)),"")</f>
        <v>MIA</v>
      </c>
      <c r="K87" s="247">
        <f>IFERROR(INDEX(TableRBCalcPts[BYE],MATCH(TableRBVORP[[#This Row],[RK]],TableRBCalcPts[RK],0)),"")</f>
        <v>11</v>
      </c>
      <c r="L87" s="248">
        <f>IFERROR(INDEX(TableRBCalcPts[Custom],MATCH(TableRBVORP[[#This Row],[RK]],TableRBCalcPts[RK],0)),"")</f>
        <v>22.249247349411675</v>
      </c>
      <c r="M87" s="249">
        <f>IFERROR((TableRBVORP[[#This Row],[FPS]]-INDEX(TableRBVORP[FPS],MATCH(RBVORPCalc,TableRBVORP[RK],0)))/INDEX(TableRBVORP[FPS],MATCH(RBVORPCalc,TableRBVORP[RK],0)),"")</f>
        <v>-0.78040436661860246</v>
      </c>
      <c r="N87" s="246"/>
      <c r="O87" s="246">
        <v>86</v>
      </c>
      <c r="P87" s="247" t="str">
        <f>IFERROR(INDEX(TableWRCalcPts[PLAYER],MATCH(TableWRVORP[[#This Row],[RK]],TableWRCalcPts[RK],0)),"")</f>
        <v>Jalen Guyton</v>
      </c>
      <c r="Q87" s="247" t="str">
        <f>IFERROR(INDEX(TableWRCalcPts[TM],MATCH(TableWRVORP[[#This Row],[RK]],TableWRCalcPts[RK],0)),"")</f>
        <v>LAC</v>
      </c>
      <c r="R87" s="247">
        <f>IFERROR(INDEX(TableWRCalcPts[BYE],MATCH(TableWRVORP[[#This Row],[RK]],TableWRCalcPts[RK],0)),"")</f>
        <v>8</v>
      </c>
      <c r="S87" s="248">
        <f>IFERROR(INDEX(TableWRCalcPts[Custom],MATCH(TableWRVORP[[#This Row],[RK]],TableWRCalcPts[RK],0)),"")</f>
        <v>69.095204526235136</v>
      </c>
      <c r="T87" s="249">
        <f>IFERROR((TableWRVORP[[#This Row],[FPS]]-INDEX(TableWRVORP[FPS],MATCH(WRVORPCalc,TableWRVORP[RK],0)))/INDEX(TableWRVORP[FPS],MATCH(WRVORPCalc,TableWRVORP[RK],0)),"")</f>
        <v>-0.36593902924539196</v>
      </c>
      <c r="U87" s="246"/>
      <c r="V87" s="246">
        <v>86</v>
      </c>
      <c r="W87" s="247" t="str">
        <f>IFERROR(INDEX(TableTECalcPts[PLAYER],MATCH(TableTEVORP[[#This Row],[RK]],TableTECalcPts[RK],0)),"")</f>
        <v>Colby Parkinson</v>
      </c>
      <c r="X87" s="247" t="str">
        <f>IFERROR(INDEX(TableTECalcPts[TM],MATCH(TableTEVORP[[#This Row],[RK]],TableTECalcPts[RK],0)),"")</f>
        <v>SEA</v>
      </c>
      <c r="Y87" s="247">
        <f>IFERROR(INDEX(TableTECalcPts[BYE],MATCH(TableTEVORP[[#This Row],[RK]],TableTECalcPts[RK],0)),"")</f>
        <v>11</v>
      </c>
      <c r="Z87" s="248">
        <f>IFERROR(INDEX(TableTECalcPts[Custom],MATCH(TableTEVORP[[#This Row],[RK]],TableTECalcPts[RK],0)),"")</f>
        <v>5.7870698924154205</v>
      </c>
      <c r="AA87" s="249">
        <f>IFERROR((TableTEVORP[[#This Row],[FPS]]-INDEX(TableTEVORP[FPS],MATCH(TEVORPCalc,TableTEVORP[RK],0)))/INDEX(TableTEVORP[FPS],MATCH(TEVORPCalc,TableTEVORP[RK],0)),"")</f>
        <v>-0.94351454644068788</v>
      </c>
      <c r="AB87" s="246"/>
      <c r="AC87" s="250"/>
      <c r="AD87" s="250"/>
      <c r="AE87" s="250"/>
      <c r="AF87" s="250" t="s">
        <v>357</v>
      </c>
      <c r="AG87" s="250">
        <v>46</v>
      </c>
      <c r="AH87" s="251">
        <f>RANK(TableOverallMaster[[#This Row],[VORP]],TableOverallMaster[VORP])+COUNTIF($AM$2:AM87,AM87)-1</f>
        <v>137</v>
      </c>
      <c r="AI87" s="252" t="str">
        <f>IFERROR(INDEX(TableRBVORP[RUNNING BACK],MATCH(TableOverallMaster[[#This Row],[RK]],TableRBVORP[RK],0)),"")</f>
        <v>Jamaal Williams</v>
      </c>
      <c r="AJ87" s="252" t="str">
        <f t="shared" si="1"/>
        <v>RB46</v>
      </c>
      <c r="AK87" s="252">
        <f>IFERROR(INDEX(TableRBVORP[BYE],MATCH(TableOverallMaster[[#This Row],[RK]],TableRBVORP[RK],0)),"")</f>
        <v>6</v>
      </c>
      <c r="AL87" s="253">
        <f>IFERROR(INDEX(TableRBVORP[FPS],MATCH(TableOverallMaster[[#This Row],[RK]],TableRBVORP[RK],0)),"")</f>
        <v>96.533767208897046</v>
      </c>
      <c r="AM87" s="254">
        <f>IFERROR(INDEX(TableRBVORP[VORP],MATCH(TableOverallMaster[[#This Row],[RK]],TableRBVORP[RK],0)),"")</f>
        <v>-4.7230972804539938E-2</v>
      </c>
      <c r="AN87" s="250"/>
      <c r="AO87" s="250">
        <v>86</v>
      </c>
      <c r="AP87" s="255" t="str">
        <f>IFERROR(INDEX(TableOverallMaster[OVERALL PLAYER],MATCH(TableOverallRank[[#This Row],[RK]],TableOverallMaster[OVR RK],0)),"")</f>
        <v>Drake London</v>
      </c>
      <c r="AQ87" s="256" t="str">
        <f>IFERROR(INDEX(TableOverallMaster[POS RK],MATCH(TableOverallRank[[#This Row],[OVERALL PLAYER]],TableOverallMaster[OVERALL PLAYER],0)),"")</f>
        <v>WR33</v>
      </c>
      <c r="AR87" s="257">
        <f>IFERROR(INDEX(TableOverallMaster[BYE],MATCH(TableOverallRank[[#This Row],[OVERALL PLAYER]],TableOverallMaster[OVERALL PLAYER],0)),"")</f>
        <v>14</v>
      </c>
      <c r="AS87" s="258">
        <f>IFERROR(INDEX(TableOverallMaster[Custom],MATCH(TableOverallRank[[#This Row],[OVERALL PLAYER]],TableOverallMaster[OVERALL PLAYER],0)),"")</f>
        <v>133.93393650127959</v>
      </c>
      <c r="AT87" s="259">
        <f>IFERROR(INDEX(TableOverallMaster[VORP],MATCH(TableOverallRank[[#This Row],[OVERALL PLAYER]],TableOverallMaster[OVERALL PLAYER],0)),"")</f>
        <v>0.22906187740920225</v>
      </c>
      <c r="AU87" s="250"/>
      <c r="AV87" s="246">
        <v>86</v>
      </c>
      <c r="AW87" s="260" t="str">
        <f>IFERROR(INDEX(TableWRTECalcPts[PLAYER],MATCH(TableWRTERank[[#This Row],[RK]],TableWRTECalcPts[RK],0)),"")</f>
        <v>Curtis Samuel</v>
      </c>
      <c r="AX87" s="260" t="str">
        <f>IFERROR(INDEX(TableWRTECalcPts[POS RK],MATCH(TableWRTERank[[#This Row],[WR and TE COMBINED]],TableWRTECalcPts[PLAYER],0)),"")</f>
        <v>WR69</v>
      </c>
      <c r="AY87" s="260">
        <f>IFERROR(INDEX(TableWRTECalcPts[BYE],MATCH(TableWRTERank[[#This Row],[RK]],TableWRTECalcPts[RK],0)),"")</f>
        <v>14</v>
      </c>
      <c r="AZ87" s="261">
        <f>IFERROR(INDEX(TableWRTECalcPts[Custom],MATCH(TableWRTERank[[#This Row],[RK]],TableWRTECalcPts[RK],0)),"")</f>
        <v>87.266912262059535</v>
      </c>
      <c r="BA87" s="249">
        <f>IFERROR((TableWRTERank[[#This Row],[FPS]]-INDEX(TableWRTERank[FPS],MATCH(WRTEVORPCalc,TableWRTERank[RK],0)))/INDEX(TableWRTERank[FPS],MATCH(WRTEVORPCalc,TableWRTERank[RK],0)),"")</f>
        <v>-0.26512170547744229</v>
      </c>
      <c r="BC87" s="124" t="s">
        <v>358</v>
      </c>
      <c r="BD87" s="124">
        <v>86</v>
      </c>
      <c r="BE87" s="262">
        <f>RANK(TableWRTEMaster[[#This Row],[VORP]],TableWRTEMaster[VORP])+COUNTIF($BJ$2:BJ87,BJ87)-1</f>
        <v>115</v>
      </c>
      <c r="BF87" s="263" t="str">
        <f>IFERROR(INDEX(TableWRVORP[WIDE RECEIVER],MATCH(TableWRTEMaster[[#This Row],[RK]],TableWRVORP[RK],0)),"")</f>
        <v>Jalen Guyton</v>
      </c>
      <c r="BG87" s="263" t="str">
        <f>_xlfn.CONCAT(TableWRTEMaster[[#This Row],[POS]],TableWRTEMaster[[#This Row],[RK]])</f>
        <v>WR86</v>
      </c>
      <c r="BH87" s="263">
        <f>IFERROR(INDEX(TableWRVORP[BYE],MATCH(TableWRTEMaster[[#This Row],[RK]],TableWRVORP[RK],0)),"")</f>
        <v>8</v>
      </c>
      <c r="BI87" s="264">
        <f>IFERROR(INDEX(TableWRVORP[FPS],MATCH(TableWRTEMaster[[#This Row],[RK]],TableWRVORP[RK],0)),"")</f>
        <v>69.095204526235136</v>
      </c>
      <c r="BJ87" s="254">
        <f>IFERROR(INDEX(TableWRVORP[VORP],MATCH(TableWRTEMaster[[#This Row],[RK]],TableWRVORP[RK],0)),"")</f>
        <v>-0.36593902924539196</v>
      </c>
    </row>
    <row r="88" spans="1:62" x14ac:dyDescent="0.3">
      <c r="A88" s="246">
        <v>87</v>
      </c>
      <c r="B88" s="247" t="str">
        <f>IFERROR(INDEX(TableQBCalcPts[PLAYER],MATCH(TableQBVORP[[#This Row],[RK]],TableQBCalcPts[RK],0)),"")</f>
        <v/>
      </c>
      <c r="C88" s="247" t="str">
        <f>IFERROR(INDEX(TableQBCalcPts[TM],MATCH(TableQBVORP[[#This Row],[RK]],TableQBCalcPts[RK],0)),"")</f>
        <v/>
      </c>
      <c r="D88" s="247" t="str">
        <f>IFERROR(INDEX(TableQBCalcPts[BYE],MATCH(TableQBVORP[[#This Row],[RK]],TableQBCalcPts[RK],0)),"")</f>
        <v/>
      </c>
      <c r="E88" s="248" t="str">
        <f>IFERROR(INDEX(TableQBCalcPts[Custom],MATCH(TableQBVORP[[#This Row],[RK]],TableQBCalcPts[RK],0)),"")</f>
        <v/>
      </c>
      <c r="F88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8" s="246"/>
      <c r="H88" s="246">
        <v>87</v>
      </c>
      <c r="I88" s="247" t="str">
        <f>IFERROR(INDEX(TableRBCalcPts[PLAYER],MATCH(TableRBVORP[[#This Row],[RK]],TableRBCalcPts[RK],0)),"")</f>
        <v>Jeff Wilson</v>
      </c>
      <c r="J88" s="247" t="str">
        <f>IFERROR(INDEX(TableRBCalcPts[TM],MATCH(TableRBVORP[[#This Row],[RK]],TableRBCalcPts[RK],0)),"")</f>
        <v>SF</v>
      </c>
      <c r="K88" s="247">
        <f>IFERROR(INDEX(TableRBCalcPts[BYE],MATCH(TableRBVORP[[#This Row],[RK]],TableRBCalcPts[RK],0)),"")</f>
        <v>9</v>
      </c>
      <c r="L88" s="248">
        <f>IFERROR(INDEX(TableRBCalcPts[Custom],MATCH(TableRBVORP[[#This Row],[RK]],TableRBCalcPts[RK],0)),"")</f>
        <v>22.176805142525897</v>
      </c>
      <c r="M88" s="249">
        <f>IFERROR((TableRBVORP[[#This Row],[FPS]]-INDEX(TableRBVORP[FPS],MATCH(RBVORPCalc,TableRBVORP[RK],0)))/INDEX(TableRBVORP[FPS],MATCH(RBVORPCalc,TableRBVORP[RK],0)),"")</f>
        <v>-0.78111935675084399</v>
      </c>
      <c r="N88" s="246"/>
      <c r="O88" s="246">
        <v>87</v>
      </c>
      <c r="P88" s="247" t="str">
        <f>IFERROR(INDEX(TableWRCalcPts[PLAYER],MATCH(TableWRVORP[[#This Row],[RK]],TableWRCalcPts[RK],0)),"")</f>
        <v>Corey Davis</v>
      </c>
      <c r="Q88" s="247" t="str">
        <f>IFERROR(INDEX(TableWRCalcPts[TM],MATCH(TableWRVORP[[#This Row],[RK]],TableWRCalcPts[RK],0)),"")</f>
        <v>NYJ</v>
      </c>
      <c r="R88" s="247">
        <f>IFERROR(INDEX(TableWRCalcPts[BYE],MATCH(TableWRVORP[[#This Row],[RK]],TableWRCalcPts[RK],0)),"")</f>
        <v>10</v>
      </c>
      <c r="S88" s="248">
        <f>IFERROR(INDEX(TableWRCalcPts[Custom],MATCH(TableWRVORP[[#This Row],[RK]],TableWRCalcPts[RK],0)),"")</f>
        <v>65.288503663814794</v>
      </c>
      <c r="T88" s="249">
        <f>IFERROR((TableWRVORP[[#This Row],[FPS]]-INDEX(TableWRVORP[FPS],MATCH(WRVORPCalc,TableWRVORP[RK],0)))/INDEX(TableWRVORP[FPS],MATCH(WRVORPCalc,TableWRVORP[RK],0)),"")</f>
        <v>-0.40087170598827915</v>
      </c>
      <c r="U88" s="246"/>
      <c r="V88" s="246">
        <v>87</v>
      </c>
      <c r="W88" s="247" t="str">
        <f>IFERROR(INDEX(TableTECalcPts[PLAYER],MATCH(TableTEVORP[[#This Row],[RK]],TableTECalcPts[RK],0)),"")</f>
        <v>Jalen Wydermyer</v>
      </c>
      <c r="X88" s="247" t="str">
        <f>IFERROR(INDEX(TableTECalcPts[TM],MATCH(TableTEVORP[[#This Row],[RK]],TableTECalcPts[RK],0)),"")</f>
        <v>BUF</v>
      </c>
      <c r="Y88" s="247">
        <f>IFERROR(INDEX(TableTECalcPts[BYE],MATCH(TableTEVORP[[#This Row],[RK]],TableTECalcPts[RK],0)),"")</f>
        <v>7</v>
      </c>
      <c r="Z88" s="248">
        <f>IFERROR(INDEX(TableTECalcPts[Custom],MATCH(TableTEVORP[[#This Row],[RK]],TableTECalcPts[RK],0)),"")</f>
        <v>5.2497172267481558</v>
      </c>
      <c r="AA88" s="249">
        <f>IFERROR((TableTEVORP[[#This Row],[FPS]]-INDEX(TableTEVORP[FPS],MATCH(TEVORPCalc,TableTEVORP[RK],0)))/INDEX(TableTEVORP[FPS],MATCH(TEVORPCalc,TableTEVORP[RK],0)),"")</f>
        <v>-0.94875944750561214</v>
      </c>
      <c r="AB88" s="246"/>
      <c r="AC88" s="250"/>
      <c r="AD88" s="250"/>
      <c r="AE88" s="250"/>
      <c r="AF88" s="250" t="s">
        <v>357</v>
      </c>
      <c r="AG88" s="250">
        <v>47</v>
      </c>
      <c r="AH88" s="251">
        <f>RANK(TableOverallMaster[[#This Row],[VORP]],TableOverallMaster[VORP])+COUNTIF($AM$2:AM88,AM88)-1</f>
        <v>138</v>
      </c>
      <c r="AI88" s="252" t="str">
        <f>IFERROR(INDEX(TableRBVORP[RUNNING BACK],MATCH(TableOverallMaster[[#This Row],[RK]],TableRBVORP[RK],0)),"")</f>
        <v>Nyheim Hines</v>
      </c>
      <c r="AJ88" s="252" t="str">
        <f t="shared" si="1"/>
        <v>RB47</v>
      </c>
      <c r="AK88" s="252">
        <f>IFERROR(INDEX(TableRBVORP[BYE],MATCH(TableOverallMaster[[#This Row],[RK]],TableRBVORP[RK],0)),"")</f>
        <v>14</v>
      </c>
      <c r="AL88" s="253">
        <f>IFERROR(INDEX(TableRBVORP[FPS],MATCH(TableOverallMaster[[#This Row],[RK]],TableRBVORP[RK],0)),"")</f>
        <v>96.306893168664445</v>
      </c>
      <c r="AM88" s="254">
        <f>IFERROR(INDEX(TableRBVORP[VORP],MATCH(TableOverallMaster[[#This Row],[RK]],TableRBVORP[RK],0)),"")</f>
        <v>-4.9470174328091351E-2</v>
      </c>
      <c r="AN88" s="250"/>
      <c r="AO88" s="250">
        <v>87</v>
      </c>
      <c r="AP88" s="255" t="str">
        <f>IFERROR(INDEX(TableOverallMaster[OVERALL PLAYER],MATCH(TableOverallRank[[#This Row],[RK]],TableOverallMaster[OVR RK],0)),"")</f>
        <v>Rashaad Penny</v>
      </c>
      <c r="AQ88" s="256" t="str">
        <f>IFERROR(INDEX(TableOverallMaster[POS RK],MATCH(TableOverallRank[[#This Row],[OVERALL PLAYER]],TableOverallMaster[OVERALL PLAYER],0)),"")</f>
        <v>RB34</v>
      </c>
      <c r="AR88" s="257">
        <f>IFERROR(INDEX(TableOverallMaster[BYE],MATCH(TableOverallRank[[#This Row],[OVERALL PLAYER]],TableOverallMaster[OVERALL PLAYER],0)),"")</f>
        <v>11</v>
      </c>
      <c r="AS88" s="258">
        <f>IFERROR(INDEX(TableOverallMaster[Custom],MATCH(TableOverallRank[[#This Row],[OVERALL PLAYER]],TableOverallMaster[OVERALL PLAYER],0)),"")</f>
        <v>123.99955197448789</v>
      </c>
      <c r="AT88" s="259">
        <f>IFERROR(INDEX(TableOverallMaster[VORP],MATCH(TableOverallRank[[#This Row],[OVERALL PLAYER]],TableOverallMaster[OVERALL PLAYER],0)),"")</f>
        <v>0.22385084435529057</v>
      </c>
      <c r="AU88" s="250"/>
      <c r="AV88" s="246">
        <v>87</v>
      </c>
      <c r="AW88" s="260" t="str">
        <f>IFERROR(INDEX(TableWRTECalcPts[PLAYER],MATCH(TableWRTERank[[#This Row],[RK]],TableWRTECalcPts[RK],0)),"")</f>
        <v>Byron Pringle</v>
      </c>
      <c r="AX88" s="260" t="str">
        <f>IFERROR(INDEX(TableWRTECalcPts[POS RK],MATCH(TableWRTERank[[#This Row],[WR and TE COMBINED]],TableWRTECalcPts[PLAYER],0)),"")</f>
        <v>WR70</v>
      </c>
      <c r="AY88" s="260">
        <f>IFERROR(INDEX(TableWRTECalcPts[BYE],MATCH(TableWRTERank[[#This Row],[RK]],TableWRTECalcPts[RK],0)),"")</f>
        <v>14</v>
      </c>
      <c r="AZ88" s="261">
        <f>IFERROR(INDEX(TableWRTECalcPts[Custom],MATCH(TableWRTERank[[#This Row],[RK]],TableWRTECalcPts[RK],0)),"")</f>
        <v>86.965222387666444</v>
      </c>
      <c r="BA88" s="249">
        <f>IFERROR((TableWRTERank[[#This Row],[FPS]]-INDEX(TableWRTERank[FPS],MATCH(WRTEVORPCalc,TableWRTERank[RK],0)))/INDEX(TableWRTERank[FPS],MATCH(WRTEVORPCalc,TableWRTERank[RK],0)),"")</f>
        <v>-0.26766224844638503</v>
      </c>
      <c r="BC88" s="124" t="s">
        <v>358</v>
      </c>
      <c r="BD88" s="124">
        <v>87</v>
      </c>
      <c r="BE88" s="262">
        <f>RANK(TableWRTEMaster[[#This Row],[VORP]],TableWRTEMaster[VORP])+COUNTIF($BJ$2:BJ88,BJ88)-1</f>
        <v>116</v>
      </c>
      <c r="BF88" s="263" t="str">
        <f>IFERROR(INDEX(TableWRVORP[WIDE RECEIVER],MATCH(TableWRTEMaster[[#This Row],[RK]],TableWRVORP[RK],0)),"")</f>
        <v>Corey Davis</v>
      </c>
      <c r="BG88" s="263" t="str">
        <f>_xlfn.CONCAT(TableWRTEMaster[[#This Row],[POS]],TableWRTEMaster[[#This Row],[RK]])</f>
        <v>WR87</v>
      </c>
      <c r="BH88" s="263">
        <f>IFERROR(INDEX(TableWRVORP[BYE],MATCH(TableWRTEMaster[[#This Row],[RK]],TableWRVORP[RK],0)),"")</f>
        <v>10</v>
      </c>
      <c r="BI88" s="264">
        <f>IFERROR(INDEX(TableWRVORP[FPS],MATCH(TableWRTEMaster[[#This Row],[RK]],TableWRVORP[RK],0)),"")</f>
        <v>65.288503663814794</v>
      </c>
      <c r="BJ88" s="254">
        <f>IFERROR(INDEX(TableWRVORP[VORP],MATCH(TableWRTEMaster[[#This Row],[RK]],TableWRVORP[RK],0)),"")</f>
        <v>-0.40087170598827915</v>
      </c>
    </row>
    <row r="89" spans="1:62" x14ac:dyDescent="0.3">
      <c r="A89" s="246">
        <v>88</v>
      </c>
      <c r="B89" s="247" t="str">
        <f>IFERROR(INDEX(TableQBCalcPts[PLAYER],MATCH(TableQBVORP[[#This Row],[RK]],TableQBCalcPts[RK],0)),"")</f>
        <v/>
      </c>
      <c r="C89" s="247" t="str">
        <f>IFERROR(INDEX(TableQBCalcPts[TM],MATCH(TableQBVORP[[#This Row],[RK]],TableQBCalcPts[RK],0)),"")</f>
        <v/>
      </c>
      <c r="D89" s="247" t="str">
        <f>IFERROR(INDEX(TableQBCalcPts[BYE],MATCH(TableQBVORP[[#This Row],[RK]],TableQBCalcPts[RK],0)),"")</f>
        <v/>
      </c>
      <c r="E89" s="248" t="str">
        <f>IFERROR(INDEX(TableQBCalcPts[Custom],MATCH(TableQBVORP[[#This Row],[RK]],TableQBCalcPts[RK],0)),"")</f>
        <v/>
      </c>
      <c r="F89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89" s="246"/>
      <c r="H89" s="246">
        <v>88</v>
      </c>
      <c r="I89" s="247" t="str">
        <f>IFERROR(INDEX(TableRBCalcPts[PLAYER],MATCH(TableRBVORP[[#This Row],[RK]],TableRBCalcPts[RK],0)),"")</f>
        <v>Ke'Shawn Vaughn</v>
      </c>
      <c r="J89" s="247" t="str">
        <f>IFERROR(INDEX(TableRBCalcPts[TM],MATCH(TableRBVORP[[#This Row],[RK]],TableRBCalcPts[RK],0)),"")</f>
        <v>TB</v>
      </c>
      <c r="K89" s="247">
        <f>IFERROR(INDEX(TableRBCalcPts[BYE],MATCH(TableRBVORP[[#This Row],[RK]],TableRBCalcPts[RK],0)),"")</f>
        <v>11</v>
      </c>
      <c r="L89" s="248">
        <f>IFERROR(INDEX(TableRBCalcPts[Custom],MATCH(TableRBVORP[[#This Row],[RK]],TableRBCalcPts[RK],0)),"")</f>
        <v>21.745369875224792</v>
      </c>
      <c r="M89" s="249">
        <f>IFERROR((TableRBVORP[[#This Row],[FPS]]-INDEX(TableRBVORP[FPS],MATCH(RBVORPCalc,TableRBVORP[RK],0)))/INDEX(TableRBVORP[FPS],MATCH(RBVORPCalc,TableRBVORP[RK],0)),"")</f>
        <v>-0.78537753678265354</v>
      </c>
      <c r="N89" s="246"/>
      <c r="O89" s="246">
        <v>88</v>
      </c>
      <c r="P89" s="247" t="str">
        <f>IFERROR(INDEX(TableWRCalcPts[PLAYER],MATCH(TableWRVORP[[#This Row],[RK]],TableWRCalcPts[RK],0)),"")</f>
        <v>Zay Jones</v>
      </c>
      <c r="Q89" s="247" t="str">
        <f>IFERROR(INDEX(TableWRCalcPts[TM],MATCH(TableWRVORP[[#This Row],[RK]],TableWRCalcPts[RK],0)),"")</f>
        <v>JAX</v>
      </c>
      <c r="R89" s="247">
        <f>IFERROR(INDEX(TableWRCalcPts[BYE],MATCH(TableWRVORP[[#This Row],[RK]],TableWRCalcPts[RK],0)),"")</f>
        <v>11</v>
      </c>
      <c r="S89" s="248">
        <f>IFERROR(INDEX(TableWRCalcPts[Custom],MATCH(TableWRVORP[[#This Row],[RK]],TableWRCalcPts[RK],0)),"")</f>
        <v>63.571604507371703</v>
      </c>
      <c r="T89" s="249">
        <f>IFERROR((TableWRVORP[[#This Row],[FPS]]-INDEX(TableWRVORP[FPS],MATCH(WRVORPCalc,TableWRVORP[RK],0)))/INDEX(TableWRVORP[FPS],MATCH(WRVORPCalc,TableWRVORP[RK],0)),"")</f>
        <v>-0.416627050419002</v>
      </c>
      <c r="U89" s="246"/>
      <c r="V89" s="246">
        <v>88</v>
      </c>
      <c r="W89" s="247" t="str">
        <f>IFERROR(INDEX(TableTECalcPts[PLAYER],MATCH(TableTEVORP[[#This Row],[RK]],TableTECalcPts[RK],0)),"")</f>
        <v>Devin Asiasi</v>
      </c>
      <c r="X89" s="247" t="str">
        <f>IFERROR(INDEX(TableTECalcPts[TM],MATCH(TableTEVORP[[#This Row],[RK]],TableTECalcPts[RK],0)),"")</f>
        <v>NE</v>
      </c>
      <c r="Y89" s="247">
        <f>IFERROR(INDEX(TableTECalcPts[BYE],MATCH(TableTEVORP[[#This Row],[RK]],TableTECalcPts[RK],0)),"")</f>
        <v>10</v>
      </c>
      <c r="Z89" s="248">
        <f>IFERROR(INDEX(TableTECalcPts[Custom],MATCH(TableTEVORP[[#This Row],[RK]],TableTECalcPts[RK],0)),"")</f>
        <v>5.165323273131186</v>
      </c>
      <c r="AA89" s="249">
        <f>IFERROR((TableTEVORP[[#This Row],[FPS]]-INDEX(TableTEVORP[FPS],MATCH(TEVORPCalc,TableTEVORP[RK],0)))/INDEX(TableTEVORP[FPS],MATCH(TEVORPCalc,TableTEVORP[RK],0)),"")</f>
        <v>-0.94958318574211875</v>
      </c>
      <c r="AB89" s="246"/>
      <c r="AC89" s="250"/>
      <c r="AD89" s="250"/>
      <c r="AE89" s="250"/>
      <c r="AF89" s="250" t="s">
        <v>357</v>
      </c>
      <c r="AG89" s="250">
        <v>48</v>
      </c>
      <c r="AH89" s="251">
        <f>RANK(TableOverallMaster[[#This Row],[VORP]],TableOverallMaster[VORP])+COUNTIF($AM$2:AM89,AM89)-1</f>
        <v>139</v>
      </c>
      <c r="AI89" s="252" t="str">
        <f>IFERROR(INDEX(TableRBVORP[RUNNING BACK],MATCH(TableOverallMaster[[#This Row],[RK]],TableRBVORP[RK],0)),"")</f>
        <v>James Robinson</v>
      </c>
      <c r="AJ89" s="252" t="str">
        <f t="shared" si="1"/>
        <v>RB48</v>
      </c>
      <c r="AK89" s="252">
        <f>IFERROR(INDEX(TableRBVORP[BYE],MATCH(TableOverallMaster[[#This Row],[RK]],TableRBVORP[RK],0)),"")</f>
        <v>11</v>
      </c>
      <c r="AL89" s="253">
        <f>IFERROR(INDEX(TableRBVORP[FPS],MATCH(TableOverallMaster[[#This Row],[RK]],TableRBVORP[RK],0)),"")</f>
        <v>96.05744529511027</v>
      </c>
      <c r="AM89" s="254">
        <f>IFERROR(INDEX(TableRBVORP[VORP],MATCH(TableOverallMaster[[#This Row],[RK]],TableRBVORP[RK],0)),"")</f>
        <v>-5.1932175083825687E-2</v>
      </c>
      <c r="AN89" s="250"/>
      <c r="AO89" s="250">
        <v>88</v>
      </c>
      <c r="AP89" s="255" t="str">
        <f>IFERROR(INDEX(TableOverallMaster[OVERALL PLAYER],MATCH(TableOverallRank[[#This Row],[RK]],TableOverallMaster[OVR RK],0)),"")</f>
        <v>Kareem Hunt</v>
      </c>
      <c r="AQ89" s="256" t="str">
        <f>IFERROR(INDEX(TableOverallMaster[POS RK],MATCH(TableOverallRank[[#This Row],[OVERALL PLAYER]],TableOverallMaster[OVERALL PLAYER],0)),"")</f>
        <v>RB35</v>
      </c>
      <c r="AR89" s="257">
        <f>IFERROR(INDEX(TableOverallMaster[BYE],MATCH(TableOverallRank[[#This Row],[OVERALL PLAYER]],TableOverallMaster[OVERALL PLAYER],0)),"")</f>
        <v>9</v>
      </c>
      <c r="AS89" s="258">
        <f>IFERROR(INDEX(TableOverallMaster[Custom],MATCH(TableOverallRank[[#This Row],[OVERALL PLAYER]],TableOverallMaster[OVERALL PLAYER],0)),"")</f>
        <v>123.52378859510981</v>
      </c>
      <c r="AT89" s="259">
        <f>IFERROR(INDEX(TableOverallMaster[VORP],MATCH(TableOverallRank[[#This Row],[OVERALL PLAYER]],TableOverallMaster[OVERALL PLAYER],0)),"")</f>
        <v>0.21915515469921032</v>
      </c>
      <c r="AU89" s="250"/>
      <c r="AV89" s="246">
        <v>88</v>
      </c>
      <c r="AW89" s="260" t="str">
        <f>IFERROR(INDEX(TableWRTECalcPts[PLAYER],MATCH(TableWRTERank[[#This Row],[RK]],TableWRTECalcPts[RK],0)),"")</f>
        <v>Gerald Everett</v>
      </c>
      <c r="AX89" s="260" t="str">
        <f>IFERROR(INDEX(TableWRTECalcPts[POS RK],MATCH(TableWRTERank[[#This Row],[WR and TE COMBINED]],TableWRTECalcPts[PLAYER],0)),"")</f>
        <v>TE18</v>
      </c>
      <c r="AY89" s="260">
        <f>IFERROR(INDEX(TableWRTECalcPts[BYE],MATCH(TableWRTERank[[#This Row],[RK]],TableWRTECalcPts[RK],0)),"")</f>
        <v>8</v>
      </c>
      <c r="AZ89" s="261">
        <f>IFERROR(INDEX(TableWRTECalcPts[Custom],MATCH(TableWRTERank[[#This Row],[RK]],TableWRTECalcPts[RK],0)),"")</f>
        <v>86.501515712526853</v>
      </c>
      <c r="BA89" s="249">
        <f>IFERROR((TableWRTERank[[#This Row],[FPS]]-INDEX(TableWRTERank[FPS],MATCH(WRTEVORPCalc,TableWRTERank[RK],0)))/INDEX(TableWRTERank[FPS],MATCH(WRTEVORPCalc,TableWRTERank[RK],0)),"")</f>
        <v>-0.27156714162699847</v>
      </c>
      <c r="BC89" s="124" t="s">
        <v>358</v>
      </c>
      <c r="BD89" s="124">
        <v>88</v>
      </c>
      <c r="BE89" s="262">
        <f>RANK(TableWRTEMaster[[#This Row],[VORP]],TableWRTEMaster[VORP])+COUNTIF($BJ$2:BJ89,BJ89)-1</f>
        <v>117</v>
      </c>
      <c r="BF89" s="263" t="str">
        <f>IFERROR(INDEX(TableWRVORP[WIDE RECEIVER],MATCH(TableWRTEMaster[[#This Row],[RK]],TableWRVORP[RK],0)),"")</f>
        <v>Zay Jones</v>
      </c>
      <c r="BG89" s="263" t="str">
        <f>_xlfn.CONCAT(TableWRTEMaster[[#This Row],[POS]],TableWRTEMaster[[#This Row],[RK]])</f>
        <v>WR88</v>
      </c>
      <c r="BH89" s="263">
        <f>IFERROR(INDEX(TableWRVORP[BYE],MATCH(TableWRTEMaster[[#This Row],[RK]],TableWRVORP[RK],0)),"")</f>
        <v>11</v>
      </c>
      <c r="BI89" s="264">
        <f>IFERROR(INDEX(TableWRVORP[FPS],MATCH(TableWRTEMaster[[#This Row],[RK]],TableWRVORP[RK],0)),"")</f>
        <v>63.571604507371703</v>
      </c>
      <c r="BJ89" s="254">
        <f>IFERROR(INDEX(TableWRVORP[VORP],MATCH(TableWRTEMaster[[#This Row],[RK]],TableWRVORP[RK],0)),"")</f>
        <v>-0.416627050419002</v>
      </c>
    </row>
    <row r="90" spans="1:62" x14ac:dyDescent="0.3">
      <c r="A90" s="246">
        <v>89</v>
      </c>
      <c r="B90" s="247" t="str">
        <f>IFERROR(INDEX(TableQBCalcPts[PLAYER],MATCH(TableQBVORP[[#This Row],[RK]],TableQBCalcPts[RK],0)),"")</f>
        <v/>
      </c>
      <c r="C90" s="247" t="str">
        <f>IFERROR(INDEX(TableQBCalcPts[TM],MATCH(TableQBVORP[[#This Row],[RK]],TableQBCalcPts[RK],0)),"")</f>
        <v/>
      </c>
      <c r="D90" s="247" t="str">
        <f>IFERROR(INDEX(TableQBCalcPts[BYE],MATCH(TableQBVORP[[#This Row],[RK]],TableQBCalcPts[RK],0)),"")</f>
        <v/>
      </c>
      <c r="E90" s="248" t="str">
        <f>IFERROR(INDEX(TableQBCalcPts[Custom],MATCH(TableQBVORP[[#This Row],[RK]],TableQBCalcPts[RK],0)),"")</f>
        <v/>
      </c>
      <c r="F90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0" s="246"/>
      <c r="H90" s="246">
        <v>89</v>
      </c>
      <c r="I90" s="247" t="str">
        <f>IFERROR(INDEX(TableRBCalcPts[PLAYER],MATCH(TableRBVORP[[#This Row],[RK]],TableRBCalcPts[RK],0)),"")</f>
        <v>Jashaun Corbin</v>
      </c>
      <c r="J90" s="247" t="str">
        <f>IFERROR(INDEX(TableRBCalcPts[TM],MATCH(TableRBVORP[[#This Row],[RK]],TableRBCalcPts[RK],0)),"")</f>
        <v>NYG</v>
      </c>
      <c r="K90" s="247">
        <f>IFERROR(INDEX(TableRBCalcPts[BYE],MATCH(TableRBVORP[[#This Row],[RK]],TableRBCalcPts[RK],0)),"")</f>
        <v>9</v>
      </c>
      <c r="L90" s="248">
        <f>IFERROR(INDEX(TableRBCalcPts[Custom],MATCH(TableRBVORP[[#This Row],[RK]],TableRBCalcPts[RK],0)),"")</f>
        <v>21.05921723337142</v>
      </c>
      <c r="M90" s="249">
        <f>IFERROR((TableRBVORP[[#This Row],[FPS]]-INDEX(TableRBVORP[FPS],MATCH(RBVORPCalc,TableRBVORP[RK],0)))/INDEX(TableRBVORP[FPS],MATCH(RBVORPCalc,TableRBVORP[RK],0)),"")</f>
        <v>-0.79214972649396498</v>
      </c>
      <c r="N90" s="246"/>
      <c r="O90" s="246">
        <v>89</v>
      </c>
      <c r="P90" s="247" t="str">
        <f>IFERROR(INDEX(TableWRCalcPts[PLAYER],MATCH(TableWRVORP[[#This Row],[RK]],TableWRCalcPts[RK],0)),"")</f>
        <v>Terrace Marshall</v>
      </c>
      <c r="Q90" s="247" t="str">
        <f>IFERROR(INDEX(TableWRCalcPts[TM],MATCH(TableWRVORP[[#This Row],[RK]],TableWRCalcPts[RK],0)),"")</f>
        <v>CAR</v>
      </c>
      <c r="R90" s="247">
        <f>IFERROR(INDEX(TableWRCalcPts[BYE],MATCH(TableWRVORP[[#This Row],[RK]],TableWRCalcPts[RK],0)),"")</f>
        <v>13</v>
      </c>
      <c r="S90" s="248">
        <f>IFERROR(INDEX(TableWRCalcPts[Custom],MATCH(TableWRVORP[[#This Row],[RK]],TableWRCalcPts[RK],0)),"")</f>
        <v>59.809797928534088</v>
      </c>
      <c r="T90" s="249">
        <f>IFERROR((TableWRVORP[[#This Row],[FPS]]-INDEX(TableWRVORP[FPS],MATCH(WRVORPCalc,TableWRVORP[RK],0)))/INDEX(TableWRVORP[FPS],MATCH(WRVORPCalc,TableWRVORP[RK],0)),"")</f>
        <v>-0.45114774903366767</v>
      </c>
      <c r="U90" s="246"/>
      <c r="V90" s="246">
        <v>89</v>
      </c>
      <c r="W90" s="247" t="str">
        <f>IFERROR(INDEX(TableTECalcPts[PLAYER],MATCH(TableTEVORP[[#This Row],[RK]],TableTECalcPts[RK],0)),"")</f>
        <v>Teagan Quitoriano</v>
      </c>
      <c r="X90" s="247" t="str">
        <f>IFERROR(INDEX(TableTECalcPts[TM],MATCH(TableTEVORP[[#This Row],[RK]],TableTECalcPts[RK],0)),"")</f>
        <v>HOU</v>
      </c>
      <c r="Y90" s="247">
        <f>IFERROR(INDEX(TableTECalcPts[BYE],MATCH(TableTEVORP[[#This Row],[RK]],TableTECalcPts[RK],0)),"")</f>
        <v>6</v>
      </c>
      <c r="Z90" s="248">
        <f>IFERROR(INDEX(TableTECalcPts[Custom],MATCH(TableTEVORP[[#This Row],[RK]],TableTECalcPts[RK],0)),"")</f>
        <v>5.1320091913968939</v>
      </c>
      <c r="AA90" s="249">
        <f>IFERROR((TableTEVORP[[#This Row],[FPS]]-INDEX(TableTEVORP[FPS],MATCH(TEVORPCalc,TableTEVORP[RK],0)))/INDEX(TableTEVORP[FPS],MATCH(TEVORPCalc,TableTEVORP[RK],0)),"")</f>
        <v>-0.94990835219969683</v>
      </c>
      <c r="AB90" s="246"/>
      <c r="AC90" s="250"/>
      <c r="AD90" s="250"/>
      <c r="AE90" s="250"/>
      <c r="AF90" s="250" t="s">
        <v>357</v>
      </c>
      <c r="AG90" s="250">
        <v>49</v>
      </c>
      <c r="AH90" s="251">
        <f>RANK(TableOverallMaster[[#This Row],[VORP]],TableOverallMaster[VORP])+COUNTIF($AM$2:AM90,AM90)-1</f>
        <v>146</v>
      </c>
      <c r="AI90" s="252" t="str">
        <f>IFERROR(INDEX(TableRBVORP[RUNNING BACK],MATCH(TableOverallMaster[[#This Row],[RK]],TableRBVORP[RK],0)),"")</f>
        <v>Tyler Allgeier</v>
      </c>
      <c r="AJ90" s="252" t="str">
        <f t="shared" si="1"/>
        <v>RB49</v>
      </c>
      <c r="AK90" s="252">
        <f>IFERROR(INDEX(TableRBVORP[BYE],MATCH(TableOverallMaster[[#This Row],[RK]],TableRBVORP[RK],0)),"")</f>
        <v>14</v>
      </c>
      <c r="AL90" s="253">
        <f>IFERROR(INDEX(TableRBVORP[FPS],MATCH(TableOverallMaster[[#This Row],[RK]],TableRBVORP[RK],0)),"")</f>
        <v>93.945519105220711</v>
      </c>
      <c r="AM90" s="254">
        <f>IFERROR(INDEX(TableRBVORP[VORP],MATCH(TableOverallMaster[[#This Row],[RK]],TableRBVORP[RK],0)),"")</f>
        <v>-7.2776465321617592E-2</v>
      </c>
      <c r="AN90" s="250"/>
      <c r="AO90" s="250">
        <v>89</v>
      </c>
      <c r="AP90" s="255" t="str">
        <f>IFERROR(INDEX(TableOverallMaster[OVERALL PLAYER],MATCH(TableOverallRank[[#This Row],[RK]],TableOverallMaster[OVR RK],0)),"")</f>
        <v>Chris Godwin</v>
      </c>
      <c r="AQ90" s="256" t="str">
        <f>IFERROR(INDEX(TableOverallMaster[POS RK],MATCH(TableOverallRank[[#This Row],[OVERALL PLAYER]],TableOverallMaster[OVERALL PLAYER],0)),"")</f>
        <v>WR34</v>
      </c>
      <c r="AR90" s="257">
        <f>IFERROR(INDEX(TableOverallMaster[BYE],MATCH(TableOverallRank[[#This Row],[OVERALL PLAYER]],TableOverallMaster[OVERALL PLAYER],0)),"")</f>
        <v>11</v>
      </c>
      <c r="AS90" s="258">
        <f>IFERROR(INDEX(TableOverallMaster[Custom],MATCH(TableOverallRank[[#This Row],[OVERALL PLAYER]],TableOverallMaster[OVERALL PLAYER],0)),"")</f>
        <v>132.66088916790426</v>
      </c>
      <c r="AT90" s="259">
        <f>IFERROR(INDEX(TableOverallMaster[VORP],MATCH(TableOverallRank[[#This Row],[OVERALL PLAYER]],TableOverallMaster[OVERALL PLAYER],0)),"")</f>
        <v>0.2173795959317657</v>
      </c>
      <c r="AU90" s="250"/>
      <c r="AV90" s="246">
        <v>89</v>
      </c>
      <c r="AW90" s="260" t="str">
        <f>IFERROR(INDEX(TableWRTECalcPts[PLAYER],MATCH(TableWRTERank[[#This Row],[RK]],TableWRTECalcPts[RK],0)),"")</f>
        <v>Joshua Palmer</v>
      </c>
      <c r="AX90" s="260" t="str">
        <f>IFERROR(INDEX(TableWRTECalcPts[POS RK],MATCH(TableWRTERank[[#This Row],[WR and TE COMBINED]],TableWRTECalcPts[PLAYER],0)),"")</f>
        <v>WR71</v>
      </c>
      <c r="AY90" s="260">
        <f>IFERROR(INDEX(TableWRTECalcPts[BYE],MATCH(TableWRTERank[[#This Row],[RK]],TableWRTECalcPts[RK],0)),"")</f>
        <v>8</v>
      </c>
      <c r="AZ90" s="261">
        <f>IFERROR(INDEX(TableWRTECalcPts[Custom],MATCH(TableWRTERank[[#This Row],[RK]],TableWRTECalcPts[RK],0)),"")</f>
        <v>86.180512483488769</v>
      </c>
      <c r="BA90" s="249">
        <f>IFERROR((TableWRTERank[[#This Row],[FPS]]-INDEX(TableWRTERank[FPS],MATCH(WRTEVORPCalc,TableWRTERank[RK],0)))/INDEX(TableWRTERank[FPS],MATCH(WRTEVORPCalc,TableWRTERank[RK],0)),"")</f>
        <v>-0.27427032315797034</v>
      </c>
      <c r="BC90" s="124" t="s">
        <v>358</v>
      </c>
      <c r="BD90" s="124">
        <v>89</v>
      </c>
      <c r="BE90" s="262">
        <f>RANK(TableWRTEMaster[[#This Row],[VORP]],TableWRTEMaster[VORP])+COUNTIF($BJ$2:BJ90,BJ90)-1</f>
        <v>118</v>
      </c>
      <c r="BF90" s="263" t="str">
        <f>IFERROR(INDEX(TableWRVORP[WIDE RECEIVER],MATCH(TableWRTEMaster[[#This Row],[RK]],TableWRVORP[RK],0)),"")</f>
        <v>Terrace Marshall</v>
      </c>
      <c r="BG90" s="263" t="str">
        <f>_xlfn.CONCAT(TableWRTEMaster[[#This Row],[POS]],TableWRTEMaster[[#This Row],[RK]])</f>
        <v>WR89</v>
      </c>
      <c r="BH90" s="263">
        <f>IFERROR(INDEX(TableWRVORP[BYE],MATCH(TableWRTEMaster[[#This Row],[RK]],TableWRVORP[RK],0)),"")</f>
        <v>13</v>
      </c>
      <c r="BI90" s="264">
        <f>IFERROR(INDEX(TableWRVORP[FPS],MATCH(TableWRTEMaster[[#This Row],[RK]],TableWRVORP[RK],0)),"")</f>
        <v>59.809797928534088</v>
      </c>
      <c r="BJ90" s="254">
        <f>IFERROR(INDEX(TableWRVORP[VORP],MATCH(TableWRTEMaster[[#This Row],[RK]],TableWRVORP[RK],0)),"")</f>
        <v>-0.45114774903366767</v>
      </c>
    </row>
    <row r="91" spans="1:62" x14ac:dyDescent="0.3">
      <c r="A91" s="246">
        <v>90</v>
      </c>
      <c r="B91" s="247" t="str">
        <f>IFERROR(INDEX(TableQBCalcPts[PLAYER],MATCH(TableQBVORP[[#This Row],[RK]],TableQBCalcPts[RK],0)),"")</f>
        <v/>
      </c>
      <c r="C91" s="247" t="str">
        <f>IFERROR(INDEX(TableQBCalcPts[TM],MATCH(TableQBVORP[[#This Row],[RK]],TableQBCalcPts[RK],0)),"")</f>
        <v/>
      </c>
      <c r="D91" s="247" t="str">
        <f>IFERROR(INDEX(TableQBCalcPts[BYE],MATCH(TableQBVORP[[#This Row],[RK]],TableQBCalcPts[RK],0)),"")</f>
        <v/>
      </c>
      <c r="E91" s="248" t="str">
        <f>IFERROR(INDEX(TableQBCalcPts[Custom],MATCH(TableQBVORP[[#This Row],[RK]],TableQBCalcPts[RK],0)),"")</f>
        <v/>
      </c>
      <c r="F91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1" s="246"/>
      <c r="H91" s="246">
        <v>90</v>
      </c>
      <c r="I91" s="247" t="str">
        <f>IFERROR(INDEX(TableRBCalcPts[PLAYER],MATCH(TableRBVORP[[#This Row],[RK]],TableRBCalcPts[RK],0)),"")</f>
        <v>Rico Dowdle</v>
      </c>
      <c r="J91" s="247" t="str">
        <f>IFERROR(INDEX(TableRBCalcPts[TM],MATCH(TableRBVORP[[#This Row],[RK]],TableRBCalcPts[RK],0)),"")</f>
        <v>DAL</v>
      </c>
      <c r="K91" s="247">
        <f>IFERROR(INDEX(TableRBCalcPts[BYE],MATCH(TableRBVORP[[#This Row],[RK]],TableRBCalcPts[RK],0)),"")</f>
        <v>9</v>
      </c>
      <c r="L91" s="248">
        <f>IFERROR(INDEX(TableRBCalcPts[Custom],MATCH(TableRBVORP[[#This Row],[RK]],TableRBCalcPts[RK],0)),"")</f>
        <v>20.267624726719617</v>
      </c>
      <c r="M91" s="249">
        <f>IFERROR((TableRBVORP[[#This Row],[FPS]]-INDEX(TableRBVORP[FPS],MATCH(RBVORPCalc,TableRBVORP[RK],0)))/INDEX(TableRBVORP[FPS],MATCH(RBVORPCalc,TableRBVORP[RK],0)),"")</f>
        <v>-0.79996258663922148</v>
      </c>
      <c r="N91" s="246"/>
      <c r="O91" s="246">
        <v>90</v>
      </c>
      <c r="P91" s="247" t="str">
        <f>IFERROR(INDEX(TableWRCalcPts[PLAYER],MATCH(TableWRVORP[[#This Row],[RK]],TableWRCalcPts[RK],0)),"")</f>
        <v>David Bell</v>
      </c>
      <c r="Q91" s="247" t="str">
        <f>IFERROR(INDEX(TableWRCalcPts[TM],MATCH(TableWRVORP[[#This Row],[RK]],TableWRCalcPts[RK],0)),"")</f>
        <v>CLE</v>
      </c>
      <c r="R91" s="247">
        <f>IFERROR(INDEX(TableWRCalcPts[BYE],MATCH(TableWRVORP[[#This Row],[RK]],TableWRCalcPts[RK],0)),"")</f>
        <v>9</v>
      </c>
      <c r="S91" s="248">
        <f>IFERROR(INDEX(TableWRCalcPts[Custom],MATCH(TableWRVORP[[#This Row],[RK]],TableWRCalcPts[RK],0)),"")</f>
        <v>57.726772683944851</v>
      </c>
      <c r="T91" s="249">
        <f>IFERROR((TableWRVORP[[#This Row],[FPS]]-INDEX(TableWRVORP[FPS],MATCH(WRVORPCalc,TableWRVORP[RK],0)))/INDEX(TableWRVORP[FPS],MATCH(WRVORPCalc,TableWRVORP[RK],0)),"")</f>
        <v>-0.47026289628226026</v>
      </c>
      <c r="U91" s="246"/>
      <c r="V91" s="246">
        <v>90</v>
      </c>
      <c r="W91" s="247" t="str">
        <f>IFERROR(INDEX(TableTECalcPts[PLAYER],MATCH(TableTEVORP[[#This Row],[RK]],TableTECalcPts[RK],0)),"")</f>
        <v>Cole Turner</v>
      </c>
      <c r="X91" s="247" t="str">
        <f>IFERROR(INDEX(TableTECalcPts[TM],MATCH(TableTEVORP[[#This Row],[RK]],TableTECalcPts[RK],0)),"")</f>
        <v>WSH</v>
      </c>
      <c r="Y91" s="247">
        <f>IFERROR(INDEX(TableTECalcPts[BYE],MATCH(TableTEVORP[[#This Row],[RK]],TableTECalcPts[RK],0)),"")</f>
        <v>14</v>
      </c>
      <c r="Z91" s="248">
        <f>IFERROR(INDEX(TableTECalcPts[Custom],MATCH(TableTEVORP[[#This Row],[RK]],TableTECalcPts[RK],0)),"")</f>
        <v>4.9365385445064334</v>
      </c>
      <c r="AA91" s="249">
        <f>IFERROR((TableTEVORP[[#This Row],[FPS]]-INDEX(TableTEVORP[FPS],MATCH(TEVORPCalc,TableTEVORP[RK],0)))/INDEX(TableTEVORP[FPS],MATCH(TEVORPCalc,TableTEVORP[RK],0)),"")</f>
        <v>-0.9518162690474975</v>
      </c>
      <c r="AB91" s="246"/>
      <c r="AC91" s="250"/>
      <c r="AD91" s="250"/>
      <c r="AE91" s="250"/>
      <c r="AF91" s="250" t="s">
        <v>357</v>
      </c>
      <c r="AG91" s="250">
        <v>50</v>
      </c>
      <c r="AH91" s="251">
        <f>RANK(TableOverallMaster[[#This Row],[VORP]],TableOverallMaster[VORP])+COUNTIF($AM$2:AM91,AM91)-1</f>
        <v>148</v>
      </c>
      <c r="AI91" s="252" t="str">
        <f>IFERROR(INDEX(TableRBVORP[RUNNING BACK],MATCH(TableOverallMaster[[#This Row],[RK]],TableRBVORP[RK],0)),"")</f>
        <v>Marlon Mack</v>
      </c>
      <c r="AJ91" s="252" t="str">
        <f t="shared" si="1"/>
        <v>RB50</v>
      </c>
      <c r="AK91" s="252">
        <f>IFERROR(INDEX(TableRBVORP[BYE],MATCH(TableOverallMaster[[#This Row],[RK]],TableRBVORP[RK],0)),"")</f>
        <v>6</v>
      </c>
      <c r="AL91" s="253">
        <f>IFERROR(INDEX(TableRBVORP[FPS],MATCH(TableOverallMaster[[#This Row],[RK]],TableRBVORP[RK],0)),"")</f>
        <v>93.003437023698993</v>
      </c>
      <c r="AM91" s="254">
        <f>IFERROR(INDEX(TableRBVORP[VORP],MATCH(TableOverallMaster[[#This Row],[RK]],TableRBVORP[RK],0)),"")</f>
        <v>-8.2074627553361465E-2</v>
      </c>
      <c r="AN91" s="250"/>
      <c r="AO91" s="250">
        <v>90</v>
      </c>
      <c r="AP91" s="255" t="str">
        <f>IFERROR(INDEX(TableOverallMaster[OVERALL PLAYER],MATCH(TableOverallRank[[#This Row],[RK]],TableOverallMaster[OVR RK],0)),"")</f>
        <v>Hunter Renfrow</v>
      </c>
      <c r="AQ91" s="256" t="str">
        <f>IFERROR(INDEX(TableOverallMaster[POS RK],MATCH(TableOverallRank[[#This Row],[OVERALL PLAYER]],TableOverallMaster[OVERALL PLAYER],0)),"")</f>
        <v>WR35</v>
      </c>
      <c r="AR91" s="257">
        <f>IFERROR(INDEX(TableOverallMaster[BYE],MATCH(TableOverallRank[[#This Row],[OVERALL PLAYER]],TableOverallMaster[OVERALL PLAYER],0)),"")</f>
        <v>6</v>
      </c>
      <c r="AS91" s="258">
        <f>IFERROR(INDEX(TableOverallMaster[Custom],MATCH(TableOverallRank[[#This Row],[OVERALL PLAYER]],TableOverallMaster[OVERALL PLAYER],0)),"")</f>
        <v>132.55605237294674</v>
      </c>
      <c r="AT91" s="259">
        <f>IFERROR(INDEX(TableOverallMaster[VORP],MATCH(TableOverallRank[[#This Row],[OVERALL PLAYER]],TableOverallMaster[OVERALL PLAYER],0)),"")</f>
        <v>0.21641754769068511</v>
      </c>
      <c r="AU91" s="250"/>
      <c r="AV91" s="246">
        <v>90</v>
      </c>
      <c r="AW91" s="260" t="str">
        <f>IFERROR(INDEX(TableWRTECalcPts[PLAYER],MATCH(TableWRTERank[[#This Row],[RK]],TableWRTECalcPts[RK],0)),"")</f>
        <v>Marquez Valdes-Scantling</v>
      </c>
      <c r="AX91" s="260" t="str">
        <f>IFERROR(INDEX(TableWRTECalcPts[POS RK],MATCH(TableWRTERank[[#This Row],[WR and TE COMBINED]],TableWRTECalcPts[PLAYER],0)),"")</f>
        <v>WR72</v>
      </c>
      <c r="AY91" s="260">
        <f>IFERROR(INDEX(TableWRTECalcPts[BYE],MATCH(TableWRTERank[[#This Row],[RK]],TableWRTECalcPts[RK],0)),"")</f>
        <v>8</v>
      </c>
      <c r="AZ91" s="261">
        <f>IFERROR(INDEX(TableWRTECalcPts[Custom],MATCH(TableWRTERank[[#This Row],[RK]],TableWRTECalcPts[RK],0)),"")</f>
        <v>85.989633923707842</v>
      </c>
      <c r="BA91" s="249">
        <f>IFERROR((TableWRTERank[[#This Row],[FPS]]-INDEX(TableWRTERank[FPS],MATCH(WRTEVORPCalc,TableWRTERank[RK],0)))/INDEX(TableWRTERank[FPS],MATCH(WRTEVORPCalc,TableWRTERank[RK],0)),"")</f>
        <v>-0.2758777194418161</v>
      </c>
      <c r="BC91" s="124" t="s">
        <v>358</v>
      </c>
      <c r="BD91" s="124">
        <v>90</v>
      </c>
      <c r="BE91" s="262">
        <f>RANK(TableWRTEMaster[[#This Row],[VORP]],TableWRTEMaster[VORP])+COUNTIF($BJ$2:BJ91,BJ91)-1</f>
        <v>119</v>
      </c>
      <c r="BF91" s="263" t="str">
        <f>IFERROR(INDEX(TableWRVORP[WIDE RECEIVER],MATCH(TableWRTEMaster[[#This Row],[RK]],TableWRVORP[RK],0)),"")</f>
        <v>David Bell</v>
      </c>
      <c r="BG91" s="263" t="str">
        <f>_xlfn.CONCAT(TableWRTEMaster[[#This Row],[POS]],TableWRTEMaster[[#This Row],[RK]])</f>
        <v>WR90</v>
      </c>
      <c r="BH91" s="263">
        <f>IFERROR(INDEX(TableWRVORP[BYE],MATCH(TableWRTEMaster[[#This Row],[RK]],TableWRVORP[RK],0)),"")</f>
        <v>9</v>
      </c>
      <c r="BI91" s="264">
        <f>IFERROR(INDEX(TableWRVORP[FPS],MATCH(TableWRTEMaster[[#This Row],[RK]],TableWRVORP[RK],0)),"")</f>
        <v>57.726772683944851</v>
      </c>
      <c r="BJ91" s="254">
        <f>IFERROR(INDEX(TableWRVORP[VORP],MATCH(TableWRTEMaster[[#This Row],[RK]],TableWRVORP[RK],0)),"")</f>
        <v>-0.47026289628226026</v>
      </c>
    </row>
    <row r="92" spans="1:62" x14ac:dyDescent="0.3">
      <c r="A92" s="246">
        <v>91</v>
      </c>
      <c r="B92" s="247" t="str">
        <f>IFERROR(INDEX(TableQBCalcPts[PLAYER],MATCH(TableQBVORP[[#This Row],[RK]],TableQBCalcPts[RK],0)),"")</f>
        <v/>
      </c>
      <c r="C92" s="247" t="str">
        <f>IFERROR(INDEX(TableQBCalcPts[TM],MATCH(TableQBVORP[[#This Row],[RK]],TableQBCalcPts[RK],0)),"")</f>
        <v/>
      </c>
      <c r="D92" s="247" t="str">
        <f>IFERROR(INDEX(TableQBCalcPts[BYE],MATCH(TableQBVORP[[#This Row],[RK]],TableQBCalcPts[RK],0)),"")</f>
        <v/>
      </c>
      <c r="E92" s="248" t="str">
        <f>IFERROR(INDEX(TableQBCalcPts[Custom],MATCH(TableQBVORP[[#This Row],[RK]],TableQBCalcPts[RK],0)),"")</f>
        <v/>
      </c>
      <c r="F92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2" s="246"/>
      <c r="H92" s="246">
        <v>91</v>
      </c>
      <c r="I92" s="247" t="str">
        <f>IFERROR(INDEX(TableRBCalcPts[PLAYER],MATCH(TableRBVORP[[#This Row],[RK]],TableRBCalcPts[RK],0)),"")</f>
        <v>Demetric Felton</v>
      </c>
      <c r="J92" s="247" t="str">
        <f>IFERROR(INDEX(TableRBCalcPts[TM],MATCH(TableRBVORP[[#This Row],[RK]],TableRBCalcPts[RK],0)),"")</f>
        <v>CLE</v>
      </c>
      <c r="K92" s="247">
        <f>IFERROR(INDEX(TableRBCalcPts[BYE],MATCH(TableRBVORP[[#This Row],[RK]],TableRBCalcPts[RK],0)),"")</f>
        <v>9</v>
      </c>
      <c r="L92" s="248">
        <f>IFERROR(INDEX(TableRBCalcPts[Custom],MATCH(TableRBVORP[[#This Row],[RK]],TableRBCalcPts[RK],0)),"")</f>
        <v>19.479398619282502</v>
      </c>
      <c r="M92" s="249">
        <f>IFERROR((TableRBVORP[[#This Row],[FPS]]-INDEX(TableRBVORP[FPS],MATCH(RBVORPCalc,TableRBVORP[RK],0)))/INDEX(TableRBVORP[FPS],MATCH(RBVORPCalc,TableRBVORP[RK],0)),"")</f>
        <v>-0.80774222109570948</v>
      </c>
      <c r="N92" s="246"/>
      <c r="O92" s="246">
        <v>91</v>
      </c>
      <c r="P92" s="247" t="str">
        <f>IFERROR(INDEX(TableWRCalcPts[PLAYER],MATCH(TableWRVORP[[#This Row],[RK]],TableWRCalcPts[RK],0)),"")</f>
        <v>Wan'Dale Robinson</v>
      </c>
      <c r="Q92" s="247" t="str">
        <f>IFERROR(INDEX(TableWRCalcPts[TM],MATCH(TableWRVORP[[#This Row],[RK]],TableWRCalcPts[RK],0)),"")</f>
        <v>NYG</v>
      </c>
      <c r="R92" s="247">
        <f>IFERROR(INDEX(TableWRCalcPts[BYE],MATCH(TableWRVORP[[#This Row],[RK]],TableWRCalcPts[RK],0)),"")</f>
        <v>9</v>
      </c>
      <c r="S92" s="248">
        <f>IFERROR(INDEX(TableWRCalcPts[Custom],MATCH(TableWRVORP[[#This Row],[RK]],TableWRCalcPts[RK],0)),"")</f>
        <v>56.120534643103298</v>
      </c>
      <c r="T92" s="249">
        <f>IFERROR((TableWRVORP[[#This Row],[FPS]]-INDEX(TableWRVORP[FPS],MATCH(WRVORPCalc,TableWRVORP[RK],0)))/INDEX(TableWRVORP[FPS],MATCH(WRVORPCalc,TableWRVORP[RK],0)),"")</f>
        <v>-0.48500274484949729</v>
      </c>
      <c r="U92" s="246"/>
      <c r="V92" s="246">
        <v>91</v>
      </c>
      <c r="W92" s="247" t="str">
        <f>IFERROR(INDEX(TableTECalcPts[PLAYER],MATCH(TableTEVORP[[#This Row],[RK]],TableTECalcPts[RK],0)),"")</f>
        <v>Eric Tomlinson</v>
      </c>
      <c r="X92" s="247" t="str">
        <f>IFERROR(INDEX(TableTECalcPts[TM],MATCH(TableTEVORP[[#This Row],[RK]],TableTECalcPts[RK],0)),"")</f>
        <v>DEN</v>
      </c>
      <c r="Y92" s="247">
        <f>IFERROR(INDEX(TableTECalcPts[BYE],MATCH(TableTEVORP[[#This Row],[RK]],TableTECalcPts[RK],0)),"")</f>
        <v>9</v>
      </c>
      <c r="Z92" s="248">
        <f>IFERROR(INDEX(TableTECalcPts[Custom],MATCH(TableTEVORP[[#This Row],[RK]],TableTECalcPts[RK],0)),"")</f>
        <v>4.8198354725770045</v>
      </c>
      <c r="AA92" s="249">
        <f>IFERROR((TableTEVORP[[#This Row],[FPS]]-INDEX(TableTEVORP[FPS],MATCH(TEVORPCalc,TableTEVORP[RK],0)))/INDEX(TableTEVORP[FPS],MATCH(TEVORPCalc,TableTEVORP[RK],0)),"")</f>
        <v>-0.95295536466449327</v>
      </c>
      <c r="AB92" s="246"/>
      <c r="AC92" s="250"/>
      <c r="AD92" s="250"/>
      <c r="AE92" s="250"/>
      <c r="AF92" s="250" t="s">
        <v>357</v>
      </c>
      <c r="AG92" s="250">
        <v>51</v>
      </c>
      <c r="AH92" s="251">
        <f>RANK(TableOverallMaster[[#This Row],[VORP]],TableOverallMaster[VORP])+COUNTIF($AM$2:AM92,AM92)-1</f>
        <v>149</v>
      </c>
      <c r="AI92" s="252" t="str">
        <f>IFERROR(INDEX(TableRBVORP[RUNNING BACK],MATCH(TableOverallMaster[[#This Row],[RK]],TableRBVORP[RK],0)),"")</f>
        <v>Raheem Mostert</v>
      </c>
      <c r="AJ92" s="252" t="str">
        <f t="shared" si="1"/>
        <v>RB51</v>
      </c>
      <c r="AK92" s="252">
        <f>IFERROR(INDEX(TableRBVORP[BYE],MATCH(TableOverallMaster[[#This Row],[RK]],TableRBVORP[RK],0)),"")</f>
        <v>11</v>
      </c>
      <c r="AL92" s="253">
        <f>IFERROR(INDEX(TableRBVORP[FPS],MATCH(TableOverallMaster[[#This Row],[RK]],TableRBVORP[RK],0)),"")</f>
        <v>92.80705914161156</v>
      </c>
      <c r="AM92" s="254">
        <f>IFERROR(INDEX(TableRBVORP[VORP],MATCH(TableOverallMaster[[#This Row],[RK]],TableRBVORP[RK],0)),"")</f>
        <v>-8.401283807895156E-2</v>
      </c>
      <c r="AN92" s="250"/>
      <c r="AO92" s="250">
        <v>91</v>
      </c>
      <c r="AP92" s="255" t="str">
        <f>IFERROR(INDEX(TableOverallMaster[OVERALL PLAYER],MATCH(TableOverallRank[[#This Row],[RK]],TableOverallMaster[OVR RK],0)),"")</f>
        <v>Amon-Ra St. Brown</v>
      </c>
      <c r="AQ92" s="256" t="str">
        <f>IFERROR(INDEX(TableOverallMaster[POS RK],MATCH(TableOverallRank[[#This Row],[OVERALL PLAYER]],TableOverallMaster[OVERALL PLAYER],0)),"")</f>
        <v>WR36</v>
      </c>
      <c r="AR92" s="257">
        <f>IFERROR(INDEX(TableOverallMaster[BYE],MATCH(TableOverallRank[[#This Row],[OVERALL PLAYER]],TableOverallMaster[OVERALL PLAYER],0)),"")</f>
        <v>6</v>
      </c>
      <c r="AS92" s="258">
        <f>IFERROR(INDEX(TableOverallMaster[Custom],MATCH(TableOverallRank[[#This Row],[OVERALL PLAYER]],TableOverallMaster[OVERALL PLAYER],0)),"")</f>
        <v>132.52196259296818</v>
      </c>
      <c r="AT92" s="259">
        <f>IFERROR(INDEX(TableOverallMaster[VORP],MATCH(TableOverallRank[[#This Row],[OVERALL PLAYER]],TableOverallMaster[OVERALL PLAYER],0)),"")</f>
        <v>0.21610471846998561</v>
      </c>
      <c r="AU92" s="250"/>
      <c r="AV92" s="246">
        <v>91</v>
      </c>
      <c r="AW92" s="260" t="str">
        <f>IFERROR(INDEX(TableWRTECalcPts[PLAYER],MATCH(TableWRTERank[[#This Row],[RK]],TableWRTECalcPts[RK],0)),"")</f>
        <v>Donovan Peoples-Jones</v>
      </c>
      <c r="AX92" s="260" t="str">
        <f>IFERROR(INDEX(TableWRTECalcPts[POS RK],MATCH(TableWRTERank[[#This Row],[WR and TE COMBINED]],TableWRTECalcPts[PLAYER],0)),"")</f>
        <v>WR73</v>
      </c>
      <c r="AY92" s="260">
        <f>IFERROR(INDEX(TableWRTECalcPts[BYE],MATCH(TableWRTERank[[#This Row],[RK]],TableWRTECalcPts[RK],0)),"")</f>
        <v>9</v>
      </c>
      <c r="AZ92" s="261">
        <f>IFERROR(INDEX(TableWRTECalcPts[Custom],MATCH(TableWRTERank[[#This Row],[RK]],TableWRTECalcPts[RK],0)),"")</f>
        <v>85.670822503733376</v>
      </c>
      <c r="BA92" s="249">
        <f>IFERROR((TableWRTERank[[#This Row],[FPS]]-INDEX(TableWRTERank[FPS],MATCH(WRTEVORPCalc,TableWRTERank[RK],0)))/INDEX(TableWRTERank[FPS],MATCH(WRTEVORPCalc,TableWRTERank[RK],0)),"")</f>
        <v>-0.27856244365758293</v>
      </c>
      <c r="BC92" s="124" t="s">
        <v>358</v>
      </c>
      <c r="BD92" s="124">
        <v>91</v>
      </c>
      <c r="BE92" s="262">
        <f>RANK(TableWRTEMaster[[#This Row],[VORP]],TableWRTEMaster[VORP])+COUNTIF($BJ$2:BJ92,BJ92)-1</f>
        <v>121</v>
      </c>
      <c r="BF92" s="263" t="str">
        <f>IFERROR(INDEX(TableWRVORP[WIDE RECEIVER],MATCH(TableWRTEMaster[[#This Row],[RK]],TableWRVORP[RK],0)),"")</f>
        <v>Wan'Dale Robinson</v>
      </c>
      <c r="BG92" s="263" t="str">
        <f>_xlfn.CONCAT(TableWRTEMaster[[#This Row],[POS]],TableWRTEMaster[[#This Row],[RK]])</f>
        <v>WR91</v>
      </c>
      <c r="BH92" s="263">
        <f>IFERROR(INDEX(TableWRVORP[BYE],MATCH(TableWRTEMaster[[#This Row],[RK]],TableWRVORP[RK],0)),"")</f>
        <v>9</v>
      </c>
      <c r="BI92" s="264">
        <f>IFERROR(INDEX(TableWRVORP[FPS],MATCH(TableWRTEMaster[[#This Row],[RK]],TableWRVORP[RK],0)),"")</f>
        <v>56.120534643103298</v>
      </c>
      <c r="BJ92" s="254">
        <f>IFERROR(INDEX(TableWRVORP[VORP],MATCH(TableWRTEMaster[[#This Row],[RK]],TableWRVORP[RK],0)),"")</f>
        <v>-0.48500274484949729</v>
      </c>
    </row>
    <row r="93" spans="1:62" x14ac:dyDescent="0.3">
      <c r="A93" s="246">
        <v>92</v>
      </c>
      <c r="B93" s="247" t="str">
        <f>IFERROR(INDEX(TableQBCalcPts[PLAYER],MATCH(TableQBVORP[[#This Row],[RK]],TableQBCalcPts[RK],0)),"")</f>
        <v/>
      </c>
      <c r="C93" s="247" t="str">
        <f>IFERROR(INDEX(TableQBCalcPts[TM],MATCH(TableQBVORP[[#This Row],[RK]],TableQBCalcPts[RK],0)),"")</f>
        <v/>
      </c>
      <c r="D93" s="247" t="str">
        <f>IFERROR(INDEX(TableQBCalcPts[BYE],MATCH(TableQBVORP[[#This Row],[RK]],TableQBCalcPts[RK],0)),"")</f>
        <v/>
      </c>
      <c r="E93" s="248" t="str">
        <f>IFERROR(INDEX(TableQBCalcPts[Custom],MATCH(TableQBVORP[[#This Row],[RK]],TableQBCalcPts[RK],0)),"")</f>
        <v/>
      </c>
      <c r="F93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3" s="246"/>
      <c r="H93" s="246">
        <v>92</v>
      </c>
      <c r="I93" s="247" t="str">
        <f>IFERROR(INDEX(TableRBCalcPts[PLAYER],MATCH(TableRBVORP[[#This Row],[RK]],TableRBCalcPts[RK],0)),"")</f>
        <v>Abram Smith</v>
      </c>
      <c r="J93" s="247" t="str">
        <f>IFERROR(INDEX(TableRBCalcPts[TM],MATCH(TableRBVORP[[#This Row],[RK]],TableRBCalcPts[RK],0)),"")</f>
        <v>NO</v>
      </c>
      <c r="K93" s="247">
        <f>IFERROR(INDEX(TableRBCalcPts[BYE],MATCH(TableRBVORP[[#This Row],[RK]],TableRBCalcPts[RK],0)),"")</f>
        <v>14</v>
      </c>
      <c r="L93" s="248">
        <f>IFERROR(INDEX(TableRBCalcPts[Custom],MATCH(TableRBVORP[[#This Row],[RK]],TableRBCalcPts[RK],0)),"")</f>
        <v>19.140250585141398</v>
      </c>
      <c r="M93" s="249">
        <f>IFERROR((TableRBVORP[[#This Row],[FPS]]-INDEX(TableRBVORP[FPS],MATCH(RBVORPCalc,TableRBVORP[RK],0)))/INDEX(TableRBVORP[FPS],MATCH(RBVORPCalc,TableRBVORP[RK],0)),"")</f>
        <v>-0.81108954454434923</v>
      </c>
      <c r="N93" s="246"/>
      <c r="O93" s="246">
        <v>92</v>
      </c>
      <c r="P93" s="247" t="str">
        <f>IFERROR(INDEX(TableWRCalcPts[PLAYER],MATCH(TableWRVORP[[#This Row],[RK]],TableWRCalcPts[RK],0)),"")</f>
        <v>Velus Jones</v>
      </c>
      <c r="Q93" s="247" t="str">
        <f>IFERROR(INDEX(TableWRCalcPts[TM],MATCH(TableWRVORP[[#This Row],[RK]],TableWRCalcPts[RK],0)),"")</f>
        <v>CHI</v>
      </c>
      <c r="R93" s="247">
        <f>IFERROR(INDEX(TableWRCalcPts[BYE],MATCH(TableWRVORP[[#This Row],[RK]],TableWRCalcPts[RK],0)),"")</f>
        <v>14</v>
      </c>
      <c r="S93" s="248">
        <f>IFERROR(INDEX(TableWRCalcPts[Custom],MATCH(TableWRVORP[[#This Row],[RK]],TableWRCalcPts[RK],0)),"")</f>
        <v>56.106932884563086</v>
      </c>
      <c r="T93" s="249">
        <f>IFERROR((TableWRVORP[[#This Row],[FPS]]-INDEX(TableWRVORP[FPS],MATCH(WRVORPCalc,TableWRVORP[RK],0)))/INDEX(TableWRVORP[FPS],MATCH(WRVORPCalc,TableWRVORP[RK],0)),"")</f>
        <v>-0.48512756312426919</v>
      </c>
      <c r="U93" s="246"/>
      <c r="V93" s="246">
        <v>92</v>
      </c>
      <c r="W93" s="247" t="str">
        <f>IFERROR(INDEX(TableTECalcPts[PLAYER],MATCH(TableTEVORP[[#This Row],[RK]],TableTECalcPts[RK],0)),"")</f>
        <v>James Mitchell</v>
      </c>
      <c r="X93" s="247" t="str">
        <f>IFERROR(INDEX(TableTECalcPts[TM],MATCH(TableTEVORP[[#This Row],[RK]],TableTECalcPts[RK],0)),"")</f>
        <v>DET</v>
      </c>
      <c r="Y93" s="247">
        <f>IFERROR(INDEX(TableTECalcPts[BYE],MATCH(TableTEVORP[[#This Row],[RK]],TableTECalcPts[RK],0)),"")</f>
        <v>6</v>
      </c>
      <c r="Z93" s="248">
        <f>IFERROR(INDEX(TableTECalcPts[Custom],MATCH(TableTEVORP[[#This Row],[RK]],TableTECalcPts[RK],0)),"")</f>
        <v>4.2015634641319686</v>
      </c>
      <c r="AA93" s="249">
        <f>IFERROR((TableTEVORP[[#This Row],[FPS]]-INDEX(TableTEVORP[FPS],MATCH(TEVORPCalc,TableTEVORP[RK],0)))/INDEX(TableTEVORP[FPS],MATCH(TEVORPCalc,TableTEVORP[RK],0)),"")</f>
        <v>-0.95899008957179321</v>
      </c>
      <c r="AB93" s="246"/>
      <c r="AC93" s="250"/>
      <c r="AD93" s="250"/>
      <c r="AE93" s="250"/>
      <c r="AF93" s="250" t="s">
        <v>357</v>
      </c>
      <c r="AG93" s="250">
        <v>52</v>
      </c>
      <c r="AH93" s="251">
        <f>RANK(TableOverallMaster[[#This Row],[VORP]],TableOverallMaster[VORP])+COUNTIF($AM$2:AM93,AM93)-1</f>
        <v>150</v>
      </c>
      <c r="AI93" s="252" t="str">
        <f>IFERROR(INDEX(TableRBVORP[RUNNING BACK],MATCH(TableOverallMaster[[#This Row],[RK]],TableRBVORP[RK],0)),"")</f>
        <v>Dameon Pierce</v>
      </c>
      <c r="AJ93" s="252" t="str">
        <f t="shared" si="1"/>
        <v>RB52</v>
      </c>
      <c r="AK93" s="252">
        <f>IFERROR(INDEX(TableRBVORP[BYE],MATCH(TableOverallMaster[[#This Row],[RK]],TableRBVORP[RK],0)),"")</f>
        <v>6</v>
      </c>
      <c r="AL93" s="253">
        <f>IFERROR(INDEX(TableRBVORP[FPS],MATCH(TableOverallMaster[[#This Row],[RK]],TableRBVORP[RK],0)),"")</f>
        <v>92.187574817760776</v>
      </c>
      <c r="AM93" s="254">
        <f>IFERROR(INDEX(TableRBVORP[VORP],MATCH(TableOverallMaster[[#This Row],[RK]],TableRBVORP[RK],0)),"")</f>
        <v>-9.0127024789607046E-2</v>
      </c>
      <c r="AN93" s="250"/>
      <c r="AO93" s="250">
        <v>92</v>
      </c>
      <c r="AP93" s="255" t="str">
        <f>IFERROR(INDEX(TableOverallMaster[OVERALL PLAYER],MATCH(TableOverallRank[[#This Row],[RK]],TableOverallMaster[OVR RK],0)),"")</f>
        <v>Derek Carr</v>
      </c>
      <c r="AQ93" s="256" t="str">
        <f>IFERROR(INDEX(TableOverallMaster[POS RK],MATCH(TableOverallRank[[#This Row],[OVERALL PLAYER]],TableOverallMaster[OVERALL PLAYER],0)),"")</f>
        <v>QB16</v>
      </c>
      <c r="AR93" s="257">
        <f>IFERROR(INDEX(TableOverallMaster[BYE],MATCH(TableOverallRank[[#This Row],[OVERALL PLAYER]],TableOverallMaster[OVERALL PLAYER],0)),"")</f>
        <v>6</v>
      </c>
      <c r="AS93" s="258">
        <f>IFERROR(INDEX(TableOverallMaster[Custom],MATCH(TableOverallRank[[#This Row],[OVERALL PLAYER]],TableOverallMaster[OVERALL PLAYER],0)),"")</f>
        <v>302.05894196246436</v>
      </c>
      <c r="AT93" s="259">
        <f>IFERROR(INDEX(TableOverallMaster[VORP],MATCH(TableOverallRank[[#This Row],[OVERALL PLAYER]],TableOverallMaster[OVERALL PLAYER],0)),"")</f>
        <v>0.20781090294432306</v>
      </c>
      <c r="AU93" s="250"/>
      <c r="AV93" s="246">
        <v>92</v>
      </c>
      <c r="AW93" s="260" t="str">
        <f>IFERROR(INDEX(TableWRTECalcPts[PLAYER],MATCH(TableWRTERank[[#This Row],[RK]],TableWRTECalcPts[RK],0)),"")</f>
        <v>Mike Gesicki</v>
      </c>
      <c r="AX93" s="260" t="str">
        <f>IFERROR(INDEX(TableWRTECalcPts[POS RK],MATCH(TableWRTERank[[#This Row],[WR and TE COMBINED]],TableWRTECalcPts[PLAYER],0)),"")</f>
        <v>TE19</v>
      </c>
      <c r="AY93" s="260">
        <f>IFERROR(INDEX(TableWRTECalcPts[BYE],MATCH(TableWRTERank[[#This Row],[RK]],TableWRTECalcPts[RK],0)),"")</f>
        <v>11</v>
      </c>
      <c r="AZ93" s="261">
        <f>IFERROR(INDEX(TableWRTECalcPts[Custom],MATCH(TableWRTERank[[#This Row],[RK]],TableWRTECalcPts[RK],0)),"")</f>
        <v>85.63439943178301</v>
      </c>
      <c r="BA93" s="249">
        <f>IFERROR((TableWRTERank[[#This Row],[FPS]]-INDEX(TableWRTERank[FPS],MATCH(WRTEVORPCalc,TableWRTERank[RK],0)))/INDEX(TableWRTERank[FPS],MATCH(WRTEVORPCalc,TableWRTERank[RK],0)),"")</f>
        <v>-0.27886916386003241</v>
      </c>
      <c r="BC93" s="124" t="s">
        <v>358</v>
      </c>
      <c r="BD93" s="124">
        <v>92</v>
      </c>
      <c r="BE93" s="262">
        <f>RANK(TableWRTEMaster[[#This Row],[VORP]],TableWRTEMaster[VORP])+COUNTIF($BJ$2:BJ93,BJ93)-1</f>
        <v>122</v>
      </c>
      <c r="BF93" s="263" t="str">
        <f>IFERROR(INDEX(TableWRVORP[WIDE RECEIVER],MATCH(TableWRTEMaster[[#This Row],[RK]],TableWRVORP[RK],0)),"")</f>
        <v>Velus Jones</v>
      </c>
      <c r="BG93" s="263" t="str">
        <f>_xlfn.CONCAT(TableWRTEMaster[[#This Row],[POS]],TableWRTEMaster[[#This Row],[RK]])</f>
        <v>WR92</v>
      </c>
      <c r="BH93" s="263">
        <f>IFERROR(INDEX(TableWRVORP[BYE],MATCH(TableWRTEMaster[[#This Row],[RK]],TableWRVORP[RK],0)),"")</f>
        <v>14</v>
      </c>
      <c r="BI93" s="264">
        <f>IFERROR(INDEX(TableWRVORP[FPS],MATCH(TableWRTEMaster[[#This Row],[RK]],TableWRVORP[RK],0)),"")</f>
        <v>56.106932884563086</v>
      </c>
      <c r="BJ93" s="254">
        <f>IFERROR(INDEX(TableWRVORP[VORP],MATCH(TableWRTEMaster[[#This Row],[RK]],TableWRVORP[RK],0)),"")</f>
        <v>-0.48512756312426919</v>
      </c>
    </row>
    <row r="94" spans="1:62" x14ac:dyDescent="0.3">
      <c r="A94" s="246">
        <v>93</v>
      </c>
      <c r="B94" s="247" t="str">
        <f>IFERROR(INDEX(TableQBCalcPts[PLAYER],MATCH(TableQBVORP[[#This Row],[RK]],TableQBCalcPts[RK],0)),"")</f>
        <v/>
      </c>
      <c r="C94" s="247" t="str">
        <f>IFERROR(INDEX(TableQBCalcPts[TM],MATCH(TableQBVORP[[#This Row],[RK]],TableQBCalcPts[RK],0)),"")</f>
        <v/>
      </c>
      <c r="D94" s="247" t="str">
        <f>IFERROR(INDEX(TableQBCalcPts[BYE],MATCH(TableQBVORP[[#This Row],[RK]],TableQBCalcPts[RK],0)),"")</f>
        <v/>
      </c>
      <c r="E94" s="248" t="str">
        <f>IFERROR(INDEX(TableQBCalcPts[Custom],MATCH(TableQBVORP[[#This Row],[RK]],TableQBCalcPts[RK],0)),"")</f>
        <v/>
      </c>
      <c r="F94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4" s="246"/>
      <c r="H94" s="246">
        <v>93</v>
      </c>
      <c r="I94" s="247" t="str">
        <f>IFERROR(INDEX(TableRBCalcPts[PLAYER],MATCH(TableRBVORP[[#This Row],[RK]],TableRBCalcPts[RK],0)),"")</f>
        <v>Pierre Strong</v>
      </c>
      <c r="J94" s="247" t="str">
        <f>IFERROR(INDEX(TableRBCalcPts[TM],MATCH(TableRBVORP[[#This Row],[RK]],TableRBCalcPts[RK],0)),"")</f>
        <v>NE</v>
      </c>
      <c r="K94" s="247">
        <f>IFERROR(INDEX(TableRBCalcPts[BYE],MATCH(TableRBVORP[[#This Row],[RK]],TableRBCalcPts[RK],0)),"")</f>
        <v>10</v>
      </c>
      <c r="L94" s="248">
        <f>IFERROR(INDEX(TableRBCalcPts[Custom],MATCH(TableRBVORP[[#This Row],[RK]],TableRBCalcPts[RK],0)),"")</f>
        <v>17.933487942625828</v>
      </c>
      <c r="M94" s="249">
        <f>IFERROR((TableRBVORP[[#This Row],[FPS]]-INDEX(TableRBVORP[FPS],MATCH(RBVORPCalc,TableRBVORP[RK],0)))/INDEX(TableRBVORP[FPS],MATCH(RBVORPCalc,TableRBVORP[RK],0)),"")</f>
        <v>-0.82300005111846142</v>
      </c>
      <c r="N94" s="246"/>
      <c r="O94" s="246">
        <v>93</v>
      </c>
      <c r="P94" s="247" t="str">
        <f>IFERROR(INDEX(TableWRCalcPts[PLAYER],MATCH(TableWRVORP[[#This Row],[RK]],TableWRCalcPts[RK],0)),"")</f>
        <v>A.J. Green</v>
      </c>
      <c r="Q94" s="247" t="str">
        <f>IFERROR(INDEX(TableWRCalcPts[TM],MATCH(TableWRVORP[[#This Row],[RK]],TableWRCalcPts[RK],0)),"")</f>
        <v>ARI</v>
      </c>
      <c r="R94" s="247">
        <f>IFERROR(INDEX(TableWRCalcPts[BYE],MATCH(TableWRVORP[[#This Row],[RK]],TableWRCalcPts[RK],0)),"")</f>
        <v>13</v>
      </c>
      <c r="S94" s="248">
        <f>IFERROR(INDEX(TableWRCalcPts[Custom],MATCH(TableWRVORP[[#This Row],[RK]],TableWRCalcPts[RK],0)),"")</f>
        <v>54.6611752499904</v>
      </c>
      <c r="T94" s="249">
        <f>IFERROR((TableWRVORP[[#This Row],[FPS]]-INDEX(TableWRVORP[FPS],MATCH(WRVORPCalc,TableWRVORP[RK],0)))/INDEX(TableWRVORP[FPS],MATCH(WRVORPCalc,TableWRVORP[RK],0)),"")</f>
        <v>-0.49839474274315254</v>
      </c>
      <c r="U94" s="246"/>
      <c r="V94" s="246">
        <v>93</v>
      </c>
      <c r="W94" s="247" t="str">
        <f>IFERROR(INDEX(TableTECalcPts[PLAYER],MATCH(TableTEVORP[[#This Row],[RK]],TableTECalcPts[RK],0)),"")</f>
        <v/>
      </c>
      <c r="X94" s="247" t="str">
        <f>IFERROR(INDEX(TableTECalcPts[TM],MATCH(TableTEVORP[[#This Row],[RK]],TableTECalcPts[RK],0)),"")</f>
        <v/>
      </c>
      <c r="Y94" s="247" t="str">
        <f>IFERROR(INDEX(TableTECalcPts[BYE],MATCH(TableTEVORP[[#This Row],[RK]],TableTECalcPts[RK],0)),"")</f>
        <v/>
      </c>
      <c r="Z94" s="248" t="str">
        <f>IFERROR(INDEX(TableTECalcPts[Custom],MATCH(TableTEVORP[[#This Row],[RK]],TableTECalcPts[RK],0)),"")</f>
        <v/>
      </c>
      <c r="AA94" s="249" t="str">
        <f>IFERROR((TableTEVORP[[#This Row],[FPS]]-INDEX(TableTEVORP[FPS],MATCH(TEVORPCalc,TableTEVORP[RK],0)))/INDEX(TableTEVORP[FPS],MATCH(TEVORPCalc,TableTEVORP[RK],0)),"")</f>
        <v/>
      </c>
      <c r="AB94" s="246"/>
      <c r="AC94" s="250"/>
      <c r="AD94" s="250"/>
      <c r="AE94" s="250"/>
      <c r="AF94" s="250" t="s">
        <v>357</v>
      </c>
      <c r="AG94" s="250">
        <v>53</v>
      </c>
      <c r="AH94" s="251">
        <f>RANK(TableOverallMaster[[#This Row],[VORP]],TableOverallMaster[VORP])+COUNTIF($AM$2:AM94,AM94)-1</f>
        <v>155</v>
      </c>
      <c r="AI94" s="252" t="str">
        <f>IFERROR(INDEX(TableRBVORP[RUNNING BACK],MATCH(TableOverallMaster[[#This Row],[RK]],TableRBVORP[RK],0)),"")</f>
        <v>Michael Carter</v>
      </c>
      <c r="AJ94" s="252" t="str">
        <f t="shared" si="1"/>
        <v>RB53</v>
      </c>
      <c r="AK94" s="252">
        <f>IFERROR(INDEX(TableRBVORP[BYE],MATCH(TableOverallMaster[[#This Row],[RK]],TableRBVORP[RK],0)),"")</f>
        <v>10</v>
      </c>
      <c r="AL94" s="253">
        <f>IFERROR(INDEX(TableRBVORP[FPS],MATCH(TableOverallMaster[[#This Row],[RK]],TableRBVORP[RK],0)),"")</f>
        <v>89.910367875968873</v>
      </c>
      <c r="AM94" s="254">
        <f>IFERROR(INDEX(TableRBVORP[VORP],MATCH(TableOverallMaster[[#This Row],[RK]],TableRBVORP[RK],0)),"")</f>
        <v>-0.11260260308086692</v>
      </c>
      <c r="AN94" s="250"/>
      <c r="AO94" s="250">
        <v>93</v>
      </c>
      <c r="AP94" s="255" t="str">
        <f>IFERROR(INDEX(TableOverallMaster[OVERALL PLAYER],MATCH(TableOverallRank[[#This Row],[RK]],TableOverallMaster[OVR RK],0)),"")</f>
        <v>Marquise Brown</v>
      </c>
      <c r="AQ94" s="256" t="str">
        <f>IFERROR(INDEX(TableOverallMaster[POS RK],MATCH(TableOverallRank[[#This Row],[OVERALL PLAYER]],TableOverallMaster[OVERALL PLAYER],0)),"")</f>
        <v>WR37</v>
      </c>
      <c r="AR94" s="257">
        <f>IFERROR(INDEX(TableOverallMaster[BYE],MATCH(TableOverallRank[[#This Row],[OVERALL PLAYER]],TableOverallMaster[OVERALL PLAYER],0)),"")</f>
        <v>13</v>
      </c>
      <c r="AS94" s="258">
        <f>IFERROR(INDEX(TableOverallMaster[Custom],MATCH(TableOverallRank[[#This Row],[OVERALL PLAYER]],TableOverallMaster[OVERALL PLAYER],0)),"")</f>
        <v>131.59638525679199</v>
      </c>
      <c r="AT94" s="259">
        <f>IFERROR(INDEX(TableOverallMaster[VORP],MATCH(TableOverallRank[[#This Row],[OVERALL PLAYER]],TableOverallMaster[OVERALL PLAYER],0)),"")</f>
        <v>0.20761103980866105</v>
      </c>
      <c r="AU94" s="250"/>
      <c r="AV94" s="246">
        <v>93</v>
      </c>
      <c r="AW94" s="260" t="str">
        <f>IFERROR(INDEX(TableWRTECalcPts[PLAYER],MATCH(TableWRTERank[[#This Row],[RK]],TableWRTECalcPts[RK],0)),"")</f>
        <v>Albert Okwuegbunam</v>
      </c>
      <c r="AX94" s="260" t="str">
        <f>IFERROR(INDEX(TableWRTECalcPts[POS RK],MATCH(TableWRTERank[[#This Row],[WR and TE COMBINED]],TableWRTECalcPts[PLAYER],0)),"")</f>
        <v>TE20</v>
      </c>
      <c r="AY94" s="260">
        <f>IFERROR(INDEX(TableWRTECalcPts[BYE],MATCH(TableWRTERank[[#This Row],[RK]],TableWRTECalcPts[RK],0)),"")</f>
        <v>9</v>
      </c>
      <c r="AZ94" s="261">
        <f>IFERROR(INDEX(TableWRTECalcPts[Custom],MATCH(TableWRTERank[[#This Row],[RK]],TableWRTECalcPts[RK],0)),"")</f>
        <v>85.353394830706264</v>
      </c>
      <c r="BA94" s="249">
        <f>IFERROR((TableWRTERank[[#This Row],[FPS]]-INDEX(TableWRTERank[FPS],MATCH(WRTEVORPCalc,TableWRTERank[RK],0)))/INDEX(TableWRTERank[FPS],MATCH(WRTEVORPCalc,TableWRTERank[RK],0)),"")</f>
        <v>-0.28123551528280472</v>
      </c>
      <c r="BC94" s="124" t="s">
        <v>358</v>
      </c>
      <c r="BD94" s="124">
        <v>93</v>
      </c>
      <c r="BE94" s="262">
        <f>RANK(TableWRTEMaster[[#This Row],[VORP]],TableWRTEMaster[VORP])+COUNTIF($BJ$2:BJ94,BJ94)-1</f>
        <v>123</v>
      </c>
      <c r="BF94" s="263" t="str">
        <f>IFERROR(INDEX(TableWRVORP[WIDE RECEIVER],MATCH(TableWRTEMaster[[#This Row],[RK]],TableWRVORP[RK],0)),"")</f>
        <v>A.J. Green</v>
      </c>
      <c r="BG94" s="263" t="str">
        <f>_xlfn.CONCAT(TableWRTEMaster[[#This Row],[POS]],TableWRTEMaster[[#This Row],[RK]])</f>
        <v>WR93</v>
      </c>
      <c r="BH94" s="263">
        <f>IFERROR(INDEX(TableWRVORP[BYE],MATCH(TableWRTEMaster[[#This Row],[RK]],TableWRVORP[RK],0)),"")</f>
        <v>13</v>
      </c>
      <c r="BI94" s="264">
        <f>IFERROR(INDEX(TableWRVORP[FPS],MATCH(TableWRTEMaster[[#This Row],[RK]],TableWRVORP[RK],0)),"")</f>
        <v>54.6611752499904</v>
      </c>
      <c r="BJ94" s="254">
        <f>IFERROR(INDEX(TableWRVORP[VORP],MATCH(TableWRTEMaster[[#This Row],[RK]],TableWRVORP[RK],0)),"")</f>
        <v>-0.49839474274315254</v>
      </c>
    </row>
    <row r="95" spans="1:62" x14ac:dyDescent="0.3">
      <c r="A95" s="246">
        <v>94</v>
      </c>
      <c r="B95" s="247" t="str">
        <f>IFERROR(INDEX(TableQBCalcPts[PLAYER],MATCH(TableQBVORP[[#This Row],[RK]],TableQBCalcPts[RK],0)),"")</f>
        <v/>
      </c>
      <c r="C95" s="247" t="str">
        <f>IFERROR(INDEX(TableQBCalcPts[TM],MATCH(TableQBVORP[[#This Row],[RK]],TableQBCalcPts[RK],0)),"")</f>
        <v/>
      </c>
      <c r="D95" s="247" t="str">
        <f>IFERROR(INDEX(TableQBCalcPts[BYE],MATCH(TableQBVORP[[#This Row],[RK]],TableQBCalcPts[RK],0)),"")</f>
        <v/>
      </c>
      <c r="E95" s="248" t="str">
        <f>IFERROR(INDEX(TableQBCalcPts[Custom],MATCH(TableQBVORP[[#This Row],[RK]],TableQBCalcPts[RK],0)),"")</f>
        <v/>
      </c>
      <c r="F95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5" s="246"/>
      <c r="H95" s="246">
        <v>94</v>
      </c>
      <c r="I95" s="247" t="str">
        <f>IFERROR(INDEX(TableRBCalcPts[PLAYER],MATCH(TableRBVORP[[#This Row],[RK]],TableRBCalcPts[RK],0)),"")</f>
        <v>Benny Snell</v>
      </c>
      <c r="J95" s="247" t="str">
        <f>IFERROR(INDEX(TableRBCalcPts[TM],MATCH(TableRBVORP[[#This Row],[RK]],TableRBCalcPts[RK],0)),"")</f>
        <v>PIT</v>
      </c>
      <c r="K95" s="247">
        <f>IFERROR(INDEX(TableRBCalcPts[BYE],MATCH(TableRBVORP[[#This Row],[RK]],TableRBCalcPts[RK],0)),"")</f>
        <v>9</v>
      </c>
      <c r="L95" s="248">
        <f>IFERROR(INDEX(TableRBCalcPts[Custom],MATCH(TableRBVORP[[#This Row],[RK]],TableRBCalcPts[RK],0)),"")</f>
        <v>17.493678221063099</v>
      </c>
      <c r="M95" s="249">
        <f>IFERROR((TableRBVORP[[#This Row],[FPS]]-INDEX(TableRBVORP[FPS],MATCH(RBVORPCalc,TableRBVORP[RK],0)))/INDEX(TableRBVORP[FPS],MATCH(RBVORPCalc,TableRBVORP[RK],0)),"")</f>
        <v>-0.82734088534341865</v>
      </c>
      <c r="N95" s="246"/>
      <c r="O95" s="246">
        <v>94</v>
      </c>
      <c r="P95" s="247" t="str">
        <f>IFERROR(INDEX(TableWRCalcPts[PLAYER],MATCH(TableWRVORP[[#This Row],[RK]],TableWRCalcPts[RK],0)),"")</f>
        <v>Parris Campbell</v>
      </c>
      <c r="Q95" s="247" t="str">
        <f>IFERROR(INDEX(TableWRCalcPts[TM],MATCH(TableWRVORP[[#This Row],[RK]],TableWRCalcPts[RK],0)),"")</f>
        <v>IND</v>
      </c>
      <c r="R95" s="247">
        <f>IFERROR(INDEX(TableWRCalcPts[BYE],MATCH(TableWRVORP[[#This Row],[RK]],TableWRCalcPts[RK],0)),"")</f>
        <v>14</v>
      </c>
      <c r="S95" s="248">
        <f>IFERROR(INDEX(TableWRCalcPts[Custom],MATCH(TableWRVORP[[#This Row],[RK]],TableWRCalcPts[RK],0)),"")</f>
        <v>53.350300430483863</v>
      </c>
      <c r="T95" s="249">
        <f>IFERROR((TableWRVORP[[#This Row],[FPS]]-INDEX(TableWRVORP[FPS],MATCH(WRVORPCalc,TableWRVORP[RK],0)))/INDEX(TableWRVORP[FPS],MATCH(WRVORPCalc,TableWRVORP[RK],0)),"")</f>
        <v>-0.51042415297926369</v>
      </c>
      <c r="U95" s="246"/>
      <c r="V95" s="246">
        <v>94</v>
      </c>
      <c r="W95" s="247" t="str">
        <f>IFERROR(INDEX(TableTECalcPts[PLAYER],MATCH(TableTEVORP[[#This Row],[RK]],TableTECalcPts[RK],0)),"")</f>
        <v/>
      </c>
      <c r="X95" s="247" t="str">
        <f>IFERROR(INDEX(TableTECalcPts[TM],MATCH(TableTEVORP[[#This Row],[RK]],TableTECalcPts[RK],0)),"")</f>
        <v/>
      </c>
      <c r="Y95" s="247" t="str">
        <f>IFERROR(INDEX(TableTECalcPts[BYE],MATCH(TableTEVORP[[#This Row],[RK]],TableTECalcPts[RK],0)),"")</f>
        <v/>
      </c>
      <c r="Z95" s="248" t="str">
        <f>IFERROR(INDEX(TableTECalcPts[Custom],MATCH(TableTEVORP[[#This Row],[RK]],TableTECalcPts[RK],0)),"")</f>
        <v/>
      </c>
      <c r="AA95" s="249" t="str">
        <f>IFERROR((TableTEVORP[[#This Row],[FPS]]-INDEX(TableTEVORP[FPS],MATCH(TEVORPCalc,TableTEVORP[RK],0)))/INDEX(TableTEVORP[FPS],MATCH(TEVORPCalc,TableTEVORP[RK],0)),"")</f>
        <v/>
      </c>
      <c r="AB95" s="246"/>
      <c r="AC95" s="250"/>
      <c r="AD95" s="250"/>
      <c r="AE95" s="250"/>
      <c r="AF95" s="250" t="s">
        <v>357</v>
      </c>
      <c r="AG95" s="250">
        <v>54</v>
      </c>
      <c r="AH95" s="251">
        <f>RANK(TableOverallMaster[[#This Row],[VORP]],TableOverallMaster[VORP])+COUNTIF($AM$2:AM95,AM95)-1</f>
        <v>159</v>
      </c>
      <c r="AI95" s="252" t="str">
        <f>IFERROR(INDEX(TableRBVORP[RUNNING BACK],MATCH(TableOverallMaster[[#This Row],[RK]],TableRBVORP[RK],0)),"")</f>
        <v>Darrell Henderson</v>
      </c>
      <c r="AJ95" s="252" t="str">
        <f t="shared" si="1"/>
        <v>RB54</v>
      </c>
      <c r="AK95" s="252">
        <f>IFERROR(INDEX(TableRBVORP[BYE],MATCH(TableOverallMaster[[#This Row],[RK]],TableRBVORP[RK],0)),"")</f>
        <v>7</v>
      </c>
      <c r="AL95" s="253">
        <f>IFERROR(INDEX(TableRBVORP[FPS],MATCH(TableOverallMaster[[#This Row],[RK]],TableRBVORP[RK],0)),"")</f>
        <v>88.779729859793633</v>
      </c>
      <c r="AM95" s="254">
        <f>IFERROR(INDEX(TableRBVORP[VORP],MATCH(TableOverallMaster[[#This Row],[RK]],TableRBVORP[RK],0)),"")</f>
        <v>-0.12376177477723685</v>
      </c>
      <c r="AN95" s="250"/>
      <c r="AO95" s="250">
        <v>94</v>
      </c>
      <c r="AP95" s="255" t="str">
        <f>IFERROR(INDEX(TableOverallMaster[OVERALL PLAYER],MATCH(TableOverallRank[[#This Row],[RK]],TableOverallMaster[OVR RK],0)),"")</f>
        <v>Kirk Cousins</v>
      </c>
      <c r="AQ95" s="256" t="str">
        <f>IFERROR(INDEX(TableOverallMaster[POS RK],MATCH(TableOverallRank[[#This Row],[OVERALL PLAYER]],TableOverallMaster[OVERALL PLAYER],0)),"")</f>
        <v>QB17</v>
      </c>
      <c r="AR95" s="257">
        <f>IFERROR(INDEX(TableOverallMaster[BYE],MATCH(TableOverallRank[[#This Row],[OVERALL PLAYER]],TableOverallMaster[OVERALL PLAYER],0)),"")</f>
        <v>7</v>
      </c>
      <c r="AS95" s="258">
        <f>IFERROR(INDEX(TableOverallMaster[Custom],MATCH(TableOverallRank[[#This Row],[OVERALL PLAYER]],TableOverallMaster[OVERALL PLAYER],0)),"")</f>
        <v>301.93338591922918</v>
      </c>
      <c r="AT95" s="259">
        <f>IFERROR(INDEX(TableOverallMaster[VORP],MATCH(TableOverallRank[[#This Row],[OVERALL PLAYER]],TableOverallMaster[OVERALL PLAYER],0)),"")</f>
        <v>0.19071176129430775</v>
      </c>
      <c r="AU95" s="250"/>
      <c r="AV95" s="246">
        <v>94</v>
      </c>
      <c r="AW95" s="260" t="str">
        <f>IFERROR(INDEX(TableWRTECalcPts[PLAYER],MATCH(TableWRTERank[[#This Row],[RK]],TableWRTECalcPts[RK],0)),"")</f>
        <v>Noah Fant</v>
      </c>
      <c r="AX95" s="260" t="str">
        <f>IFERROR(INDEX(TableWRTECalcPts[POS RK],MATCH(TableWRTERank[[#This Row],[WR and TE COMBINED]],TableWRTECalcPts[PLAYER],0)),"")</f>
        <v>TE21</v>
      </c>
      <c r="AY95" s="260">
        <f>IFERROR(INDEX(TableWRTECalcPts[BYE],MATCH(TableWRTERank[[#This Row],[RK]],TableWRTECalcPts[RK],0)),"")</f>
        <v>11</v>
      </c>
      <c r="AZ95" s="261">
        <f>IFERROR(INDEX(TableWRTECalcPts[Custom],MATCH(TableWRTERank[[#This Row],[RK]],TableWRTECalcPts[RK],0)),"")</f>
        <v>84.555063158015798</v>
      </c>
      <c r="BA95" s="249">
        <f>IFERROR((TableWRTERank[[#This Row],[FPS]]-INDEX(TableWRTERank[FPS],MATCH(WRTEVORPCalc,TableWRTERank[RK],0)))/INDEX(TableWRTERank[FPS],MATCH(WRTEVORPCalc,TableWRTERank[RK],0)),"")</f>
        <v>-0.28795829947308682</v>
      </c>
      <c r="BC95" s="124" t="s">
        <v>358</v>
      </c>
      <c r="BD95" s="124">
        <v>94</v>
      </c>
      <c r="BE95" s="262">
        <f>RANK(TableWRTEMaster[[#This Row],[VORP]],TableWRTEMaster[VORP])+COUNTIF($BJ$2:BJ95,BJ95)-1</f>
        <v>126</v>
      </c>
      <c r="BF95" s="263" t="str">
        <f>IFERROR(INDEX(TableWRVORP[WIDE RECEIVER],MATCH(TableWRTEMaster[[#This Row],[RK]],TableWRVORP[RK],0)),"")</f>
        <v>Parris Campbell</v>
      </c>
      <c r="BG95" s="263" t="str">
        <f>_xlfn.CONCAT(TableWRTEMaster[[#This Row],[POS]],TableWRTEMaster[[#This Row],[RK]])</f>
        <v>WR94</v>
      </c>
      <c r="BH95" s="263">
        <f>IFERROR(INDEX(TableWRVORP[BYE],MATCH(TableWRTEMaster[[#This Row],[RK]],TableWRVORP[RK],0)),"")</f>
        <v>14</v>
      </c>
      <c r="BI95" s="264">
        <f>IFERROR(INDEX(TableWRVORP[FPS],MATCH(TableWRTEMaster[[#This Row],[RK]],TableWRVORP[RK],0)),"")</f>
        <v>53.350300430483863</v>
      </c>
      <c r="BJ95" s="254">
        <f>IFERROR(INDEX(TableWRVORP[VORP],MATCH(TableWRTEMaster[[#This Row],[RK]],TableWRVORP[RK],0)),"")</f>
        <v>-0.51042415297926369</v>
      </c>
    </row>
    <row r="96" spans="1:62" x14ac:dyDescent="0.3">
      <c r="A96" s="246">
        <v>95</v>
      </c>
      <c r="B96" s="247" t="str">
        <f>IFERROR(INDEX(TableQBCalcPts[PLAYER],MATCH(TableQBVORP[[#This Row],[RK]],TableQBCalcPts[RK],0)),"")</f>
        <v/>
      </c>
      <c r="C96" s="247" t="str">
        <f>IFERROR(INDEX(TableQBCalcPts[TM],MATCH(TableQBVORP[[#This Row],[RK]],TableQBCalcPts[RK],0)),"")</f>
        <v/>
      </c>
      <c r="D96" s="247" t="str">
        <f>IFERROR(INDEX(TableQBCalcPts[BYE],MATCH(TableQBVORP[[#This Row],[RK]],TableQBCalcPts[RK],0)),"")</f>
        <v/>
      </c>
      <c r="E96" s="248" t="str">
        <f>IFERROR(INDEX(TableQBCalcPts[Custom],MATCH(TableQBVORP[[#This Row],[RK]],TableQBCalcPts[RK],0)),"")</f>
        <v/>
      </c>
      <c r="F96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6" s="246"/>
      <c r="H96" s="246">
        <v>95</v>
      </c>
      <c r="I96" s="247" t="str">
        <f>IFERROR(INDEX(TableRBCalcPts[PLAYER],MATCH(TableRBVORP[[#This Row],[RK]],TableRBCalcPts[RK],0)),"")</f>
        <v>Snoop Conner</v>
      </c>
      <c r="J96" s="247" t="str">
        <f>IFERROR(INDEX(TableRBCalcPts[TM],MATCH(TableRBVORP[[#This Row],[RK]],TableRBCalcPts[RK],0)),"")</f>
        <v>JAX</v>
      </c>
      <c r="K96" s="247">
        <f>IFERROR(INDEX(TableRBCalcPts[BYE],MATCH(TableRBVORP[[#This Row],[RK]],TableRBCalcPts[RK],0)),"")</f>
        <v>11</v>
      </c>
      <c r="L96" s="248">
        <f>IFERROR(INDEX(TableRBCalcPts[Custom],MATCH(TableRBVORP[[#This Row],[RK]],TableRBCalcPts[RK],0)),"")</f>
        <v>17.168184838525917</v>
      </c>
      <c r="M96" s="249">
        <f>IFERROR((TableRBVORP[[#This Row],[FPS]]-INDEX(TableRBVORP[FPS],MATCH(RBVORPCalc,TableRBVORP[RK],0)))/INDEX(TableRBVORP[FPS],MATCH(RBVORPCalc,TableRBVORP[RK],0)),"")</f>
        <v>-0.83055344010435961</v>
      </c>
      <c r="N96" s="246"/>
      <c r="O96" s="246">
        <v>95</v>
      </c>
      <c r="P96" s="247" t="str">
        <f>IFERROR(INDEX(TableWRCalcPts[PLAYER],MATCH(TableWRVORP[[#This Row],[RK]],TableWRCalcPts[RK],0)),"")</f>
        <v>James Washington</v>
      </c>
      <c r="Q96" s="247" t="str">
        <f>IFERROR(INDEX(TableWRCalcPts[TM],MATCH(TableWRVORP[[#This Row],[RK]],TableWRCalcPts[RK],0)),"")</f>
        <v>DAL</v>
      </c>
      <c r="R96" s="247">
        <f>IFERROR(INDEX(TableWRCalcPts[BYE],MATCH(TableWRVORP[[#This Row],[RK]],TableWRCalcPts[RK],0)),"")</f>
        <v>9</v>
      </c>
      <c r="S96" s="248">
        <f>IFERROR(INDEX(TableWRCalcPts[Custom],MATCH(TableWRVORP[[#This Row],[RK]],TableWRCalcPts[RK],0)),"")</f>
        <v>51.375545577633844</v>
      </c>
      <c r="T96" s="249">
        <f>IFERROR((TableWRVORP[[#This Row],[FPS]]-INDEX(TableWRVORP[FPS],MATCH(WRVORPCalc,TableWRVORP[RK],0)))/INDEX(TableWRVORP[FPS],MATCH(WRVORPCalc,TableWRVORP[RK],0)),"")</f>
        <v>-0.52854574314729097</v>
      </c>
      <c r="U96" s="246"/>
      <c r="V96" s="246">
        <v>95</v>
      </c>
      <c r="W96" s="247" t="str">
        <f>IFERROR(INDEX(TableTECalcPts[PLAYER],MATCH(TableTEVORP[[#This Row],[RK]],TableTECalcPts[RK],0)),"")</f>
        <v/>
      </c>
      <c r="X96" s="247" t="str">
        <f>IFERROR(INDEX(TableTECalcPts[TM],MATCH(TableTEVORP[[#This Row],[RK]],TableTECalcPts[RK],0)),"")</f>
        <v/>
      </c>
      <c r="Y96" s="247" t="str">
        <f>IFERROR(INDEX(TableTECalcPts[BYE],MATCH(TableTEVORP[[#This Row],[RK]],TableTECalcPts[RK],0)),"")</f>
        <v/>
      </c>
      <c r="Z96" s="248" t="str">
        <f>IFERROR(INDEX(TableTECalcPts[Custom],MATCH(TableTEVORP[[#This Row],[RK]],TableTECalcPts[RK],0)),"")</f>
        <v/>
      </c>
      <c r="AA96" s="249" t="str">
        <f>IFERROR((TableTEVORP[[#This Row],[FPS]]-INDEX(TableTEVORP[FPS],MATCH(TEVORPCalc,TableTEVORP[RK],0)))/INDEX(TableTEVORP[FPS],MATCH(TEVORPCalc,TableTEVORP[RK],0)),"")</f>
        <v/>
      </c>
      <c r="AB96" s="246"/>
      <c r="AC96" s="250"/>
      <c r="AD96" s="250"/>
      <c r="AE96" s="250"/>
      <c r="AF96" s="250" t="s">
        <v>357</v>
      </c>
      <c r="AG96" s="250">
        <v>55</v>
      </c>
      <c r="AH96" s="251">
        <f>RANK(TableOverallMaster[[#This Row],[VORP]],TableOverallMaster[VORP])+COUNTIF($AM$2:AM96,AM96)-1</f>
        <v>161</v>
      </c>
      <c r="AI96" s="252" t="str">
        <f>IFERROR(INDEX(TableRBVORP[RUNNING BACK],MATCH(TableOverallMaster[[#This Row],[RK]],TableRBVORP[RK],0)),"")</f>
        <v>J.D. McKissic</v>
      </c>
      <c r="AJ96" s="252" t="str">
        <f t="shared" si="1"/>
        <v>RB55</v>
      </c>
      <c r="AK96" s="252">
        <f>IFERROR(INDEX(TableRBVORP[BYE],MATCH(TableOverallMaster[[#This Row],[RK]],TableRBVORP[RK],0)),"")</f>
        <v>14</v>
      </c>
      <c r="AL96" s="253">
        <f>IFERROR(INDEX(TableRBVORP[FPS],MATCH(TableOverallMaster[[#This Row],[RK]],TableRBVORP[RK],0)),"")</f>
        <v>87.400718156019607</v>
      </c>
      <c r="AM96" s="254">
        <f>IFERROR(INDEX(TableRBVORP[VORP],MATCH(TableOverallMaster[[#This Row],[RK]],TableRBVORP[RK],0)),"")</f>
        <v>-0.13737234522822447</v>
      </c>
      <c r="AN96" s="250"/>
      <c r="AO96" s="250">
        <v>95</v>
      </c>
      <c r="AP96" s="255" t="str">
        <f>IFERROR(INDEX(TableOverallMaster[OVERALL PLAYER],MATCH(TableOverallRank[[#This Row],[RK]],TableOverallMaster[OVR RK],0)),"")</f>
        <v>Tua Tagovailoa</v>
      </c>
      <c r="AQ96" s="256" t="str">
        <f>IFERROR(INDEX(TableOverallMaster[POS RK],MATCH(TableOverallRank[[#This Row],[OVERALL PLAYER]],TableOverallMaster[OVERALL PLAYER],0)),"")</f>
        <v>QB18</v>
      </c>
      <c r="AR96" s="257">
        <f>IFERROR(INDEX(TableOverallMaster[BYE],MATCH(TableOverallRank[[#This Row],[OVERALL PLAYER]],TableOverallMaster[OVERALL PLAYER],0)),"")</f>
        <v>11</v>
      </c>
      <c r="AS96" s="258">
        <f>IFERROR(INDEX(TableOverallMaster[Custom],MATCH(TableOverallRank[[#This Row],[OVERALL PLAYER]],TableOverallMaster[OVERALL PLAYER],0)),"")</f>
        <v>298.54252678254943</v>
      </c>
      <c r="AT96" s="259">
        <f>IFERROR(INDEX(TableOverallMaster[VORP],MATCH(TableOverallRank[[#This Row],[OVERALL PLAYER]],TableOverallMaster[OVERALL PLAYER],0)),"")</f>
        <v>0.17063537921250532</v>
      </c>
      <c r="AU96" s="250"/>
      <c r="AV96" s="246">
        <v>95</v>
      </c>
      <c r="AW96" s="260" t="str">
        <f>IFERROR(INDEX(TableWRTECalcPts[PLAYER],MATCH(TableWRTERank[[#This Row],[RK]],TableWRTECalcPts[RK],0)),"")</f>
        <v>Logan Thomas</v>
      </c>
      <c r="AX96" s="260" t="str">
        <f>IFERROR(INDEX(TableWRTECalcPts[POS RK],MATCH(TableWRTERank[[#This Row],[WR and TE COMBINED]],TableWRTECalcPts[PLAYER],0)),"")</f>
        <v>TE22</v>
      </c>
      <c r="AY96" s="260">
        <f>IFERROR(INDEX(TableWRTECalcPts[BYE],MATCH(TableWRTERank[[#This Row],[RK]],TableWRTECalcPts[RK],0)),"")</f>
        <v>14</v>
      </c>
      <c r="AZ96" s="261">
        <f>IFERROR(INDEX(TableWRTECalcPts[Custom],MATCH(TableWRTERank[[#This Row],[RK]],TableWRTECalcPts[RK],0)),"")</f>
        <v>84.483769417527256</v>
      </c>
      <c r="BA96" s="249">
        <f>IFERROR((TableWRTERank[[#This Row],[FPS]]-INDEX(TableWRTERank[FPS],MATCH(WRTEVORPCalc,TableWRTERank[RK],0)))/INDEX(TableWRTERank[FPS],MATCH(WRTEVORPCalc,TableWRTERank[RK],0)),"")</f>
        <v>-0.28855866702434174</v>
      </c>
      <c r="BC96" s="124" t="s">
        <v>358</v>
      </c>
      <c r="BD96" s="124">
        <v>95</v>
      </c>
      <c r="BE96" s="262">
        <f>RANK(TableWRTEMaster[[#This Row],[VORP]],TableWRTEMaster[VORP])+COUNTIF($BJ$2:BJ96,BJ96)-1</f>
        <v>127</v>
      </c>
      <c r="BF96" s="263" t="str">
        <f>IFERROR(INDEX(TableWRVORP[WIDE RECEIVER],MATCH(TableWRTEMaster[[#This Row],[RK]],TableWRVORP[RK],0)),"")</f>
        <v>James Washington</v>
      </c>
      <c r="BG96" s="263" t="str">
        <f>_xlfn.CONCAT(TableWRTEMaster[[#This Row],[POS]],TableWRTEMaster[[#This Row],[RK]])</f>
        <v>WR95</v>
      </c>
      <c r="BH96" s="263">
        <f>IFERROR(INDEX(TableWRVORP[BYE],MATCH(TableWRTEMaster[[#This Row],[RK]],TableWRVORP[RK],0)),"")</f>
        <v>9</v>
      </c>
      <c r="BI96" s="264">
        <f>IFERROR(INDEX(TableWRVORP[FPS],MATCH(TableWRTEMaster[[#This Row],[RK]],TableWRVORP[RK],0)),"")</f>
        <v>51.375545577633844</v>
      </c>
      <c r="BJ96" s="254">
        <f>IFERROR(INDEX(TableWRVORP[VORP],MATCH(TableWRTEMaster[[#This Row],[RK]],TableWRVORP[RK],0)),"")</f>
        <v>-0.52854574314729097</v>
      </c>
    </row>
    <row r="97" spans="1:62" x14ac:dyDescent="0.3">
      <c r="A97" s="246">
        <v>96</v>
      </c>
      <c r="B97" s="247" t="str">
        <f>IFERROR(INDEX(TableQBCalcPts[PLAYER],MATCH(TableQBVORP[[#This Row],[RK]],TableQBCalcPts[RK],0)),"")</f>
        <v/>
      </c>
      <c r="C97" s="247" t="str">
        <f>IFERROR(INDEX(TableQBCalcPts[TM],MATCH(TableQBVORP[[#This Row],[RK]],TableQBCalcPts[RK],0)),"")</f>
        <v/>
      </c>
      <c r="D97" s="247" t="str">
        <f>IFERROR(INDEX(TableQBCalcPts[BYE],MATCH(TableQBVORP[[#This Row],[RK]],TableQBCalcPts[RK],0)),"")</f>
        <v/>
      </c>
      <c r="E97" s="248" t="str">
        <f>IFERROR(INDEX(TableQBCalcPts[Custom],MATCH(TableQBVORP[[#This Row],[RK]],TableQBCalcPts[RK],0)),"")</f>
        <v/>
      </c>
      <c r="F97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7" s="246"/>
      <c r="H97" s="246">
        <v>96</v>
      </c>
      <c r="I97" s="247" t="str">
        <f>IFERROR(INDEX(TableRBCalcPts[PLAYER],MATCH(TableRBVORP[[#This Row],[RK]],TableRBCalcPts[RK],0)),"")</f>
        <v>Jermar Jefferson</v>
      </c>
      <c r="J97" s="247" t="str">
        <f>IFERROR(INDEX(TableRBCalcPts[TM],MATCH(TableRBVORP[[#This Row],[RK]],TableRBCalcPts[RK],0)),"")</f>
        <v>DET</v>
      </c>
      <c r="K97" s="247">
        <f>IFERROR(INDEX(TableRBCalcPts[BYE],MATCH(TableRBVORP[[#This Row],[RK]],TableRBCalcPts[RK],0)),"")</f>
        <v>6</v>
      </c>
      <c r="L97" s="248">
        <f>IFERROR(INDEX(TableRBCalcPts[Custom],MATCH(TableRBVORP[[#This Row],[RK]],TableRBCalcPts[RK],0)),"")</f>
        <v>16.461601927920299</v>
      </c>
      <c r="M97" s="249">
        <f>IFERROR((TableRBVORP[[#This Row],[FPS]]-INDEX(TableRBVORP[FPS],MATCH(RBVORPCalc,TableRBVORP[RK],0)))/INDEX(TableRBVORP[FPS],MATCH(RBVORPCalc,TableRBVORP[RK],0)),"")</f>
        <v>-0.83752727249312187</v>
      </c>
      <c r="N97" s="246"/>
      <c r="O97" s="246">
        <v>96</v>
      </c>
      <c r="P97" s="247" t="str">
        <f>IFERROR(INDEX(TableWRCalcPts[PLAYER],MATCH(TableWRVORP[[#This Row],[RK]],TableWRCalcPts[RK],0)),"")</f>
        <v>Olamide Zaccheaus</v>
      </c>
      <c r="Q97" s="247" t="str">
        <f>IFERROR(INDEX(TableWRCalcPts[TM],MATCH(TableWRVORP[[#This Row],[RK]],TableWRCalcPts[RK],0)),"")</f>
        <v>ATL</v>
      </c>
      <c r="R97" s="247">
        <f>IFERROR(INDEX(TableWRCalcPts[BYE],MATCH(TableWRVORP[[#This Row],[RK]],TableWRCalcPts[RK],0)),"")</f>
        <v>14</v>
      </c>
      <c r="S97" s="248">
        <f>IFERROR(INDEX(TableWRCalcPts[Custom],MATCH(TableWRVORP[[#This Row],[RK]],TableWRCalcPts[RK],0)),"")</f>
        <v>51.177073421678053</v>
      </c>
      <c r="T97" s="249">
        <f>IFERROR((TableWRVORP[[#This Row],[FPS]]-INDEX(TableWRVORP[FPS],MATCH(WRVORPCalc,TableWRVORP[RK],0)))/INDEX(TableWRVORP[FPS],MATCH(WRVORPCalc,TableWRVORP[RK],0)),"")</f>
        <v>-0.53036704823982173</v>
      </c>
      <c r="U97" s="246"/>
      <c r="V97" s="246">
        <v>96</v>
      </c>
      <c r="W97" s="247" t="str">
        <f>IFERROR(INDEX(TableTECalcPts[PLAYER],MATCH(TableTEVORP[[#This Row],[RK]],TableTECalcPts[RK],0)),"")</f>
        <v/>
      </c>
      <c r="X97" s="247" t="str">
        <f>IFERROR(INDEX(TableTECalcPts[TM],MATCH(TableTEVORP[[#This Row],[RK]],TableTECalcPts[RK],0)),"")</f>
        <v/>
      </c>
      <c r="Y97" s="247" t="str">
        <f>IFERROR(INDEX(TableTECalcPts[BYE],MATCH(TableTEVORP[[#This Row],[RK]],TableTECalcPts[RK],0)),"")</f>
        <v/>
      </c>
      <c r="Z97" s="248" t="str">
        <f>IFERROR(INDEX(TableTECalcPts[Custom],MATCH(TableTEVORP[[#This Row],[RK]],TableTECalcPts[RK],0)),"")</f>
        <v/>
      </c>
      <c r="AA97" s="249" t="str">
        <f>IFERROR((TableTEVORP[[#This Row],[FPS]]-INDEX(TableTEVORP[FPS],MATCH(TEVORPCalc,TableTEVORP[RK],0)))/INDEX(TableTEVORP[FPS],MATCH(TEVORPCalc,TableTEVORP[RK],0)),"")</f>
        <v/>
      </c>
      <c r="AB97" s="246"/>
      <c r="AC97" s="250"/>
      <c r="AD97" s="250"/>
      <c r="AE97" s="250"/>
      <c r="AF97" s="250" t="s">
        <v>357</v>
      </c>
      <c r="AG97" s="250">
        <v>56</v>
      </c>
      <c r="AH97" s="251">
        <f>RANK(TableOverallMaster[[#This Row],[VORP]],TableOverallMaster[VORP])+COUNTIF($AM$2:AM97,AM97)-1</f>
        <v>165</v>
      </c>
      <c r="AI97" s="252" t="str">
        <f>IFERROR(INDEX(TableRBVORP[RUNNING BACK],MATCH(TableOverallMaster[[#This Row],[RK]],TableRBVORP[RK],0)),"")</f>
        <v>Rachaad White</v>
      </c>
      <c r="AJ97" s="252" t="str">
        <f t="shared" si="1"/>
        <v>RB56</v>
      </c>
      <c r="AK97" s="252">
        <f>IFERROR(INDEX(TableRBVORP[BYE],MATCH(TableOverallMaster[[#This Row],[RK]],TableRBVORP[RK],0)),"")</f>
        <v>11</v>
      </c>
      <c r="AL97" s="253">
        <f>IFERROR(INDEX(TableRBVORP[FPS],MATCH(TableOverallMaster[[#This Row],[RK]],TableRBVORP[RK],0)),"")</f>
        <v>85.06673198999485</v>
      </c>
      <c r="AM97" s="254">
        <f>IFERROR(INDEX(TableRBVORP[VORP],MATCH(TableOverallMaster[[#This Row],[RK]],TableRBVORP[RK],0)),"")</f>
        <v>-0.16040832313716616</v>
      </c>
      <c r="AN97" s="250"/>
      <c r="AO97" s="250">
        <v>96</v>
      </c>
      <c r="AP97" s="255" t="str">
        <f>IFERROR(INDEX(TableOverallMaster[OVERALL PLAYER],MATCH(TableOverallRank[[#This Row],[RK]],TableOverallMaster[OVR RK],0)),"")</f>
        <v>Dallas Goedert</v>
      </c>
      <c r="AQ97" s="256" t="str">
        <f>IFERROR(INDEX(TableOverallMaster[POS RK],MATCH(TableOverallRank[[#This Row],[OVERALL PLAYER]],TableOverallMaster[OVERALL PLAYER],0)),"")</f>
        <v>TE6</v>
      </c>
      <c r="AR97" s="257">
        <f>IFERROR(INDEX(TableOverallMaster[BYE],MATCH(TableOverallRank[[#This Row],[OVERALL PLAYER]],TableOverallMaster[OVERALL PLAYER],0)),"")</f>
        <v>7</v>
      </c>
      <c r="AS97" s="258">
        <f>IFERROR(INDEX(TableOverallMaster[Custom],MATCH(TableOverallRank[[#This Row],[OVERALL PLAYER]],TableOverallMaster[OVERALL PLAYER],0)),"")</f>
        <v>119.68741678217346</v>
      </c>
      <c r="AT97" s="259">
        <f>IFERROR(INDEX(TableOverallMaster[VORP],MATCH(TableOverallRank[[#This Row],[OVERALL PLAYER]],TableOverallMaster[OVERALL PLAYER],0)),"")</f>
        <v>0.16822470576067919</v>
      </c>
      <c r="AU97" s="250"/>
      <c r="AV97" s="246">
        <v>96</v>
      </c>
      <c r="AW97" s="260" t="str">
        <f>IFERROR(INDEX(TableWRTECalcPts[PLAYER],MATCH(TableWRTERank[[#This Row],[RK]],TableWRTECalcPts[RK],0)),"")</f>
        <v>Cedrick Wilson</v>
      </c>
      <c r="AX97" s="260" t="str">
        <f>IFERROR(INDEX(TableWRTECalcPts[POS RK],MATCH(TableWRTERank[[#This Row],[WR and TE COMBINED]],TableWRTECalcPts[PLAYER],0)),"")</f>
        <v>WR74</v>
      </c>
      <c r="AY97" s="260">
        <f>IFERROR(INDEX(TableWRTECalcPts[BYE],MATCH(TableWRTERank[[#This Row],[RK]],TableWRTECalcPts[RK],0)),"")</f>
        <v>11</v>
      </c>
      <c r="AZ97" s="261">
        <f>IFERROR(INDEX(TableWRTECalcPts[Custom],MATCH(TableWRTERank[[#This Row],[RK]],TableWRTECalcPts[RK],0)),"")</f>
        <v>83.805271165984095</v>
      </c>
      <c r="BA97" s="249">
        <f>IFERROR((TableWRTERank[[#This Row],[FPS]]-INDEX(TableWRTERank[FPS],MATCH(WRTEVORPCalc,TableWRTERank[RK],0)))/INDEX(TableWRTERank[FPS],MATCH(WRTEVORPCalc,TableWRTERank[RK],0)),"")</f>
        <v>-0.29427232899548217</v>
      </c>
      <c r="BC97" s="124" t="s">
        <v>358</v>
      </c>
      <c r="BD97" s="124">
        <v>96</v>
      </c>
      <c r="BE97" s="262">
        <f>RANK(TableWRTEMaster[[#This Row],[VORP]],TableWRTEMaster[VORP])+COUNTIF($BJ$2:BJ97,BJ97)-1</f>
        <v>128</v>
      </c>
      <c r="BF97" s="263" t="str">
        <f>IFERROR(INDEX(TableWRVORP[WIDE RECEIVER],MATCH(TableWRTEMaster[[#This Row],[RK]],TableWRVORP[RK],0)),"")</f>
        <v>Olamide Zaccheaus</v>
      </c>
      <c r="BG97" s="263" t="str">
        <f>_xlfn.CONCAT(TableWRTEMaster[[#This Row],[POS]],TableWRTEMaster[[#This Row],[RK]])</f>
        <v>WR96</v>
      </c>
      <c r="BH97" s="263">
        <f>IFERROR(INDEX(TableWRVORP[BYE],MATCH(TableWRTEMaster[[#This Row],[RK]],TableWRVORP[RK],0)),"")</f>
        <v>14</v>
      </c>
      <c r="BI97" s="264">
        <f>IFERROR(INDEX(TableWRVORP[FPS],MATCH(TableWRTEMaster[[#This Row],[RK]],TableWRVORP[RK],0)),"")</f>
        <v>51.177073421678053</v>
      </c>
      <c r="BJ97" s="254">
        <f>IFERROR(INDEX(TableWRVORP[VORP],MATCH(TableWRTEMaster[[#This Row],[RK]],TableWRVORP[RK],0)),"")</f>
        <v>-0.53036704823982173</v>
      </c>
    </row>
    <row r="98" spans="1:62" x14ac:dyDescent="0.3">
      <c r="A98" s="246">
        <v>97</v>
      </c>
      <c r="B98" s="247" t="str">
        <f>IFERROR(INDEX(TableQBCalcPts[PLAYER],MATCH(TableQBVORP[[#This Row],[RK]],TableQBCalcPts[RK],0)),"")</f>
        <v/>
      </c>
      <c r="C98" s="247" t="str">
        <f>IFERROR(INDEX(TableQBCalcPts[TM],MATCH(TableQBVORP[[#This Row],[RK]],TableQBCalcPts[RK],0)),"")</f>
        <v/>
      </c>
      <c r="D98" s="247" t="str">
        <f>IFERROR(INDEX(TableQBCalcPts[BYE],MATCH(TableQBVORP[[#This Row],[RK]],TableQBCalcPts[RK],0)),"")</f>
        <v/>
      </c>
      <c r="E98" s="248" t="str">
        <f>IFERROR(INDEX(TableQBCalcPts[Custom],MATCH(TableQBVORP[[#This Row],[RK]],TableQBCalcPts[RK],0)),"")</f>
        <v/>
      </c>
      <c r="F98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8" s="246"/>
      <c r="H98" s="246">
        <v>97</v>
      </c>
      <c r="I98" s="247" t="str">
        <f>IFERROR(INDEX(TableRBCalcPts[PLAYER],MATCH(TableRBVORP[[#This Row],[RK]],TableRBCalcPts[RK],0)),"")</f>
        <v>Dare Ogunbowale</v>
      </c>
      <c r="J98" s="247" t="str">
        <f>IFERROR(INDEX(TableRBCalcPts[TM],MATCH(TableRBVORP[[#This Row],[RK]],TableRBCalcPts[RK],0)),"")</f>
        <v>HOU</v>
      </c>
      <c r="K98" s="247">
        <f>IFERROR(INDEX(TableRBCalcPts[BYE],MATCH(TableRBVORP[[#This Row],[RK]],TableRBCalcPts[RK],0)),"")</f>
        <v>6</v>
      </c>
      <c r="L98" s="248">
        <f>IFERROR(INDEX(TableRBCalcPts[Custom],MATCH(TableRBVORP[[#This Row],[RK]],TableRBCalcPts[RK],0)),"")</f>
        <v>16.348073894509326</v>
      </c>
      <c r="M98" s="249">
        <f>IFERROR((TableRBVORP[[#This Row],[FPS]]-INDEX(TableRBVORP[FPS],MATCH(RBVORPCalc,TableRBVORP[RK],0)))/INDEX(TableRBVORP[FPS],MATCH(RBVORPCalc,TableRBVORP[RK],0)),"")</f>
        <v>-0.83864777153796199</v>
      </c>
      <c r="N98" s="246"/>
      <c r="O98" s="246">
        <v>97</v>
      </c>
      <c r="P98" s="247" t="str">
        <f>IFERROR(INDEX(TableWRCalcPts[PLAYER],MATCH(TableWRVORP[[#This Row],[RK]],TableWRCalcPts[RK],0)),"")</f>
        <v>Dee Eskridge</v>
      </c>
      <c r="Q98" s="247" t="str">
        <f>IFERROR(INDEX(TableWRCalcPts[TM],MATCH(TableWRVORP[[#This Row],[RK]],TableWRCalcPts[RK],0)),"")</f>
        <v>SEA</v>
      </c>
      <c r="R98" s="247">
        <f>IFERROR(INDEX(TableWRCalcPts[BYE],MATCH(TableWRVORP[[#This Row],[RK]],TableWRCalcPts[RK],0)),"")</f>
        <v>11</v>
      </c>
      <c r="S98" s="248">
        <f>IFERROR(INDEX(TableWRCalcPts[Custom],MATCH(TableWRVORP[[#This Row],[RK]],TableWRCalcPts[RK],0)),"")</f>
        <v>49.28641646878944</v>
      </c>
      <c r="T98" s="249">
        <f>IFERROR((TableWRVORP[[#This Row],[FPS]]-INDEX(TableWRVORP[FPS],MATCH(WRVORPCalc,TableWRVORP[RK],0)))/INDEX(TableWRVORP[FPS],MATCH(WRVORPCalc,TableWRVORP[RK],0)),"")</f>
        <v>-0.54771690328594624</v>
      </c>
      <c r="U98" s="246"/>
      <c r="V98" s="246">
        <v>97</v>
      </c>
      <c r="W98" s="247" t="str">
        <f>IFERROR(INDEX(TableTECalcPts[PLAYER],MATCH(TableTEVORP[[#This Row],[RK]],TableTECalcPts[RK],0)),"")</f>
        <v/>
      </c>
      <c r="X98" s="247" t="str">
        <f>IFERROR(INDEX(TableTECalcPts[TM],MATCH(TableTEVORP[[#This Row],[RK]],TableTECalcPts[RK],0)),"")</f>
        <v/>
      </c>
      <c r="Y98" s="247" t="str">
        <f>IFERROR(INDEX(TableTECalcPts[BYE],MATCH(TableTEVORP[[#This Row],[RK]],TableTECalcPts[RK],0)),"")</f>
        <v/>
      </c>
      <c r="Z98" s="248" t="str">
        <f>IFERROR(INDEX(TableTECalcPts[Custom],MATCH(TableTEVORP[[#This Row],[RK]],TableTECalcPts[RK],0)),"")</f>
        <v/>
      </c>
      <c r="AA98" s="249" t="str">
        <f>IFERROR((TableTEVORP[[#This Row],[FPS]]-INDEX(TableTEVORP[FPS],MATCH(TEVORPCalc,TableTEVORP[RK],0)))/INDEX(TableTEVORP[FPS],MATCH(TEVORPCalc,TableTEVORP[RK],0)),"")</f>
        <v/>
      </c>
      <c r="AB98" s="246"/>
      <c r="AC98" s="250"/>
      <c r="AD98" s="250"/>
      <c r="AE98" s="250"/>
      <c r="AF98" s="250" t="s">
        <v>357</v>
      </c>
      <c r="AG98" s="250">
        <v>57</v>
      </c>
      <c r="AH98" s="251">
        <f>RANK(TableOverallMaster[[#This Row],[VORP]],TableOverallMaster[VORP])+COUNTIF($AM$2:AM98,AM98)-1</f>
        <v>169</v>
      </c>
      <c r="AI98" s="252" t="str">
        <f>IFERROR(INDEX(TableRBVORP[RUNNING BACK],MATCH(TableOverallMaster[[#This Row],[RK]],TableRBVORP[RK],0)),"")</f>
        <v>Darrel Williams</v>
      </c>
      <c r="AJ98" s="252" t="str">
        <f t="shared" si="1"/>
        <v>RB57</v>
      </c>
      <c r="AK98" s="252">
        <f>IFERROR(INDEX(TableRBVORP[BYE],MATCH(TableOverallMaster[[#This Row],[RK]],TableRBVORP[RK],0)),"")</f>
        <v>13</v>
      </c>
      <c r="AL98" s="253">
        <f>IFERROR(INDEX(TableRBVORP[FPS],MATCH(TableOverallMaster[[#This Row],[RK]],TableRBVORP[RK],0)),"")</f>
        <v>84.070806040109474</v>
      </c>
      <c r="AM98" s="254">
        <f>IFERROR(INDEX(TableRBVORP[VORP],MATCH(TableOverallMaster[[#This Row],[RK]],TableRBVORP[RK],0)),"")</f>
        <v>-0.17023791360966509</v>
      </c>
      <c r="AN98" s="250"/>
      <c r="AO98" s="250">
        <v>97</v>
      </c>
      <c r="AP98" s="255" t="str">
        <f>IFERROR(INDEX(TableOverallMaster[OVERALL PLAYER],MATCH(TableOverallRank[[#This Row],[RK]],TableOverallMaster[OVR RK],0)),"")</f>
        <v>Dalton Schultz</v>
      </c>
      <c r="AQ98" s="256" t="str">
        <f>IFERROR(INDEX(TableOverallMaster[POS RK],MATCH(TableOverallRank[[#This Row],[OVERALL PLAYER]],TableOverallMaster[OVERALL PLAYER],0)),"")</f>
        <v>TE7</v>
      </c>
      <c r="AR98" s="257">
        <f>IFERROR(INDEX(TableOverallMaster[BYE],MATCH(TableOverallRank[[#This Row],[OVERALL PLAYER]],TableOverallMaster[OVERALL PLAYER],0)),"")</f>
        <v>9</v>
      </c>
      <c r="AS98" s="258">
        <f>IFERROR(INDEX(TableOverallMaster[Custom],MATCH(TableOverallRank[[#This Row],[OVERALL PLAYER]],TableOverallMaster[OVERALL PLAYER],0)),"")</f>
        <v>119.58073410503061</v>
      </c>
      <c r="AT98" s="259">
        <f>IFERROR(INDEX(TableOverallMaster[VORP],MATCH(TableOverallRank[[#This Row],[OVERALL PLAYER]],TableOverallMaster[OVERALL PLAYER],0)),"")</f>
        <v>0.16718341551926827</v>
      </c>
      <c r="AU98" s="250"/>
      <c r="AV98" s="246">
        <v>97</v>
      </c>
      <c r="AW98" s="260" t="str">
        <f>IFERROR(INDEX(TableWRTECalcPts[PLAYER],MATCH(TableWRTERank[[#This Row],[RK]],TableWRTECalcPts[RK],0)),"")</f>
        <v>Robert Tonyan</v>
      </c>
      <c r="AX98" s="260" t="str">
        <f>IFERROR(INDEX(TableWRTECalcPts[POS RK],MATCH(TableWRTERank[[#This Row],[WR and TE COMBINED]],TableWRTECalcPts[PLAYER],0)),"")</f>
        <v>TE23</v>
      </c>
      <c r="AY98" s="260">
        <f>IFERROR(INDEX(TableWRTECalcPts[BYE],MATCH(TableWRTERank[[#This Row],[RK]],TableWRTECalcPts[RK],0)),"")</f>
        <v>14</v>
      </c>
      <c r="AZ98" s="261">
        <f>IFERROR(INDEX(TableWRTECalcPts[Custom],MATCH(TableWRTERank[[#This Row],[RK]],TableWRTECalcPts[RK],0)),"")</f>
        <v>81.128898794421957</v>
      </c>
      <c r="BA98" s="249">
        <f>IFERROR((TableWRTERank[[#This Row],[FPS]]-INDEX(TableWRTERank[FPS],MATCH(WRTEVORPCalc,TableWRTERank[RK],0)))/INDEX(TableWRTERank[FPS],MATCH(WRTEVORPCalc,TableWRTERank[RK],0)),"")</f>
        <v>-0.31681017195266875</v>
      </c>
      <c r="BC98" s="124" t="s">
        <v>358</v>
      </c>
      <c r="BD98" s="124">
        <v>97</v>
      </c>
      <c r="BE98" s="262">
        <f>RANK(TableWRTEMaster[[#This Row],[VORP]],TableWRTEMaster[VORP])+COUNTIF($BJ$2:BJ98,BJ98)-1</f>
        <v>129</v>
      </c>
      <c r="BF98" s="263" t="str">
        <f>IFERROR(INDEX(TableWRVORP[WIDE RECEIVER],MATCH(TableWRTEMaster[[#This Row],[RK]],TableWRVORP[RK],0)),"")</f>
        <v>Dee Eskridge</v>
      </c>
      <c r="BG98" s="263" t="str">
        <f>_xlfn.CONCAT(TableWRTEMaster[[#This Row],[POS]],TableWRTEMaster[[#This Row],[RK]])</f>
        <v>WR97</v>
      </c>
      <c r="BH98" s="263">
        <f>IFERROR(INDEX(TableWRVORP[BYE],MATCH(TableWRTEMaster[[#This Row],[RK]],TableWRVORP[RK],0)),"")</f>
        <v>11</v>
      </c>
      <c r="BI98" s="264">
        <f>IFERROR(INDEX(TableWRVORP[FPS],MATCH(TableWRTEMaster[[#This Row],[RK]],TableWRVORP[RK],0)),"")</f>
        <v>49.28641646878944</v>
      </c>
      <c r="BJ98" s="254">
        <f>IFERROR(INDEX(TableWRVORP[VORP],MATCH(TableWRTEMaster[[#This Row],[RK]],TableWRVORP[RK],0)),"")</f>
        <v>-0.54771690328594624</v>
      </c>
    </row>
    <row r="99" spans="1:62" x14ac:dyDescent="0.3">
      <c r="A99" s="246">
        <v>98</v>
      </c>
      <c r="B99" s="247" t="str">
        <f>IFERROR(INDEX(TableQBCalcPts[PLAYER],MATCH(TableQBVORP[[#This Row],[RK]],TableQBCalcPts[RK],0)),"")</f>
        <v/>
      </c>
      <c r="C99" s="247" t="str">
        <f>IFERROR(INDEX(TableQBCalcPts[TM],MATCH(TableQBVORP[[#This Row],[RK]],TableQBCalcPts[RK],0)),"")</f>
        <v/>
      </c>
      <c r="D99" s="247" t="str">
        <f>IFERROR(INDEX(TableQBCalcPts[BYE],MATCH(TableQBVORP[[#This Row],[RK]],TableQBCalcPts[RK],0)),"")</f>
        <v/>
      </c>
      <c r="E99" s="248" t="str">
        <f>IFERROR(INDEX(TableQBCalcPts[Custom],MATCH(TableQBVORP[[#This Row],[RK]],TableQBCalcPts[RK],0)),"")</f>
        <v/>
      </c>
      <c r="F99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99" s="246"/>
      <c r="H99" s="246">
        <v>98</v>
      </c>
      <c r="I99" s="247" t="str">
        <f>IFERROR(INDEX(TableRBCalcPts[PLAYER],MATCH(TableRBVORP[[#This Row],[RK]],TableRBCalcPts[RK],0)),"")</f>
        <v>Mike Davis</v>
      </c>
      <c r="J99" s="247" t="str">
        <f>IFERROR(INDEX(TableRBCalcPts[TM],MATCH(TableRBVORP[[#This Row],[RK]],TableRBCalcPts[RK],0)),"")</f>
        <v>BAL</v>
      </c>
      <c r="K99" s="247">
        <f>IFERROR(INDEX(TableRBCalcPts[BYE],MATCH(TableRBVORP[[#This Row],[RK]],TableRBCalcPts[RK],0)),"")</f>
        <v>10</v>
      </c>
      <c r="L99" s="248">
        <f>IFERROR(INDEX(TableRBCalcPts[Custom],MATCH(TableRBVORP[[#This Row],[RK]],TableRBCalcPts[RK],0)),"")</f>
        <v>15.706408260384052</v>
      </c>
      <c r="M99" s="249">
        <f>IFERROR((TableRBVORP[[#This Row],[FPS]]-INDEX(TableRBVORP[FPS],MATCH(RBVORPCalc,TableRBVORP[RK],0)))/INDEX(TableRBVORP[FPS],MATCH(RBVORPCalc,TableRBVORP[RK],0)),"")</f>
        <v>-0.84498088335662058</v>
      </c>
      <c r="N99" s="246"/>
      <c r="O99" s="246">
        <v>98</v>
      </c>
      <c r="P99" s="247" t="str">
        <f>IFERROR(INDEX(TableWRCalcPts[PLAYER],MATCH(TableWRVORP[[#This Row],[RK]],TableWRCalcPts[RK],0)),"")</f>
        <v>KJ Hamler</v>
      </c>
      <c r="Q99" s="247" t="str">
        <f>IFERROR(INDEX(TableWRCalcPts[TM],MATCH(TableWRVORP[[#This Row],[RK]],TableWRCalcPts[RK],0)),"")</f>
        <v>DEN</v>
      </c>
      <c r="R99" s="247">
        <f>IFERROR(INDEX(TableWRCalcPts[BYE],MATCH(TableWRVORP[[#This Row],[RK]],TableWRCalcPts[RK],0)),"")</f>
        <v>9</v>
      </c>
      <c r="S99" s="248">
        <f>IFERROR(INDEX(TableWRCalcPts[Custom],MATCH(TableWRVORP[[#This Row],[RK]],TableWRCalcPts[RK],0)),"")</f>
        <v>47.9270366316658</v>
      </c>
      <c r="T99" s="249">
        <f>IFERROR((TableWRVORP[[#This Row],[FPS]]-INDEX(TableWRVORP[FPS],MATCH(WRVORPCalc,TableWRVORP[RK],0)))/INDEX(TableWRVORP[FPS],MATCH(WRVORPCalc,TableWRVORP[RK],0)),"")</f>
        <v>-0.5601914260123908</v>
      </c>
      <c r="U99" s="246"/>
      <c r="V99" s="246">
        <v>98</v>
      </c>
      <c r="W99" s="247" t="str">
        <f>IFERROR(INDEX(TableTECalcPts[PLAYER],MATCH(TableTEVORP[[#This Row],[RK]],TableTECalcPts[RK],0)),"")</f>
        <v/>
      </c>
      <c r="X99" s="247" t="str">
        <f>IFERROR(INDEX(TableTECalcPts[TM],MATCH(TableTEVORP[[#This Row],[RK]],TableTECalcPts[RK],0)),"")</f>
        <v/>
      </c>
      <c r="Y99" s="247" t="str">
        <f>IFERROR(INDEX(TableTECalcPts[BYE],MATCH(TableTEVORP[[#This Row],[RK]],TableTECalcPts[RK],0)),"")</f>
        <v/>
      </c>
      <c r="Z99" s="248" t="str">
        <f>IFERROR(INDEX(TableTECalcPts[Custom],MATCH(TableTEVORP[[#This Row],[RK]],TableTECalcPts[RK],0)),"")</f>
        <v/>
      </c>
      <c r="AA99" s="249" t="str">
        <f>IFERROR((TableTEVORP[[#This Row],[FPS]]-INDEX(TableTEVORP[FPS],MATCH(TEVORPCalc,TableTEVORP[RK],0)))/INDEX(TableTEVORP[FPS],MATCH(TEVORPCalc,TableTEVORP[RK],0)),"")</f>
        <v/>
      </c>
      <c r="AB99" s="246"/>
      <c r="AC99" s="250"/>
      <c r="AD99" s="250"/>
      <c r="AE99" s="250"/>
      <c r="AF99" s="250" t="s">
        <v>357</v>
      </c>
      <c r="AG99" s="250">
        <v>58</v>
      </c>
      <c r="AH99" s="251">
        <f>RANK(TableOverallMaster[[#This Row],[VORP]],TableOverallMaster[VORP])+COUNTIF($AM$2:AM99,AM99)-1</f>
        <v>186</v>
      </c>
      <c r="AI99" s="252" t="str">
        <f>IFERROR(INDEX(TableRBVORP[RUNNING BACK],MATCH(TableOverallMaster[[#This Row],[RK]],TableRBVORP[RK],0)),"")</f>
        <v>James White</v>
      </c>
      <c r="AJ99" s="252" t="str">
        <f t="shared" si="1"/>
        <v>RB58</v>
      </c>
      <c r="AK99" s="252">
        <f>IFERROR(INDEX(TableRBVORP[BYE],MATCH(TableOverallMaster[[#This Row],[RK]],TableRBVORP[RK],0)),"")</f>
        <v>10</v>
      </c>
      <c r="AL99" s="253">
        <f>IFERROR(INDEX(TableRBVORP[FPS],MATCH(TableOverallMaster[[#This Row],[RK]],TableRBVORP[RK],0)),"")</f>
        <v>77.080335669558565</v>
      </c>
      <c r="AM99" s="254">
        <f>IFERROR(INDEX(TableRBVORP[VORP],MATCH(TableOverallMaster[[#This Row],[RK]],TableRBVORP[RK],0)),"")</f>
        <v>-0.23923246180931962</v>
      </c>
      <c r="AN99" s="250"/>
      <c r="AO99" s="250">
        <v>98</v>
      </c>
      <c r="AP99" s="255" t="str">
        <f>IFERROR(INDEX(TableOverallMaster[OVERALL PLAYER],MATCH(TableOverallRank[[#This Row],[RK]],TableOverallMaster[OVR RK],0)),"")</f>
        <v>Chase Edmonds</v>
      </c>
      <c r="AQ99" s="256" t="str">
        <f>IFERROR(INDEX(TableOverallMaster[POS RK],MATCH(TableOverallRank[[#This Row],[OVERALL PLAYER]],TableOverallMaster[OVERALL PLAYER],0)),"")</f>
        <v>RB36</v>
      </c>
      <c r="AR99" s="257">
        <f>IFERROR(INDEX(TableOverallMaster[BYE],MATCH(TableOverallRank[[#This Row],[OVERALL PLAYER]],TableOverallMaster[OVERALL PLAYER],0)),"")</f>
        <v>11</v>
      </c>
      <c r="AS99" s="258">
        <f>IFERROR(INDEX(TableOverallMaster[Custom],MATCH(TableOverallRank[[#This Row],[OVERALL PLAYER]],TableOverallMaster[OVERALL PLAYER],0)),"")</f>
        <v>117.21232006859266</v>
      </c>
      <c r="AT99" s="259">
        <f>IFERROR(INDEX(TableOverallMaster[VORP],MATCH(TableOverallRank[[#This Row],[OVERALL PLAYER]],TableOverallMaster[OVERALL PLAYER],0)),"")</f>
        <v>0.15686221926272523</v>
      </c>
      <c r="AU99" s="250"/>
      <c r="AV99" s="246">
        <v>98</v>
      </c>
      <c r="AW99" s="260" t="str">
        <f>IFERROR(INDEX(TableWRTECalcPts[PLAYER],MATCH(TableWRTERank[[#This Row],[RK]],TableWRTECalcPts[RK],0)),"")</f>
        <v>Mo Alie-Cox</v>
      </c>
      <c r="AX99" s="260" t="str">
        <f>IFERROR(INDEX(TableWRTECalcPts[POS RK],MATCH(TableWRTERank[[#This Row],[WR and TE COMBINED]],TableWRTECalcPts[PLAYER],0)),"")</f>
        <v>TE24</v>
      </c>
      <c r="AY99" s="260">
        <f>IFERROR(INDEX(TableWRTECalcPts[BYE],MATCH(TableWRTERank[[#This Row],[RK]],TableWRTECalcPts[RK],0)),"")</f>
        <v>14</v>
      </c>
      <c r="AZ99" s="261">
        <f>IFERROR(INDEX(TableWRTECalcPts[Custom],MATCH(TableWRTERank[[#This Row],[RK]],TableWRTECalcPts[RK],0)),"")</f>
        <v>80.481520247403466</v>
      </c>
      <c r="BA99" s="249">
        <f>IFERROR((TableWRTERank[[#This Row],[FPS]]-INDEX(TableWRTERank[FPS],MATCH(WRTEVORPCalc,TableWRTERank[RK],0)))/INDEX(TableWRTERank[FPS],MATCH(WRTEVORPCalc,TableWRTERank[RK],0)),"")</f>
        <v>-0.32226177359883212</v>
      </c>
      <c r="BC99" s="124" t="s">
        <v>358</v>
      </c>
      <c r="BD99" s="124">
        <v>98</v>
      </c>
      <c r="BE99" s="262">
        <f>RANK(TableWRTEMaster[[#This Row],[VORP]],TableWRTEMaster[VORP])+COUNTIF($BJ$2:BJ99,BJ99)-1</f>
        <v>130</v>
      </c>
      <c r="BF99" s="263" t="str">
        <f>IFERROR(INDEX(TableWRVORP[WIDE RECEIVER],MATCH(TableWRTEMaster[[#This Row],[RK]],TableWRVORP[RK],0)),"")</f>
        <v>KJ Hamler</v>
      </c>
      <c r="BG99" s="263" t="str">
        <f>_xlfn.CONCAT(TableWRTEMaster[[#This Row],[POS]],TableWRTEMaster[[#This Row],[RK]])</f>
        <v>WR98</v>
      </c>
      <c r="BH99" s="263">
        <f>IFERROR(INDEX(TableWRVORP[BYE],MATCH(TableWRTEMaster[[#This Row],[RK]],TableWRVORP[RK],0)),"")</f>
        <v>9</v>
      </c>
      <c r="BI99" s="264">
        <f>IFERROR(INDEX(TableWRVORP[FPS],MATCH(TableWRTEMaster[[#This Row],[RK]],TableWRVORP[RK],0)),"")</f>
        <v>47.9270366316658</v>
      </c>
      <c r="BJ99" s="254">
        <f>IFERROR(INDEX(TableWRVORP[VORP],MATCH(TableWRTEMaster[[#This Row],[RK]],TableWRVORP[RK],0)),"")</f>
        <v>-0.5601914260123908</v>
      </c>
    </row>
    <row r="100" spans="1:62" x14ac:dyDescent="0.3">
      <c r="A100" s="246">
        <v>99</v>
      </c>
      <c r="B100" s="247" t="str">
        <f>IFERROR(INDEX(TableQBCalcPts[PLAYER],MATCH(TableQBVORP[[#This Row],[RK]],TableQBCalcPts[RK],0)),"")</f>
        <v/>
      </c>
      <c r="C100" s="247" t="str">
        <f>IFERROR(INDEX(TableQBCalcPts[TM],MATCH(TableQBVORP[[#This Row],[RK]],TableQBCalcPts[RK],0)),"")</f>
        <v/>
      </c>
      <c r="D100" s="247" t="str">
        <f>IFERROR(INDEX(TableQBCalcPts[BYE],MATCH(TableQBVORP[[#This Row],[RK]],TableQBCalcPts[RK],0)),"")</f>
        <v/>
      </c>
      <c r="E100" s="248" t="str">
        <f>IFERROR(INDEX(TableQBCalcPts[Custom],MATCH(TableQBVORP[[#This Row],[RK]],TableQBCalcPts[RK],0)),"")</f>
        <v/>
      </c>
      <c r="F100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100" s="246"/>
      <c r="H100" s="246">
        <v>99</v>
      </c>
      <c r="I100" s="247" t="str">
        <f>IFERROR(INDEX(TableRBCalcPts[PLAYER],MATCH(TableRBVORP[[#This Row],[RK]],TableRBCalcPts[RK],0)),"")</f>
        <v>Darrynton Evans</v>
      </c>
      <c r="J100" s="247" t="str">
        <f>IFERROR(INDEX(TableRBCalcPts[TM],MATCH(TableRBVORP[[#This Row],[RK]],TableRBCalcPts[RK],0)),"")</f>
        <v>CHI</v>
      </c>
      <c r="K100" s="247">
        <f>IFERROR(INDEX(TableRBCalcPts[BYE],MATCH(TableRBVORP[[#This Row],[RK]],TableRBCalcPts[RK],0)),"")</f>
        <v>14</v>
      </c>
      <c r="L100" s="248">
        <f>IFERROR(INDEX(TableRBCalcPts[Custom],MATCH(TableRBVORP[[#This Row],[RK]],TableRBCalcPts[RK],0)),"")</f>
        <v>15.339572196945394</v>
      </c>
      <c r="M100" s="249">
        <f>IFERROR((TableRBVORP[[#This Row],[FPS]]-INDEX(TableRBVORP[FPS],MATCH(RBVORPCalc,TableRBVORP[RK],0)))/INDEX(TableRBVORP[FPS],MATCH(RBVORPCalc,TableRBVORP[RK],0)),"")</f>
        <v>-0.84860148213162045</v>
      </c>
      <c r="N100" s="246"/>
      <c r="O100" s="246">
        <v>99</v>
      </c>
      <c r="P100" s="247" t="str">
        <f>IFERROR(INDEX(TableWRCalcPts[PLAYER],MATCH(TableWRVORP[[#This Row],[RK]],TableWRCalcPts[RK],0)),"")</f>
        <v>Bryan Edwards</v>
      </c>
      <c r="Q100" s="247" t="str">
        <f>IFERROR(INDEX(TableWRCalcPts[TM],MATCH(TableWRVORP[[#This Row],[RK]],TableWRCalcPts[RK],0)),"")</f>
        <v>ATL</v>
      </c>
      <c r="R100" s="247">
        <f>IFERROR(INDEX(TableWRCalcPts[BYE],MATCH(TableWRVORP[[#This Row],[RK]],TableWRCalcPts[RK],0)),"")</f>
        <v>14</v>
      </c>
      <c r="S100" s="248">
        <f>IFERROR(INDEX(TableWRCalcPts[Custom],MATCH(TableWRVORP[[#This Row],[RK]],TableWRCalcPts[RK],0)),"")</f>
        <v>47.814013950587054</v>
      </c>
      <c r="T100" s="249">
        <f>IFERROR((TableWRVORP[[#This Row],[FPS]]-INDEX(TableWRVORP[FPS],MATCH(WRVORPCalc,TableWRVORP[RK],0)))/INDEX(TableWRVORP[FPS],MATCH(WRVORPCalc,TableWRVORP[RK],0)),"")</f>
        <v>-0.56122859308315143</v>
      </c>
      <c r="U100" s="246"/>
      <c r="V100" s="246">
        <v>99</v>
      </c>
      <c r="W100" s="247" t="str">
        <f>IFERROR(INDEX(TableTECalcPts[PLAYER],MATCH(TableTEVORP[[#This Row],[RK]],TableTECalcPts[RK],0)),"")</f>
        <v/>
      </c>
      <c r="X100" s="247" t="str">
        <f>IFERROR(INDEX(TableTECalcPts[TM],MATCH(TableTEVORP[[#This Row],[RK]],TableTECalcPts[RK],0)),"")</f>
        <v/>
      </c>
      <c r="Y100" s="247" t="str">
        <f>IFERROR(INDEX(TableTECalcPts[BYE],MATCH(TableTEVORP[[#This Row],[RK]],TableTECalcPts[RK],0)),"")</f>
        <v/>
      </c>
      <c r="Z100" s="248" t="str">
        <f>IFERROR(INDEX(TableTECalcPts[Custom],MATCH(TableTEVORP[[#This Row],[RK]],TableTECalcPts[RK],0)),"")</f>
        <v/>
      </c>
      <c r="AA100" s="249" t="str">
        <f>IFERROR((TableTEVORP[[#This Row],[FPS]]-INDEX(TableTEVORP[FPS],MATCH(TEVORPCalc,TableTEVORP[RK],0)))/INDEX(TableTEVORP[FPS],MATCH(TEVORPCalc,TableTEVORP[RK],0)),"")</f>
        <v/>
      </c>
      <c r="AB100" s="246"/>
      <c r="AC100" s="250"/>
      <c r="AD100" s="250"/>
      <c r="AE100" s="250"/>
      <c r="AF100" s="250" t="s">
        <v>357</v>
      </c>
      <c r="AG100" s="250">
        <v>59</v>
      </c>
      <c r="AH100" s="251">
        <f>RANK(TableOverallMaster[[#This Row],[VORP]],TableOverallMaster[VORP])+COUNTIF($AM$2:AM100,AM100)-1</f>
        <v>187</v>
      </c>
      <c r="AI100" s="252" t="str">
        <f>IFERROR(INDEX(TableRBVORP[RUNNING BACK],MATCH(TableOverallMaster[[#This Row],[RK]],TableRBVORP[RK],0)),"")</f>
        <v>Rex Burkhead</v>
      </c>
      <c r="AJ100" s="252" t="str">
        <f t="shared" si="1"/>
        <v>RB59</v>
      </c>
      <c r="AK100" s="252">
        <f>IFERROR(INDEX(TableRBVORP[BYE],MATCH(TableOverallMaster[[#This Row],[RK]],TableRBVORP[RK],0)),"")</f>
        <v>6</v>
      </c>
      <c r="AL100" s="253">
        <f>IFERROR(INDEX(TableRBVORP[FPS],MATCH(TableOverallMaster[[#This Row],[RK]],TableRBVORP[RK],0)),"")</f>
        <v>75.952347937216942</v>
      </c>
      <c r="AM100" s="254">
        <f>IFERROR(INDEX(TableRBVORP[VORP],MATCH(TableOverallMaster[[#This Row],[RK]],TableRBVORP[RK],0)),"")</f>
        <v>-0.25036547573289192</v>
      </c>
      <c r="AN100" s="250"/>
      <c r="AO100" s="250">
        <v>99</v>
      </c>
      <c r="AP100" s="255" t="str">
        <f>IFERROR(INDEX(TableOverallMaster[OVERALL PLAYER],MATCH(TableOverallRank[[#This Row],[RK]],TableOverallMaster[OVR RK],0)),"")</f>
        <v>Gus Edwards</v>
      </c>
      <c r="AQ100" s="256" t="str">
        <f>IFERROR(INDEX(TableOverallMaster[POS RK],MATCH(TableOverallRank[[#This Row],[OVERALL PLAYER]],TableOverallMaster[OVERALL PLAYER],0)),"")</f>
        <v>RB37</v>
      </c>
      <c r="AR100" s="257">
        <f>IFERROR(INDEX(TableOverallMaster[BYE],MATCH(TableOverallRank[[#This Row],[OVERALL PLAYER]],TableOverallMaster[OVERALL PLAYER],0)),"")</f>
        <v>10</v>
      </c>
      <c r="AS100" s="258">
        <f>IFERROR(INDEX(TableOverallMaster[Custom],MATCH(TableOverallRank[[#This Row],[OVERALL PLAYER]],TableOverallMaster[OVERALL PLAYER],0)),"")</f>
        <v>115.70214139841576</v>
      </c>
      <c r="AT100" s="259">
        <f>IFERROR(INDEX(TableOverallMaster[VORP],MATCH(TableOverallRank[[#This Row],[OVERALL PLAYER]],TableOverallMaster[OVERALL PLAYER],0)),"")</f>
        <v>0.14195705701662606</v>
      </c>
      <c r="AU100" s="250"/>
      <c r="AV100" s="246">
        <v>99</v>
      </c>
      <c r="AW100" s="260" t="str">
        <f>IFERROR(INDEX(TableWRTECalcPts[PLAYER],MATCH(TableWRTERank[[#This Row],[RK]],TableWRTECalcPts[RK],0)),"")</f>
        <v>K.J. Osborn</v>
      </c>
      <c r="AX100" s="260" t="str">
        <f>IFERROR(INDEX(TableWRTECalcPts[POS RK],MATCH(TableWRTERank[[#This Row],[WR and TE COMBINED]],TableWRTECalcPts[PLAYER],0)),"")</f>
        <v>WR75</v>
      </c>
      <c r="AY100" s="260">
        <f>IFERROR(INDEX(TableWRTECalcPts[BYE],MATCH(TableWRTERank[[#This Row],[RK]],TableWRTECalcPts[RK],0)),"")</f>
        <v>7</v>
      </c>
      <c r="AZ100" s="261">
        <f>IFERROR(INDEX(TableWRTECalcPts[Custom],MATCH(TableWRTERank[[#This Row],[RK]],TableWRTECalcPts[RK],0)),"")</f>
        <v>80.302367519801066</v>
      </c>
      <c r="BA100" s="249">
        <f>IFERROR((TableWRTERank[[#This Row],[FPS]]-INDEX(TableWRTERank[FPS],MATCH(WRTEVORPCalc,TableWRTERank[RK],0)))/INDEX(TableWRTERank[FPS],MATCH(WRTEVORPCalc,TableWRTERank[RK],0)),"")</f>
        <v>-0.32377042616263729</v>
      </c>
      <c r="BC100" s="124" t="s">
        <v>358</v>
      </c>
      <c r="BD100" s="124">
        <v>99</v>
      </c>
      <c r="BE100" s="262">
        <f>RANK(TableWRTEMaster[[#This Row],[VORP]],TableWRTEMaster[VORP])+COUNTIF($BJ$2:BJ100,BJ100)-1</f>
        <v>131</v>
      </c>
      <c r="BF100" s="263" t="str">
        <f>IFERROR(INDEX(TableWRVORP[WIDE RECEIVER],MATCH(TableWRTEMaster[[#This Row],[RK]],TableWRVORP[RK],0)),"")</f>
        <v>Bryan Edwards</v>
      </c>
      <c r="BG100" s="263" t="str">
        <f>_xlfn.CONCAT(TableWRTEMaster[[#This Row],[POS]],TableWRTEMaster[[#This Row],[RK]])</f>
        <v>WR99</v>
      </c>
      <c r="BH100" s="263">
        <f>IFERROR(INDEX(TableWRVORP[BYE],MATCH(TableWRTEMaster[[#This Row],[RK]],TableWRVORP[RK],0)),"")</f>
        <v>14</v>
      </c>
      <c r="BI100" s="264">
        <f>IFERROR(INDEX(TableWRVORP[FPS],MATCH(TableWRTEMaster[[#This Row],[RK]],TableWRVORP[RK],0)),"")</f>
        <v>47.814013950587054</v>
      </c>
      <c r="BJ100" s="254">
        <f>IFERROR(INDEX(TableWRVORP[VORP],MATCH(TableWRTEMaster[[#This Row],[RK]],TableWRVORP[RK],0)),"")</f>
        <v>-0.56122859308315143</v>
      </c>
    </row>
    <row r="101" spans="1:62" x14ac:dyDescent="0.3">
      <c r="A101" s="246">
        <v>100</v>
      </c>
      <c r="B101" s="247" t="str">
        <f>IFERROR(INDEX(TableQBCalcPts[PLAYER],MATCH(TableQBVORP[[#This Row],[RK]],TableQBCalcPts[RK],0)),"")</f>
        <v/>
      </c>
      <c r="C101" s="247" t="str">
        <f>IFERROR(INDEX(TableQBCalcPts[TM],MATCH(TableQBVORP[[#This Row],[RK]],TableQBCalcPts[RK],0)),"")</f>
        <v/>
      </c>
      <c r="D101" s="247" t="str">
        <f>IFERROR(INDEX(TableQBCalcPts[BYE],MATCH(TableQBVORP[[#This Row],[RK]],TableQBCalcPts[RK],0)),"")</f>
        <v/>
      </c>
      <c r="E101" s="248" t="str">
        <f>IFERROR(INDEX(TableQBCalcPts[Custom],MATCH(TableQBVORP[[#This Row],[RK]],TableQBCalcPts[RK],0)),"")</f>
        <v/>
      </c>
      <c r="F101" s="249" t="e">
        <f>(IFERROR((TableQBVORP[[#This Row],[FPS]]-INDEX(TableQBVORP[FPS],MATCH(QBVORPCalc,TableQBVORP[RK],0)))/INDEX(TableQBVORP[FPS],MATCH(QBVORPCalc,TableQBVORP[RK],0)),""))+(TableRBVORP[[#This Row],[VORP]]*0.45)</f>
        <v>#VALUE!</v>
      </c>
      <c r="G101" s="246"/>
      <c r="H101" s="246">
        <v>100</v>
      </c>
      <c r="I101" s="247" t="str">
        <f>IFERROR(INDEX(TableRBCalcPts[PLAYER],MATCH(TableRBVORP[[#This Row],[RK]],TableRBCalcPts[RK],0)),"")</f>
        <v>Zack Moss</v>
      </c>
      <c r="J101" s="247" t="str">
        <f>IFERROR(INDEX(TableRBCalcPts[TM],MATCH(TableRBVORP[[#This Row],[RK]],TableRBCalcPts[RK],0)),"")</f>
        <v>BUF</v>
      </c>
      <c r="K101" s="247">
        <f>IFERROR(INDEX(TableRBCalcPts[BYE],MATCH(TableRBVORP[[#This Row],[RK]],TableRBCalcPts[RK],0)),"")</f>
        <v>7</v>
      </c>
      <c r="L101" s="248">
        <f>IFERROR(INDEX(TableRBCalcPts[Custom],MATCH(TableRBVORP[[#This Row],[RK]],TableRBCalcPts[RK],0)),"")</f>
        <v>14.671193693335264</v>
      </c>
      <c r="M101" s="249">
        <f>IFERROR((TableRBVORP[[#This Row],[FPS]]-INDEX(TableRBVORP[FPS],MATCH(RBVORPCalc,TableRBVORP[RK],0)))/INDEX(TableRBVORP[FPS],MATCH(RBVORPCalc,TableRBVORP[RK],0)),"")</f>
        <v>-0.85519824464379857</v>
      </c>
      <c r="N101" s="246"/>
      <c r="O101" s="246">
        <v>100</v>
      </c>
      <c r="P101" s="247" t="str">
        <f>IFERROR(INDEX(TableWRCalcPts[PLAYER],MATCH(TableWRVORP[[#This Row],[RK]],TableWRCalcPts[RK],0)),"")</f>
        <v>Laquon Treadwell</v>
      </c>
      <c r="Q101" s="247" t="str">
        <f>IFERROR(INDEX(TableWRCalcPts[TM],MATCH(TableWRVORP[[#This Row],[RK]],TableWRCalcPts[RK],0)),"")</f>
        <v>JAX</v>
      </c>
      <c r="R101" s="247">
        <f>IFERROR(INDEX(TableWRCalcPts[BYE],MATCH(TableWRVORP[[#This Row],[RK]],TableWRCalcPts[RK],0)),"")</f>
        <v>11</v>
      </c>
      <c r="S101" s="248">
        <f>IFERROR(INDEX(TableWRCalcPts[Custom],MATCH(TableWRVORP[[#This Row],[RK]],TableWRCalcPts[RK],0)),"")</f>
        <v>47.277068597833136</v>
      </c>
      <c r="T101" s="249">
        <f>IFERROR((TableWRVORP[[#This Row],[FPS]]-INDEX(TableWRVORP[FPS],MATCH(WRVORPCalc,TableWRVORP[RK],0)))/INDEX(TableWRVORP[FPS],MATCH(WRVORPCalc,TableWRVORP[RK],0)),"")</f>
        <v>-0.56615594070363717</v>
      </c>
      <c r="U101" s="246"/>
      <c r="V101" s="246">
        <v>100</v>
      </c>
      <c r="W101" s="247" t="str">
        <f>IFERROR(INDEX(TableTECalcPts[PLAYER],MATCH(TableTEVORP[[#This Row],[RK]],TableTECalcPts[RK],0)),"")</f>
        <v/>
      </c>
      <c r="X101" s="247" t="str">
        <f>IFERROR(INDEX(TableTECalcPts[TM],MATCH(TableTEVORP[[#This Row],[RK]],TableTECalcPts[RK],0)),"")</f>
        <v/>
      </c>
      <c r="Y101" s="247" t="str">
        <f>IFERROR(INDEX(TableTECalcPts[BYE],MATCH(TableTEVORP[[#This Row],[RK]],TableTECalcPts[RK],0)),"")</f>
        <v/>
      </c>
      <c r="Z101" s="248" t="str">
        <f>IFERROR(INDEX(TableTECalcPts[Custom],MATCH(TableTEVORP[[#This Row],[RK]],TableTECalcPts[RK],0)),"")</f>
        <v/>
      </c>
      <c r="AA101" s="249" t="str">
        <f>IFERROR((TableTEVORP[[#This Row],[FPS]]-INDEX(TableTEVORP[FPS],MATCH(TEVORPCalc,TableTEVORP[RK],0)))/INDEX(TableTEVORP[FPS],MATCH(TEVORPCalc,TableTEVORP[RK],0)),"")</f>
        <v/>
      </c>
      <c r="AB101" s="246"/>
      <c r="AC101" s="250"/>
      <c r="AD101" s="250"/>
      <c r="AE101" s="250"/>
      <c r="AF101" s="250" t="s">
        <v>357</v>
      </c>
      <c r="AG101" s="250">
        <v>60</v>
      </c>
      <c r="AH101" s="251">
        <f>RANK(TableOverallMaster[[#This Row],[VORP]],TableOverallMaster[VORP])+COUNTIF($AM$2:AM101,AM101)-1</f>
        <v>188</v>
      </c>
      <c r="AI101" s="252" t="str">
        <f>IFERROR(INDEX(TableRBVORP[RUNNING BACK],MATCH(TableOverallMaster[[#This Row],[RK]],TableRBVORP[RK],0)),"")</f>
        <v>Damien Williams</v>
      </c>
      <c r="AJ101" s="252" t="str">
        <f t="shared" si="1"/>
        <v>RB60</v>
      </c>
      <c r="AK101" s="252">
        <f>IFERROR(INDEX(TableRBVORP[BYE],MATCH(TableOverallMaster[[#This Row],[RK]],TableRBVORP[RK],0)),"")</f>
        <v>14</v>
      </c>
      <c r="AL101" s="253">
        <f>IFERROR(INDEX(TableRBVORP[FPS],MATCH(TableOverallMaster[[#This Row],[RK]],TableRBVORP[RK],0)),"")</f>
        <v>75.751015049197633</v>
      </c>
      <c r="AM101" s="254">
        <f>IFERROR(INDEX(TableRBVORP[VORP],MATCH(TableOverallMaster[[#This Row],[RK]],TableRBVORP[RK],0)),"")</f>
        <v>-0.25235259117867692</v>
      </c>
      <c r="AN101" s="250"/>
      <c r="AO101" s="250">
        <v>100</v>
      </c>
      <c r="AP101" s="255" t="str">
        <f>IFERROR(INDEX(TableOverallMaster[OVERALL PLAYER],MATCH(TableOverallRank[[#This Row],[RK]],TableOverallMaster[OVR RK],0)),"")</f>
        <v>Christian Kirk</v>
      </c>
      <c r="AQ101" s="256" t="str">
        <f>IFERROR(INDEX(TableOverallMaster[POS RK],MATCH(TableOverallRank[[#This Row],[OVERALL PLAYER]],TableOverallMaster[OVERALL PLAYER],0)),"")</f>
        <v>WR38</v>
      </c>
      <c r="AR101" s="257">
        <f>IFERROR(INDEX(TableOverallMaster[BYE],MATCH(TableOverallRank[[#This Row],[OVERALL PLAYER]],TableOverallMaster[OVERALL PLAYER],0)),"")</f>
        <v>11</v>
      </c>
      <c r="AS101" s="258">
        <f>IFERROR(INDEX(TableOverallMaster[Custom],MATCH(TableOverallRank[[#This Row],[OVERALL PLAYER]],TableOverallMaster[OVERALL PLAYER],0)),"")</f>
        <v>124.06080172234979</v>
      </c>
      <c r="AT101" s="259">
        <f>IFERROR(INDEX(TableOverallMaster[VORP],MATCH(TableOverallRank[[#This Row],[OVERALL PLAYER]],TableOverallMaster[OVERALL PLAYER],0)),"")</f>
        <v>0.13845979488779731</v>
      </c>
      <c r="AU101" s="250"/>
      <c r="AV101" s="246">
        <v>100</v>
      </c>
      <c r="AW101" s="260" t="str">
        <f>IFERROR(INDEX(TableWRTECalcPts[PLAYER],MATCH(TableWRTERank[[#This Row],[RK]],TableWRTECalcPts[RK],0)),"")</f>
        <v>Hayden Hurst</v>
      </c>
      <c r="AX101" s="260" t="str">
        <f>IFERROR(INDEX(TableWRTECalcPts[POS RK],MATCH(TableWRTERank[[#This Row],[WR and TE COMBINED]],TableWRTECalcPts[PLAYER],0)),"")</f>
        <v>TE25</v>
      </c>
      <c r="AY101" s="260">
        <f>IFERROR(INDEX(TableWRTECalcPts[BYE],MATCH(TableWRTERank[[#This Row],[RK]],TableWRTECalcPts[RK],0)),"")</f>
        <v>10</v>
      </c>
      <c r="AZ101" s="261">
        <f>IFERROR(INDEX(TableWRTECalcPts[Custom],MATCH(TableWRTERank[[#This Row],[RK]],TableWRTECalcPts[RK],0)),"")</f>
        <v>79.091408704172068</v>
      </c>
      <c r="BA101" s="249">
        <f>IFERROR((TableWRTERank[[#This Row],[FPS]]-INDEX(TableWRTERank[FPS],MATCH(WRTEVORPCalc,TableWRTERank[RK],0)))/INDEX(TableWRTERank[FPS],MATCH(WRTEVORPCalc,TableWRTERank[RK],0)),"")</f>
        <v>-0.33396796067026524</v>
      </c>
      <c r="BC101" s="124" t="s">
        <v>358</v>
      </c>
      <c r="BD101" s="124">
        <v>100</v>
      </c>
      <c r="BE101" s="262">
        <f>RANK(TableWRTEMaster[[#This Row],[VORP]],TableWRTEMaster[VORP])+COUNTIF($BJ$2:BJ101,BJ101)-1</f>
        <v>132</v>
      </c>
      <c r="BF101" s="263" t="str">
        <f>IFERROR(INDEX(TableWRVORP[WIDE RECEIVER],MATCH(TableWRTEMaster[[#This Row],[RK]],TableWRVORP[RK],0)),"")</f>
        <v>Laquon Treadwell</v>
      </c>
      <c r="BG101" s="263" t="str">
        <f>_xlfn.CONCAT(TableWRTEMaster[[#This Row],[POS]],TableWRTEMaster[[#This Row],[RK]])</f>
        <v>WR100</v>
      </c>
      <c r="BH101" s="263">
        <f>IFERROR(INDEX(TableWRVORP[BYE],MATCH(TableWRTEMaster[[#This Row],[RK]],TableWRVORP[RK],0)),"")</f>
        <v>11</v>
      </c>
      <c r="BI101" s="264">
        <f>IFERROR(INDEX(TableWRVORP[FPS],MATCH(TableWRTEMaster[[#This Row],[RK]],TableWRVORP[RK],0)),"")</f>
        <v>47.277068597833136</v>
      </c>
      <c r="BJ101" s="254">
        <f>IFERROR(INDEX(TableWRVORP[VORP],MATCH(TableWRTEMaster[[#This Row],[RK]],TableWRVORP[RK],0)),"")</f>
        <v>-0.56615594070363717</v>
      </c>
    </row>
    <row r="102" spans="1:62" x14ac:dyDescent="0.3">
      <c r="G102" s="246"/>
      <c r="H102" s="246">
        <v>101</v>
      </c>
      <c r="I102" s="247" t="str">
        <f>IFERROR(INDEX(TableRBCalcPts[PLAYER],MATCH(TableRBVORP[[#This Row],[RK]],TableRBCalcPts[RK],0)),"")</f>
        <v>Isaih Pacheco</v>
      </c>
      <c r="J102" s="247" t="str">
        <f>IFERROR(INDEX(TableRBCalcPts[TM],MATCH(TableRBVORP[[#This Row],[RK]],TableRBCalcPts[RK],0)),"")</f>
        <v>KC</v>
      </c>
      <c r="K102" s="247">
        <f>IFERROR(INDEX(TableRBCalcPts[BYE],MATCH(TableRBVORP[[#This Row],[RK]],TableRBCalcPts[RK],0)),"")</f>
        <v>8</v>
      </c>
      <c r="L102" s="248">
        <f>IFERROR(INDEX(TableRBCalcPts[Custom],MATCH(TableRBVORP[[#This Row],[RK]],TableRBCalcPts[RK],0)),"")</f>
        <v>13.926512654369075</v>
      </c>
      <c r="M102" s="249">
        <f>IFERROR((TableRBVORP[[#This Row],[FPS]]-INDEX(TableRBVORP[FPS],MATCH(RBVORPCalc,TableRBVORP[RK],0)))/INDEX(TableRBVORP[FPS],MATCH(RBVORPCalc,TableRBVORP[RK],0)),"")</f>
        <v>-0.86254809796021747</v>
      </c>
      <c r="N102" s="246"/>
      <c r="O102" s="246">
        <v>101</v>
      </c>
      <c r="P102" s="247" t="str">
        <f>IFERROR(INDEX(TableWRCalcPts[PLAYER],MATCH(TableWRVORP[[#This Row],[RK]],TableWRCalcPts[RK],0)),"")</f>
        <v>Isaiah McKenzie</v>
      </c>
      <c r="Q102" s="247" t="str">
        <f>IFERROR(INDEX(TableWRCalcPts[TM],MATCH(TableWRVORP[[#This Row],[RK]],TableWRCalcPts[RK],0)),"")</f>
        <v>BUF</v>
      </c>
      <c r="R102" s="247">
        <f>IFERROR(INDEX(TableWRCalcPts[BYE],MATCH(TableWRVORP[[#This Row],[RK]],TableWRCalcPts[RK],0)),"")</f>
        <v>7</v>
      </c>
      <c r="S102" s="248">
        <f>IFERROR(INDEX(TableWRCalcPts[Custom],MATCH(TableWRVORP[[#This Row],[RK]],TableWRCalcPts[RK],0)),"")</f>
        <v>46.563602815971421</v>
      </c>
      <c r="T102" s="249">
        <f>IFERROR((TableWRVORP[[#This Row],[FPS]]-INDEX(TableWRVORP[FPS],MATCH(WRVORPCalc,TableWRVORP[RK],0)))/INDEX(TableWRVORP[FPS],MATCH(WRVORPCalc,TableWRVORP[RK],0)),"")</f>
        <v>-0.57270315059105659</v>
      </c>
      <c r="U102" s="246"/>
      <c r="V102" s="246"/>
      <c r="AB102" s="246"/>
      <c r="AC102" s="250"/>
      <c r="AD102" s="250"/>
      <c r="AE102" s="250"/>
      <c r="AF102" s="250" t="s">
        <v>357</v>
      </c>
      <c r="AG102" s="250">
        <v>61</v>
      </c>
      <c r="AH102" s="251">
        <f>RANK(TableOverallMaster[[#This Row],[VORP]],TableOverallMaster[VORP])+COUNTIF($AM$2:AM102,AM102)-1</f>
        <v>207</v>
      </c>
      <c r="AI102" s="252" t="str">
        <f>IFERROR(INDEX(TableRBVORP[RUNNING BACK],MATCH(TableOverallMaster[[#This Row],[RK]],TableRBVORP[RK],0)),"")</f>
        <v>Chris Evans</v>
      </c>
      <c r="AJ102" s="252" t="str">
        <f t="shared" si="1"/>
        <v>RB61</v>
      </c>
      <c r="AK102" s="252">
        <f>IFERROR(INDEX(TableRBVORP[BYE],MATCH(TableOverallMaster[[#This Row],[RK]],TableRBVORP[RK],0)),"")</f>
        <v>10</v>
      </c>
      <c r="AL102" s="253">
        <f>IFERROR(INDEX(TableRBVORP[FPS],MATCH(TableOverallMaster[[#This Row],[RK]],TableRBVORP[RK],0)),"")</f>
        <v>63.165804634779782</v>
      </c>
      <c r="AM102" s="254">
        <f>IFERROR(INDEX(TableRBVORP[VORP],MATCH(TableOverallMaster[[#This Row],[RK]],TableRBVORP[RK],0)),"")</f>
        <v>-0.37656610765366572</v>
      </c>
      <c r="AN102" s="250"/>
      <c r="AO102" s="250">
        <v>101</v>
      </c>
      <c r="AP102" s="255" t="str">
        <f>IFERROR(INDEX(TableOverallMaster[OVERALL PLAYER],MATCH(TableOverallRank[[#This Row],[RK]],TableOverallMaster[OVR RK],0)),"")</f>
        <v>Adam Thielen</v>
      </c>
      <c r="AQ102" s="256" t="str">
        <f>IFERROR(INDEX(TableOverallMaster[POS RK],MATCH(TableOverallRank[[#This Row],[OVERALL PLAYER]],TableOverallMaster[OVERALL PLAYER],0)),"")</f>
        <v>WR39</v>
      </c>
      <c r="AR102" s="257">
        <f>IFERROR(INDEX(TableOverallMaster[BYE],MATCH(TableOverallRank[[#This Row],[OVERALL PLAYER]],TableOverallMaster[OVERALL PLAYER],0)),"")</f>
        <v>7</v>
      </c>
      <c r="AS102" s="258">
        <f>IFERROR(INDEX(TableOverallMaster[Custom],MATCH(TableOverallRank[[#This Row],[OVERALL PLAYER]],TableOverallMaster[OVERALL PLAYER],0)),"")</f>
        <v>123.40827254262244</v>
      </c>
      <c r="AT102" s="259">
        <f>IFERROR(INDEX(TableOverallMaster[VORP],MATCH(TableOverallRank[[#This Row],[OVERALL PLAYER]],TableOverallMaster[OVERALL PLAYER],0)),"")</f>
        <v>0.13247177751408021</v>
      </c>
      <c r="AU102" s="250"/>
      <c r="AV102" s="246">
        <v>101</v>
      </c>
      <c r="AW102" s="260" t="str">
        <f>IFERROR(INDEX(TableWRTECalcPts[PLAYER],MATCH(TableWRTERank[[#This Row],[RK]],TableWRTECalcPts[RK],0)),"")</f>
        <v>Evan Engram</v>
      </c>
      <c r="AX102" s="260" t="str">
        <f>IFERROR(INDEX(TableWRTECalcPts[POS RK],MATCH(TableWRTERank[[#This Row],[WR and TE COMBINED]],TableWRTECalcPts[PLAYER],0)),"")</f>
        <v>TE26</v>
      </c>
      <c r="AY102" s="260">
        <f>IFERROR(INDEX(TableWRTECalcPts[BYE],MATCH(TableWRTERank[[#This Row],[RK]],TableWRTECalcPts[RK],0)),"")</f>
        <v>11</v>
      </c>
      <c r="AZ102" s="261">
        <f>IFERROR(INDEX(TableWRTECalcPts[Custom],MATCH(TableWRTERank[[#This Row],[RK]],TableWRTECalcPts[RK],0)),"")</f>
        <v>79.044237431345721</v>
      </c>
      <c r="BA102" s="249">
        <f>IFERROR((TableWRTERank[[#This Row],[FPS]]-INDEX(TableWRTERank[FPS],MATCH(WRTEVORPCalc,TableWRTERank[RK],0)))/INDEX(TableWRTERank[FPS],MATCH(WRTEVORPCalc,TableWRTERank[RK],0)),"")</f>
        <v>-0.33436519191893127</v>
      </c>
      <c r="BC102" s="124" t="s">
        <v>358</v>
      </c>
      <c r="BD102" s="124">
        <v>101</v>
      </c>
      <c r="BE102" s="262">
        <f>RANK(TableWRTEMaster[[#This Row],[VORP]],TableWRTEMaster[VORP])+COUNTIF($BJ$2:BJ102,BJ102)-1</f>
        <v>133</v>
      </c>
      <c r="BF102" s="263" t="str">
        <f>IFERROR(INDEX(TableWRVORP[WIDE RECEIVER],MATCH(TableWRTEMaster[[#This Row],[RK]],TableWRVORP[RK],0)),"")</f>
        <v>Isaiah McKenzie</v>
      </c>
      <c r="BG102" s="263" t="str">
        <f>_xlfn.CONCAT(TableWRTEMaster[[#This Row],[POS]],TableWRTEMaster[[#This Row],[RK]])</f>
        <v>WR101</v>
      </c>
      <c r="BH102" s="263">
        <f>IFERROR(INDEX(TableWRVORP[BYE],MATCH(TableWRTEMaster[[#This Row],[RK]],TableWRVORP[RK],0)),"")</f>
        <v>7</v>
      </c>
      <c r="BI102" s="264">
        <f>IFERROR(INDEX(TableWRVORP[FPS],MATCH(TableWRTEMaster[[#This Row],[RK]],TableWRVORP[RK],0)),"")</f>
        <v>46.563602815971421</v>
      </c>
      <c r="BJ102" s="254">
        <f>IFERROR(INDEX(TableWRVORP[VORP],MATCH(TableWRTEMaster[[#This Row],[RK]],TableWRVORP[RK],0)),"")</f>
        <v>-0.57270315059105659</v>
      </c>
    </row>
    <row r="103" spans="1:62" x14ac:dyDescent="0.3">
      <c r="G103" s="246"/>
      <c r="H103" s="246">
        <v>102</v>
      </c>
      <c r="I103" s="247" t="str">
        <f>IFERROR(INDEX(TableRBCalcPts[PLAYER],MATCH(TableRBVORP[[#This Row],[RK]],TableRBCalcPts[RK],0)),"")</f>
        <v>Tevin Coleman</v>
      </c>
      <c r="J103" s="247" t="str">
        <f>IFERROR(INDEX(TableRBCalcPts[TM],MATCH(TableRBVORP[[#This Row],[RK]],TableRBCalcPts[RK],0)),"")</f>
        <v>NYJ</v>
      </c>
      <c r="K103" s="247">
        <f>IFERROR(INDEX(TableRBCalcPts[BYE],MATCH(TableRBVORP[[#This Row],[RK]],TableRBCalcPts[RK],0)),"")</f>
        <v>10</v>
      </c>
      <c r="L103" s="248">
        <f>IFERROR(INDEX(TableRBCalcPts[Custom],MATCH(TableRBVORP[[#This Row],[RK]],TableRBCalcPts[RK],0)),"")</f>
        <v>13.394921257962649</v>
      </c>
      <c r="M103" s="249">
        <f>IFERROR((TableRBVORP[[#This Row],[FPS]]-INDEX(TableRBVORP[FPS],MATCH(RBVORPCalc,TableRBVORP[RK],0)))/INDEX(TableRBVORP[FPS],MATCH(RBVORPCalc,TableRBVORP[RK],0)),"")</f>
        <v>-0.86779479900860401</v>
      </c>
      <c r="N103" s="246"/>
      <c r="O103" s="246">
        <v>102</v>
      </c>
      <c r="P103" s="247" t="str">
        <f>IFERROR(INDEX(TableWRCalcPts[PLAYER],MATCH(TableWRVORP[[#This Row],[RK]],TableWRCalcPts[RK],0)),"")</f>
        <v>James Proche</v>
      </c>
      <c r="Q103" s="247" t="str">
        <f>IFERROR(INDEX(TableWRCalcPts[TM],MATCH(TableWRVORP[[#This Row],[RK]],TableWRCalcPts[RK],0)),"")</f>
        <v>BAL</v>
      </c>
      <c r="R103" s="247">
        <f>IFERROR(INDEX(TableWRCalcPts[BYE],MATCH(TableWRVORP[[#This Row],[RK]],TableWRCalcPts[RK],0)),"")</f>
        <v>10</v>
      </c>
      <c r="S103" s="248">
        <f>IFERROR(INDEX(TableWRCalcPts[Custom],MATCH(TableWRVORP[[#This Row],[RK]],TableWRCalcPts[RK],0)),"")</f>
        <v>46.152657475365487</v>
      </c>
      <c r="T103" s="249">
        <f>IFERROR((TableWRVORP[[#This Row],[FPS]]-INDEX(TableWRVORP[FPS],MATCH(WRVORPCalc,TableWRVORP[RK],0)))/INDEX(TableWRVORP[FPS],MATCH(WRVORPCalc,TableWRVORP[RK],0)),"")</f>
        <v>-0.57647424300446348</v>
      </c>
      <c r="U103" s="246"/>
      <c r="V103" s="246"/>
      <c r="AB103" s="246"/>
      <c r="AC103" s="250"/>
      <c r="AD103" s="250"/>
      <c r="AE103" s="250"/>
      <c r="AF103" s="250" t="s">
        <v>357</v>
      </c>
      <c r="AG103" s="250">
        <v>62</v>
      </c>
      <c r="AH103" s="251">
        <f>RANK(TableOverallMaster[[#This Row],[VORP]],TableOverallMaster[VORP])+COUNTIF($AM$2:AM103,AM103)-1</f>
        <v>209</v>
      </c>
      <c r="AI103" s="252" t="str">
        <f>IFERROR(INDEX(TableRBVORP[RUNNING BACK],MATCH(TableOverallMaster[[#This Row],[RK]],TableRBVORP[RK],0)),"")</f>
        <v>Kenyan Drake</v>
      </c>
      <c r="AJ103" s="252" t="str">
        <f t="shared" si="1"/>
        <v>RB62</v>
      </c>
      <c r="AK103" s="252">
        <f>IFERROR(INDEX(TableRBVORP[BYE],MATCH(TableOverallMaster[[#This Row],[RK]],TableRBVORP[RK],0)),"")</f>
        <v>6</v>
      </c>
      <c r="AL103" s="253">
        <f>IFERROR(INDEX(TableRBVORP[FPS],MATCH(TableOverallMaster[[#This Row],[RK]],TableRBVORP[RK],0)),"")</f>
        <v>60.154119377652194</v>
      </c>
      <c r="AM103" s="254">
        <f>IFERROR(INDEX(TableRBVORP[VORP],MATCH(TableOverallMaster[[#This Row],[RK]],TableRBVORP[RK],0)),"")</f>
        <v>-0.40629084041420277</v>
      </c>
      <c r="AN103" s="250"/>
      <c r="AO103" s="250">
        <v>102</v>
      </c>
      <c r="AP103" s="255" t="str">
        <f>IFERROR(INDEX(TableOverallMaster[OVERALL PLAYER],MATCH(TableOverallRank[[#This Row],[RK]],TableOverallMaster[OVR RK],0)),"")</f>
        <v>Michael Gallup</v>
      </c>
      <c r="AQ103" s="256" t="str">
        <f>IFERROR(INDEX(TableOverallMaster[POS RK],MATCH(TableOverallRank[[#This Row],[OVERALL PLAYER]],TableOverallMaster[OVERALL PLAYER],0)),"")</f>
        <v>WR40</v>
      </c>
      <c r="AR103" s="257">
        <f>IFERROR(INDEX(TableOverallMaster[BYE],MATCH(TableOverallRank[[#This Row],[OVERALL PLAYER]],TableOverallMaster[OVERALL PLAYER],0)),"")</f>
        <v>9</v>
      </c>
      <c r="AS103" s="258">
        <f>IFERROR(INDEX(TableOverallMaster[Custom],MATCH(TableOverallRank[[#This Row],[OVERALL PLAYER]],TableOverallMaster[OVERALL PLAYER],0)),"")</f>
        <v>123.27371421730166</v>
      </c>
      <c r="AT103" s="259">
        <f>IFERROR(INDEX(TableOverallMaster[VORP],MATCH(TableOverallRank[[#This Row],[OVERALL PLAYER]],TableOverallMaster[OVERALL PLAYER],0)),"")</f>
        <v>0.13123698585290761</v>
      </c>
      <c r="AU103" s="250"/>
      <c r="AV103" s="246">
        <v>102</v>
      </c>
      <c r="AW103" s="260" t="str">
        <f>IFERROR(INDEX(TableWRTECalcPts[PLAYER],MATCH(TableWRTERank[[#This Row],[RK]],TableWRTECalcPts[RK],0)),"")</f>
        <v>Tyler Higbee</v>
      </c>
      <c r="AX103" s="260" t="str">
        <f>IFERROR(INDEX(TableWRTECalcPts[POS RK],MATCH(TableWRTERank[[#This Row],[WR and TE COMBINED]],TableWRTECalcPts[PLAYER],0)),"")</f>
        <v>TE27</v>
      </c>
      <c r="AY103" s="260">
        <f>IFERROR(INDEX(TableWRTECalcPts[BYE],MATCH(TableWRTERank[[#This Row],[RK]],TableWRTECalcPts[RK],0)),"")</f>
        <v>7</v>
      </c>
      <c r="AZ103" s="261">
        <f>IFERROR(INDEX(TableWRTECalcPts[Custom],MATCH(TableWRTERank[[#This Row],[RK]],TableWRTECalcPts[RK],0)),"")</f>
        <v>77.95767368469582</v>
      </c>
      <c r="BA103" s="249">
        <f>IFERROR((TableWRTERank[[#This Row],[FPS]]-INDEX(TableWRTERank[FPS],MATCH(WRTEVORPCalc,TableWRTERank[RK],0)))/INDEX(TableWRTERank[FPS],MATCH(WRTEVORPCalc,TableWRTERank[RK],0)),"")</f>
        <v>-0.34351519038146738</v>
      </c>
      <c r="BC103" s="124" t="s">
        <v>358</v>
      </c>
      <c r="BD103" s="124">
        <v>102</v>
      </c>
      <c r="BE103" s="262">
        <f>RANK(TableWRTEMaster[[#This Row],[VORP]],TableWRTEMaster[VORP])+COUNTIF($BJ$2:BJ103,BJ103)-1</f>
        <v>134</v>
      </c>
      <c r="BF103" s="263" t="str">
        <f>IFERROR(INDEX(TableWRVORP[WIDE RECEIVER],MATCH(TableWRTEMaster[[#This Row],[RK]],TableWRVORP[RK],0)),"")</f>
        <v>James Proche</v>
      </c>
      <c r="BG103" s="263" t="str">
        <f>_xlfn.CONCAT(TableWRTEMaster[[#This Row],[POS]],TableWRTEMaster[[#This Row],[RK]])</f>
        <v>WR102</v>
      </c>
      <c r="BH103" s="263">
        <f>IFERROR(INDEX(TableWRVORP[BYE],MATCH(TableWRTEMaster[[#This Row],[RK]],TableWRVORP[RK],0)),"")</f>
        <v>10</v>
      </c>
      <c r="BI103" s="264">
        <f>IFERROR(INDEX(TableWRVORP[FPS],MATCH(TableWRTEMaster[[#This Row],[RK]],TableWRVORP[RK],0)),"")</f>
        <v>46.152657475365487</v>
      </c>
      <c r="BJ103" s="254">
        <f>IFERROR(INDEX(TableWRVORP[VORP],MATCH(TableWRTEMaster[[#This Row],[RK]],TableWRVORP[RK],0)),"")</f>
        <v>-0.57647424300446348</v>
      </c>
    </row>
    <row r="104" spans="1:62" x14ac:dyDescent="0.3">
      <c r="G104" s="246"/>
      <c r="H104" s="246">
        <v>103</v>
      </c>
      <c r="I104" s="247" t="str">
        <f>IFERROR(INDEX(TableRBCalcPts[PLAYER],MATCH(TableRBVORP[[#This Row],[RK]],TableRBCalcPts[RK],0)),"")</f>
        <v>Kevin Harris</v>
      </c>
      <c r="J104" s="247" t="str">
        <f>IFERROR(INDEX(TableRBCalcPts[TM],MATCH(TableRBVORP[[#This Row],[RK]],TableRBCalcPts[RK],0)),"")</f>
        <v>NE</v>
      </c>
      <c r="K104" s="247">
        <f>IFERROR(INDEX(TableRBCalcPts[BYE],MATCH(TableRBVORP[[#This Row],[RK]],TableRBCalcPts[RK],0)),"")</f>
        <v>10</v>
      </c>
      <c r="L104" s="248">
        <f>IFERROR(INDEX(TableRBCalcPts[Custom],MATCH(TableRBVORP[[#This Row],[RK]],TableRBCalcPts[RK],0)),"")</f>
        <v>13.200310678794835</v>
      </c>
      <c r="M104" s="249">
        <f>IFERROR((TableRBVORP[[#This Row],[FPS]]-INDEX(TableRBVORP[FPS],MATCH(RBVORPCalc,TableRBVORP[RK],0)))/INDEX(TableRBVORP[FPS],MATCH(RBVORPCalc,TableRBVORP[RK],0)),"")</f>
        <v>-0.86971556660689342</v>
      </c>
      <c r="N104" s="246"/>
      <c r="O104" s="246">
        <v>103</v>
      </c>
      <c r="P104" s="247" t="str">
        <f>IFERROR(INDEX(TableWRCalcPts[PLAYER],MATCH(TableWRVORP[[#This Row],[RK]],TableWRCalcPts[RK],0)),"")</f>
        <v>Braxton Berrios</v>
      </c>
      <c r="Q104" s="247" t="str">
        <f>IFERROR(INDEX(TableWRCalcPts[TM],MATCH(TableWRVORP[[#This Row],[RK]],TableWRCalcPts[RK],0)),"")</f>
        <v>NYJ</v>
      </c>
      <c r="R104" s="247">
        <f>IFERROR(INDEX(TableWRCalcPts[BYE],MATCH(TableWRVORP[[#This Row],[RK]],TableWRCalcPts[RK],0)),"")</f>
        <v>10</v>
      </c>
      <c r="S104" s="248">
        <f>IFERROR(INDEX(TableWRCalcPts[Custom],MATCH(TableWRVORP[[#This Row],[RK]],TableWRCalcPts[RK],0)),"")</f>
        <v>45.627287616763233</v>
      </c>
      <c r="T104" s="249">
        <f>IFERROR((TableWRVORP[[#This Row],[FPS]]-INDEX(TableWRVORP[FPS],MATCH(WRVORPCalc,TableWRVORP[RK],0)))/INDEX(TableWRVORP[FPS],MATCH(WRVORPCalc,TableWRVORP[RK],0)),"")</f>
        <v>-0.58129536662417969</v>
      </c>
      <c r="U104" s="246"/>
      <c r="V104" s="246"/>
      <c r="AB104" s="246"/>
      <c r="AC104" s="250"/>
      <c r="AD104" s="250"/>
      <c r="AE104" s="250"/>
      <c r="AF104" s="250" t="s">
        <v>357</v>
      </c>
      <c r="AG104" s="250">
        <v>63</v>
      </c>
      <c r="AH104" s="251">
        <f>RANK(TableOverallMaster[[#This Row],[VORP]],TableOverallMaster[VORP])+COUNTIF($AM$2:AM104,AM104)-1</f>
        <v>210</v>
      </c>
      <c r="AI104" s="252" t="str">
        <f>IFERROR(INDEX(TableRBVORP[RUNNING BACK],MATCH(TableOverallMaster[[#This Row],[RK]],TableRBVORP[RK],0)),"")</f>
        <v>Boston Scott</v>
      </c>
      <c r="AJ104" s="252" t="str">
        <f t="shared" si="1"/>
        <v>RB63</v>
      </c>
      <c r="AK104" s="252">
        <f>IFERROR(INDEX(TableRBVORP[BYE],MATCH(TableOverallMaster[[#This Row],[RK]],TableRBVORP[RK],0)),"")</f>
        <v>7</v>
      </c>
      <c r="AL104" s="253">
        <f>IFERROR(INDEX(TableRBVORP[FPS],MATCH(TableOverallMaster[[#This Row],[RK]],TableRBVORP[RK],0)),"")</f>
        <v>59.282920955883633</v>
      </c>
      <c r="AM104" s="254">
        <f>IFERROR(INDEX(TableRBVORP[VORP],MATCH(TableOverallMaster[[#This Row],[RK]],TableRBVORP[RK],0)),"")</f>
        <v>-0.4148893950630278</v>
      </c>
      <c r="AN104" s="250"/>
      <c r="AO104" s="250">
        <v>103</v>
      </c>
      <c r="AP104" s="255" t="str">
        <f>IFERROR(INDEX(TableOverallMaster[OVERALL PLAYER],MATCH(TableOverallRank[[#This Row],[RK]],TableOverallMaster[OVR RK],0)),"")</f>
        <v>Rhamondre Stevenson</v>
      </c>
      <c r="AQ104" s="256" t="str">
        <f>IFERROR(INDEX(TableOverallMaster[POS RK],MATCH(TableOverallRank[[#This Row],[OVERALL PLAYER]],TableOverallMaster[OVERALL PLAYER],0)),"")</f>
        <v>RB38</v>
      </c>
      <c r="AR104" s="257">
        <f>IFERROR(INDEX(TableOverallMaster[BYE],MATCH(TableOverallRank[[#This Row],[OVERALL PLAYER]],TableOverallMaster[OVERALL PLAYER],0)),"")</f>
        <v>10</v>
      </c>
      <c r="AS104" s="258">
        <f>IFERROR(INDEX(TableOverallMaster[Custom],MATCH(TableOverallRank[[#This Row],[OVERALL PLAYER]],TableOverallMaster[OVERALL PLAYER],0)),"")</f>
        <v>114.52110630677849</v>
      </c>
      <c r="AT104" s="259">
        <f>IFERROR(INDEX(TableOverallMaster[VORP],MATCH(TableOverallRank[[#This Row],[OVERALL PLAYER]],TableOverallMaster[OVERALL PLAYER],0)),"")</f>
        <v>0.13030047623792387</v>
      </c>
      <c r="AU104" s="250"/>
      <c r="AV104" s="246">
        <v>103</v>
      </c>
      <c r="AW104" s="260" t="str">
        <f>IFERROR(INDEX(TableWRTECalcPts[PLAYER],MATCH(TableWRTERank[[#This Row],[RK]],TableWRTECalcPts[RK],0)),"")</f>
        <v>Jalen Tolbert</v>
      </c>
      <c r="AX104" s="260" t="str">
        <f>IFERROR(INDEX(TableWRTECalcPts[POS RK],MATCH(TableWRTERank[[#This Row],[WR and TE COMBINED]],TableWRTECalcPts[PLAYER],0)),"")</f>
        <v>WR76</v>
      </c>
      <c r="AY104" s="260">
        <f>IFERROR(INDEX(TableWRTECalcPts[BYE],MATCH(TableWRTERank[[#This Row],[RK]],TableWRTECalcPts[RK],0)),"")</f>
        <v>9</v>
      </c>
      <c r="AZ104" s="261">
        <f>IFERROR(INDEX(TableWRTECalcPts[Custom],MATCH(TableWRTERank[[#This Row],[RK]],TableWRTECalcPts[RK],0)),"")</f>
        <v>77.913830424519318</v>
      </c>
      <c r="BA104" s="249">
        <f>IFERROR((TableWRTERank[[#This Row],[FPS]]-INDEX(TableWRTERank[FPS],MATCH(WRTEVORPCalc,TableWRTERank[RK],0)))/INDEX(TableWRTERank[FPS],MATCH(WRTEVORPCalc,TableWRTERank[RK],0)),"")</f>
        <v>-0.34388439629731399</v>
      </c>
      <c r="BC104" s="124" t="s">
        <v>358</v>
      </c>
      <c r="BD104" s="124">
        <v>103</v>
      </c>
      <c r="BE104" s="262">
        <f>RANK(TableWRTEMaster[[#This Row],[VORP]],TableWRTEMaster[VORP])+COUNTIF($BJ$2:BJ104,BJ104)-1</f>
        <v>136</v>
      </c>
      <c r="BF104" s="263" t="str">
        <f>IFERROR(INDEX(TableWRVORP[WIDE RECEIVER],MATCH(TableWRTEMaster[[#This Row],[RK]],TableWRVORP[RK],0)),"")</f>
        <v>Braxton Berrios</v>
      </c>
      <c r="BG104" s="263" t="str">
        <f>_xlfn.CONCAT(TableWRTEMaster[[#This Row],[POS]],TableWRTEMaster[[#This Row],[RK]])</f>
        <v>WR103</v>
      </c>
      <c r="BH104" s="263">
        <f>IFERROR(INDEX(TableWRVORP[BYE],MATCH(TableWRTEMaster[[#This Row],[RK]],TableWRVORP[RK],0)),"")</f>
        <v>10</v>
      </c>
      <c r="BI104" s="264">
        <f>IFERROR(INDEX(TableWRVORP[FPS],MATCH(TableWRTEMaster[[#This Row],[RK]],TableWRVORP[RK],0)),"")</f>
        <v>45.627287616763233</v>
      </c>
      <c r="BJ104" s="254">
        <f>IFERROR(INDEX(TableWRVORP[VORP],MATCH(TableWRTEMaster[[#This Row],[RK]],TableWRVORP[RK],0)),"")</f>
        <v>-0.58129536662417969</v>
      </c>
    </row>
    <row r="105" spans="1:62" x14ac:dyDescent="0.3">
      <c r="G105" s="246"/>
      <c r="H105" s="246">
        <v>104</v>
      </c>
      <c r="I105" s="247" t="str">
        <f>IFERROR(INDEX(TableRBCalcPts[PLAYER],MATCH(TableRBVORP[[#This Row],[RK]],TableRBCalcPts[RK],0)),"")</f>
        <v>Ty Chandler</v>
      </c>
      <c r="J105" s="247" t="str">
        <f>IFERROR(INDEX(TableRBCalcPts[TM],MATCH(TableRBVORP[[#This Row],[RK]],TableRBCalcPts[RK],0)),"")</f>
        <v>MIN</v>
      </c>
      <c r="K105" s="247">
        <f>IFERROR(INDEX(TableRBCalcPts[BYE],MATCH(TableRBVORP[[#This Row],[RK]],TableRBCalcPts[RK],0)),"")</f>
        <v>7</v>
      </c>
      <c r="L105" s="248">
        <f>IFERROR(INDEX(TableRBCalcPts[Custom],MATCH(TableRBVORP[[#This Row],[RK]],TableRBCalcPts[RK],0)),"")</f>
        <v>13.120960600361327</v>
      </c>
      <c r="M105" s="249">
        <f>IFERROR((TableRBVORP[[#This Row],[FPS]]-INDEX(TableRBVORP[FPS],MATCH(RBVORPCalc,TableRBVORP[RK],0)))/INDEX(TableRBVORP[FPS],MATCH(RBVORPCalc,TableRBVORP[RK],0)),"")</f>
        <v>-0.87049873605342898</v>
      </c>
      <c r="N105" s="246"/>
      <c r="O105" s="246">
        <v>104</v>
      </c>
      <c r="P105" s="247" t="str">
        <f>IFERROR(INDEX(TableWRCalcPts[PLAYER],MATCH(TableWRVORP[[#This Row],[RK]],TableWRCalcPts[RK],0)),"")</f>
        <v>Jauan Jennings</v>
      </c>
      <c r="Q105" s="247" t="str">
        <f>IFERROR(INDEX(TableWRCalcPts[TM],MATCH(TableWRVORP[[#This Row],[RK]],TableWRCalcPts[RK],0)),"")</f>
        <v>SF</v>
      </c>
      <c r="R105" s="247">
        <f>IFERROR(INDEX(TableWRCalcPts[BYE],MATCH(TableWRVORP[[#This Row],[RK]],TableWRCalcPts[RK],0)),"")</f>
        <v>9</v>
      </c>
      <c r="S105" s="248">
        <f>IFERROR(INDEX(TableWRCalcPts[Custom],MATCH(TableWRVORP[[#This Row],[RK]],TableWRCalcPts[RK],0)),"")</f>
        <v>43.316310817014994</v>
      </c>
      <c r="T105" s="249">
        <f>IFERROR((TableWRVORP[[#This Row],[FPS]]-INDEX(TableWRVORP[FPS],MATCH(WRVORPCalc,TableWRVORP[RK],0)))/INDEX(TableWRVORP[FPS],MATCH(WRVORPCalc,TableWRVORP[RK],0)),"")</f>
        <v>-0.60250234043787443</v>
      </c>
      <c r="U105" s="246"/>
      <c r="V105" s="246"/>
      <c r="AB105" s="246"/>
      <c r="AC105" s="250"/>
      <c r="AD105" s="250"/>
      <c r="AE105" s="250"/>
      <c r="AF105" s="250" t="s">
        <v>357</v>
      </c>
      <c r="AG105" s="250">
        <v>64</v>
      </c>
      <c r="AH105" s="251">
        <f>RANK(TableOverallMaster[[#This Row],[VORP]],TableOverallMaster[VORP])+COUNTIF($AM$2:AM105,AM105)-1</f>
        <v>212</v>
      </c>
      <c r="AI105" s="252" t="str">
        <f>IFERROR(INDEX(TableRBVORP[RUNNING BACK],MATCH(TableOverallMaster[[#This Row],[RK]],TableRBVORP[RK],0)),"")</f>
        <v>Matt Breida</v>
      </c>
      <c r="AJ105" s="252" t="str">
        <f t="shared" si="1"/>
        <v>RB64</v>
      </c>
      <c r="AK105" s="252">
        <f>IFERROR(INDEX(TableRBVORP[BYE],MATCH(TableOverallMaster[[#This Row],[RK]],TableRBVORP[RK],0)),"")</f>
        <v>9</v>
      </c>
      <c r="AL105" s="253">
        <f>IFERROR(INDEX(TableRBVORP[FPS],MATCH(TableOverallMaster[[#This Row],[RK]],TableRBVORP[RK],0)),"")</f>
        <v>56.543567379074069</v>
      </c>
      <c r="AM105" s="254">
        <f>IFERROR(INDEX(TableRBVORP[VORP],MATCH(TableOverallMaster[[#This Row],[RK]],TableRBVORP[RK],0)),"")</f>
        <v>-0.44192626845960131</v>
      </c>
      <c r="AN105" s="250"/>
      <c r="AO105" s="250">
        <v>104</v>
      </c>
      <c r="AP105" s="255" t="str">
        <f>IFERROR(INDEX(TableOverallMaster[OVERALL PLAYER],MATCH(TableOverallRank[[#This Row],[RK]],TableOverallMaster[OVR RK],0)),"")</f>
        <v>Robert Woods</v>
      </c>
      <c r="AQ105" s="256" t="str">
        <f>IFERROR(INDEX(TableOverallMaster[POS RK],MATCH(TableOverallRank[[#This Row],[OVERALL PLAYER]],TableOverallMaster[OVERALL PLAYER],0)),"")</f>
        <v>WR41</v>
      </c>
      <c r="AR105" s="257">
        <f>IFERROR(INDEX(TableOverallMaster[BYE],MATCH(TableOverallRank[[#This Row],[OVERALL PLAYER]],TableOverallMaster[OVERALL PLAYER],0)),"")</f>
        <v>6</v>
      </c>
      <c r="AS105" s="258">
        <f>IFERROR(INDEX(TableOverallMaster[Custom],MATCH(TableOverallRank[[#This Row],[OVERALL PLAYER]],TableOverallMaster[OVERALL PLAYER],0)),"")</f>
        <v>121.23371183487117</v>
      </c>
      <c r="AT105" s="259">
        <f>IFERROR(INDEX(TableOverallMaster[VORP],MATCH(TableOverallRank[[#This Row],[OVERALL PLAYER]],TableOverallMaster[OVERALL PLAYER],0)),"")</f>
        <v>0.1125166433947786</v>
      </c>
      <c r="AU105" s="250"/>
      <c r="AV105" s="246">
        <v>104</v>
      </c>
      <c r="AW105" s="260" t="str">
        <f>IFERROR(INDEX(TableWRTECalcPts[PLAYER],MATCH(TableWRTERank[[#This Row],[RK]],TableWRTECalcPts[RK],0)),"")</f>
        <v>DJ Chark</v>
      </c>
      <c r="AX105" s="260" t="str">
        <f>IFERROR(INDEX(TableWRTECalcPts[POS RK],MATCH(TableWRTERank[[#This Row],[WR and TE COMBINED]],TableWRTECalcPts[PLAYER],0)),"")</f>
        <v>WR77</v>
      </c>
      <c r="AY105" s="260">
        <f>IFERROR(INDEX(TableWRTECalcPts[BYE],MATCH(TableWRTERank[[#This Row],[RK]],TableWRTECalcPts[RK],0)),"")</f>
        <v>6</v>
      </c>
      <c r="AZ105" s="261">
        <f>IFERROR(INDEX(TableWRTECalcPts[Custom],MATCH(TableWRTERank[[#This Row],[RK]],TableWRTECalcPts[RK],0)),"")</f>
        <v>76.972782029526599</v>
      </c>
      <c r="BA105" s="249">
        <f>IFERROR((TableWRTERank[[#This Row],[FPS]]-INDEX(TableWRTERank[FPS],MATCH(WRTEVORPCalc,TableWRTERank[RK],0)))/INDEX(TableWRTERank[FPS],MATCH(WRTEVORPCalc,TableWRTERank[RK],0)),"")</f>
        <v>-0.35180900393667586</v>
      </c>
      <c r="BC105" s="124" t="s">
        <v>358</v>
      </c>
      <c r="BD105" s="124">
        <v>104</v>
      </c>
      <c r="BE105" s="262">
        <f>RANK(TableWRTEMaster[[#This Row],[VORP]],TableWRTEMaster[VORP])+COUNTIF($BJ$2:BJ105,BJ105)-1</f>
        <v>138</v>
      </c>
      <c r="BF105" s="263" t="str">
        <f>IFERROR(INDEX(TableWRVORP[WIDE RECEIVER],MATCH(TableWRTEMaster[[#This Row],[RK]],TableWRVORP[RK],0)),"")</f>
        <v>Jauan Jennings</v>
      </c>
      <c r="BG105" s="263" t="str">
        <f>_xlfn.CONCAT(TableWRTEMaster[[#This Row],[POS]],TableWRTEMaster[[#This Row],[RK]])</f>
        <v>WR104</v>
      </c>
      <c r="BH105" s="263">
        <f>IFERROR(INDEX(TableWRVORP[BYE],MATCH(TableWRTEMaster[[#This Row],[RK]],TableWRVORP[RK],0)),"")</f>
        <v>9</v>
      </c>
      <c r="BI105" s="264">
        <f>IFERROR(INDEX(TableWRVORP[FPS],MATCH(TableWRTEMaster[[#This Row],[RK]],TableWRVORP[RK],0)),"")</f>
        <v>43.316310817014994</v>
      </c>
      <c r="BJ105" s="254">
        <f>IFERROR(INDEX(TableWRVORP[VORP],MATCH(TableWRTEMaster[[#This Row],[RK]],TableWRVORP[RK],0)),"")</f>
        <v>-0.60250234043787443</v>
      </c>
    </row>
    <row r="106" spans="1:62" x14ac:dyDescent="0.3">
      <c r="G106" s="246"/>
      <c r="H106" s="246">
        <v>105</v>
      </c>
      <c r="I106" s="247" t="str">
        <f>IFERROR(INDEX(TableRBCalcPts[PLAYER],MATCH(TableRBVORP[[#This Row],[RK]],TableRBCalcPts[RK],0)),"")</f>
        <v>Kylin Hill</v>
      </c>
      <c r="J106" s="247" t="str">
        <f>IFERROR(INDEX(TableRBCalcPts[TM],MATCH(TableRBVORP[[#This Row],[RK]],TableRBCalcPts[RK],0)),"")</f>
        <v>GB</v>
      </c>
      <c r="K106" s="247">
        <f>IFERROR(INDEX(TableRBCalcPts[BYE],MATCH(TableRBVORP[[#This Row],[RK]],TableRBCalcPts[RK],0)),"")</f>
        <v>14</v>
      </c>
      <c r="L106" s="248">
        <f>IFERROR(INDEX(TableRBCalcPts[Custom],MATCH(TableRBVORP[[#This Row],[RK]],TableRBCalcPts[RK],0)),"")</f>
        <v>12.788947408403649</v>
      </c>
      <c r="M106" s="249">
        <f>IFERROR((TableRBVORP[[#This Row],[FPS]]-INDEX(TableRBVORP[FPS],MATCH(RBVORPCalc,TableRBVORP[RK],0)))/INDEX(TableRBVORP[FPS],MATCH(RBVORPCalc,TableRBVORP[RK],0)),"")</f>
        <v>-0.87377564003287322</v>
      </c>
      <c r="N106" s="246"/>
      <c r="O106" s="246">
        <v>105</v>
      </c>
      <c r="P106" s="247" t="str">
        <f>IFERROR(INDEX(TableWRCalcPts[PLAYER],MATCH(TableWRVORP[[#This Row],[RK]],TableWRCalcPts[RK],0)),"")</f>
        <v>Anthony Schwartz</v>
      </c>
      <c r="Q106" s="247" t="str">
        <f>IFERROR(INDEX(TableWRCalcPts[TM],MATCH(TableWRVORP[[#This Row],[RK]],TableWRCalcPts[RK],0)),"")</f>
        <v>CLE</v>
      </c>
      <c r="R106" s="247">
        <f>IFERROR(INDEX(TableWRCalcPts[BYE],MATCH(TableWRVORP[[#This Row],[RK]],TableWRCalcPts[RK],0)),"")</f>
        <v>9</v>
      </c>
      <c r="S106" s="248">
        <f>IFERROR(INDEX(TableWRCalcPts[Custom],MATCH(TableWRVORP[[#This Row],[RK]],TableWRCalcPts[RK],0)),"")</f>
        <v>42.407443228787997</v>
      </c>
      <c r="T106" s="249">
        <f>IFERROR((TableWRVORP[[#This Row],[FPS]]-INDEX(TableWRVORP[FPS],MATCH(WRVORPCalc,TableWRVORP[RK],0)))/INDEX(TableWRVORP[FPS],MATCH(WRVORPCalc,TableWRVORP[RK],0)),"")</f>
        <v>-0.61084267996259201</v>
      </c>
      <c r="U106" s="246"/>
      <c r="V106" s="246"/>
      <c r="AB106" s="246"/>
      <c r="AC106" s="250"/>
      <c r="AD106" s="250"/>
      <c r="AE106" s="250"/>
      <c r="AF106" s="250" t="s">
        <v>357</v>
      </c>
      <c r="AG106" s="250">
        <v>65</v>
      </c>
      <c r="AH106" s="251">
        <f>RANK(TableOverallMaster[[#This Row],[VORP]],TableOverallMaster[VORP])+COUNTIF($AM$2:AM106,AM106)-1</f>
        <v>215</v>
      </c>
      <c r="AI106" s="252" t="str">
        <f>IFERROR(INDEX(TableRBVORP[RUNNING BACK],MATCH(TableOverallMaster[[#This Row],[RK]],TableRBVORP[RK],0)),"")</f>
        <v>Zamir White</v>
      </c>
      <c r="AJ106" s="252" t="str">
        <f t="shared" si="1"/>
        <v>RB65</v>
      </c>
      <c r="AK106" s="252">
        <f>IFERROR(INDEX(TableRBVORP[BYE],MATCH(TableOverallMaster[[#This Row],[RK]],TableRBVORP[RK],0)),"")</f>
        <v>6</v>
      </c>
      <c r="AL106" s="253">
        <f>IFERROR(INDEX(TableRBVORP[FPS],MATCH(TableOverallMaster[[#This Row],[RK]],TableRBVORP[RK],0)),"")</f>
        <v>55.035771034438397</v>
      </c>
      <c r="AM106" s="254">
        <f>IFERROR(INDEX(TableRBVORP[VORP],MATCH(TableOverallMaster[[#This Row],[RK]],TableRBVORP[RK],0)),"")</f>
        <v>-0.45680791762780032</v>
      </c>
      <c r="AN106" s="250"/>
      <c r="AO106" s="250">
        <v>105</v>
      </c>
      <c r="AP106" s="255" t="str">
        <f>IFERROR(INDEX(TableOverallMaster[OVERALL PLAYER],MATCH(TableOverallRank[[#This Row],[RK]],TableOverallMaster[OVR RK],0)),"")</f>
        <v>Carson Wentz</v>
      </c>
      <c r="AQ106" s="256" t="str">
        <f>IFERROR(INDEX(TableOverallMaster[POS RK],MATCH(TableOverallRank[[#This Row],[OVERALL PLAYER]],TableOverallMaster[OVERALL PLAYER],0)),"")</f>
        <v>QB19</v>
      </c>
      <c r="AR106" s="257">
        <f>IFERROR(INDEX(TableOverallMaster[BYE],MATCH(TableOverallRank[[#This Row],[OVERALL PLAYER]],TableOverallMaster[OVERALL PLAYER],0)),"")</f>
        <v>14</v>
      </c>
      <c r="AS106" s="258">
        <f>IFERROR(INDEX(TableOverallMaster[Custom],MATCH(TableOverallRank[[#This Row],[OVERALL PLAYER]],TableOverallMaster[OVERALL PLAYER],0)),"")</f>
        <v>278.04589293460975</v>
      </c>
      <c r="AT106" s="259">
        <f>IFERROR(INDEX(TableOverallMaster[VORP],MATCH(TableOverallRank[[#This Row],[OVERALL PLAYER]],TableOverallMaster[OVERALL PLAYER],0)),"")</f>
        <v>0.10841234573495362</v>
      </c>
      <c r="AU106" s="250"/>
      <c r="AV106" s="246">
        <v>105</v>
      </c>
      <c r="AW106" s="260" t="str">
        <f>IFERROR(INDEX(TableWRTECalcPts[PLAYER],MATCH(TableWRTERank[[#This Row],[RK]],TableWRTECalcPts[RK],0)),"")</f>
        <v>Nick Westbrook-Ikhine</v>
      </c>
      <c r="AX106" s="260" t="str">
        <f>IFERROR(INDEX(TableWRTECalcPts[POS RK],MATCH(TableWRTERank[[#This Row],[WR and TE COMBINED]],TableWRTECalcPts[PLAYER],0)),"")</f>
        <v>WR78</v>
      </c>
      <c r="AY106" s="260">
        <f>IFERROR(INDEX(TableWRTECalcPts[BYE],MATCH(TableWRTERank[[#This Row],[RK]],TableWRTECalcPts[RK],0)),"")</f>
        <v>6</v>
      </c>
      <c r="AZ106" s="261">
        <f>IFERROR(INDEX(TableWRTECalcPts[Custom],MATCH(TableWRTERank[[#This Row],[RK]],TableWRTECalcPts[RK],0)),"")</f>
        <v>75.820601020051214</v>
      </c>
      <c r="BA106" s="249">
        <f>IFERROR((TableWRTERank[[#This Row],[FPS]]-INDEX(TableWRTERank[FPS],MATCH(WRTEVORPCalc,TableWRTERank[RK],0)))/INDEX(TableWRTERank[FPS],MATCH(WRTEVORPCalc,TableWRTERank[RK],0)),"")</f>
        <v>-0.36151156809618112</v>
      </c>
      <c r="BC106" s="124" t="s">
        <v>358</v>
      </c>
      <c r="BD106" s="124">
        <v>105</v>
      </c>
      <c r="BE106" s="262">
        <f>RANK(TableWRTEMaster[[#This Row],[VORP]],TableWRTEMaster[VORP])+COUNTIF($BJ$2:BJ106,BJ106)-1</f>
        <v>139</v>
      </c>
      <c r="BF106" s="263" t="str">
        <f>IFERROR(INDEX(TableWRVORP[WIDE RECEIVER],MATCH(TableWRTEMaster[[#This Row],[RK]],TableWRVORP[RK],0)),"")</f>
        <v>Anthony Schwartz</v>
      </c>
      <c r="BG106" s="263" t="str">
        <f>_xlfn.CONCAT(TableWRTEMaster[[#This Row],[POS]],TableWRTEMaster[[#This Row],[RK]])</f>
        <v>WR105</v>
      </c>
      <c r="BH106" s="263">
        <f>IFERROR(INDEX(TableWRVORP[BYE],MATCH(TableWRTEMaster[[#This Row],[RK]],TableWRVORP[RK],0)),"")</f>
        <v>9</v>
      </c>
      <c r="BI106" s="264">
        <f>IFERROR(INDEX(TableWRVORP[FPS],MATCH(TableWRTEMaster[[#This Row],[RK]],TableWRVORP[RK],0)),"")</f>
        <v>42.407443228787997</v>
      </c>
      <c r="BJ106" s="254">
        <f>IFERROR(INDEX(TableWRVORP[VORP],MATCH(TableWRTEMaster[[#This Row],[RK]],TableWRVORP[RK],0)),"")</f>
        <v>-0.61084267996259201</v>
      </c>
    </row>
    <row r="107" spans="1:62" x14ac:dyDescent="0.3">
      <c r="G107" s="246"/>
      <c r="H107" s="246">
        <v>106</v>
      </c>
      <c r="I107" s="247" t="str">
        <f>IFERROR(INDEX(TableRBCalcPts[PLAYER],MATCH(TableRBVORP[[#This Row],[RK]],TableRBCalcPts[RK],0)),"")</f>
        <v>Tyler Badie</v>
      </c>
      <c r="J107" s="247" t="str">
        <f>IFERROR(INDEX(TableRBCalcPts[TM],MATCH(TableRBVORP[[#This Row],[RK]],TableRBCalcPts[RK],0)),"")</f>
        <v>BAL</v>
      </c>
      <c r="K107" s="247">
        <f>IFERROR(INDEX(TableRBCalcPts[BYE],MATCH(TableRBVORP[[#This Row],[RK]],TableRBCalcPts[RK],0)),"")</f>
        <v>10</v>
      </c>
      <c r="L107" s="248">
        <f>IFERROR(INDEX(TableRBCalcPts[Custom],MATCH(TableRBVORP[[#This Row],[RK]],TableRBCalcPts[RK],0)),"")</f>
        <v>12.577174465298361</v>
      </c>
      <c r="M107" s="249">
        <f>IFERROR((TableRBVORP[[#This Row],[FPS]]-INDEX(TableRBVORP[FPS],MATCH(RBVORPCalc,TableRBVORP[RK],0)))/INDEX(TableRBVORP[FPS],MATCH(RBVORPCalc,TableRBVORP[RK],0)),"")</f>
        <v>-0.87586579673992593</v>
      </c>
      <c r="N107" s="246"/>
      <c r="O107" s="246">
        <v>106</v>
      </c>
      <c r="P107" s="247" t="str">
        <f>IFERROR(INDEX(TableWRCalcPts[PLAYER],MATCH(TableWRVORP[[#This Row],[RK]],TableWRCalcPts[RK],0)),"")</f>
        <v>Laviska Shenault</v>
      </c>
      <c r="Q107" s="247" t="str">
        <f>IFERROR(INDEX(TableWRCalcPts[TM],MATCH(TableWRVORP[[#This Row],[RK]],TableWRCalcPts[RK],0)),"")</f>
        <v>JAX</v>
      </c>
      <c r="R107" s="247">
        <f>IFERROR(INDEX(TableWRCalcPts[BYE],MATCH(TableWRVORP[[#This Row],[RK]],TableWRCalcPts[RK],0)),"")</f>
        <v>11</v>
      </c>
      <c r="S107" s="248">
        <f>IFERROR(INDEX(TableWRCalcPts[Custom],MATCH(TableWRVORP[[#This Row],[RK]],TableWRCalcPts[RK],0)),"")</f>
        <v>40.413989999832708</v>
      </c>
      <c r="T107" s="249">
        <f>IFERROR((TableWRVORP[[#This Row],[FPS]]-INDEX(TableWRVORP[FPS],MATCH(WRVORPCalc,TableWRVORP[RK],0)))/INDEX(TableWRVORP[FPS],MATCH(WRVORPCalc,TableWRVORP[RK],0)),"")</f>
        <v>-0.62913585816753348</v>
      </c>
      <c r="U107" s="246"/>
      <c r="V107" s="246"/>
      <c r="AB107" s="246"/>
      <c r="AC107" s="250"/>
      <c r="AD107" s="250"/>
      <c r="AE107" s="250"/>
      <c r="AF107" s="250" t="s">
        <v>357</v>
      </c>
      <c r="AG107" s="250">
        <v>66</v>
      </c>
      <c r="AH107" s="251">
        <f>RANK(TableOverallMaster[[#This Row],[VORP]],TableOverallMaster[VORP])+COUNTIF($AM$2:AM107,AM107)-1</f>
        <v>218</v>
      </c>
      <c r="AI107" s="252" t="str">
        <f>IFERROR(INDEX(TableRBVORP[RUNNING BACK],MATCH(TableOverallMaster[[#This Row],[RK]],TableRBVORP[RK],0)),"")</f>
        <v>Brian Robinson</v>
      </c>
      <c r="AJ107" s="252" t="str">
        <f t="shared" si="1"/>
        <v>RB66</v>
      </c>
      <c r="AK107" s="252">
        <f>IFERROR(INDEX(TableRBVORP[BYE],MATCH(TableOverallMaster[[#This Row],[RK]],TableRBVORP[RK],0)),"")</f>
        <v>14</v>
      </c>
      <c r="AL107" s="253">
        <f>IFERROR(INDEX(TableRBVORP[FPS],MATCH(TableOverallMaster[[#This Row],[RK]],TableRBVORP[RK],0)),"")</f>
        <v>52.436730302224909</v>
      </c>
      <c r="AM107" s="254">
        <f>IFERROR(INDEX(TableRBVORP[VORP],MATCH(TableOverallMaster[[#This Row],[RK]],TableRBVORP[RK],0)),"")</f>
        <v>-0.48245993123578262</v>
      </c>
      <c r="AN107" s="250"/>
      <c r="AO107" s="250">
        <v>106</v>
      </c>
      <c r="AP107" s="255" t="str">
        <f>IFERROR(INDEX(TableOverallMaster[OVERALL PLAYER],MATCH(TableOverallRank[[#This Row],[RK]],TableOverallMaster[OVR RK],0)),"")</f>
        <v>Russell Gage</v>
      </c>
      <c r="AQ107" s="256" t="str">
        <f>IFERROR(INDEX(TableOverallMaster[POS RK],MATCH(TableOverallRank[[#This Row],[OVERALL PLAYER]],TableOverallMaster[OVERALL PLAYER],0)),"")</f>
        <v>WR42</v>
      </c>
      <c r="AR107" s="257">
        <f>IFERROR(INDEX(TableOverallMaster[BYE],MATCH(TableOverallRank[[#This Row],[OVERALL PLAYER]],TableOverallMaster[OVERALL PLAYER],0)),"")</f>
        <v>11</v>
      </c>
      <c r="AS107" s="258">
        <f>IFERROR(INDEX(TableOverallMaster[Custom],MATCH(TableOverallRank[[#This Row],[OVERALL PLAYER]],TableOverallMaster[OVERALL PLAYER],0)),"")</f>
        <v>119.91450420586676</v>
      </c>
      <c r="AT107" s="259">
        <f>IFERROR(INDEX(TableOverallMaster[VORP],MATCH(TableOverallRank[[#This Row],[OVERALL PLAYER]],TableOverallMaster[OVERALL PLAYER],0)),"")</f>
        <v>0.10041076606785324</v>
      </c>
      <c r="AU107" s="250"/>
      <c r="AV107" s="246">
        <v>106</v>
      </c>
      <c r="AW107" s="260" t="str">
        <f>IFERROR(INDEX(TableWRTECalcPts[PLAYER],MATCH(TableWRTERank[[#This Row],[RK]],TableWRTECalcPts[RK],0)),"")</f>
        <v>Devin Duvernay</v>
      </c>
      <c r="AX107" s="260" t="str">
        <f>IFERROR(INDEX(TableWRTECalcPts[POS RK],MATCH(TableWRTERank[[#This Row],[WR and TE COMBINED]],TableWRTECalcPts[PLAYER],0)),"")</f>
        <v>WR79</v>
      </c>
      <c r="AY107" s="260">
        <f>IFERROR(INDEX(TableWRTECalcPts[BYE],MATCH(TableWRTERank[[#This Row],[RK]],TableWRTECalcPts[RK],0)),"")</f>
        <v>10</v>
      </c>
      <c r="AZ107" s="261">
        <f>IFERROR(INDEX(TableWRTECalcPts[Custom],MATCH(TableWRTERank[[#This Row],[RK]],TableWRTECalcPts[RK],0)),"")</f>
        <v>74.782966884277229</v>
      </c>
      <c r="BA107" s="249">
        <f>IFERROR((TableWRTERank[[#This Row],[FPS]]-INDEX(TableWRTERank[FPS],MATCH(WRTEVORPCalc,TableWRTERank[RK],0)))/INDEX(TableWRTERank[FPS],MATCH(WRTEVORPCalc,TableWRTERank[RK],0)),"")</f>
        <v>-0.37024952827226831</v>
      </c>
      <c r="BC107" s="124" t="s">
        <v>358</v>
      </c>
      <c r="BD107" s="124">
        <v>106</v>
      </c>
      <c r="BE107" s="262">
        <f>RANK(TableWRTEMaster[[#This Row],[VORP]],TableWRTEMaster[VORP])+COUNTIF($BJ$2:BJ107,BJ107)-1</f>
        <v>143</v>
      </c>
      <c r="BF107" s="263" t="str">
        <f>IFERROR(INDEX(TableWRVORP[WIDE RECEIVER],MATCH(TableWRTEMaster[[#This Row],[RK]],TableWRVORP[RK],0)),"")</f>
        <v>Laviska Shenault</v>
      </c>
      <c r="BG107" s="263" t="str">
        <f>_xlfn.CONCAT(TableWRTEMaster[[#This Row],[POS]],TableWRTEMaster[[#This Row],[RK]])</f>
        <v>WR106</v>
      </c>
      <c r="BH107" s="263">
        <f>IFERROR(INDEX(TableWRVORP[BYE],MATCH(TableWRTEMaster[[#This Row],[RK]],TableWRVORP[RK],0)),"")</f>
        <v>11</v>
      </c>
      <c r="BI107" s="264">
        <f>IFERROR(INDEX(TableWRVORP[FPS],MATCH(TableWRTEMaster[[#This Row],[RK]],TableWRVORP[RK],0)),"")</f>
        <v>40.413989999832708</v>
      </c>
      <c r="BJ107" s="254">
        <f>IFERROR(INDEX(TableWRVORP[VORP],MATCH(TableWRTEMaster[[#This Row],[RK]],TableWRVORP[RK],0)),"")</f>
        <v>-0.62913585816753348</v>
      </c>
    </row>
    <row r="108" spans="1:62" x14ac:dyDescent="0.3">
      <c r="G108" s="246"/>
      <c r="H108" s="246">
        <v>107</v>
      </c>
      <c r="I108" s="247" t="str">
        <f>IFERROR(INDEX(TableRBCalcPts[PLAYER],MATCH(TableRBVORP[[#This Row],[RK]],TableRBCalcPts[RK],0)),"")</f>
        <v>Craig Reynolds</v>
      </c>
      <c r="J108" s="247" t="str">
        <f>IFERROR(INDEX(TableRBCalcPts[TM],MATCH(TableRBVORP[[#This Row],[RK]],TableRBCalcPts[RK],0)),"")</f>
        <v>DET</v>
      </c>
      <c r="K108" s="247">
        <f>IFERROR(INDEX(TableRBCalcPts[BYE],MATCH(TableRBVORP[[#This Row],[RK]],TableRBCalcPts[RK],0)),"")</f>
        <v>6</v>
      </c>
      <c r="L108" s="248">
        <f>IFERROR(INDEX(TableRBCalcPts[Custom],MATCH(TableRBVORP[[#This Row],[RK]],TableRBCalcPts[RK],0)),"")</f>
        <v>11.573681464598321</v>
      </c>
      <c r="M108" s="249">
        <f>IFERROR((TableRBVORP[[#This Row],[FPS]]-INDEX(TableRBVORP[FPS],MATCH(RBVORPCalc,TableRBVORP[RK],0)))/INDEX(TableRBVORP[FPS],MATCH(RBVORPCalc,TableRBVORP[RK],0)),"")</f>
        <v>-0.88577007249459994</v>
      </c>
      <c r="N108" s="246"/>
      <c r="O108" s="246">
        <v>107</v>
      </c>
      <c r="P108" s="247" t="str">
        <f>IFERROR(INDEX(TableWRCalcPts[PLAYER],MATCH(TableWRVORP[[#This Row],[RK]],TableWRCalcPts[RK],0)),"")</f>
        <v>Calvin Austin</v>
      </c>
      <c r="Q108" s="247" t="str">
        <f>IFERROR(INDEX(TableWRCalcPts[TM],MATCH(TableWRVORP[[#This Row],[RK]],TableWRCalcPts[RK],0)),"")</f>
        <v>PIT</v>
      </c>
      <c r="R108" s="247">
        <f>IFERROR(INDEX(TableWRCalcPts[BYE],MATCH(TableWRVORP[[#This Row],[RK]],TableWRCalcPts[RK],0)),"")</f>
        <v>9</v>
      </c>
      <c r="S108" s="248">
        <f>IFERROR(INDEX(TableWRCalcPts[Custom],MATCH(TableWRVORP[[#This Row],[RK]],TableWRCalcPts[RK],0)),"")</f>
        <v>38.631807132828371</v>
      </c>
      <c r="T108" s="249">
        <f>IFERROR((TableWRVORP[[#This Row],[FPS]]-INDEX(TableWRVORP[FPS],MATCH(WRVORPCalc,TableWRVORP[RK],0)))/INDEX(TableWRVORP[FPS],MATCH(WRVORPCalc,TableWRVORP[RK],0)),"")</f>
        <v>-0.64549028690775001</v>
      </c>
      <c r="U108" s="246"/>
      <c r="V108" s="246"/>
      <c r="AB108" s="246"/>
      <c r="AC108" s="250"/>
      <c r="AD108" s="250"/>
      <c r="AE108" s="250"/>
      <c r="AF108" s="250" t="s">
        <v>357</v>
      </c>
      <c r="AG108" s="250">
        <v>67</v>
      </c>
      <c r="AH108" s="251">
        <f>RANK(TableOverallMaster[[#This Row],[VORP]],TableOverallMaster[VORP])+COUNTIF($AM$2:AM108,AM108)-1</f>
        <v>225</v>
      </c>
      <c r="AI108" s="252" t="str">
        <f>IFERROR(INDEX(TableRBVORP[RUNNING BACK],MATCH(TableOverallMaster[[#This Row],[RK]],TableRBVORP[RK],0)),"")</f>
        <v>Sony Michel</v>
      </c>
      <c r="AJ108" s="252" t="str">
        <f t="shared" si="1"/>
        <v>RB67</v>
      </c>
      <c r="AK108" s="252">
        <f>IFERROR(INDEX(TableRBVORP[BYE],MATCH(TableOverallMaster[[#This Row],[RK]],TableRBVORP[RK],0)),"")</f>
        <v>11</v>
      </c>
      <c r="AL108" s="253">
        <f>IFERROR(INDEX(TableRBVORP[FPS],MATCH(TableOverallMaster[[#This Row],[RK]],TableRBVORP[RK],0)),"")</f>
        <v>48.094947777259016</v>
      </c>
      <c r="AM108" s="254">
        <f>IFERROR(INDEX(TableRBVORP[VORP],MATCH(TableOverallMaster[[#This Row],[RK]],TableRBVORP[RK],0)),"")</f>
        <v>-0.52531245872136434</v>
      </c>
      <c r="AN108" s="250"/>
      <c r="AO108" s="250">
        <v>107</v>
      </c>
      <c r="AP108" s="255" t="str">
        <f>IFERROR(INDEX(TableOverallMaster[OVERALL PLAYER],MATCH(TableOverallRank[[#This Row],[RK]],TableOverallMaster[OVR RK],0)),"")</f>
        <v>Garrett Wilson</v>
      </c>
      <c r="AQ108" s="256" t="str">
        <f>IFERROR(INDEX(TableOverallMaster[POS RK],MATCH(TableOverallRank[[#This Row],[OVERALL PLAYER]],TableOverallMaster[OVERALL PLAYER],0)),"")</f>
        <v>WR43</v>
      </c>
      <c r="AR108" s="257">
        <f>IFERROR(INDEX(TableOverallMaster[BYE],MATCH(TableOverallRank[[#This Row],[OVERALL PLAYER]],TableOverallMaster[OVERALL PLAYER],0)),"")</f>
        <v>10</v>
      </c>
      <c r="AS108" s="258">
        <f>IFERROR(INDEX(TableOverallMaster[Custom],MATCH(TableOverallRank[[#This Row],[OVERALL PLAYER]],TableOverallMaster[OVERALL PLAYER],0)),"")</f>
        <v>118.75015619934166</v>
      </c>
      <c r="AT108" s="259">
        <f>IFERROR(INDEX(TableOverallMaster[VORP],MATCH(TableOverallRank[[#This Row],[OVERALL PLAYER]],TableOverallMaster[OVERALL PLAYER],0)),"")</f>
        <v>8.9725977848821581E-2</v>
      </c>
      <c r="AU108" s="250"/>
      <c r="AV108" s="246">
        <v>107</v>
      </c>
      <c r="AW108" s="260" t="str">
        <f>IFERROR(INDEX(TableWRTECalcPts[PLAYER],MATCH(TableWRTERank[[#This Row],[RK]],TableWRTECalcPts[RK],0)),"")</f>
        <v>Austin Hooper</v>
      </c>
      <c r="AX108" s="260" t="str">
        <f>IFERROR(INDEX(TableWRTECalcPts[POS RK],MATCH(TableWRTERank[[#This Row],[WR and TE COMBINED]],TableWRTECalcPts[PLAYER],0)),"")</f>
        <v>TE28</v>
      </c>
      <c r="AY108" s="260">
        <f>IFERROR(INDEX(TableWRTECalcPts[BYE],MATCH(TableWRTERank[[#This Row],[RK]],TableWRTECalcPts[RK],0)),"")</f>
        <v>6</v>
      </c>
      <c r="AZ108" s="261">
        <f>IFERROR(INDEX(TableWRTECalcPts[Custom],MATCH(TableWRTERank[[#This Row],[RK]],TableWRTECalcPts[RK],0)),"")</f>
        <v>74.609358572769963</v>
      </c>
      <c r="BA108" s="249">
        <f>IFERROR((TableWRTERank[[#This Row],[FPS]]-INDEX(TableWRTERank[FPS],MATCH(WRTEVORPCalc,TableWRTERank[RK],0)))/INDEX(TableWRTERank[FPS],MATCH(WRTEVORPCalc,TableWRTERank[RK],0)),"")</f>
        <v>-0.37171149107773899</v>
      </c>
      <c r="BC108" s="124" t="s">
        <v>358</v>
      </c>
      <c r="BD108" s="124">
        <v>107</v>
      </c>
      <c r="BE108" s="262">
        <f>RANK(TableWRTEMaster[[#This Row],[VORP]],TableWRTEMaster[VORP])+COUNTIF($BJ$2:BJ108,BJ108)-1</f>
        <v>144</v>
      </c>
      <c r="BF108" s="263" t="str">
        <f>IFERROR(INDEX(TableWRVORP[WIDE RECEIVER],MATCH(TableWRTEMaster[[#This Row],[RK]],TableWRVORP[RK],0)),"")</f>
        <v>Calvin Austin</v>
      </c>
      <c r="BG108" s="263" t="str">
        <f>_xlfn.CONCAT(TableWRTEMaster[[#This Row],[POS]],TableWRTEMaster[[#This Row],[RK]])</f>
        <v>WR107</v>
      </c>
      <c r="BH108" s="263">
        <f>IFERROR(INDEX(TableWRVORP[BYE],MATCH(TableWRTEMaster[[#This Row],[RK]],TableWRVORP[RK],0)),"")</f>
        <v>9</v>
      </c>
      <c r="BI108" s="264">
        <f>IFERROR(INDEX(TableWRVORP[FPS],MATCH(TableWRTEMaster[[#This Row],[RK]],TableWRVORP[RK],0)),"")</f>
        <v>38.631807132828371</v>
      </c>
      <c r="BJ108" s="254">
        <f>IFERROR(INDEX(TableWRVORP[VORP],MATCH(TableWRTEMaster[[#This Row],[RK]],TableWRVORP[RK],0)),"")</f>
        <v>-0.64549028690775001</v>
      </c>
    </row>
    <row r="109" spans="1:62" x14ac:dyDescent="0.3">
      <c r="G109" s="246"/>
      <c r="H109" s="246">
        <v>108</v>
      </c>
      <c r="I109" s="247" t="str">
        <f>IFERROR(INDEX(TableRBCalcPts[PLAYER],MATCH(TableRBVORP[[#This Row],[RK]],TableRBCalcPts[RK],0)),"")</f>
        <v>Travis Homer</v>
      </c>
      <c r="J109" s="247" t="str">
        <f>IFERROR(INDEX(TableRBCalcPts[TM],MATCH(TableRBVORP[[#This Row],[RK]],TableRBCalcPts[RK],0)),"")</f>
        <v>SEA</v>
      </c>
      <c r="K109" s="247">
        <f>IFERROR(INDEX(TableRBCalcPts[BYE],MATCH(TableRBVORP[[#This Row],[RK]],TableRBCalcPts[RK],0)),"")</f>
        <v>11</v>
      </c>
      <c r="L109" s="248">
        <f>IFERROR(INDEX(TableRBCalcPts[Custom],MATCH(TableRBVORP[[#This Row],[RK]],TableRBCalcPts[RK],0)),"")</f>
        <v>11.516901631706066</v>
      </c>
      <c r="M109" s="249">
        <f>IFERROR((TableRBVORP[[#This Row],[FPS]]-INDEX(TableRBVORP[FPS],MATCH(RBVORPCalc,TableRBVORP[RK],0)))/INDEX(TableRBVORP[FPS],MATCH(RBVORPCalc,TableRBVORP[RK],0)),"")</f>
        <v>-0.88633047811962873</v>
      </c>
      <c r="N109" s="246"/>
      <c r="O109" s="246">
        <v>108</v>
      </c>
      <c r="P109" s="247" t="str">
        <f>IFERROR(INDEX(TableWRCalcPts[PLAYER],MATCH(TableWRVORP[[#This Row],[RK]],TableWRCalcPts[RK],0)),"")</f>
        <v>Demarcus Robinson</v>
      </c>
      <c r="Q109" s="247" t="str">
        <f>IFERROR(INDEX(TableWRCalcPts[TM],MATCH(TableWRVORP[[#This Row],[RK]],TableWRCalcPts[RK],0)),"")</f>
        <v>LV</v>
      </c>
      <c r="R109" s="247">
        <f>IFERROR(INDEX(TableWRCalcPts[BYE],MATCH(TableWRVORP[[#This Row],[RK]],TableWRCalcPts[RK],0)),"")</f>
        <v>6</v>
      </c>
      <c r="S109" s="248">
        <f>IFERROR(INDEX(TableWRCalcPts[Custom],MATCH(TableWRVORP[[#This Row],[RK]],TableWRCalcPts[RK],0)),"")</f>
        <v>35.322918725494581</v>
      </c>
      <c r="T109" s="249">
        <f>IFERROR((TableWRVORP[[#This Row],[FPS]]-INDEX(TableWRVORP[FPS],MATCH(WRVORPCalc,TableWRVORP[RK],0)))/INDEX(TableWRVORP[FPS],MATCH(WRVORPCalc,TableWRVORP[RK],0)),"")</f>
        <v>-0.6758547240645445</v>
      </c>
      <c r="U109" s="246"/>
      <c r="V109" s="246"/>
      <c r="AB109" s="246"/>
      <c r="AC109" s="250"/>
      <c r="AD109" s="250"/>
      <c r="AE109" s="250"/>
      <c r="AF109" s="250" t="s">
        <v>357</v>
      </c>
      <c r="AG109" s="250">
        <v>68</v>
      </c>
      <c r="AH109" s="251">
        <f>RANK(TableOverallMaster[[#This Row],[VORP]],TableOverallMaster[VORP])+COUNTIF($AM$2:AM109,AM109)-1</f>
        <v>230</v>
      </c>
      <c r="AI109" s="252" t="str">
        <f>IFERROR(INDEX(TableRBVORP[RUNNING BACK],MATCH(TableOverallMaster[[#This Row],[RK]],TableRBVORP[RK],0)),"")</f>
        <v>D'Onta Foreman</v>
      </c>
      <c r="AJ109" s="252" t="str">
        <f t="shared" si="1"/>
        <v>RB68</v>
      </c>
      <c r="AK109" s="252">
        <f>IFERROR(INDEX(TableRBVORP[BYE],MATCH(TableOverallMaster[[#This Row],[RK]],TableRBVORP[RK],0)),"")</f>
        <v>13</v>
      </c>
      <c r="AL109" s="253">
        <f>IFERROR(INDEX(TableRBVORP[FPS],MATCH(TableOverallMaster[[#This Row],[RK]],TableRBVORP[RK],0)),"")</f>
        <v>44.950911550462322</v>
      </c>
      <c r="AM109" s="254">
        <f>IFERROR(INDEX(TableRBVORP[VORP],MATCH(TableOverallMaster[[#This Row],[RK]],TableRBVORP[RK],0)),"")</f>
        <v>-0.55634346915308275</v>
      </c>
      <c r="AN109" s="250"/>
      <c r="AO109" s="250">
        <v>108</v>
      </c>
      <c r="AP109" s="255" t="str">
        <f>IFERROR(INDEX(TableOverallMaster[OVERALL PLAYER],MATCH(TableOverallRank[[#This Row],[RK]],TableOverallMaster[OVR RK],0)),"")</f>
        <v>Brandon Aiyuk</v>
      </c>
      <c r="AQ109" s="256" t="str">
        <f>IFERROR(INDEX(TableOverallMaster[POS RK],MATCH(TableOverallRank[[#This Row],[OVERALL PLAYER]],TableOverallMaster[OVERALL PLAYER],0)),"")</f>
        <v>WR44</v>
      </c>
      <c r="AR109" s="257">
        <f>IFERROR(INDEX(TableOverallMaster[BYE],MATCH(TableOverallRank[[#This Row],[OVERALL PLAYER]],TableOverallMaster[OVERALL PLAYER],0)),"")</f>
        <v>9</v>
      </c>
      <c r="AS109" s="258">
        <f>IFERROR(INDEX(TableOverallMaster[Custom],MATCH(TableOverallRank[[#This Row],[OVERALL PLAYER]],TableOverallMaster[OVERALL PLAYER],0)),"")</f>
        <v>118.29153042188688</v>
      </c>
      <c r="AT109" s="259">
        <f>IFERROR(INDEX(TableOverallMaster[VORP],MATCH(TableOverallRank[[#This Row],[OVERALL PLAYER]],TableOverallMaster[OVERALL PLAYER],0)),"")</f>
        <v>8.5517339815835466E-2</v>
      </c>
      <c r="AU109" s="250"/>
      <c r="AV109" s="246">
        <v>108</v>
      </c>
      <c r="AW109" s="260" t="str">
        <f>IFERROR(INDEX(TableWRTECalcPts[PLAYER],MATCH(TableWRTERank[[#This Row],[RK]],TableWRTECalcPts[RK],0)),"")</f>
        <v>Randall Cobb</v>
      </c>
      <c r="AX109" s="260" t="str">
        <f>IFERROR(INDEX(TableWRTECalcPts[POS RK],MATCH(TableWRTERank[[#This Row],[WR and TE COMBINED]],TableWRTECalcPts[PLAYER],0)),"")</f>
        <v>WR80</v>
      </c>
      <c r="AY109" s="260">
        <f>IFERROR(INDEX(TableWRTECalcPts[BYE],MATCH(TableWRTERank[[#This Row],[RK]],TableWRTECalcPts[RK],0)),"")</f>
        <v>14</v>
      </c>
      <c r="AZ109" s="261">
        <f>IFERROR(INDEX(TableWRTECalcPts[Custom],MATCH(TableWRTERank[[#This Row],[RK]],TableWRTECalcPts[RK],0)),"")</f>
        <v>74.517476593494493</v>
      </c>
      <c r="BA109" s="249">
        <f>IFERROR((TableWRTERank[[#This Row],[FPS]]-INDEX(TableWRTERank[FPS],MATCH(WRTEVORPCalc,TableWRTERank[RK],0)))/INDEX(TableWRTERank[FPS],MATCH(WRTEVORPCalc,TableWRTERank[RK],0)),"")</f>
        <v>-0.3724852330433599</v>
      </c>
      <c r="BC109" s="124" t="s">
        <v>358</v>
      </c>
      <c r="BD109" s="124">
        <v>108</v>
      </c>
      <c r="BE109" s="262">
        <f>RANK(TableWRTEMaster[[#This Row],[VORP]],TableWRTEMaster[VORP])+COUNTIF($BJ$2:BJ109,BJ109)-1</f>
        <v>146</v>
      </c>
      <c r="BF109" s="263" t="str">
        <f>IFERROR(INDEX(TableWRVORP[WIDE RECEIVER],MATCH(TableWRTEMaster[[#This Row],[RK]],TableWRVORP[RK],0)),"")</f>
        <v>Demarcus Robinson</v>
      </c>
      <c r="BG109" s="263" t="str">
        <f>_xlfn.CONCAT(TableWRTEMaster[[#This Row],[POS]],TableWRTEMaster[[#This Row],[RK]])</f>
        <v>WR108</v>
      </c>
      <c r="BH109" s="263">
        <f>IFERROR(INDEX(TableWRVORP[BYE],MATCH(TableWRTEMaster[[#This Row],[RK]],TableWRVORP[RK],0)),"")</f>
        <v>6</v>
      </c>
      <c r="BI109" s="264">
        <f>IFERROR(INDEX(TableWRVORP[FPS],MATCH(TableWRTEMaster[[#This Row],[RK]],TableWRVORP[RK],0)),"")</f>
        <v>35.322918725494581</v>
      </c>
      <c r="BJ109" s="254">
        <f>IFERROR(INDEX(TableWRVORP[VORP],MATCH(TableWRTEMaster[[#This Row],[RK]],TableWRVORP[RK],0)),"")</f>
        <v>-0.6758547240645445</v>
      </c>
    </row>
    <row r="110" spans="1:62" x14ac:dyDescent="0.3">
      <c r="G110" s="246"/>
      <c r="H110" s="246">
        <v>109</v>
      </c>
      <c r="I110" s="247" t="str">
        <f>IFERROR(INDEX(TableRBCalcPts[PLAYER],MATCH(TableRBVORP[[#This Row],[RK]],TableRBCalcPts[RK],0)),"")</f>
        <v>Qadree Ollison</v>
      </c>
      <c r="J110" s="247" t="str">
        <f>IFERROR(INDEX(TableRBCalcPts[TM],MATCH(TableRBVORP[[#This Row],[RK]],TableRBCalcPts[RK],0)),"")</f>
        <v>ATL</v>
      </c>
      <c r="K110" s="247">
        <f>IFERROR(INDEX(TableRBCalcPts[BYE],MATCH(TableRBVORP[[#This Row],[RK]],TableRBCalcPts[RK],0)),"")</f>
        <v>14</v>
      </c>
      <c r="L110" s="248">
        <f>IFERROR(INDEX(TableRBCalcPts[Custom],MATCH(TableRBVORP[[#This Row],[RK]],TableRBCalcPts[RK],0)),"")</f>
        <v>11.487398298172863</v>
      </c>
      <c r="M110" s="249">
        <f>IFERROR((TableRBVORP[[#This Row],[FPS]]-INDEX(TableRBVORP[FPS],MATCH(RBVORPCalc,TableRBVORP[RK],0)))/INDEX(TableRBVORP[FPS],MATCH(RBVORPCalc,TableRBVORP[RK],0)),"")</f>
        <v>-0.88662167013670412</v>
      </c>
      <c r="N110" s="246"/>
      <c r="O110" s="246">
        <v>109</v>
      </c>
      <c r="P110" s="247" t="str">
        <f>IFERROR(INDEX(TableWRCalcPts[PLAYER],MATCH(TableWRVORP[[#This Row],[RK]],TableWRCalcPts[RK],0)),"")</f>
        <v>Marquez Callaway</v>
      </c>
      <c r="Q110" s="247" t="str">
        <f>IFERROR(INDEX(TableWRCalcPts[TM],MATCH(TableWRVORP[[#This Row],[RK]],TableWRCalcPts[RK],0)),"")</f>
        <v>NO</v>
      </c>
      <c r="R110" s="247">
        <f>IFERROR(INDEX(TableWRCalcPts[BYE],MATCH(TableWRVORP[[#This Row],[RK]],TableWRCalcPts[RK],0)),"")</f>
        <v>14</v>
      </c>
      <c r="S110" s="248">
        <f>IFERROR(INDEX(TableWRCalcPts[Custom],MATCH(TableWRVORP[[#This Row],[RK]],TableWRCalcPts[RK],0)),"")</f>
        <v>35.071330105964549</v>
      </c>
      <c r="T110" s="249">
        <f>IFERROR((TableWRVORP[[#This Row],[FPS]]-INDEX(TableWRVORP[FPS],MATCH(WRVORPCalc,TableWRVORP[RK],0)))/INDEX(TableWRVORP[FPS],MATCH(WRVORPCalc,TableWRVORP[RK],0)),"")</f>
        <v>-0.67816345917031384</v>
      </c>
      <c r="U110" s="246"/>
      <c r="V110" s="246"/>
      <c r="AB110" s="246"/>
      <c r="AC110" s="250"/>
      <c r="AD110" s="250"/>
      <c r="AE110" s="250"/>
      <c r="AF110" s="250" t="s">
        <v>357</v>
      </c>
      <c r="AG110" s="250">
        <v>69</v>
      </c>
      <c r="AH110" s="251">
        <f>RANK(TableOverallMaster[[#This Row],[VORP]],TableOverallMaster[VORP])+COUNTIF($AM$2:AM110,AM110)-1</f>
        <v>234</v>
      </c>
      <c r="AI110" s="252" t="str">
        <f>IFERROR(INDEX(TableRBVORP[RUNNING BACK],MATCH(TableOverallMaster[[#This Row],[RK]],TableRBVORP[RK],0)),"")</f>
        <v>Brandon Bolden</v>
      </c>
      <c r="AJ110" s="252" t="str">
        <f t="shared" si="1"/>
        <v>RB69</v>
      </c>
      <c r="AK110" s="252">
        <f>IFERROR(INDEX(TableRBVORP[BYE],MATCH(TableOverallMaster[[#This Row],[RK]],TableRBVORP[RK],0)),"")</f>
        <v>6</v>
      </c>
      <c r="AL110" s="253">
        <f>IFERROR(INDEX(TableRBVORP[FPS],MATCH(TableOverallMaster[[#This Row],[RK]],TableRBVORP[RK],0)),"")</f>
        <v>43.365317129300699</v>
      </c>
      <c r="AM110" s="254">
        <f>IFERROR(INDEX(TableRBVORP[VORP],MATCH(TableOverallMaster[[#This Row],[RK]],TableRBVORP[RK],0)),"")</f>
        <v>-0.57199296981856051</v>
      </c>
      <c r="AN110" s="250"/>
      <c r="AO110" s="250">
        <v>109</v>
      </c>
      <c r="AP110" s="255" t="str">
        <f>IFERROR(INDEX(TableOverallMaster[OVERALL PLAYER],MATCH(TableOverallRank[[#This Row],[RK]],TableOverallMaster[OVR RK],0)),"")</f>
        <v>Ronald Jones</v>
      </c>
      <c r="AQ110" s="256" t="str">
        <f>IFERROR(INDEX(TableOverallMaster[POS RK],MATCH(TableOverallRank[[#This Row],[OVERALL PLAYER]],TableOverallMaster[OVERALL PLAYER],0)),"")</f>
        <v>RB39</v>
      </c>
      <c r="AR110" s="257">
        <f>IFERROR(INDEX(TableOverallMaster[BYE],MATCH(TableOverallRank[[#This Row],[OVERALL PLAYER]],TableOverallMaster[OVERALL PLAYER],0)),"")</f>
        <v>8</v>
      </c>
      <c r="AS110" s="258">
        <f>IFERROR(INDEX(TableOverallMaster[Custom],MATCH(TableOverallRank[[#This Row],[OVERALL PLAYER]],TableOverallMaster[OVERALL PLAYER],0)),"")</f>
        <v>109.64140367045293</v>
      </c>
      <c r="AT110" s="259">
        <f>IFERROR(INDEX(TableOverallMaster[VORP],MATCH(TableOverallRank[[#This Row],[OVERALL PLAYER]],TableOverallMaster[OVERALL PLAYER],0)),"")</f>
        <v>8.2138784549727423E-2</v>
      </c>
      <c r="AU110" s="250"/>
      <c r="AV110" s="246">
        <v>109</v>
      </c>
      <c r="AW110" s="260" t="str">
        <f>IFERROR(INDEX(TableWRTECalcPts[PLAYER],MATCH(TableWRTERank[[#This Row],[RK]],TableWRTECalcPts[RK],0)),"")</f>
        <v>Jamison Crowder</v>
      </c>
      <c r="AX110" s="260" t="str">
        <f>IFERROR(INDEX(TableWRTECalcPts[POS RK],MATCH(TableWRTERank[[#This Row],[WR and TE COMBINED]],TableWRTECalcPts[PLAYER],0)),"")</f>
        <v>WR81</v>
      </c>
      <c r="AY110" s="260">
        <f>IFERROR(INDEX(TableWRTECalcPts[BYE],MATCH(TableWRTERank[[#This Row],[RK]],TableWRTECalcPts[RK],0)),"")</f>
        <v>7</v>
      </c>
      <c r="AZ110" s="261">
        <f>IFERROR(INDEX(TableWRTECalcPts[Custom],MATCH(TableWRTERank[[#This Row],[RK]],TableWRTECalcPts[RK],0)),"")</f>
        <v>74.485484004772331</v>
      </c>
      <c r="BA110" s="249">
        <f>IFERROR((TableWRTERank[[#This Row],[FPS]]-INDEX(TableWRTERank[FPS],MATCH(WRTEVORPCalc,TableWRTERank[RK],0)))/INDEX(TableWRTERank[FPS],MATCH(WRTEVORPCalc,TableWRTERank[RK],0)),"")</f>
        <v>-0.37275464396243657</v>
      </c>
      <c r="BC110" s="124" t="s">
        <v>358</v>
      </c>
      <c r="BD110" s="124">
        <v>109</v>
      </c>
      <c r="BE110" s="262">
        <f>RANK(TableWRTEMaster[[#This Row],[VORP]],TableWRTEMaster[VORP])+COUNTIF($BJ$2:BJ110,BJ110)-1</f>
        <v>147</v>
      </c>
      <c r="BF110" s="263" t="str">
        <f>IFERROR(INDEX(TableWRVORP[WIDE RECEIVER],MATCH(TableWRTEMaster[[#This Row],[RK]],TableWRVORP[RK],0)),"")</f>
        <v>Marquez Callaway</v>
      </c>
      <c r="BG110" s="263" t="str">
        <f>_xlfn.CONCAT(TableWRTEMaster[[#This Row],[POS]],TableWRTEMaster[[#This Row],[RK]])</f>
        <v>WR109</v>
      </c>
      <c r="BH110" s="263">
        <f>IFERROR(INDEX(TableWRVORP[BYE],MATCH(TableWRTEMaster[[#This Row],[RK]],TableWRVORP[RK],0)),"")</f>
        <v>14</v>
      </c>
      <c r="BI110" s="264">
        <f>IFERROR(INDEX(TableWRVORP[FPS],MATCH(TableWRTEMaster[[#This Row],[RK]],TableWRVORP[RK],0)),"")</f>
        <v>35.071330105964549</v>
      </c>
      <c r="BJ110" s="254">
        <f>IFERROR(INDEX(TableWRVORP[VORP],MATCH(TableWRTEMaster[[#This Row],[RK]],TableWRVORP[RK],0)),"")</f>
        <v>-0.67816345917031384</v>
      </c>
    </row>
    <row r="111" spans="1:62" x14ac:dyDescent="0.3">
      <c r="G111" s="246"/>
      <c r="H111" s="246">
        <v>110</v>
      </c>
      <c r="I111" s="247" t="str">
        <f>IFERROR(INDEX(TableRBCalcPts[PLAYER],MATCH(TableRBVORP[[#This Row],[RK]],TableRBCalcPts[RK],0)),"")</f>
        <v>Ty Johnson</v>
      </c>
      <c r="J111" s="247" t="str">
        <f>IFERROR(INDEX(TableRBCalcPts[TM],MATCH(TableRBVORP[[#This Row],[RK]],TableRBCalcPts[RK],0)),"")</f>
        <v>NYJ</v>
      </c>
      <c r="K111" s="247">
        <f>IFERROR(INDEX(TableRBCalcPts[BYE],MATCH(TableRBVORP[[#This Row],[RK]],TableRBCalcPts[RK],0)),"")</f>
        <v>10</v>
      </c>
      <c r="L111" s="248">
        <f>IFERROR(INDEX(TableRBCalcPts[Custom],MATCH(TableRBVORP[[#This Row],[RK]],TableRBCalcPts[RK],0)),"")</f>
        <v>11.452856067334441</v>
      </c>
      <c r="M111" s="249">
        <f>IFERROR((TableRBVORP[[#This Row],[FPS]]-INDEX(TableRBVORP[FPS],MATCH(RBVORPCalc,TableRBVORP[RK],0)))/INDEX(TableRBVORP[FPS],MATCH(RBVORPCalc,TableRBVORP[RK],0)),"")</f>
        <v>-0.886962595065096</v>
      </c>
      <c r="N111" s="246"/>
      <c r="O111" s="246">
        <v>110</v>
      </c>
      <c r="P111" s="247" t="str">
        <f>IFERROR(INDEX(TableWRCalcPts[PLAYER],MATCH(TableWRVORP[[#This Row],[RK]],TableWRCalcPts[RK],0)),"")</f>
        <v>Quez Watkins</v>
      </c>
      <c r="Q111" s="247" t="str">
        <f>IFERROR(INDEX(TableWRCalcPts[TM],MATCH(TableWRVORP[[#This Row],[RK]],TableWRCalcPts[RK],0)),"")</f>
        <v>PHI</v>
      </c>
      <c r="R111" s="247">
        <f>IFERROR(INDEX(TableWRCalcPts[BYE],MATCH(TableWRVORP[[#This Row],[RK]],TableWRCalcPts[RK],0)),"")</f>
        <v>7</v>
      </c>
      <c r="S111" s="248">
        <f>IFERROR(INDEX(TableWRCalcPts[Custom],MATCH(TableWRVORP[[#This Row],[RK]],TableWRCalcPts[RK],0)),"")</f>
        <v>34.037529360914419</v>
      </c>
      <c r="T111" s="249">
        <f>IFERROR((TableWRVORP[[#This Row],[FPS]]-INDEX(TableWRVORP[FPS],MATCH(WRVORPCalc,TableWRVORP[RK],0)))/INDEX(TableWRVORP[FPS],MATCH(WRVORPCalc,TableWRVORP[RK],0)),"")</f>
        <v>-0.6876502637679387</v>
      </c>
      <c r="U111" s="246"/>
      <c r="V111" s="246"/>
      <c r="AB111" s="246"/>
      <c r="AC111" s="250"/>
      <c r="AD111" s="250"/>
      <c r="AE111" s="250"/>
      <c r="AF111" s="250" t="s">
        <v>357</v>
      </c>
      <c r="AG111" s="250">
        <v>70</v>
      </c>
      <c r="AH111" s="251">
        <f>RANK(TableOverallMaster[[#This Row],[VORP]],TableOverallMaster[VORP])+COUNTIF($AM$2:AM111,AM111)-1</f>
        <v>239</v>
      </c>
      <c r="AI111" s="252" t="str">
        <f>IFERROR(INDEX(TableRBVORP[RUNNING BACK],MATCH(TableOverallMaster[[#This Row],[RK]],TableRBVORP[RK],0)),"")</f>
        <v>Giovani Bernard</v>
      </c>
      <c r="AJ111" s="252" t="str">
        <f t="shared" si="1"/>
        <v>RB70</v>
      </c>
      <c r="AK111" s="252">
        <f>IFERROR(INDEX(TableRBVORP[BYE],MATCH(TableOverallMaster[[#This Row],[RK]],TableRBVORP[RK],0)),"")</f>
        <v>11</v>
      </c>
      <c r="AL111" s="253">
        <f>IFERROR(INDEX(TableRBVORP[FPS],MATCH(TableOverallMaster[[#This Row],[RK]],TableRBVORP[RK],0)),"")</f>
        <v>41.758958386492125</v>
      </c>
      <c r="AM111" s="254">
        <f>IFERROR(INDEX(TableRBVORP[VORP],MATCH(TableOverallMaster[[#This Row],[RK]],TableRBVORP[RK],0)),"")</f>
        <v>-0.58784741019692788</v>
      </c>
      <c r="AN111" s="250"/>
      <c r="AO111" s="250">
        <v>110</v>
      </c>
      <c r="AP111" s="255" t="str">
        <f>IFERROR(INDEX(TableOverallMaster[OVERALL PLAYER],MATCH(TableOverallRank[[#This Row],[RK]],TableOverallMaster[OVR RK],0)),"")</f>
        <v>Matt Ryan</v>
      </c>
      <c r="AQ111" s="256" t="str">
        <f>IFERROR(INDEX(TableOverallMaster[POS RK],MATCH(TableOverallRank[[#This Row],[OVERALL PLAYER]],TableOverallMaster[OVERALL PLAYER],0)),"")</f>
        <v>QB20</v>
      </c>
      <c r="AR111" s="257">
        <f>IFERROR(INDEX(TableOverallMaster[BYE],MATCH(TableOverallRank[[#This Row],[OVERALL PLAYER]],TableOverallMaster[OVERALL PLAYER],0)),"")</f>
        <v>14</v>
      </c>
      <c r="AS111" s="258">
        <f>IFERROR(INDEX(TableOverallMaster[Custom],MATCH(TableOverallRank[[#This Row],[OVERALL PLAYER]],TableOverallMaster[OVERALL PLAYER],0)),"")</f>
        <v>276.76416065824327</v>
      </c>
      <c r="AT111" s="259">
        <f>IFERROR(INDEX(TableOverallMaster[VORP],MATCH(TableOverallRank[[#This Row],[OVERALL PLAYER]],TableOverallMaster[OVERALL PLAYER],0)),"")</f>
        <v>7.9228594351669179E-2</v>
      </c>
      <c r="AU111" s="250"/>
      <c r="AV111" s="246">
        <v>110</v>
      </c>
      <c r="AW111" s="260" t="str">
        <f>IFERROR(INDEX(TableWRTECalcPts[PLAYER],MATCH(TableWRTERank[[#This Row],[RK]],TableWRTECalcPts[RK],0)),"")</f>
        <v>Sammy Watkins</v>
      </c>
      <c r="AX111" s="260" t="str">
        <f>IFERROR(INDEX(TableWRTECalcPts[POS RK],MATCH(TableWRTERank[[#This Row],[WR and TE COMBINED]],TableWRTECalcPts[PLAYER],0)),"")</f>
        <v>WR82</v>
      </c>
      <c r="AY111" s="260">
        <f>IFERROR(INDEX(TableWRTECalcPts[BYE],MATCH(TableWRTERank[[#This Row],[RK]],TableWRTECalcPts[RK],0)),"")</f>
        <v>14</v>
      </c>
      <c r="AZ111" s="261">
        <f>IFERROR(INDEX(TableWRTECalcPts[Custom],MATCH(TableWRTERank[[#This Row],[RK]],TableWRTECalcPts[RK],0)),"")</f>
        <v>72.688142484359275</v>
      </c>
      <c r="BA111" s="249">
        <f>IFERROR((TableWRTERank[[#This Row],[FPS]]-INDEX(TableWRTERank[FPS],MATCH(WRTEVORPCalc,TableWRTERank[RK],0)))/INDEX(TableWRTERank[FPS],MATCH(WRTEVORPCalc,TableWRTERank[RK],0)),"")</f>
        <v>-0.38789013159409846</v>
      </c>
      <c r="BC111" s="124" t="s">
        <v>358</v>
      </c>
      <c r="BD111" s="124">
        <v>110</v>
      </c>
      <c r="BE111" s="262">
        <f>RANK(TableWRTEMaster[[#This Row],[VORP]],TableWRTEMaster[VORP])+COUNTIF($BJ$2:BJ111,BJ111)-1</f>
        <v>149</v>
      </c>
      <c r="BF111" s="263" t="str">
        <f>IFERROR(INDEX(TableWRVORP[WIDE RECEIVER],MATCH(TableWRTEMaster[[#This Row],[RK]],TableWRVORP[RK],0)),"")</f>
        <v>Quez Watkins</v>
      </c>
      <c r="BG111" s="263" t="str">
        <f>_xlfn.CONCAT(TableWRTEMaster[[#This Row],[POS]],TableWRTEMaster[[#This Row],[RK]])</f>
        <v>WR110</v>
      </c>
      <c r="BH111" s="263">
        <f>IFERROR(INDEX(TableWRVORP[BYE],MATCH(TableWRTEMaster[[#This Row],[RK]],TableWRVORP[RK],0)),"")</f>
        <v>7</v>
      </c>
      <c r="BI111" s="264">
        <f>IFERROR(INDEX(TableWRVORP[FPS],MATCH(TableWRTEMaster[[#This Row],[RK]],TableWRVORP[RK],0)),"")</f>
        <v>34.037529360914419</v>
      </c>
      <c r="BJ111" s="254">
        <f>IFERROR(INDEX(TableWRVORP[VORP],MATCH(TableWRTEMaster[[#This Row],[RK]],TableWRVORP[RK],0)),"")</f>
        <v>-0.6876502637679387</v>
      </c>
    </row>
    <row r="112" spans="1:62" x14ac:dyDescent="0.3">
      <c r="G112" s="246"/>
      <c r="H112" s="246">
        <v>111</v>
      </c>
      <c r="I112" s="247" t="str">
        <f>IFERROR(INDEX(TableRBCalcPts[PLAYER],MATCH(TableRBVORP[[#This Row],[RK]],TableRBCalcPts[RK],0)),"")</f>
        <v>DeeJay Dallas</v>
      </c>
      <c r="J112" s="247" t="str">
        <f>IFERROR(INDEX(TableRBCalcPts[TM],MATCH(TableRBVORP[[#This Row],[RK]],TableRBCalcPts[RK],0)),"")</f>
        <v>SEA</v>
      </c>
      <c r="K112" s="247">
        <f>IFERROR(INDEX(TableRBCalcPts[BYE],MATCH(TableRBVORP[[#This Row],[RK]],TableRBCalcPts[RK],0)),"")</f>
        <v>11</v>
      </c>
      <c r="L112" s="248">
        <f>IFERROR(INDEX(TableRBCalcPts[Custom],MATCH(TableRBVORP[[#This Row],[RK]],TableRBCalcPts[RK],0)),"")</f>
        <v>11.344162867392939</v>
      </c>
      <c r="M112" s="249">
        <f>IFERROR((TableRBVORP[[#This Row],[FPS]]-INDEX(TableRBVORP[FPS],MATCH(RBVORPCalc,TableRBVORP[RK],0)))/INDEX(TableRBVORP[FPS],MATCH(RBVORPCalc,TableRBVORP[RK],0)),"")</f>
        <v>-0.88803537526797482</v>
      </c>
      <c r="N112" s="246"/>
      <c r="O112" s="246">
        <v>111</v>
      </c>
      <c r="P112" s="247" t="str">
        <f>IFERROR(INDEX(TableWRCalcPts[PLAYER],MATCH(TableWRVORP[[#This Row],[RK]],TableWRCalcPts[RK],0)),"")</f>
        <v>Chris Conley</v>
      </c>
      <c r="Q112" s="247" t="str">
        <f>IFERROR(INDEX(TableWRCalcPts[TM],MATCH(TableWRVORP[[#This Row],[RK]],TableWRCalcPts[RK],0)),"")</f>
        <v>HOU</v>
      </c>
      <c r="R112" s="247">
        <f>IFERROR(INDEX(TableWRCalcPts[BYE],MATCH(TableWRVORP[[#This Row],[RK]],TableWRCalcPts[RK],0)),"")</f>
        <v>6</v>
      </c>
      <c r="S112" s="248">
        <f>IFERROR(INDEX(TableWRCalcPts[Custom],MATCH(TableWRVORP[[#This Row],[RK]],TableWRCalcPts[RK],0)),"")</f>
        <v>32.477047166674978</v>
      </c>
      <c r="T112" s="249">
        <f>IFERROR((TableWRVORP[[#This Row],[FPS]]-INDEX(TableWRVORP[FPS],MATCH(WRVORPCalc,TableWRVORP[RK],0)))/INDEX(TableWRVORP[FPS],MATCH(WRVORPCalc,TableWRVORP[RK],0)),"")</f>
        <v>-0.70197022796384834</v>
      </c>
      <c r="U112" s="246"/>
      <c r="V112" s="246"/>
      <c r="AB112" s="246"/>
      <c r="AC112" s="250"/>
      <c r="AD112" s="250"/>
      <c r="AE112" s="250"/>
      <c r="AF112" s="250" t="s">
        <v>357</v>
      </c>
      <c r="AG112" s="250">
        <v>71</v>
      </c>
      <c r="AH112" s="251">
        <f>RANK(TableOverallMaster[[#This Row],[VORP]],TableOverallMaster[VORP])+COUNTIF($AM$2:AM112,AM112)-1</f>
        <v>241</v>
      </c>
      <c r="AI112" s="252" t="str">
        <f>IFERROR(INDEX(TableRBVORP[RUNNING BACK],MATCH(TableOverallMaster[[#This Row],[RK]],TableRBVORP[RK],0)),"")</f>
        <v>Dontrell Hilliard</v>
      </c>
      <c r="AJ112" s="252" t="str">
        <f t="shared" si="1"/>
        <v>RB71</v>
      </c>
      <c r="AK112" s="252">
        <f>IFERROR(INDEX(TableRBVORP[BYE],MATCH(TableOverallMaster[[#This Row],[RK]],TableRBVORP[RK],0)),"")</f>
        <v>6</v>
      </c>
      <c r="AL112" s="253">
        <f>IFERROR(INDEX(TableRBVORP[FPS],MATCH(TableOverallMaster[[#This Row],[RK]],TableRBVORP[RK],0)),"")</f>
        <v>40.937847165105438</v>
      </c>
      <c r="AM112" s="254">
        <f>IFERROR(INDEX(TableRBVORP[VORP],MATCH(TableOverallMaster[[#This Row],[RK]],TableRBVORP[RK],0)),"")</f>
        <v>-0.59595161416865239</v>
      </c>
      <c r="AN112" s="250"/>
      <c r="AO112" s="250">
        <v>111</v>
      </c>
      <c r="AP112" s="255" t="str">
        <f>IFERROR(INDEX(TableOverallMaster[OVERALL PLAYER],MATCH(TableOverallRank[[#This Row],[RK]],TableOverallMaster[OVR RK],0)),"")</f>
        <v>Tyler Boyd</v>
      </c>
      <c r="AQ112" s="256" t="str">
        <f>IFERROR(INDEX(TableOverallMaster[POS RK],MATCH(TableOverallRank[[#This Row],[OVERALL PLAYER]],TableOverallMaster[OVERALL PLAYER],0)),"")</f>
        <v>WR45</v>
      </c>
      <c r="AR112" s="257">
        <f>IFERROR(INDEX(TableOverallMaster[BYE],MATCH(TableOverallRank[[#This Row],[OVERALL PLAYER]],TableOverallMaster[OVERALL PLAYER],0)),"")</f>
        <v>10</v>
      </c>
      <c r="AS112" s="258">
        <f>IFERROR(INDEX(TableOverallMaster[Custom],MATCH(TableOverallRank[[#This Row],[OVERALL PLAYER]],TableOverallMaster[OVERALL PLAYER],0)),"")</f>
        <v>115.93168781692657</v>
      </c>
      <c r="AT112" s="259">
        <f>IFERROR(INDEX(TableOverallMaster[VORP],MATCH(TableOverallRank[[#This Row],[OVERALL PLAYER]],TableOverallMaster[OVERALL PLAYER],0)),"")</f>
        <v>6.3861942698354143E-2</v>
      </c>
      <c r="AU112" s="250"/>
      <c r="AV112" s="246">
        <v>111</v>
      </c>
      <c r="AW112" s="260" t="str">
        <f>IFERROR(INDEX(TableWRTECalcPts[PLAYER],MATCH(TableWRTERank[[#This Row],[RK]],TableWRTECalcPts[RK],0)),"")</f>
        <v>Kendrick Bourne</v>
      </c>
      <c r="AX112" s="260" t="str">
        <f>IFERROR(INDEX(TableWRTECalcPts[POS RK],MATCH(TableWRTERank[[#This Row],[WR and TE COMBINED]],TableWRTECalcPts[PLAYER],0)),"")</f>
        <v>WR83</v>
      </c>
      <c r="AY112" s="260">
        <f>IFERROR(INDEX(TableWRTECalcPts[BYE],MATCH(TableWRTERank[[#This Row],[RK]],TableWRTECalcPts[RK],0)),"")</f>
        <v>10</v>
      </c>
      <c r="AZ112" s="261">
        <f>IFERROR(INDEX(TableWRTECalcPts[Custom],MATCH(TableWRTERank[[#This Row],[RK]],TableWRTECalcPts[RK],0)),"")</f>
        <v>72.660276936222047</v>
      </c>
      <c r="BA112" s="249">
        <f>IFERROR((TableWRTERank[[#This Row],[FPS]]-INDEX(TableWRTERank[FPS],MATCH(WRTEVORPCalc,TableWRTERank[RK],0)))/INDEX(TableWRTERank[FPS],MATCH(WRTEVORPCalc,TableWRTERank[RK],0)),"")</f>
        <v>-0.38812478853291082</v>
      </c>
      <c r="BC112" s="124" t="s">
        <v>358</v>
      </c>
      <c r="BD112" s="124">
        <v>111</v>
      </c>
      <c r="BE112" s="262">
        <f>RANK(TableWRTEMaster[[#This Row],[VORP]],TableWRTEMaster[VORP])+COUNTIF($BJ$2:BJ112,BJ112)-1</f>
        <v>151</v>
      </c>
      <c r="BF112" s="263" t="str">
        <f>IFERROR(INDEX(TableWRVORP[WIDE RECEIVER],MATCH(TableWRTEMaster[[#This Row],[RK]],TableWRVORP[RK],0)),"")</f>
        <v>Chris Conley</v>
      </c>
      <c r="BG112" s="263" t="str">
        <f>_xlfn.CONCAT(TableWRTEMaster[[#This Row],[POS]],TableWRTEMaster[[#This Row],[RK]])</f>
        <v>WR111</v>
      </c>
      <c r="BH112" s="263">
        <f>IFERROR(INDEX(TableWRVORP[BYE],MATCH(TableWRTEMaster[[#This Row],[RK]],TableWRVORP[RK],0)),"")</f>
        <v>6</v>
      </c>
      <c r="BI112" s="264">
        <f>IFERROR(INDEX(TableWRVORP[FPS],MATCH(TableWRTEMaster[[#This Row],[RK]],TableWRVORP[RK],0)),"")</f>
        <v>32.477047166674978</v>
      </c>
      <c r="BJ112" s="254">
        <f>IFERROR(INDEX(TableWRVORP[VORP],MATCH(TableWRTEMaster[[#This Row],[RK]],TableWRVORP[RK],0)),"")</f>
        <v>-0.70197022796384834</v>
      </c>
    </row>
    <row r="113" spans="7:62" x14ac:dyDescent="0.3">
      <c r="G113" s="246"/>
      <c r="H113" s="246">
        <v>112</v>
      </c>
      <c r="I113" s="247" t="str">
        <f>IFERROR(INDEX(TableRBCalcPts[PLAYER],MATCH(TableRBVORP[[#This Row],[RK]],TableRBCalcPts[RK],0)),"")</f>
        <v>Mike Boone</v>
      </c>
      <c r="J113" s="247" t="str">
        <f>IFERROR(INDEX(TableRBCalcPts[TM],MATCH(TableRBVORP[[#This Row],[RK]],TableRBCalcPts[RK],0)),"")</f>
        <v>DEN</v>
      </c>
      <c r="K113" s="247">
        <f>IFERROR(INDEX(TableRBCalcPts[BYE],MATCH(TableRBVORP[[#This Row],[RK]],TableRBCalcPts[RK],0)),"")</f>
        <v>9</v>
      </c>
      <c r="L113" s="248">
        <f>IFERROR(INDEX(TableRBCalcPts[Custom],MATCH(TableRBVORP[[#This Row],[RK]],TableRBCalcPts[RK],0)),"")</f>
        <v>11.061972738905069</v>
      </c>
      <c r="M113" s="249">
        <f>IFERROR((TableRBVORP[[#This Row],[FPS]]-INDEX(TableRBVORP[FPS],MATCH(RBVORPCalc,TableRBVORP[RK],0)))/INDEX(TableRBVORP[FPS],MATCH(RBVORPCalc,TableRBVORP[RK],0)),"")</f>
        <v>-0.89082053554895446</v>
      </c>
      <c r="N113" s="246"/>
      <c r="O113" s="246">
        <v>112</v>
      </c>
      <c r="P113" s="247" t="str">
        <f>IFERROR(INDEX(TableWRCalcPts[PLAYER],MATCH(TableWRVORP[[#This Row],[RK]],TableWRCalcPts[RK],0)),"")</f>
        <v>Amari Rodgers</v>
      </c>
      <c r="Q113" s="247" t="str">
        <f>IFERROR(INDEX(TableWRCalcPts[TM],MATCH(TableWRVORP[[#This Row],[RK]],TableWRCalcPts[RK],0)),"")</f>
        <v>GB</v>
      </c>
      <c r="R113" s="247">
        <f>IFERROR(INDEX(TableWRCalcPts[BYE],MATCH(TableWRVORP[[#This Row],[RK]],TableWRCalcPts[RK],0)),"")</f>
        <v>14</v>
      </c>
      <c r="S113" s="248">
        <f>IFERROR(INDEX(TableWRCalcPts[Custom],MATCH(TableWRVORP[[#This Row],[RK]],TableWRCalcPts[RK],0)),"")</f>
        <v>32.268086751033962</v>
      </c>
      <c r="T113" s="249">
        <f>IFERROR((TableWRVORP[[#This Row],[FPS]]-INDEX(TableWRVORP[FPS],MATCH(WRVORPCalc,TableWRVORP[RK],0)))/INDEX(TableWRVORP[FPS],MATCH(WRVORPCalc,TableWRVORP[RK],0)),"")</f>
        <v>-0.70388777991118101</v>
      </c>
      <c r="U113" s="246"/>
      <c r="V113" s="246"/>
      <c r="AB113" s="246"/>
      <c r="AC113" s="250"/>
      <c r="AD113" s="250"/>
      <c r="AE113" s="250"/>
      <c r="AF113" s="250" t="s">
        <v>357</v>
      </c>
      <c r="AG113" s="250">
        <v>72</v>
      </c>
      <c r="AH113" s="251">
        <f>RANK(TableOverallMaster[[#This Row],[VORP]],TableOverallMaster[VORP])+COUNTIF($AM$2:AM113,AM113)-1</f>
        <v>242</v>
      </c>
      <c r="AI113" s="252" t="str">
        <f>IFERROR(INDEX(TableRBVORP[RUNNING BACK],MATCH(TableOverallMaster[[#This Row],[RK]],TableRBVORP[RK],0)),"")</f>
        <v>Hassan Haskins</v>
      </c>
      <c r="AJ113" s="252" t="str">
        <f t="shared" si="1"/>
        <v>RB72</v>
      </c>
      <c r="AK113" s="252">
        <f>IFERROR(INDEX(TableRBVORP[BYE],MATCH(TableOverallMaster[[#This Row],[RK]],TableRBVORP[RK],0)),"")</f>
        <v>6</v>
      </c>
      <c r="AL113" s="253">
        <f>IFERROR(INDEX(TableRBVORP[FPS],MATCH(TableOverallMaster[[#This Row],[RK]],TableRBVORP[RK],0)),"")</f>
        <v>40.841685253732471</v>
      </c>
      <c r="AM113" s="254">
        <f>IFERROR(INDEX(TableRBVORP[VORP],MATCH(TableOverallMaster[[#This Row],[RK]],TableRBVORP[RK],0)),"")</f>
        <v>-0.59690071305291958</v>
      </c>
      <c r="AN113" s="250"/>
      <c r="AO113" s="250">
        <v>112</v>
      </c>
      <c r="AP113" s="255" t="str">
        <f>IFERROR(INDEX(TableOverallMaster[OVERALL PLAYER],MATCH(TableOverallRank[[#This Row],[RK]],TableOverallMaster[OVR RK],0)),"")</f>
        <v>Treylon Burks</v>
      </c>
      <c r="AQ113" s="256" t="str">
        <f>IFERROR(INDEX(TableOverallMaster[POS RK],MATCH(TableOverallRank[[#This Row],[OVERALL PLAYER]],TableOverallMaster[OVERALL PLAYER],0)),"")</f>
        <v>WR46</v>
      </c>
      <c r="AR113" s="257">
        <f>IFERROR(INDEX(TableOverallMaster[BYE],MATCH(TableOverallRank[[#This Row],[OVERALL PLAYER]],TableOverallMaster[OVERALL PLAYER],0)),"")</f>
        <v>6</v>
      </c>
      <c r="AS113" s="258">
        <f>IFERROR(INDEX(TableOverallMaster[Custom],MATCH(TableOverallRank[[#This Row],[OVERALL PLAYER]],TableOverallMaster[OVERALL PLAYER],0)),"")</f>
        <v>113.28738996373363</v>
      </c>
      <c r="AT113" s="259">
        <f>IFERROR(INDEX(TableOverallMaster[VORP],MATCH(TableOverallRank[[#This Row],[OVERALL PLAYER]],TableOverallMaster[OVERALL PLAYER],0)),"")</f>
        <v>3.9596205658336769E-2</v>
      </c>
      <c r="AU113" s="250"/>
      <c r="AV113" s="246">
        <v>112</v>
      </c>
      <c r="AW113" s="260" t="str">
        <f>IFERROR(INDEX(TableWRTECalcPts[PLAYER],MATCH(TableWRTERank[[#This Row],[RK]],TableWRTECalcPts[RK],0)),"")</f>
        <v>Nico Collins</v>
      </c>
      <c r="AX113" s="260" t="str">
        <f>IFERROR(INDEX(TableWRTECalcPts[POS RK],MATCH(TableWRTERank[[#This Row],[WR and TE COMBINED]],TableWRTECalcPts[PLAYER],0)),"")</f>
        <v>WR84</v>
      </c>
      <c r="AY113" s="260">
        <f>IFERROR(INDEX(TableWRTECalcPts[BYE],MATCH(TableWRTERank[[#This Row],[RK]],TableWRTECalcPts[RK],0)),"")</f>
        <v>6</v>
      </c>
      <c r="AZ113" s="261">
        <f>IFERROR(INDEX(TableWRTECalcPts[Custom],MATCH(TableWRTERank[[#This Row],[RK]],TableWRTECalcPts[RK],0)),"")</f>
        <v>72.512646152315625</v>
      </c>
      <c r="BA113" s="249">
        <f>IFERROR((TableWRTERank[[#This Row],[FPS]]-INDEX(TableWRTERank[FPS],MATCH(WRTEVORPCalc,TableWRTERank[RK],0)))/INDEX(TableWRTERank[FPS],MATCH(WRTEVORPCalc,TableWRTERank[RK],0)),"")</f>
        <v>-0.38936799349896239</v>
      </c>
      <c r="BC113" s="124" t="s">
        <v>358</v>
      </c>
      <c r="BD113" s="124">
        <v>112</v>
      </c>
      <c r="BE113" s="262">
        <f>RANK(TableWRTEMaster[[#This Row],[VORP]],TableWRTEMaster[VORP])+COUNTIF($BJ$2:BJ113,BJ113)-1</f>
        <v>152</v>
      </c>
      <c r="BF113" s="263" t="str">
        <f>IFERROR(INDEX(TableWRVORP[WIDE RECEIVER],MATCH(TableWRTEMaster[[#This Row],[RK]],TableWRVORP[RK],0)),"")</f>
        <v>Amari Rodgers</v>
      </c>
      <c r="BG113" s="263" t="str">
        <f>_xlfn.CONCAT(TableWRTEMaster[[#This Row],[POS]],TableWRTEMaster[[#This Row],[RK]])</f>
        <v>WR112</v>
      </c>
      <c r="BH113" s="263">
        <f>IFERROR(INDEX(TableWRVORP[BYE],MATCH(TableWRTEMaster[[#This Row],[RK]],TableWRVORP[RK],0)),"")</f>
        <v>14</v>
      </c>
      <c r="BI113" s="264">
        <f>IFERROR(INDEX(TableWRVORP[FPS],MATCH(TableWRTEMaster[[#This Row],[RK]],TableWRVORP[RK],0)),"")</f>
        <v>32.268086751033962</v>
      </c>
      <c r="BJ113" s="254">
        <f>IFERROR(INDEX(TableWRVORP[VORP],MATCH(TableWRTEMaster[[#This Row],[RK]],TableWRVORP[RK],0)),"")</f>
        <v>-0.70388777991118101</v>
      </c>
    </row>
    <row r="114" spans="7:62" x14ac:dyDescent="0.3">
      <c r="G114" s="246"/>
      <c r="H114" s="246">
        <v>113</v>
      </c>
      <c r="I114" s="247" t="str">
        <f>IFERROR(INDEX(TableRBCalcPts[PLAYER],MATCH(TableRBVORP[[#This Row],[RK]],TableRBCalcPts[RK],0)),"")</f>
        <v>Kene Nwangwu</v>
      </c>
      <c r="J114" s="247" t="str">
        <f>IFERROR(INDEX(TableRBCalcPts[TM],MATCH(TableRBVORP[[#This Row],[RK]],TableRBCalcPts[RK],0)),"")</f>
        <v>MIN</v>
      </c>
      <c r="K114" s="247">
        <f>IFERROR(INDEX(TableRBCalcPts[BYE],MATCH(TableRBVORP[[#This Row],[RK]],TableRBCalcPts[RK],0)),"")</f>
        <v>7</v>
      </c>
      <c r="L114" s="248">
        <f>IFERROR(INDEX(TableRBCalcPts[Custom],MATCH(TableRBVORP[[#This Row],[RK]],TableRBCalcPts[RK],0)),"")</f>
        <v>9.9852489395806376</v>
      </c>
      <c r="M114" s="249">
        <f>IFERROR((TableRBVORP[[#This Row],[FPS]]-INDEX(TableRBVORP[FPS],MATCH(RBVORPCalc,TableRBVORP[RK],0)))/INDEX(TableRBVORP[FPS],MATCH(RBVORPCalc,TableRBVORP[RK],0)),"")</f>
        <v>-0.90144758467903319</v>
      </c>
      <c r="N114" s="246"/>
      <c r="O114" s="246">
        <v>113</v>
      </c>
      <c r="P114" s="247" t="str">
        <f>IFERROR(INDEX(TableWRCalcPts[PLAYER],MATCH(TableWRVORP[[#This Row],[RK]],TableWRCalcPts[RK],0)),"")</f>
        <v>Josh Reynolds</v>
      </c>
      <c r="Q114" s="247" t="str">
        <f>IFERROR(INDEX(TableWRCalcPts[TM],MATCH(TableWRVORP[[#This Row],[RK]],TableWRCalcPts[RK],0)),"")</f>
        <v>DET</v>
      </c>
      <c r="R114" s="247">
        <f>IFERROR(INDEX(TableWRCalcPts[BYE],MATCH(TableWRVORP[[#This Row],[RK]],TableWRCalcPts[RK],0)),"")</f>
        <v>6</v>
      </c>
      <c r="S114" s="248">
        <f>IFERROR(INDEX(TableWRCalcPts[Custom],MATCH(TableWRVORP[[#This Row],[RK]],TableWRCalcPts[RK],0)),"")</f>
        <v>29.669607801472058</v>
      </c>
      <c r="T114" s="249">
        <f>IFERROR((TableWRVORP[[#This Row],[FPS]]-INDEX(TableWRVORP[FPS],MATCH(WRVORPCalc,TableWRVORP[RK],0)))/INDEX(TableWRVORP[FPS],MATCH(WRVORPCalc,TableWRVORP[RK],0)),"")</f>
        <v>-0.72773305392899013</v>
      </c>
      <c r="U114" s="246"/>
      <c r="V114" s="246"/>
      <c r="AB114" s="246"/>
      <c r="AC114" s="250"/>
      <c r="AD114" s="250"/>
      <c r="AE114" s="250"/>
      <c r="AF114" s="250" t="s">
        <v>357</v>
      </c>
      <c r="AG114" s="250">
        <v>73</v>
      </c>
      <c r="AH114" s="251">
        <f>RANK(TableOverallMaster[[#This Row],[VORP]],TableOverallMaster[VORP])+COUNTIF($AM$2:AM114,AM114)-1</f>
        <v>250</v>
      </c>
      <c r="AI114" s="252" t="str">
        <f>IFERROR(INDEX(TableRBVORP[RUNNING BACK],MATCH(TableOverallMaster[[#This Row],[RK]],TableRBVORP[RK],0)),"")</f>
        <v>Samaje Perine</v>
      </c>
      <c r="AJ114" s="252" t="str">
        <f t="shared" si="1"/>
        <v>RB73</v>
      </c>
      <c r="AK114" s="252">
        <f>IFERROR(INDEX(TableRBVORP[BYE],MATCH(TableOverallMaster[[#This Row],[RK]],TableRBVORP[RK],0)),"")</f>
        <v>10</v>
      </c>
      <c r="AL114" s="253">
        <f>IFERROR(INDEX(TableRBVORP[FPS],MATCH(TableOverallMaster[[#This Row],[RK]],TableRBVORP[RK],0)),"")</f>
        <v>37.390647163356761</v>
      </c>
      <c r="AM114" s="254">
        <f>IFERROR(INDEX(TableRBVORP[VORP],MATCH(TableOverallMaster[[#This Row],[RK]],TableRBVORP[RK],0)),"")</f>
        <v>-0.63096177064188208</v>
      </c>
      <c r="AN114" s="250"/>
      <c r="AO114" s="250">
        <v>113</v>
      </c>
      <c r="AP114" s="255" t="str">
        <f>IFERROR(INDEX(TableOverallMaster[OVERALL PLAYER],MATCH(TableOverallRank[[#This Row],[RK]],TableOverallMaster[OVR RK],0)),"")</f>
        <v>Zach Wilson</v>
      </c>
      <c r="AQ114" s="256" t="str">
        <f>IFERROR(INDEX(TableOverallMaster[POS RK],MATCH(TableOverallRank[[#This Row],[OVERALL PLAYER]],TableOverallMaster[OVERALL PLAYER],0)),"")</f>
        <v>QB21</v>
      </c>
      <c r="AR114" s="257">
        <f>IFERROR(INDEX(TableOverallMaster[BYE],MATCH(TableOverallRank[[#This Row],[OVERALL PLAYER]],TableOverallMaster[OVERALL PLAYER],0)),"")</f>
        <v>10</v>
      </c>
      <c r="AS114" s="258">
        <f>IFERROR(INDEX(TableOverallMaster[Custom],MATCH(TableOverallRank[[#This Row],[OVERALL PLAYER]],TableOverallMaster[OVERALL PLAYER],0)),"")</f>
        <v>276.60231184125121</v>
      </c>
      <c r="AT114" s="259">
        <f>IFERROR(INDEX(TableOverallMaster[VORP],MATCH(TableOverallRank[[#This Row],[OVERALL PLAYER]],TableOverallMaster[OVERALL PLAYER],0)),"")</f>
        <v>3.5832124940017529E-2</v>
      </c>
      <c r="AU114" s="250"/>
      <c r="AV114" s="246">
        <v>113</v>
      </c>
      <c r="AW114" s="260" t="str">
        <f>IFERROR(INDEX(TableWRTECalcPts[PLAYER],MATCH(TableWRTERank[[#This Row],[RK]],TableWRTECalcPts[RK],0)),"")</f>
        <v>Sterling Shepard</v>
      </c>
      <c r="AX114" s="260" t="str">
        <f>IFERROR(INDEX(TableWRTECalcPts[POS RK],MATCH(TableWRTERank[[#This Row],[WR and TE COMBINED]],TableWRTECalcPts[PLAYER],0)),"")</f>
        <v>WR85</v>
      </c>
      <c r="AY114" s="260">
        <f>IFERROR(INDEX(TableWRTECalcPts[BYE],MATCH(TableWRTERank[[#This Row],[RK]],TableWRTECalcPts[RK],0)),"")</f>
        <v>9</v>
      </c>
      <c r="AZ114" s="261">
        <f>IFERROR(INDEX(TableWRTECalcPts[Custom],MATCH(TableWRTERank[[#This Row],[RK]],TableWRTECalcPts[RK],0)),"")</f>
        <v>69.979573413176695</v>
      </c>
      <c r="BA114" s="249">
        <f>IFERROR((TableWRTERank[[#This Row],[FPS]]-INDEX(TableWRTERank[FPS],MATCH(WRTEVORPCalc,TableWRTERank[RK],0)))/INDEX(TableWRTERank[FPS],MATCH(WRTEVORPCalc,TableWRTERank[RK],0)),"")</f>
        <v>-0.41069910429671791</v>
      </c>
      <c r="BC114" s="124" t="s">
        <v>358</v>
      </c>
      <c r="BD114" s="124">
        <v>113</v>
      </c>
      <c r="BE114" s="262">
        <f>RANK(TableWRTEMaster[[#This Row],[VORP]],TableWRTEMaster[VORP])+COUNTIF($BJ$2:BJ114,BJ114)-1</f>
        <v>158</v>
      </c>
      <c r="BF114" s="263" t="str">
        <f>IFERROR(INDEX(TableWRVORP[WIDE RECEIVER],MATCH(TableWRTEMaster[[#This Row],[RK]],TableWRVORP[RK],0)),"")</f>
        <v>Josh Reynolds</v>
      </c>
      <c r="BG114" s="263" t="str">
        <f>_xlfn.CONCAT(TableWRTEMaster[[#This Row],[POS]],TableWRTEMaster[[#This Row],[RK]])</f>
        <v>WR113</v>
      </c>
      <c r="BH114" s="263">
        <f>IFERROR(INDEX(TableWRVORP[BYE],MATCH(TableWRTEMaster[[#This Row],[RK]],TableWRVORP[RK],0)),"")</f>
        <v>6</v>
      </c>
      <c r="BI114" s="264">
        <f>IFERROR(INDEX(TableWRVORP[FPS],MATCH(TableWRTEMaster[[#This Row],[RK]],TableWRVORP[RK],0)),"")</f>
        <v>29.669607801472058</v>
      </c>
      <c r="BJ114" s="254">
        <f>IFERROR(INDEX(TableWRVORP[VORP],MATCH(TableWRTEMaster[[#This Row],[RK]],TableWRVORP[RK],0)),"")</f>
        <v>-0.72773305392899013</v>
      </c>
    </row>
    <row r="115" spans="7:62" x14ac:dyDescent="0.3">
      <c r="G115" s="246"/>
      <c r="H115" s="246">
        <v>114</v>
      </c>
      <c r="I115" s="247" t="str">
        <f>IFERROR(INDEX(TableRBCalcPts[PLAYER],MATCH(TableRBVORP[[#This Row],[RK]],TableRBCalcPts[RK],0)),"")</f>
        <v>Trestan Ebner</v>
      </c>
      <c r="J115" s="247" t="str">
        <f>IFERROR(INDEX(TableRBCalcPts[TM],MATCH(TableRBVORP[[#This Row],[RK]],TableRBCalcPts[RK],0)),"")</f>
        <v>CHI</v>
      </c>
      <c r="K115" s="247">
        <f>IFERROR(INDEX(TableRBCalcPts[BYE],MATCH(TableRBVORP[[#This Row],[RK]],TableRBCalcPts[RK],0)),"")</f>
        <v>14</v>
      </c>
      <c r="L115" s="248">
        <f>IFERROR(INDEX(TableRBCalcPts[Custom],MATCH(TableRBVORP[[#This Row],[RK]],TableRBCalcPts[RK],0)),"")</f>
        <v>8.6639733459383361</v>
      </c>
      <c r="M115" s="249">
        <f>IFERROR((TableRBVORP[[#This Row],[FPS]]-INDEX(TableRBVORP[FPS],MATCH(RBVORPCalc,TableRBVORP[RK],0)))/INDEX(TableRBVORP[FPS],MATCH(RBVORPCalc,TableRBVORP[RK],0)),"")</f>
        <v>-0.91448831123938301</v>
      </c>
      <c r="N115" s="246"/>
      <c r="O115" s="246">
        <v>114</v>
      </c>
      <c r="P115" s="247" t="str">
        <f>IFERROR(INDEX(TableWRCalcPts[PLAYER],MATCH(TableWRVORP[[#This Row],[RK]],TableWRCalcPts[RK],0)),"")</f>
        <v>Tyler Johnson</v>
      </c>
      <c r="Q115" s="247" t="str">
        <f>IFERROR(INDEX(TableWRCalcPts[TM],MATCH(TableWRVORP[[#This Row],[RK]],TableWRCalcPts[RK],0)),"")</f>
        <v>TB</v>
      </c>
      <c r="R115" s="247">
        <f>IFERROR(INDEX(TableWRCalcPts[BYE],MATCH(TableWRVORP[[#This Row],[RK]],TableWRCalcPts[RK],0)),"")</f>
        <v>11</v>
      </c>
      <c r="S115" s="248">
        <f>IFERROR(INDEX(TableWRCalcPts[Custom],MATCH(TableWRVORP[[#This Row],[RK]],TableWRCalcPts[RK],0)),"")</f>
        <v>29.439095558228555</v>
      </c>
      <c r="T115" s="249">
        <f>IFERROR((TableWRVORP[[#This Row],[FPS]]-INDEX(TableWRVORP[FPS],MATCH(WRVORPCalc,TableWRVORP[RK],0)))/INDEX(TableWRVORP[FPS],MATCH(WRVORPCalc,TableWRVORP[RK],0)),"")</f>
        <v>-0.72984837897540911</v>
      </c>
      <c r="U115" s="246"/>
      <c r="V115" s="246"/>
      <c r="AB115" s="246"/>
      <c r="AC115" s="250"/>
      <c r="AD115" s="250"/>
      <c r="AE115" s="250"/>
      <c r="AF115" s="250" t="s">
        <v>357</v>
      </c>
      <c r="AG115" s="250">
        <v>74</v>
      </c>
      <c r="AH115" s="251">
        <f>RANK(TableOverallMaster[[#This Row],[VORP]],TableOverallMaster[VORP])+COUNTIF($AM$2:AM115,AM115)-1</f>
        <v>251</v>
      </c>
      <c r="AI115" s="252" t="str">
        <f>IFERROR(INDEX(TableRBVORP[RUNNING BACK],MATCH(TableOverallMaster[[#This Row],[RK]],TableRBVORP[RK],0)),"")</f>
        <v>Tyrion Davis-Price</v>
      </c>
      <c r="AJ115" s="252" t="str">
        <f t="shared" si="1"/>
        <v>RB74</v>
      </c>
      <c r="AK115" s="252">
        <f>IFERROR(INDEX(TableRBVORP[BYE],MATCH(TableOverallMaster[[#This Row],[RK]],TableRBVORP[RK],0)),"")</f>
        <v>9</v>
      </c>
      <c r="AL115" s="253">
        <f>IFERROR(INDEX(TableRBVORP[FPS],MATCH(TableOverallMaster[[#This Row],[RK]],TableRBVORP[RK],0)),"")</f>
        <v>36.149053134488504</v>
      </c>
      <c r="AM115" s="254">
        <f>IFERROR(INDEX(TableRBVORP[VORP],MATCH(TableOverallMaster[[#This Row],[RK]],TableRBVORP[RK],0)),"")</f>
        <v>-0.64321605605163523</v>
      </c>
      <c r="AN115" s="250"/>
      <c r="AO115" s="250">
        <v>114</v>
      </c>
      <c r="AP115" s="255" t="str">
        <f>IFERROR(INDEX(TableOverallMaster[OVERALL PLAYER],MATCH(TableOverallRank[[#This Row],[RK]],TableOverallMaster[OVR RK],0)),"")</f>
        <v>Isaiah Spiller</v>
      </c>
      <c r="AQ115" s="256" t="str">
        <f>IFERROR(INDEX(TableOverallMaster[POS RK],MATCH(TableOverallRank[[#This Row],[OVERALL PLAYER]],TableOverallMaster[OVERALL PLAYER],0)),"")</f>
        <v>RB40</v>
      </c>
      <c r="AR115" s="257">
        <f>IFERROR(INDEX(TableOverallMaster[BYE],MATCH(TableOverallRank[[#This Row],[OVERALL PLAYER]],TableOverallMaster[OVERALL PLAYER],0)),"")</f>
        <v>8</v>
      </c>
      <c r="AS115" s="258">
        <f>IFERROR(INDEX(TableOverallMaster[Custom],MATCH(TableOverallRank[[#This Row],[OVERALL PLAYER]],TableOverallMaster[OVERALL PLAYER],0)),"")</f>
        <v>104.69818536642967</v>
      </c>
      <c r="AT115" s="259">
        <f>IFERROR(INDEX(TableOverallMaster[VORP],MATCH(TableOverallRank[[#This Row],[OVERALL PLAYER]],TableOverallMaster[OVERALL PLAYER],0)),"")</f>
        <v>3.3350205890539233E-2</v>
      </c>
      <c r="AU115" s="250"/>
      <c r="AV115" s="246">
        <v>114</v>
      </c>
      <c r="AW115" s="260" t="str">
        <f>IFERROR(INDEX(TableWRTECalcPts[PLAYER],MATCH(TableWRTERank[[#This Row],[RK]],TableWRTECalcPts[RK],0)),"")</f>
        <v>Jalen Guyton</v>
      </c>
      <c r="AX115" s="260" t="str">
        <f>IFERROR(INDEX(TableWRTECalcPts[POS RK],MATCH(TableWRTERank[[#This Row],[WR and TE COMBINED]],TableWRTECalcPts[PLAYER],0)),"")</f>
        <v>WR86</v>
      </c>
      <c r="AY115" s="260">
        <f>IFERROR(INDEX(TableWRTECalcPts[BYE],MATCH(TableWRTERank[[#This Row],[RK]],TableWRTECalcPts[RK],0)),"")</f>
        <v>8</v>
      </c>
      <c r="AZ115" s="261">
        <f>IFERROR(INDEX(TableWRTECalcPts[Custom],MATCH(TableWRTERank[[#This Row],[RK]],TableWRTECalcPts[RK],0)),"")</f>
        <v>69.095204526235136</v>
      </c>
      <c r="BA115" s="249">
        <f>IFERROR((TableWRTERank[[#This Row],[FPS]]-INDEX(TableWRTERank[FPS],MATCH(WRTEVORPCalc,TableWRTERank[RK],0)))/INDEX(TableWRTERank[FPS],MATCH(WRTEVORPCalc,TableWRTERank[RK],0)),"")</f>
        <v>-0.41814641144347231</v>
      </c>
      <c r="BC115" s="124" t="s">
        <v>358</v>
      </c>
      <c r="BD115" s="124">
        <v>114</v>
      </c>
      <c r="BE115" s="262">
        <f>RANK(TableWRTEMaster[[#This Row],[VORP]],TableWRTEMaster[VORP])+COUNTIF($BJ$2:BJ115,BJ115)-1</f>
        <v>159</v>
      </c>
      <c r="BF115" s="263" t="str">
        <f>IFERROR(INDEX(TableWRVORP[WIDE RECEIVER],MATCH(TableWRTEMaster[[#This Row],[RK]],TableWRVORP[RK],0)),"")</f>
        <v>Tyler Johnson</v>
      </c>
      <c r="BG115" s="263" t="str">
        <f>_xlfn.CONCAT(TableWRTEMaster[[#This Row],[POS]],TableWRTEMaster[[#This Row],[RK]])</f>
        <v>WR114</v>
      </c>
      <c r="BH115" s="263">
        <f>IFERROR(INDEX(TableWRVORP[BYE],MATCH(TableWRTEMaster[[#This Row],[RK]],TableWRVORP[RK],0)),"")</f>
        <v>11</v>
      </c>
      <c r="BI115" s="264">
        <f>IFERROR(INDEX(TableWRVORP[FPS],MATCH(TableWRTEMaster[[#This Row],[RK]],TableWRVORP[RK],0)),"")</f>
        <v>29.439095558228555</v>
      </c>
      <c r="BJ115" s="254">
        <f>IFERROR(INDEX(TableWRVORP[VORP],MATCH(TableWRTEMaster[[#This Row],[RK]],TableWRVORP[RK],0)),"")</f>
        <v>-0.72984837897540911</v>
      </c>
    </row>
    <row r="116" spans="7:62" x14ac:dyDescent="0.3">
      <c r="G116" s="246"/>
      <c r="H116" s="246">
        <v>115</v>
      </c>
      <c r="I116" s="247" t="str">
        <f>IFERROR(INDEX(TableRBCalcPts[PLAYER],MATCH(TableRBVORP[[#This Row],[RK]],TableRBCalcPts[RK],0)),"")</f>
        <v>Mateo Durant</v>
      </c>
      <c r="J116" s="247" t="str">
        <f>IFERROR(INDEX(TableRBCalcPts[TM],MATCH(TableRBVORP[[#This Row],[RK]],TableRBCalcPts[RK],0)),"")</f>
        <v>PIT</v>
      </c>
      <c r="K116" s="247">
        <f>IFERROR(INDEX(TableRBCalcPts[BYE],MATCH(TableRBVORP[[#This Row],[RK]],TableRBCalcPts[RK],0)),"")</f>
        <v>9</v>
      </c>
      <c r="L116" s="248">
        <f>IFERROR(INDEX(TableRBCalcPts[Custom],MATCH(TableRBVORP[[#This Row],[RK]],TableRBCalcPts[RK],0)),"")</f>
        <v>8.5881778728159155</v>
      </c>
      <c r="M116" s="249">
        <f>IFERROR((TableRBVORP[[#This Row],[FPS]]-INDEX(TableRBVORP[FPS],MATCH(RBVORPCalc,TableRBVORP[RK],0)))/INDEX(TableRBVORP[FPS],MATCH(RBVORPCalc,TableRBVORP[RK],0)),"")</f>
        <v>-0.9152363974405191</v>
      </c>
      <c r="N116" s="246"/>
      <c r="O116" s="246">
        <v>115</v>
      </c>
      <c r="P116" s="247" t="str">
        <f>IFERROR(INDEX(TableWRCalcPts[PLAYER],MATCH(TableWRVORP[[#This Row],[RK]],TableWRCalcPts[RK],0)),"")</f>
        <v>Tyquan Thornton</v>
      </c>
      <c r="Q116" s="247" t="str">
        <f>IFERROR(INDEX(TableWRCalcPts[TM],MATCH(TableWRVORP[[#This Row],[RK]],TableWRCalcPts[RK],0)),"")</f>
        <v>NE</v>
      </c>
      <c r="R116" s="247">
        <f>IFERROR(INDEX(TableWRCalcPts[BYE],MATCH(TableWRVORP[[#This Row],[RK]],TableWRCalcPts[RK],0)),"")</f>
        <v>10</v>
      </c>
      <c r="S116" s="248">
        <f>IFERROR(INDEX(TableWRCalcPts[Custom],MATCH(TableWRVORP[[#This Row],[RK]],TableWRCalcPts[RK],0)),"")</f>
        <v>28.18513651423002</v>
      </c>
      <c r="T116" s="249">
        <f>IFERROR((TableWRVORP[[#This Row],[FPS]]-INDEX(TableWRVORP[FPS],MATCH(WRVORPCalc,TableWRVORP[RK],0)))/INDEX(TableWRVORP[FPS],MATCH(WRVORPCalc,TableWRVORP[RK],0)),"")</f>
        <v>-0.74135549432698666</v>
      </c>
      <c r="U116" s="246"/>
      <c r="V116" s="246"/>
      <c r="AB116" s="246"/>
      <c r="AC116" s="250"/>
      <c r="AD116" s="250"/>
      <c r="AE116" s="250"/>
      <c r="AF116" s="250" t="s">
        <v>357</v>
      </c>
      <c r="AG116" s="250">
        <v>75</v>
      </c>
      <c r="AH116" s="251">
        <f>RANK(TableOverallMaster[[#This Row],[VORP]],TableOverallMaster[VORP])+COUNTIF($AM$2:AM116,AM116)-1</f>
        <v>253</v>
      </c>
      <c r="AI116" s="252" t="str">
        <f>IFERROR(INDEX(TableRBVORP[RUNNING BACK],MATCH(TableOverallMaster[[#This Row],[RK]],TableRBVORP[RK],0)),"")</f>
        <v>Tony Jones</v>
      </c>
      <c r="AJ116" s="252" t="str">
        <f t="shared" si="1"/>
        <v>RB75</v>
      </c>
      <c r="AK116" s="252">
        <f>IFERROR(INDEX(TableRBVORP[BYE],MATCH(TableOverallMaster[[#This Row],[RK]],TableRBVORP[RK],0)),"")</f>
        <v>14</v>
      </c>
      <c r="AL116" s="253">
        <f>IFERROR(INDEX(TableRBVORP[FPS],MATCH(TableOverallMaster[[#This Row],[RK]],TableRBVORP[RK],0)),"")</f>
        <v>35.395921736950839</v>
      </c>
      <c r="AM116" s="254">
        <f>IFERROR(INDEX(TableRBVORP[VORP],MATCH(TableOverallMaster[[#This Row],[RK]],TableRBVORP[RK],0)),"")</f>
        <v>-0.65064931272159965</v>
      </c>
      <c r="AN116" s="250"/>
      <c r="AO116" s="250">
        <v>115</v>
      </c>
      <c r="AP116" s="255" t="str">
        <f>IFERROR(INDEX(TableOverallMaster[OVERALL PLAYER],MATCH(TableOverallRank[[#This Row],[RK]],TableOverallMaster[OVR RK],0)),"")</f>
        <v>Khalil Herbert</v>
      </c>
      <c r="AQ116" s="256" t="str">
        <f>IFERROR(INDEX(TableOverallMaster[POS RK],MATCH(TableOverallRank[[#This Row],[OVERALL PLAYER]],TableOverallMaster[OVERALL PLAYER],0)),"")</f>
        <v>RB41</v>
      </c>
      <c r="AR116" s="257">
        <f>IFERROR(INDEX(TableOverallMaster[BYE],MATCH(TableOverallRank[[#This Row],[OVERALL PLAYER]],TableOverallMaster[OVERALL PLAYER],0)),"")</f>
        <v>14</v>
      </c>
      <c r="AS116" s="258">
        <f>IFERROR(INDEX(TableOverallMaster[Custom],MATCH(TableOverallRank[[#This Row],[OVERALL PLAYER]],TableOverallMaster[OVERALL PLAYER],0)),"")</f>
        <v>104.34152696576828</v>
      </c>
      <c r="AT116" s="259">
        <f>IFERROR(INDEX(TableOverallMaster[VORP],MATCH(TableOverallRank[[#This Row],[OVERALL PLAYER]],TableOverallMaster[OVERALL PLAYER],0)),"")</f>
        <v>2.9830058617058331E-2</v>
      </c>
      <c r="AU116" s="250"/>
      <c r="AV116" s="246">
        <v>115</v>
      </c>
      <c r="AW116" s="260" t="str">
        <f>IFERROR(INDEX(TableWRTECalcPts[PLAYER],MATCH(TableWRTERank[[#This Row],[RK]],TableWRTECalcPts[RK],0)),"")</f>
        <v>Corey Davis</v>
      </c>
      <c r="AX116" s="260" t="str">
        <f>IFERROR(INDEX(TableWRTECalcPts[POS RK],MATCH(TableWRTERank[[#This Row],[WR and TE COMBINED]],TableWRTECalcPts[PLAYER],0)),"")</f>
        <v>WR87</v>
      </c>
      <c r="AY116" s="260">
        <f>IFERROR(INDEX(TableWRTECalcPts[BYE],MATCH(TableWRTERank[[#This Row],[RK]],TableWRTECalcPts[RK],0)),"")</f>
        <v>10</v>
      </c>
      <c r="AZ116" s="261">
        <f>IFERROR(INDEX(TableWRTECalcPts[Custom],MATCH(TableWRTERank[[#This Row],[RK]],TableWRTECalcPts[RK],0)),"")</f>
        <v>65.288503663814794</v>
      </c>
      <c r="BA116" s="249">
        <f>IFERROR((TableWRTERank[[#This Row],[FPS]]-INDEX(TableWRTERank[FPS],MATCH(WRTEVORPCalc,TableWRTERank[RK],0)))/INDEX(TableWRTERank[FPS],MATCH(WRTEVORPCalc,TableWRTERank[RK],0)),"")</f>
        <v>-0.45020279759281068</v>
      </c>
      <c r="BC116" s="124" t="s">
        <v>358</v>
      </c>
      <c r="BD116" s="124">
        <v>115</v>
      </c>
      <c r="BE116" s="262">
        <f>RANK(TableWRTEMaster[[#This Row],[VORP]],TableWRTEMaster[VORP])+COUNTIF($BJ$2:BJ116,BJ116)-1</f>
        <v>161</v>
      </c>
      <c r="BF116" s="263" t="str">
        <f>IFERROR(INDEX(TableWRVORP[WIDE RECEIVER],MATCH(TableWRTEMaster[[#This Row],[RK]],TableWRVORP[RK],0)),"")</f>
        <v>Tyquan Thornton</v>
      </c>
      <c r="BG116" s="263" t="str">
        <f>_xlfn.CONCAT(TableWRTEMaster[[#This Row],[POS]],TableWRTEMaster[[#This Row],[RK]])</f>
        <v>WR115</v>
      </c>
      <c r="BH116" s="263">
        <f>IFERROR(INDEX(TableWRVORP[BYE],MATCH(TableWRTEMaster[[#This Row],[RK]],TableWRVORP[RK],0)),"")</f>
        <v>10</v>
      </c>
      <c r="BI116" s="264">
        <f>IFERROR(INDEX(TableWRVORP[FPS],MATCH(TableWRTEMaster[[#This Row],[RK]],TableWRVORP[RK],0)),"")</f>
        <v>28.18513651423002</v>
      </c>
      <c r="BJ116" s="254">
        <f>IFERROR(INDEX(TableWRVORP[VORP],MATCH(TableWRTEMaster[[#This Row],[RK]],TableWRVORP[RK],0)),"")</f>
        <v>-0.74135549432698666</v>
      </c>
    </row>
    <row r="117" spans="7:62" x14ac:dyDescent="0.3">
      <c r="G117" s="246"/>
      <c r="H117" s="246">
        <v>116</v>
      </c>
      <c r="I117" s="247" t="str">
        <f>IFERROR(INDEX(TableRBCalcPts[PLAYER],MATCH(TableRBVORP[[#This Row],[RK]],TableRBCalcPts[RK],0)),"")</f>
        <v>Larry Rountree</v>
      </c>
      <c r="J117" s="247" t="str">
        <f>IFERROR(INDEX(TableRBCalcPts[TM],MATCH(TableRBVORP[[#This Row],[RK]],TableRBCalcPts[RK],0)),"")</f>
        <v>LAC</v>
      </c>
      <c r="K117" s="247">
        <f>IFERROR(INDEX(TableRBCalcPts[BYE],MATCH(TableRBVORP[[#This Row],[RK]],TableRBCalcPts[RK],0)),"")</f>
        <v>8</v>
      </c>
      <c r="L117" s="248">
        <f>IFERROR(INDEX(TableRBCalcPts[Custom],MATCH(TableRBVORP[[#This Row],[RK]],TableRBCalcPts[RK],0)),"")</f>
        <v>8.1368825017856814</v>
      </c>
      <c r="M117" s="249">
        <f>IFERROR((TableRBVORP[[#This Row],[FPS]]-INDEX(TableRBVORP[FPS],MATCH(RBVORPCalc,TableRBVORP[RK],0)))/INDEX(TableRBVORP[FPS],MATCH(RBVORPCalc,TableRBVORP[RK],0)),"")</f>
        <v>-0.91969059273472975</v>
      </c>
      <c r="N117" s="246"/>
      <c r="O117" s="246">
        <v>116</v>
      </c>
      <c r="P117" s="247" t="str">
        <f>IFERROR(INDEX(TableWRCalcPts[PLAYER],MATCH(TableWRVORP[[#This Row],[RK]],TableWRCalcPts[RK],0)),"")</f>
        <v>Damiere Byrd</v>
      </c>
      <c r="Q117" s="247" t="str">
        <f>IFERROR(INDEX(TableWRCalcPts[TM],MATCH(TableWRVORP[[#This Row],[RK]],TableWRCalcPts[RK],0)),"")</f>
        <v>ATL</v>
      </c>
      <c r="R117" s="247">
        <f>IFERROR(INDEX(TableWRCalcPts[BYE],MATCH(TableWRVORP[[#This Row],[RK]],TableWRCalcPts[RK],0)),"")</f>
        <v>14</v>
      </c>
      <c r="S117" s="248">
        <f>IFERROR(INDEX(TableWRCalcPts[Custom],MATCH(TableWRVORP[[#This Row],[RK]],TableWRCalcPts[RK],0)),"")</f>
        <v>26.381639591041044</v>
      </c>
      <c r="T117" s="249">
        <f>IFERROR((TableWRVORP[[#This Row],[FPS]]-INDEX(TableWRVORP[FPS],MATCH(WRVORPCalc,TableWRVORP[RK],0)))/INDEX(TableWRVORP[FPS],MATCH(WRVORPCalc,TableWRVORP[RK],0)),"")</f>
        <v>-0.75790551422650021</v>
      </c>
      <c r="U117" s="246"/>
      <c r="V117" s="246"/>
      <c r="AB117" s="246"/>
      <c r="AC117" s="250"/>
      <c r="AD117" s="250"/>
      <c r="AE117" s="250"/>
      <c r="AF117" s="250" t="s">
        <v>357</v>
      </c>
      <c r="AG117" s="250">
        <v>76</v>
      </c>
      <c r="AH117" s="251">
        <f>RANK(TableOverallMaster[[#This Row],[VORP]],TableOverallMaster[VORP])+COUNTIF($AM$2:AM117,AM117)-1</f>
        <v>254</v>
      </c>
      <c r="AI117" s="252" t="str">
        <f>IFERROR(INDEX(TableRBVORP[RUNNING BACK],MATCH(TableOverallMaster[[#This Row],[RK]],TableRBVORP[RK],0)),"")</f>
        <v>Chuba Hubbard</v>
      </c>
      <c r="AJ117" s="252" t="str">
        <f t="shared" si="1"/>
        <v>RB76</v>
      </c>
      <c r="AK117" s="252">
        <f>IFERROR(INDEX(TableRBVORP[BYE],MATCH(TableOverallMaster[[#This Row],[RK]],TableRBVORP[RK],0)),"")</f>
        <v>13</v>
      </c>
      <c r="AL117" s="253">
        <f>IFERROR(INDEX(TableRBVORP[FPS],MATCH(TableOverallMaster[[#This Row],[RK]],TableRBVORP[RK],0)),"")</f>
        <v>35.014982512176438</v>
      </c>
      <c r="AM117" s="254">
        <f>IFERROR(INDEX(TableRBVORP[VORP],MATCH(TableOverallMaster[[#This Row],[RK]],TableRBVORP[RK],0)),"")</f>
        <v>-0.65440910688588916</v>
      </c>
      <c r="AN117" s="250"/>
      <c r="AO117" s="250">
        <v>116</v>
      </c>
      <c r="AP117" s="255" t="str">
        <f>IFERROR(INDEX(TableOverallMaster[OVERALL PLAYER],MATCH(TableOverallRank[[#This Row],[RK]],TableOverallMaster[OVR RK],0)),"")</f>
        <v>Irv Smith</v>
      </c>
      <c r="AQ117" s="256" t="str">
        <f>IFERROR(INDEX(TableOverallMaster[POS RK],MATCH(TableOverallRank[[#This Row],[OVERALL PLAYER]],TableOverallMaster[OVERALL PLAYER],0)),"")</f>
        <v>TE8</v>
      </c>
      <c r="AR117" s="257">
        <f>IFERROR(INDEX(TableOverallMaster[BYE],MATCH(TableOverallRank[[#This Row],[OVERALL PLAYER]],TableOverallMaster[OVERALL PLAYER],0)),"")</f>
        <v>7</v>
      </c>
      <c r="AS117" s="258">
        <f>IFERROR(INDEX(TableOverallMaster[Custom],MATCH(TableOverallRank[[#This Row],[OVERALL PLAYER]],TableOverallMaster[OVERALL PLAYER],0)),"")</f>
        <v>104.82297141661108</v>
      </c>
      <c r="AT117" s="259">
        <f>IFERROR(INDEX(TableOverallMaster[VORP],MATCH(TableOverallRank[[#This Row],[OVERALL PLAYER]],TableOverallMaster[OVERALL PLAYER],0)),"")</f>
        <v>2.3138340123066176E-2</v>
      </c>
      <c r="AU117" s="250"/>
      <c r="AV117" s="246">
        <v>116</v>
      </c>
      <c r="AW117" s="260" t="str">
        <f>IFERROR(INDEX(TableWRTECalcPts[PLAYER],MATCH(TableWRTERank[[#This Row],[RK]],TableWRTECalcPts[RK],0)),"")</f>
        <v>C.J. Uzomah</v>
      </c>
      <c r="AX117" s="260" t="str">
        <f>IFERROR(INDEX(TableWRTECalcPts[POS RK],MATCH(TableWRTERank[[#This Row],[WR and TE COMBINED]],TableWRTECalcPts[PLAYER],0)),"")</f>
        <v>TE29</v>
      </c>
      <c r="AY117" s="260">
        <f>IFERROR(INDEX(TableWRTECalcPts[BYE],MATCH(TableWRTERank[[#This Row],[RK]],TableWRTECalcPts[RK],0)),"")</f>
        <v>10</v>
      </c>
      <c r="AZ117" s="261">
        <f>IFERROR(INDEX(TableWRTECalcPts[Custom],MATCH(TableWRTERank[[#This Row],[RK]],TableWRTECalcPts[RK],0)),"")</f>
        <v>65.233312093704654</v>
      </c>
      <c r="BA117" s="249">
        <f>IFERROR((TableWRTERank[[#This Row],[FPS]]-INDEX(TableWRTERank[FPS],MATCH(WRTEVORPCalc,TableWRTERank[RK],0)))/INDEX(TableWRTERank[FPS],MATCH(WRTEVORPCalc,TableWRTERank[RK],0)),"")</f>
        <v>-0.45066756809818576</v>
      </c>
      <c r="BC117" s="124" t="s">
        <v>358</v>
      </c>
      <c r="BD117" s="124">
        <v>116</v>
      </c>
      <c r="BE117" s="262">
        <f>RANK(TableWRTEMaster[[#This Row],[VORP]],TableWRTEMaster[VORP])+COUNTIF($BJ$2:BJ117,BJ117)-1</f>
        <v>163</v>
      </c>
      <c r="BF117" s="263" t="str">
        <f>IFERROR(INDEX(TableWRVORP[WIDE RECEIVER],MATCH(TableWRTEMaster[[#This Row],[RK]],TableWRVORP[RK],0)),"")</f>
        <v>Damiere Byrd</v>
      </c>
      <c r="BG117" s="263" t="str">
        <f>_xlfn.CONCAT(TableWRTEMaster[[#This Row],[POS]],TableWRTEMaster[[#This Row],[RK]])</f>
        <v>WR116</v>
      </c>
      <c r="BH117" s="263">
        <f>IFERROR(INDEX(TableWRVORP[BYE],MATCH(TableWRTEMaster[[#This Row],[RK]],TableWRVORP[RK],0)),"")</f>
        <v>14</v>
      </c>
      <c r="BI117" s="264">
        <f>IFERROR(INDEX(TableWRVORP[FPS],MATCH(TableWRTEMaster[[#This Row],[RK]],TableWRVORP[RK],0)),"")</f>
        <v>26.381639591041044</v>
      </c>
      <c r="BJ117" s="254">
        <f>IFERROR(INDEX(TableWRVORP[VORP],MATCH(TableWRTEMaster[[#This Row],[RK]],TableWRVORP[RK],0)),"")</f>
        <v>-0.75790551422650021</v>
      </c>
    </row>
    <row r="118" spans="7:62" x14ac:dyDescent="0.3">
      <c r="G118" s="246"/>
      <c r="H118" s="246">
        <v>117</v>
      </c>
      <c r="I118" s="247" t="str">
        <f>IFERROR(INDEX(TableRBCalcPts[PLAYER],MATCH(TableRBVORP[[#This Row],[RK]],TableRBCalcPts[RK],0)),"")</f>
        <v>Trey Sermon</v>
      </c>
      <c r="J118" s="247" t="str">
        <f>IFERROR(INDEX(TableRBCalcPts[TM],MATCH(TableRBVORP[[#This Row],[RK]],TableRBCalcPts[RK],0)),"")</f>
        <v>SF</v>
      </c>
      <c r="K118" s="247">
        <f>IFERROR(INDEX(TableRBCalcPts[BYE],MATCH(TableRBVORP[[#This Row],[RK]],TableRBCalcPts[RK],0)),"")</f>
        <v>9</v>
      </c>
      <c r="L118" s="248">
        <f>IFERROR(INDEX(TableRBCalcPts[Custom],MATCH(TableRBVORP[[#This Row],[RK]],TableRBCalcPts[RK],0)),"")</f>
        <v>7.9660245732847432</v>
      </c>
      <c r="M118" s="249">
        <f>IFERROR((TableRBVORP[[#This Row],[FPS]]-INDEX(TableRBVORP[FPS],MATCH(RBVORPCalc,TableRBVORP[RK],0)))/INDEX(TableRBVORP[FPS],MATCH(RBVORPCalc,TableRBVORP[RK],0)),"")</f>
        <v>-0.92137692640877156</v>
      </c>
      <c r="N118" s="246"/>
      <c r="O118" s="246">
        <v>117</v>
      </c>
      <c r="P118" s="247" t="str">
        <f>IFERROR(INDEX(TableWRCalcPts[PLAYER],MATCH(TableWRVORP[[#This Row],[RK]],TableWRCalcPts[RK],0)),"")</f>
        <v>Freddie Swain</v>
      </c>
      <c r="Q118" s="247" t="str">
        <f>IFERROR(INDEX(TableWRCalcPts[TM],MATCH(TableWRVORP[[#This Row],[RK]],TableWRCalcPts[RK],0)),"")</f>
        <v>SEA</v>
      </c>
      <c r="R118" s="247">
        <f>IFERROR(INDEX(TableWRCalcPts[BYE],MATCH(TableWRVORP[[#This Row],[RK]],TableWRCalcPts[RK],0)),"")</f>
        <v>11</v>
      </c>
      <c r="S118" s="248">
        <f>IFERROR(INDEX(TableWRCalcPts[Custom],MATCH(TableWRVORP[[#This Row],[RK]],TableWRCalcPts[RK],0)),"")</f>
        <v>25.723306522259342</v>
      </c>
      <c r="T118" s="249">
        <f>IFERROR((TableWRVORP[[#This Row],[FPS]]-INDEX(TableWRVORP[FPS],MATCH(WRVORPCalc,TableWRVORP[RK],0)))/INDEX(TableWRVORP[FPS],MATCH(WRVORPCalc,TableWRVORP[RK],0)),"")</f>
        <v>-0.76394679172953006</v>
      </c>
      <c r="U118" s="246"/>
      <c r="V118" s="246"/>
      <c r="AB118" s="246"/>
      <c r="AC118" s="250"/>
      <c r="AD118" s="250"/>
      <c r="AE118" s="250"/>
      <c r="AF118" s="250" t="s">
        <v>357</v>
      </c>
      <c r="AG118" s="250">
        <v>77</v>
      </c>
      <c r="AH118" s="251">
        <f>RANK(TableOverallMaster[[#This Row],[VORP]],TableOverallMaster[VORP])+COUNTIF($AM$2:AM118,AM118)-1</f>
        <v>264</v>
      </c>
      <c r="AI118" s="252" t="str">
        <f>IFERROR(INDEX(TableRBVORP[RUNNING BACK],MATCH(TableOverallMaster[[#This Row],[RK]],TableRBVORP[RK],0)),"")</f>
        <v>Kyle Juszczyk</v>
      </c>
      <c r="AJ118" s="252" t="str">
        <f t="shared" si="1"/>
        <v>RB77</v>
      </c>
      <c r="AK118" s="252">
        <f>IFERROR(INDEX(TableRBVORP[BYE],MATCH(TableOverallMaster[[#This Row],[RK]],TableRBVORP[RK],0)),"")</f>
        <v>9</v>
      </c>
      <c r="AL118" s="253">
        <f>IFERROR(INDEX(TableRBVORP[FPS],MATCH(TableOverallMaster[[#This Row],[RK]],TableRBVORP[RK],0)),"")</f>
        <v>28.443327184365195</v>
      </c>
      <c r="AM118" s="254">
        <f>IFERROR(INDEX(TableRBVORP[VORP],MATCH(TableOverallMaster[[#This Row],[RK]],TableRBVORP[RK],0)),"")</f>
        <v>-0.71927003415285595</v>
      </c>
      <c r="AN118" s="250"/>
      <c r="AO118" s="250">
        <v>117</v>
      </c>
      <c r="AP118" s="255" t="str">
        <f>IFERROR(INDEX(TableOverallMaster[OVERALL PLAYER],MATCH(TableOverallRank[[#This Row],[RK]],TableOverallMaster[OVR RK],0)),"")</f>
        <v>Tim Patrick</v>
      </c>
      <c r="AQ118" s="256" t="str">
        <f>IFERROR(INDEX(TableOverallMaster[POS RK],MATCH(TableOverallRank[[#This Row],[OVERALL PLAYER]],TableOverallMaster[OVERALL PLAYER],0)),"")</f>
        <v>WR47</v>
      </c>
      <c r="AR118" s="257">
        <f>IFERROR(INDEX(TableOverallMaster[BYE],MATCH(TableOverallRank[[#This Row],[OVERALL PLAYER]],TableOverallMaster[OVERALL PLAYER],0)),"")</f>
        <v>9</v>
      </c>
      <c r="AS118" s="258">
        <f>IFERROR(INDEX(TableOverallMaster[Custom],MATCH(TableOverallRank[[#This Row],[OVERALL PLAYER]],TableOverallMaster[OVERALL PLAYER],0)),"")</f>
        <v>110.0027840268209</v>
      </c>
      <c r="AT118" s="259">
        <f>IFERROR(INDEX(TableOverallMaster[VORP],MATCH(TableOverallRank[[#This Row],[OVERALL PLAYER]],TableOverallMaster[OVERALL PLAYER],0)),"")</f>
        <v>9.4545996932735524E-3</v>
      </c>
      <c r="AU118" s="250"/>
      <c r="AV118" s="246">
        <v>117</v>
      </c>
      <c r="AW118" s="260" t="str">
        <f>IFERROR(INDEX(TableWRTECalcPts[PLAYER],MATCH(TableWRTERank[[#This Row],[RK]],TableWRTECalcPts[RK],0)),"")</f>
        <v>Zay Jones</v>
      </c>
      <c r="AX118" s="260" t="str">
        <f>IFERROR(INDEX(TableWRTECalcPts[POS RK],MATCH(TableWRTERank[[#This Row],[WR and TE COMBINED]],TableWRTECalcPts[PLAYER],0)),"")</f>
        <v>WR88</v>
      </c>
      <c r="AY118" s="260">
        <f>IFERROR(INDEX(TableWRTECalcPts[BYE],MATCH(TableWRTERank[[#This Row],[RK]],TableWRTECalcPts[RK],0)),"")</f>
        <v>11</v>
      </c>
      <c r="AZ118" s="261">
        <f>IFERROR(INDEX(TableWRTECalcPts[Custom],MATCH(TableWRTERank[[#This Row],[RK]],TableWRTECalcPts[RK],0)),"")</f>
        <v>63.571604507371703</v>
      </c>
      <c r="BA118" s="249">
        <f>IFERROR((TableWRTERank[[#This Row],[FPS]]-INDEX(TableWRTERank[FPS],MATCH(WRTEVORPCalc,TableWRTERank[RK],0)))/INDEX(TableWRTERank[FPS],MATCH(WRTEVORPCalc,TableWRTERank[RK],0)),"")</f>
        <v>-0.46466087673471085</v>
      </c>
      <c r="BC118" s="124" t="s">
        <v>358</v>
      </c>
      <c r="BD118" s="124">
        <v>117</v>
      </c>
      <c r="BE118" s="262">
        <f>RANK(TableWRTEMaster[[#This Row],[VORP]],TableWRTEMaster[VORP])+COUNTIF($BJ$2:BJ118,BJ118)-1</f>
        <v>165</v>
      </c>
      <c r="BF118" s="263" t="str">
        <f>IFERROR(INDEX(TableWRVORP[WIDE RECEIVER],MATCH(TableWRTEMaster[[#This Row],[RK]],TableWRVORP[RK],0)),"")</f>
        <v>Freddie Swain</v>
      </c>
      <c r="BG118" s="263" t="str">
        <f>_xlfn.CONCAT(TableWRTEMaster[[#This Row],[POS]],TableWRTEMaster[[#This Row],[RK]])</f>
        <v>WR117</v>
      </c>
      <c r="BH118" s="263">
        <f>IFERROR(INDEX(TableWRVORP[BYE],MATCH(TableWRTEMaster[[#This Row],[RK]],TableWRVORP[RK],0)),"")</f>
        <v>11</v>
      </c>
      <c r="BI118" s="264">
        <f>IFERROR(INDEX(TableWRVORP[FPS],MATCH(TableWRTEMaster[[#This Row],[RK]],TableWRVORP[RK],0)),"")</f>
        <v>25.723306522259342</v>
      </c>
      <c r="BJ118" s="254">
        <f>IFERROR(INDEX(TableWRVORP[VORP],MATCH(TableWRTEMaster[[#This Row],[RK]],TableWRVORP[RK],0)),"")</f>
        <v>-0.76394679172953006</v>
      </c>
    </row>
    <row r="119" spans="7:62" x14ac:dyDescent="0.3">
      <c r="G119" s="246"/>
      <c r="H119" s="246">
        <v>118</v>
      </c>
      <c r="I119" s="247" t="str">
        <f>IFERROR(INDEX(TableRBCalcPts[PLAYER],MATCH(TableRBVORP[[#This Row],[RK]],TableRBCalcPts[RK],0)),"")</f>
        <v>Jaret Patterson</v>
      </c>
      <c r="J119" s="247" t="str">
        <f>IFERROR(INDEX(TableRBCalcPts[TM],MATCH(TableRBVORP[[#This Row],[RK]],TableRBCalcPts[RK],0)),"")</f>
        <v>WSH</v>
      </c>
      <c r="K119" s="247">
        <f>IFERROR(INDEX(TableRBCalcPts[BYE],MATCH(TableRBVORP[[#This Row],[RK]],TableRBCalcPts[RK],0)),"")</f>
        <v>14</v>
      </c>
      <c r="L119" s="248">
        <f>IFERROR(INDEX(TableRBCalcPts[Custom],MATCH(TableRBVORP[[#This Row],[RK]],TableRBCalcPts[RK],0)),"")</f>
        <v>6.9914425224020054</v>
      </c>
      <c r="M119" s="249">
        <f>IFERROR((TableRBVORP[[#This Row],[FPS]]-INDEX(TableRBVORP[FPS],MATCH(RBVORPCalc,TableRBVORP[RK],0)))/INDEX(TableRBVORP[FPS],MATCH(RBVORPCalc,TableRBVORP[RK],0)),"")</f>
        <v>-0.9309958568554858</v>
      </c>
      <c r="N119" s="246"/>
      <c r="O119" s="246">
        <v>118</v>
      </c>
      <c r="P119" s="247" t="str">
        <f>IFERROR(INDEX(TableWRCalcPts[PLAYER],MATCH(TableWRVORP[[#This Row],[RK]],TableWRCalcPts[RK],0)),"")</f>
        <v>Jalen Reagor</v>
      </c>
      <c r="Q119" s="247" t="str">
        <f>IFERROR(INDEX(TableWRCalcPts[TM],MATCH(TableWRVORP[[#This Row],[RK]],TableWRCalcPts[RK],0)),"")</f>
        <v>PHI</v>
      </c>
      <c r="R119" s="247">
        <f>IFERROR(INDEX(TableWRCalcPts[BYE],MATCH(TableWRVORP[[#This Row],[RK]],TableWRCalcPts[RK],0)),"")</f>
        <v>7</v>
      </c>
      <c r="S119" s="248">
        <f>IFERROR(INDEX(TableWRCalcPts[Custom],MATCH(TableWRVORP[[#This Row],[RK]],TableWRCalcPts[RK],0)),"")</f>
        <v>25.418517557427606</v>
      </c>
      <c r="T119" s="249">
        <f>IFERROR((TableWRVORP[[#This Row],[FPS]]-INDEX(TableWRVORP[FPS],MATCH(WRVORPCalc,TableWRVORP[RK],0)))/INDEX(TableWRVORP[FPS],MATCH(WRVORPCalc,TableWRVORP[RK],0)),"")</f>
        <v>-0.76674372659992507</v>
      </c>
      <c r="U119" s="246"/>
      <c r="V119" s="246"/>
      <c r="AB119" s="246"/>
      <c r="AC119" s="250"/>
      <c r="AD119" s="250"/>
      <c r="AE119" s="250"/>
      <c r="AF119" s="250" t="s">
        <v>357</v>
      </c>
      <c r="AG119" s="250">
        <v>78</v>
      </c>
      <c r="AH119" s="251">
        <f>RANK(TableOverallMaster[[#This Row],[VORP]],TableOverallMaster[VORP])+COUNTIF($AM$2:AM119,AM119)-1</f>
        <v>265</v>
      </c>
      <c r="AI119" s="252" t="str">
        <f>IFERROR(INDEX(TableRBVORP[RUNNING BACK],MATCH(TableOverallMaster[[#This Row],[RK]],TableRBVORP[RK],0)),"")</f>
        <v>Kyren Williams</v>
      </c>
      <c r="AJ119" s="252" t="str">
        <f t="shared" si="1"/>
        <v>RB78</v>
      </c>
      <c r="AK119" s="252">
        <f>IFERROR(INDEX(TableRBVORP[BYE],MATCH(TableOverallMaster[[#This Row],[RK]],TableRBVORP[RK],0)),"")</f>
        <v>7</v>
      </c>
      <c r="AL119" s="253">
        <f>IFERROR(INDEX(TableRBVORP[FPS],MATCH(TableOverallMaster[[#This Row],[RK]],TableRBVORP[RK],0)),"")</f>
        <v>28.393753218575068</v>
      </c>
      <c r="AM119" s="254">
        <f>IFERROR(INDEX(TableRBVORP[VORP],MATCH(TableOverallMaster[[#This Row],[RK]],TableRBVORP[RK],0)),"")</f>
        <v>-0.71975931930690862</v>
      </c>
      <c r="AN119" s="250"/>
      <c r="AO119" s="250">
        <v>118</v>
      </c>
      <c r="AP119" s="255" t="str">
        <f>IFERROR(INDEX(TableOverallMaster[OVERALL PLAYER],MATCH(TableOverallRank[[#This Row],[RK]],TableOverallMaster[OVR RK],0)),"")</f>
        <v>Jameson Williams</v>
      </c>
      <c r="AQ119" s="256" t="str">
        <f>IFERROR(INDEX(TableOverallMaster[POS RK],MATCH(TableOverallRank[[#This Row],[OVERALL PLAYER]],TableOverallMaster[OVERALL PLAYER],0)),"")</f>
        <v>WR48</v>
      </c>
      <c r="AR119" s="257">
        <f>IFERROR(INDEX(TableOverallMaster[BYE],MATCH(TableOverallRank[[#This Row],[OVERALL PLAYER]],TableOverallMaster[OVERALL PLAYER],0)),"")</f>
        <v>6</v>
      </c>
      <c r="AS119" s="258">
        <f>IFERROR(INDEX(TableOverallMaster[Custom],MATCH(TableOverallRank[[#This Row],[OVERALL PLAYER]],TableOverallMaster[OVERALL PLAYER],0)),"")</f>
        <v>109.96837220993626</v>
      </c>
      <c r="AT119" s="259">
        <f>IFERROR(INDEX(TableOverallMaster[VORP],MATCH(TableOverallRank[[#This Row],[OVERALL PLAYER]],TableOverallMaster[OVERALL PLAYER],0)),"")</f>
        <v>9.1388152597674417E-3</v>
      </c>
      <c r="AU119" s="250"/>
      <c r="AV119" s="246">
        <v>118</v>
      </c>
      <c r="AW119" s="260" t="str">
        <f>IFERROR(INDEX(TableWRTECalcPts[PLAYER],MATCH(TableWRTERank[[#This Row],[RK]],TableWRTECalcPts[RK],0)),"")</f>
        <v>Terrace Marshall</v>
      </c>
      <c r="AX119" s="260" t="str">
        <f>IFERROR(INDEX(TableWRTECalcPts[POS RK],MATCH(TableWRTERank[[#This Row],[WR and TE COMBINED]],TableWRTECalcPts[PLAYER],0)),"")</f>
        <v>WR89</v>
      </c>
      <c r="AY119" s="260">
        <f>IFERROR(INDEX(TableWRTECalcPts[BYE],MATCH(TableWRTERank[[#This Row],[RK]],TableWRTECalcPts[RK],0)),"")</f>
        <v>13</v>
      </c>
      <c r="AZ119" s="261">
        <f>IFERROR(INDEX(TableWRTECalcPts[Custom],MATCH(TableWRTERank[[#This Row],[RK]],TableWRTECalcPts[RK],0)),"")</f>
        <v>59.809797928534088</v>
      </c>
      <c r="BA119" s="249">
        <f>IFERROR((TableWRTERank[[#This Row],[FPS]]-INDEX(TableWRTERank[FPS],MATCH(WRTEVORPCalc,TableWRTERank[RK],0)))/INDEX(TableWRTERank[FPS],MATCH(WRTEVORPCalc,TableWRTERank[RK],0)),"")</f>
        <v>-0.49633920625642369</v>
      </c>
      <c r="BC119" s="124" t="s">
        <v>358</v>
      </c>
      <c r="BD119" s="124">
        <v>118</v>
      </c>
      <c r="BE119" s="262">
        <f>RANK(TableWRTEMaster[[#This Row],[VORP]],TableWRTEMaster[VORP])+COUNTIF($BJ$2:BJ119,BJ119)-1</f>
        <v>166</v>
      </c>
      <c r="BF119" s="263" t="str">
        <f>IFERROR(INDEX(TableWRVORP[WIDE RECEIVER],MATCH(TableWRTEMaster[[#This Row],[RK]],TableWRVORP[RK],0)),"")</f>
        <v>Jalen Reagor</v>
      </c>
      <c r="BG119" s="263" t="str">
        <f>_xlfn.CONCAT(TableWRTEMaster[[#This Row],[POS]],TableWRTEMaster[[#This Row],[RK]])</f>
        <v>WR118</v>
      </c>
      <c r="BH119" s="263">
        <f>IFERROR(INDEX(TableWRVORP[BYE],MATCH(TableWRTEMaster[[#This Row],[RK]],TableWRVORP[RK],0)),"")</f>
        <v>7</v>
      </c>
      <c r="BI119" s="264">
        <f>IFERROR(INDEX(TableWRVORP[FPS],MATCH(TableWRTEMaster[[#This Row],[RK]],TableWRVORP[RK],0)),"")</f>
        <v>25.418517557427606</v>
      </c>
      <c r="BJ119" s="254">
        <f>IFERROR(INDEX(TableWRVORP[VORP],MATCH(TableWRTEMaster[[#This Row],[RK]],TableWRVORP[RK],0)),"")</f>
        <v>-0.76674372659992507</v>
      </c>
    </row>
    <row r="120" spans="7:62" x14ac:dyDescent="0.3">
      <c r="G120" s="246"/>
      <c r="H120" s="246">
        <v>119</v>
      </c>
      <c r="I120" s="247" t="str">
        <f>IFERROR(INDEX(TableRBCalcPts[PLAYER],MATCH(TableRBVORP[[#This Row],[RK]],TableRBCalcPts[RK],0)),"")</f>
        <v>Jerome Ford</v>
      </c>
      <c r="J120" s="247" t="str">
        <f>IFERROR(INDEX(TableRBCalcPts[TM],MATCH(TableRBVORP[[#This Row],[RK]],TableRBCalcPts[RK],0)),"")</f>
        <v>CLE</v>
      </c>
      <c r="K120" s="247">
        <f>IFERROR(INDEX(TableRBCalcPts[BYE],MATCH(TableRBVORP[[#This Row],[RK]],TableRBCalcPts[RK],0)),"")</f>
        <v>9</v>
      </c>
      <c r="L120" s="248">
        <f>IFERROR(INDEX(TableRBCalcPts[Custom],MATCH(TableRBVORP[[#This Row],[RK]],TableRBCalcPts[RK],0)),"")</f>
        <v>6.8140980805235944</v>
      </c>
      <c r="M120" s="249">
        <f>IFERROR((TableRBVORP[[#This Row],[FPS]]-INDEX(TableRBVORP[FPS],MATCH(RBVORPCalc,TableRBVORP[RK],0)))/INDEX(TableRBVORP[FPS],MATCH(RBVORPCalc,TableRBVORP[RK],0)),"")</f>
        <v>-0.93274621112272771</v>
      </c>
      <c r="N120" s="246"/>
      <c r="O120" s="246">
        <v>119</v>
      </c>
      <c r="P120" s="247" t="str">
        <f>IFERROR(INDEX(TableWRCalcPts[PLAYER],MATCH(TableWRVORP[[#This Row],[RK]],TableWRCalcPts[RK],0)),"")</f>
        <v>Darius Slayton</v>
      </c>
      <c r="Q120" s="247" t="str">
        <f>IFERROR(INDEX(TableWRCalcPts[TM],MATCH(TableWRVORP[[#This Row],[RK]],TableWRCalcPts[RK],0)),"")</f>
        <v>NYG</v>
      </c>
      <c r="R120" s="247">
        <f>IFERROR(INDEX(TableWRCalcPts[BYE],MATCH(TableWRVORP[[#This Row],[RK]],TableWRCalcPts[RK],0)),"")</f>
        <v>9</v>
      </c>
      <c r="S120" s="248">
        <f>IFERROR(INDEX(TableWRCalcPts[Custom],MATCH(TableWRVORP[[#This Row],[RK]],TableWRCalcPts[RK],0)),"")</f>
        <v>25.280290759337788</v>
      </c>
      <c r="T120" s="249">
        <f>IFERROR((TableWRVORP[[#This Row],[FPS]]-INDEX(TableWRVORP[FPS],MATCH(WRVORPCalc,TableWRVORP[RK],0)))/INDEX(TableWRVORP[FPS],MATCH(WRVORPCalc,TableWRVORP[RK],0)),"")</f>
        <v>-0.76801218247008396</v>
      </c>
      <c r="U120" s="246"/>
      <c r="V120" s="246"/>
      <c r="AB120" s="246"/>
      <c r="AC120" s="250"/>
      <c r="AD120" s="250"/>
      <c r="AE120" s="250"/>
      <c r="AF120" s="250" t="s">
        <v>357</v>
      </c>
      <c r="AG120" s="250">
        <v>79</v>
      </c>
      <c r="AH120" s="251">
        <f>RANK(TableOverallMaster[[#This Row],[VORP]],TableOverallMaster[VORP])+COUNTIF($AM$2:AM120,AM120)-1</f>
        <v>268</v>
      </c>
      <c r="AI120" s="252" t="str">
        <f>IFERROR(INDEX(TableRBVORP[RUNNING BACK],MATCH(TableOverallMaster[[#This Row],[RK]],TableRBVORP[RK],0)),"")</f>
        <v>Eno Benjamin</v>
      </c>
      <c r="AJ120" s="252" t="str">
        <f t="shared" si="1"/>
        <v>RB79</v>
      </c>
      <c r="AK120" s="252">
        <f>IFERROR(INDEX(TableRBVORP[BYE],MATCH(TableOverallMaster[[#This Row],[RK]],TableRBVORP[RK],0)),"")</f>
        <v>13</v>
      </c>
      <c r="AL120" s="253">
        <f>IFERROR(INDEX(TableRBVORP[FPS],MATCH(TableOverallMaster[[#This Row],[RK]],TableRBVORP[RK],0)),"")</f>
        <v>27.91771576544798</v>
      </c>
      <c r="AM120" s="254">
        <f>IFERROR(INDEX(TableRBVORP[VORP],MATCH(TableOverallMaster[[#This Row],[RK]],TableRBVORP[RK],0)),"")</f>
        <v>-0.72445771401622339</v>
      </c>
      <c r="AN120" s="250"/>
      <c r="AO120" s="250">
        <v>119</v>
      </c>
      <c r="AP120" s="255" t="str">
        <f>IFERROR(INDEX(TableOverallMaster[OVERALL PLAYER],MATCH(TableOverallRank[[#This Row],[RK]],TableOverallMaster[OVR RK],0)),"")</f>
        <v>Michael Thomas</v>
      </c>
      <c r="AQ120" s="256" t="str">
        <f>IFERROR(INDEX(TableOverallMaster[POS RK],MATCH(TableOverallRank[[#This Row],[OVERALL PLAYER]],TableOverallMaster[OVERALL PLAYER],0)),"")</f>
        <v>WR49</v>
      </c>
      <c r="AR120" s="257">
        <f>IFERROR(INDEX(TableOverallMaster[BYE],MATCH(TableOverallRank[[#This Row],[OVERALL PLAYER]],TableOverallMaster[OVERALL PLAYER],0)),"")</f>
        <v>14</v>
      </c>
      <c r="AS120" s="258">
        <f>IFERROR(INDEX(TableOverallMaster[Custom],MATCH(TableOverallRank[[#This Row],[OVERALL PLAYER]],TableOverallMaster[OVERALL PLAYER],0)),"")</f>
        <v>109.96520155385335</v>
      </c>
      <c r="AT120" s="259">
        <f>IFERROR(INDEX(TableOverallMaster[VORP],MATCH(TableOverallRank[[#This Row],[OVERALL PLAYER]],TableOverallMaster[OVERALL PLAYER],0)),"")</f>
        <v>9.1097193291938706E-3</v>
      </c>
      <c r="AU120" s="250"/>
      <c r="AV120" s="246">
        <v>119</v>
      </c>
      <c r="AW120" s="260" t="str">
        <f>IFERROR(INDEX(TableWRTECalcPts[PLAYER],MATCH(TableWRTERank[[#This Row],[RK]],TableWRTECalcPts[RK],0)),"")</f>
        <v>David Bell</v>
      </c>
      <c r="AX120" s="260" t="str">
        <f>IFERROR(INDEX(TableWRTECalcPts[POS RK],MATCH(TableWRTERank[[#This Row],[WR and TE COMBINED]],TableWRTECalcPts[PLAYER],0)),"")</f>
        <v>WR90</v>
      </c>
      <c r="AY120" s="260">
        <f>IFERROR(INDEX(TableWRTECalcPts[BYE],MATCH(TableWRTERank[[#This Row],[RK]],TableWRTECalcPts[RK],0)),"")</f>
        <v>9</v>
      </c>
      <c r="AZ120" s="261">
        <f>IFERROR(INDEX(TableWRTECalcPts[Custom],MATCH(TableWRTERank[[#This Row],[RK]],TableWRTECalcPts[RK],0)),"")</f>
        <v>57.726772683944851</v>
      </c>
      <c r="BA120" s="249">
        <f>IFERROR((TableWRTERank[[#This Row],[FPS]]-INDEX(TableWRTERank[FPS],MATCH(WRTEVORPCalc,TableWRTERank[RK],0)))/INDEX(TableWRTERank[FPS],MATCH(WRTEVORPCalc,TableWRTERank[RK],0)),"")</f>
        <v>-0.51388044840091851</v>
      </c>
      <c r="BC120" s="124" t="s">
        <v>358</v>
      </c>
      <c r="BD120" s="124">
        <v>119</v>
      </c>
      <c r="BE120" s="262">
        <f>RANK(TableWRTEMaster[[#This Row],[VORP]],TableWRTEMaster[VORP])+COUNTIF($BJ$2:BJ120,BJ120)-1</f>
        <v>167</v>
      </c>
      <c r="BF120" s="263" t="str">
        <f>IFERROR(INDEX(TableWRVORP[WIDE RECEIVER],MATCH(TableWRTEMaster[[#This Row],[RK]],TableWRVORP[RK],0)),"")</f>
        <v>Darius Slayton</v>
      </c>
      <c r="BG120" s="263" t="str">
        <f>_xlfn.CONCAT(TableWRTEMaster[[#This Row],[POS]],TableWRTEMaster[[#This Row],[RK]])</f>
        <v>WR119</v>
      </c>
      <c r="BH120" s="263">
        <f>IFERROR(INDEX(TableWRVORP[BYE],MATCH(TableWRTEMaster[[#This Row],[RK]],TableWRVORP[RK],0)),"")</f>
        <v>9</v>
      </c>
      <c r="BI120" s="264">
        <f>IFERROR(INDEX(TableWRVORP[FPS],MATCH(TableWRTEMaster[[#This Row],[RK]],TableWRVORP[RK],0)),"")</f>
        <v>25.280290759337788</v>
      </c>
      <c r="BJ120" s="254">
        <f>IFERROR(INDEX(TableWRVORP[VORP],MATCH(TableWRTEMaster[[#This Row],[RK]],TableWRVORP[RK],0)),"")</f>
        <v>-0.76801218247008396</v>
      </c>
    </row>
    <row r="121" spans="7:62" x14ac:dyDescent="0.3">
      <c r="G121" s="246"/>
      <c r="H121" s="246">
        <v>120</v>
      </c>
      <c r="I121" s="247" t="str">
        <f>IFERROR(INDEX(TableRBCalcPts[PLAYER],MATCH(TableRBVORP[[#This Row],[RK]],TableRBCalcPts[RK],0)),"")</f>
        <v>Kennedy Brooks</v>
      </c>
      <c r="J121" s="247" t="str">
        <f>IFERROR(INDEX(TableRBCalcPts[TM],MATCH(TableRBVORP[[#This Row],[RK]],TableRBCalcPts[RK],0)),"")</f>
        <v>PHI</v>
      </c>
      <c r="K121" s="247">
        <f>IFERROR(INDEX(TableRBCalcPts[BYE],MATCH(TableRBVORP[[#This Row],[RK]],TableRBCalcPts[RK],0)),"")</f>
        <v>7</v>
      </c>
      <c r="L121" s="248">
        <f>IFERROR(INDEX(TableRBCalcPts[Custom],MATCH(TableRBVORP[[#This Row],[RK]],TableRBCalcPts[RK],0)),"")</f>
        <v>6.7061968142944002</v>
      </c>
      <c r="M121" s="249">
        <f>IFERROR((TableRBVORP[[#This Row],[FPS]]-INDEX(TableRBVORP[FPS],MATCH(RBVORPCalc,TableRBVORP[RK],0)))/INDEX(TableRBVORP[FPS],MATCH(RBVORPCalc,TableRBVORP[RK],0)),"")</f>
        <v>-0.93381117509782952</v>
      </c>
      <c r="N121" s="246"/>
      <c r="O121" s="246">
        <v>120</v>
      </c>
      <c r="P121" s="247" t="str">
        <f>IFERROR(INDEX(TableWRCalcPts[PLAYER],MATCH(TableWRVORP[[#This Row],[RK]],TableWRCalcPts[RK],0)),"")</f>
        <v>Ashton Dulin</v>
      </c>
      <c r="Q121" s="247" t="str">
        <f>IFERROR(INDEX(TableWRCalcPts[TM],MATCH(TableWRVORP[[#This Row],[RK]],TableWRCalcPts[RK],0)),"")</f>
        <v>IND</v>
      </c>
      <c r="R121" s="247">
        <f>IFERROR(INDEX(TableWRCalcPts[BYE],MATCH(TableWRVORP[[#This Row],[RK]],TableWRCalcPts[RK],0)),"")</f>
        <v>14</v>
      </c>
      <c r="S121" s="248">
        <f>IFERROR(INDEX(TableWRCalcPts[Custom],MATCH(TableWRVORP[[#This Row],[RK]],TableWRCalcPts[RK],0)),"")</f>
        <v>24.755205531254589</v>
      </c>
      <c r="T121" s="249">
        <f>IFERROR((TableWRVORP[[#This Row],[FPS]]-INDEX(TableWRVORP[FPS],MATCH(WRVORPCalc,TableWRVORP[RK],0)))/INDEX(TableWRVORP[FPS],MATCH(WRVORPCalc,TableWRVORP[RK],0)),"")</f>
        <v>-0.77283069414148253</v>
      </c>
      <c r="U121" s="246"/>
      <c r="V121" s="246"/>
      <c r="AB121" s="246"/>
      <c r="AC121" s="250"/>
      <c r="AD121" s="250"/>
      <c r="AE121" s="250"/>
      <c r="AF121" s="250" t="s">
        <v>357</v>
      </c>
      <c r="AG121" s="250">
        <v>80</v>
      </c>
      <c r="AH121" s="251">
        <f>RANK(TableOverallMaster[[#This Row],[VORP]],TableOverallMaster[VORP])+COUNTIF($AM$2:AM121,AM121)-1</f>
        <v>272</v>
      </c>
      <c r="AI121" s="252" t="str">
        <f>IFERROR(INDEX(TableRBVORP[RUNNING BACK],MATCH(TableOverallMaster[[#This Row],[RK]],TableRBVORP[RK],0)),"")</f>
        <v>D'Ernest Johnson</v>
      </c>
      <c r="AJ121" s="252" t="str">
        <f t="shared" si="1"/>
        <v>RB80</v>
      </c>
      <c r="AK121" s="252">
        <f>IFERROR(INDEX(TableRBVORP[BYE],MATCH(TableOverallMaster[[#This Row],[RK]],TableRBVORP[RK],0)),"")</f>
        <v>9</v>
      </c>
      <c r="AL121" s="253">
        <f>IFERROR(INDEX(TableRBVORP[FPS],MATCH(TableOverallMaster[[#This Row],[RK]],TableRBVORP[RK],0)),"")</f>
        <v>25.953807734595877</v>
      </c>
      <c r="AM121" s="254">
        <f>IFERROR(INDEX(TableRBVORP[VORP],MATCH(TableOverallMaster[[#This Row],[RK]],TableRBVORP[RK],0)),"")</f>
        <v>-0.74384109454883196</v>
      </c>
      <c r="AN121" s="250"/>
      <c r="AO121" s="250">
        <v>120</v>
      </c>
      <c r="AP121" s="255" t="str">
        <f>IFERROR(INDEX(TableOverallMaster[OVERALL PLAYER],MATCH(TableOverallRank[[#This Row],[RK]],TableOverallMaster[OVR RK],0)),"")</f>
        <v>Dawson Knox</v>
      </c>
      <c r="AQ121" s="256" t="str">
        <f>IFERROR(INDEX(TableOverallMaster[POS RK],MATCH(TableOverallRank[[#This Row],[OVERALL PLAYER]],TableOverallMaster[OVERALL PLAYER],0)),"")</f>
        <v>TE9</v>
      </c>
      <c r="AR121" s="257">
        <f>IFERROR(INDEX(TableOverallMaster[BYE],MATCH(TableOverallRank[[#This Row],[OVERALL PLAYER]],TableOverallMaster[OVERALL PLAYER],0)),"")</f>
        <v>7</v>
      </c>
      <c r="AS121" s="258">
        <f>IFERROR(INDEX(TableOverallMaster[Custom],MATCH(TableOverallRank[[#This Row],[OVERALL PLAYER]],TableOverallMaster[OVERALL PLAYER],0)),"")</f>
        <v>102.87952804843867</v>
      </c>
      <c r="AT121" s="259">
        <f>IFERROR(INDEX(TableOverallMaster[VORP],MATCH(TableOverallRank[[#This Row],[OVERALL PLAYER]],TableOverallMaster[OVERALL PLAYER],0)),"")</f>
        <v>4.1691066147704807E-3</v>
      </c>
      <c r="AU121" s="250"/>
      <c r="AV121" s="246">
        <v>120</v>
      </c>
      <c r="AW121" s="260" t="str">
        <f>IFERROR(INDEX(TableWRTECalcPts[PLAYER],MATCH(TableWRTERank[[#This Row],[RK]],TableWRTECalcPts[RK],0)),"")</f>
        <v>Wan'Dale Robinson</v>
      </c>
      <c r="AX121" s="260" t="str">
        <f>IFERROR(INDEX(TableWRTECalcPts[POS RK],MATCH(TableWRTERank[[#This Row],[WR and TE COMBINED]],TableWRTECalcPts[PLAYER],0)),"")</f>
        <v>WR91</v>
      </c>
      <c r="AY121" s="260">
        <f>IFERROR(INDEX(TableWRTECalcPts[BYE],MATCH(TableWRTERank[[#This Row],[RK]],TableWRTECalcPts[RK],0)),"")</f>
        <v>9</v>
      </c>
      <c r="AZ121" s="261">
        <f>IFERROR(INDEX(TableWRTECalcPts[Custom],MATCH(TableWRTERank[[#This Row],[RK]],TableWRTECalcPts[RK],0)),"")</f>
        <v>56.120534643103298</v>
      </c>
      <c r="BA121" s="249">
        <f>IFERROR((TableWRTERank[[#This Row],[FPS]]-INDEX(TableWRTERank[FPS],MATCH(WRTEVORPCalc,TableWRTERank[RK],0)))/INDEX(TableWRTERank[FPS],MATCH(WRTEVORPCalc,TableWRTERank[RK],0)),"")</f>
        <v>-0.52740664568983175</v>
      </c>
      <c r="BC121" s="124" t="s">
        <v>358</v>
      </c>
      <c r="BD121" s="124">
        <v>120</v>
      </c>
      <c r="BE121" s="262">
        <f>RANK(TableWRTEMaster[[#This Row],[VORP]],TableWRTEMaster[VORP])+COUNTIF($BJ$2:BJ121,BJ121)-1</f>
        <v>168</v>
      </c>
      <c r="BF121" s="263" t="str">
        <f>IFERROR(INDEX(TableWRVORP[WIDE RECEIVER],MATCH(TableWRTEMaster[[#This Row],[RK]],TableWRVORP[RK],0)),"")</f>
        <v>Ashton Dulin</v>
      </c>
      <c r="BG121" s="263" t="str">
        <f>_xlfn.CONCAT(TableWRTEMaster[[#This Row],[POS]],TableWRTEMaster[[#This Row],[RK]])</f>
        <v>WR120</v>
      </c>
      <c r="BH121" s="263">
        <f>IFERROR(INDEX(TableWRVORP[BYE],MATCH(TableWRTEMaster[[#This Row],[RK]],TableWRVORP[RK],0)),"")</f>
        <v>14</v>
      </c>
      <c r="BI121" s="264">
        <f>IFERROR(INDEX(TableWRVORP[FPS],MATCH(TableWRTEMaster[[#This Row],[RK]],TableWRVORP[RK],0)),"")</f>
        <v>24.755205531254589</v>
      </c>
      <c r="BJ121" s="254">
        <f>IFERROR(INDEX(TableWRVORP[VORP],MATCH(TableWRTEMaster[[#This Row],[RK]],TableWRVORP[RK],0)),"")</f>
        <v>-0.77283069414148253</v>
      </c>
    </row>
    <row r="122" spans="7:62" x14ac:dyDescent="0.3">
      <c r="G122" s="246"/>
      <c r="H122" s="246">
        <v>121</v>
      </c>
      <c r="I122" s="247" t="str">
        <f>IFERROR(INDEX(TableRBCalcPts[PLAYER],MATCH(TableRBVORP[[#This Row],[RK]],TableRBCalcPts[RK],0)),"")</f>
        <v>Anthony McFarland</v>
      </c>
      <c r="J122" s="247" t="str">
        <f>IFERROR(INDEX(TableRBCalcPts[TM],MATCH(TableRBVORP[[#This Row],[RK]],TableRBCalcPts[RK],0)),"")</f>
        <v>PIT</v>
      </c>
      <c r="K122" s="247">
        <f>IFERROR(INDEX(TableRBCalcPts[BYE],MATCH(TableRBVORP[[#This Row],[RK]],TableRBCalcPts[RK],0)),"")</f>
        <v>9</v>
      </c>
      <c r="L122" s="248">
        <f>IFERROR(INDEX(TableRBCalcPts[Custom],MATCH(TableRBVORP[[#This Row],[RK]],TableRBCalcPts[RK],0)),"")</f>
        <v>6.3171757321495008</v>
      </c>
      <c r="M122" s="249">
        <f>IFERROR((TableRBVORP[[#This Row],[FPS]]-INDEX(TableRBVORP[FPS],MATCH(RBVORPCalc,TableRBVORP[RK],0)))/INDEX(TableRBVORP[FPS],MATCH(RBVORPCalc,TableRBVORP[RK],0)),"")</f>
        <v>-0.93765073558231427</v>
      </c>
      <c r="N122" s="246"/>
      <c r="O122" s="246">
        <v>121</v>
      </c>
      <c r="P122" s="247" t="str">
        <f>IFERROR(INDEX(TableWRCalcPts[PLAYER],MATCH(TableWRVORP[[#This Row],[RK]],TableWRCalcPts[RK],0)),"")</f>
        <v>Breshad Perriman</v>
      </c>
      <c r="Q122" s="247" t="str">
        <f>IFERROR(INDEX(TableWRCalcPts[TM],MATCH(TableWRVORP[[#This Row],[RK]],TableWRCalcPts[RK],0)),"")</f>
        <v>TB</v>
      </c>
      <c r="R122" s="247">
        <f>IFERROR(INDEX(TableWRCalcPts[BYE],MATCH(TableWRVORP[[#This Row],[RK]],TableWRCalcPts[RK],0)),"")</f>
        <v>11</v>
      </c>
      <c r="S122" s="248">
        <f>IFERROR(INDEX(TableWRCalcPts[Custom],MATCH(TableWRVORP[[#This Row],[RK]],TableWRCalcPts[RK],0)),"")</f>
        <v>24.455010693231443</v>
      </c>
      <c r="T122" s="249">
        <f>IFERROR((TableWRVORP[[#This Row],[FPS]]-INDEX(TableWRVORP[FPS],MATCH(WRVORPCalc,TableWRVORP[RK],0)))/INDEX(TableWRVORP[FPS],MATCH(WRVORPCalc,TableWRVORP[RK],0)),"")</f>
        <v>-0.77558547042035164</v>
      </c>
      <c r="U122" s="246"/>
      <c r="V122" s="246"/>
      <c r="AB122" s="246"/>
      <c r="AC122" s="250"/>
      <c r="AD122" s="250"/>
      <c r="AE122" s="250"/>
      <c r="AF122" s="250" t="s">
        <v>357</v>
      </c>
      <c r="AG122" s="250">
        <v>81</v>
      </c>
      <c r="AH122" s="251">
        <f>RANK(TableOverallMaster[[#This Row],[VORP]],TableOverallMaster[VORP])+COUNTIF($AM$2:AM122,AM122)-1</f>
        <v>273</v>
      </c>
      <c r="AI122" s="252" t="str">
        <f>IFERROR(INDEX(TableRBVORP[RUNNING BACK],MATCH(TableOverallMaster[[#This Row],[RK]],TableRBVORP[RK],0)),"")</f>
        <v>Phillip Lindsay</v>
      </c>
      <c r="AJ122" s="252" t="str">
        <f t="shared" si="1"/>
        <v>RB81</v>
      </c>
      <c r="AK122" s="252">
        <f>IFERROR(INDEX(TableRBVORP[BYE],MATCH(TableOverallMaster[[#This Row],[RK]],TableRBVORP[RK],0)),"")</f>
        <v>14</v>
      </c>
      <c r="AL122" s="253">
        <f>IFERROR(INDEX(TableRBVORP[FPS],MATCH(TableOverallMaster[[#This Row],[RK]],TableRBVORP[RK],0)),"")</f>
        <v>25.892326524405973</v>
      </c>
      <c r="AM122" s="254">
        <f>IFERROR(INDEX(TableRBVORP[VORP],MATCH(TableOverallMaster[[#This Row],[RK]],TableRBVORP[RK],0)),"")</f>
        <v>-0.74444790183002585</v>
      </c>
      <c r="AN122" s="250"/>
      <c r="AO122" s="250">
        <v>121</v>
      </c>
      <c r="AP122" s="255" t="str">
        <f>IFERROR(INDEX(TableOverallMaster[OVERALL PLAYER],MATCH(TableOverallRank[[#This Row],[RK]],TableOverallMaster[OVR RK],0)),"")</f>
        <v>Mark Ingram</v>
      </c>
      <c r="AQ122" s="256" t="str">
        <f>IFERROR(INDEX(TableOverallMaster[POS RK],MATCH(TableOverallRank[[#This Row],[OVERALL PLAYER]],TableOverallMaster[OVERALL PLAYER],0)),"")</f>
        <v>RB42</v>
      </c>
      <c r="AR122" s="257">
        <f>IFERROR(INDEX(TableOverallMaster[BYE],MATCH(TableOverallRank[[#This Row],[OVERALL PLAYER]],TableOverallMaster[OVERALL PLAYER],0)),"")</f>
        <v>14</v>
      </c>
      <c r="AS122" s="258">
        <f>IFERROR(INDEX(TableOverallMaster[Custom],MATCH(TableOverallRank[[#This Row],[OVERALL PLAYER]],TableOverallMaster[OVERALL PLAYER],0)),"")</f>
        <v>101.31917018025943</v>
      </c>
      <c r="AT122" s="259">
        <f>IFERROR(INDEX(TableOverallMaster[VORP],MATCH(TableOverallRank[[#This Row],[OVERALL PLAYER]],TableOverallMaster[OVERALL PLAYER],0)),"")</f>
        <v>0</v>
      </c>
      <c r="AU122" s="250"/>
      <c r="AV122" s="246">
        <v>121</v>
      </c>
      <c r="AW122" s="260" t="str">
        <f>IFERROR(INDEX(TableWRTECalcPts[PLAYER],MATCH(TableWRTERank[[#This Row],[RK]],TableWRTECalcPts[RK],0)),"")</f>
        <v>Velus Jones</v>
      </c>
      <c r="AX122" s="260" t="str">
        <f>IFERROR(INDEX(TableWRTECalcPts[POS RK],MATCH(TableWRTERank[[#This Row],[WR and TE COMBINED]],TableWRTECalcPts[PLAYER],0)),"")</f>
        <v>WR92</v>
      </c>
      <c r="AY122" s="260">
        <f>IFERROR(INDEX(TableWRTECalcPts[BYE],MATCH(TableWRTERank[[#This Row],[RK]],TableWRTECalcPts[RK],0)),"")</f>
        <v>14</v>
      </c>
      <c r="AZ122" s="261">
        <f>IFERROR(INDEX(TableWRTECalcPts[Custom],MATCH(TableWRTERank[[#This Row],[RK]],TableWRTECalcPts[RK],0)),"")</f>
        <v>56.106932884563086</v>
      </c>
      <c r="BA122" s="249">
        <f>IFERROR((TableWRTERank[[#This Row],[FPS]]-INDEX(TableWRTERank[FPS],MATCH(WRTEVORPCalc,TableWRTERank[RK],0)))/INDEX(TableWRTERank[FPS],MATCH(WRTEVORPCalc,TableWRTERank[RK],0)),"")</f>
        <v>-0.52752118666371794</v>
      </c>
      <c r="BC122" s="124" t="s">
        <v>358</v>
      </c>
      <c r="BD122" s="124">
        <v>121</v>
      </c>
      <c r="BE122" s="262">
        <f>RANK(TableWRTEMaster[[#This Row],[VORP]],TableWRTEMaster[VORP])+COUNTIF($BJ$2:BJ122,BJ122)-1</f>
        <v>169</v>
      </c>
      <c r="BF122" s="263" t="str">
        <f>IFERROR(INDEX(TableWRVORP[WIDE RECEIVER],MATCH(TableWRTEMaster[[#This Row],[RK]],TableWRVORP[RK],0)),"")</f>
        <v>Breshad Perriman</v>
      </c>
      <c r="BG122" s="263" t="str">
        <f>_xlfn.CONCAT(TableWRTEMaster[[#This Row],[POS]],TableWRTEMaster[[#This Row],[RK]])</f>
        <v>WR121</v>
      </c>
      <c r="BH122" s="263">
        <f>IFERROR(INDEX(TableWRVORP[BYE],MATCH(TableWRTEMaster[[#This Row],[RK]],TableWRVORP[RK],0)),"")</f>
        <v>11</v>
      </c>
      <c r="BI122" s="264">
        <f>IFERROR(INDEX(TableWRVORP[FPS],MATCH(TableWRTEMaster[[#This Row],[RK]],TableWRVORP[RK],0)),"")</f>
        <v>24.455010693231443</v>
      </c>
      <c r="BJ122" s="254">
        <f>IFERROR(INDEX(TableWRVORP[VORP],MATCH(TableWRTEMaster[[#This Row],[RK]],TableWRVORP[RK],0)),"")</f>
        <v>-0.77558547042035164</v>
      </c>
    </row>
    <row r="123" spans="7:62" x14ac:dyDescent="0.3">
      <c r="G123" s="246"/>
      <c r="H123" s="246">
        <v>122</v>
      </c>
      <c r="I123" s="247" t="str">
        <f>IFERROR(INDEX(TableRBCalcPts[PLAYER],MATCH(TableRBVORP[[#This Row],[RK]],TableRBCalcPts[RK],0)),"")</f>
        <v>Gary Brightwell</v>
      </c>
      <c r="J123" s="247" t="str">
        <f>IFERROR(INDEX(TableRBCalcPts[TM],MATCH(TableRBVORP[[#This Row],[RK]],TableRBCalcPts[RK],0)),"")</f>
        <v>NYG</v>
      </c>
      <c r="K123" s="247">
        <f>IFERROR(INDEX(TableRBCalcPts[BYE],MATCH(TableRBVORP[[#This Row],[RK]],TableRBCalcPts[RK],0)),"")</f>
        <v>9</v>
      </c>
      <c r="L123" s="248">
        <f>IFERROR(INDEX(TableRBCalcPts[Custom],MATCH(TableRBVORP[[#This Row],[RK]],TableRBCalcPts[RK],0)),"")</f>
        <v>5.7487981486157302</v>
      </c>
      <c r="M123" s="249">
        <f>IFERROR((TableRBVORP[[#This Row],[FPS]]-INDEX(TableRBVORP[FPS],MATCH(RBVORPCalc,TableRBVORP[RK],0)))/INDEX(TableRBVORP[FPS],MATCH(RBVORPCalc,TableRBVORP[RK],0)),"")</f>
        <v>-0.94326050896007241</v>
      </c>
      <c r="N123" s="246"/>
      <c r="O123" s="246">
        <v>122</v>
      </c>
      <c r="P123" s="247" t="str">
        <f>IFERROR(INDEX(TableWRCalcPts[PLAYER],MATCH(TableWRVORP[[#This Row],[RK]],TableWRCalcPts[RK],0)),"")</f>
        <v>Zach Pascal</v>
      </c>
      <c r="Q123" s="247" t="str">
        <f>IFERROR(INDEX(TableWRCalcPts[TM],MATCH(TableWRVORP[[#This Row],[RK]],TableWRCalcPts[RK],0)),"")</f>
        <v>PHI</v>
      </c>
      <c r="R123" s="247">
        <f>IFERROR(INDEX(TableWRCalcPts[BYE],MATCH(TableWRVORP[[#This Row],[RK]],TableWRCalcPts[RK],0)),"")</f>
        <v>7</v>
      </c>
      <c r="S123" s="248">
        <f>IFERROR(INDEX(TableWRCalcPts[Custom],MATCH(TableWRVORP[[#This Row],[RK]],TableWRCalcPts[RK],0)),"")</f>
        <v>23.786128114823704</v>
      </c>
      <c r="T123" s="249">
        <f>IFERROR((TableWRVORP[[#This Row],[FPS]]-INDEX(TableWRVORP[FPS],MATCH(WRVORPCalc,TableWRVORP[RK],0)))/INDEX(TableWRVORP[FPS],MATCH(WRVORPCalc,TableWRVORP[RK],0)),"")</f>
        <v>-0.78172355684608941</v>
      </c>
      <c r="U123" s="246"/>
      <c r="V123" s="246"/>
      <c r="AB123" s="246"/>
      <c r="AC123" s="250"/>
      <c r="AD123" s="250"/>
      <c r="AE123" s="250"/>
      <c r="AF123" s="250" t="s">
        <v>357</v>
      </c>
      <c r="AG123" s="250">
        <v>82</v>
      </c>
      <c r="AH123" s="251">
        <f>RANK(TableOverallMaster[[#This Row],[VORP]],TableOverallMaster[VORP])+COUNTIF($AM$2:AM123,AM123)-1</f>
        <v>274</v>
      </c>
      <c r="AI123" s="252" t="str">
        <f>IFERROR(INDEX(TableRBVORP[RUNNING BACK],MATCH(TableOverallMaster[[#This Row],[RK]],TableRBVORP[RK],0)),"")</f>
        <v>Derrick Gore</v>
      </c>
      <c r="AJ123" s="252" t="str">
        <f t="shared" si="1"/>
        <v>RB82</v>
      </c>
      <c r="AK123" s="252">
        <f>IFERROR(INDEX(TableRBVORP[BYE],MATCH(TableOverallMaster[[#This Row],[RK]],TableRBVORP[RK],0)),"")</f>
        <v>8</v>
      </c>
      <c r="AL123" s="253">
        <f>IFERROR(INDEX(TableRBVORP[FPS],MATCH(TableOverallMaster[[#This Row],[RK]],TableRBVORP[RK],0)),"")</f>
        <v>25.814833604161549</v>
      </c>
      <c r="AM123" s="254">
        <f>IFERROR(INDEX(TableRBVORP[VORP],MATCH(TableOverallMaster[[#This Row],[RK]],TableRBVORP[RK],0)),"")</f>
        <v>-0.74521274149567407</v>
      </c>
      <c r="AN123" s="250"/>
      <c r="AO123" s="250">
        <v>122</v>
      </c>
      <c r="AP123" s="255" t="str">
        <f>IFERROR(INDEX(TableOverallMaster[OVERALL PLAYER],MATCH(TableOverallRank[[#This Row],[RK]],TableOverallMaster[OVR RK],0)),"")</f>
        <v>Chris Olave</v>
      </c>
      <c r="AQ123" s="256" t="str">
        <f>IFERROR(INDEX(TableOverallMaster[POS RK],MATCH(TableOverallRank[[#This Row],[OVERALL PLAYER]],TableOverallMaster[OVERALL PLAYER],0)),"")</f>
        <v>WR50</v>
      </c>
      <c r="AR123" s="257">
        <f>IFERROR(INDEX(TableOverallMaster[BYE],MATCH(TableOverallRank[[#This Row],[OVERALL PLAYER]],TableOverallMaster[OVERALL PLAYER],0)),"")</f>
        <v>14</v>
      </c>
      <c r="AS123" s="258">
        <f>IFERROR(INDEX(TableOverallMaster[Custom],MATCH(TableOverallRank[[#This Row],[OVERALL PLAYER]],TableOverallMaster[OVERALL PLAYER],0)),"")</f>
        <v>108.97249273047609</v>
      </c>
      <c r="AT123" s="259">
        <f>IFERROR(INDEX(TableOverallMaster[VORP],MATCH(TableOverallRank[[#This Row],[OVERALL PLAYER]],TableOverallMaster[OVERALL PLAYER],0)),"")</f>
        <v>0</v>
      </c>
      <c r="AU123" s="250"/>
      <c r="AV123" s="246">
        <v>122</v>
      </c>
      <c r="AW123" s="260" t="str">
        <f>IFERROR(INDEX(TableWRTECalcPts[PLAYER],MATCH(TableWRTERank[[#This Row],[RK]],TableWRTECalcPts[RK],0)),"")</f>
        <v>A.J. Green</v>
      </c>
      <c r="AX123" s="260" t="str">
        <f>IFERROR(INDEX(TableWRTECalcPts[POS RK],MATCH(TableWRTERank[[#This Row],[WR and TE COMBINED]],TableWRTECalcPts[PLAYER],0)),"")</f>
        <v>WR93</v>
      </c>
      <c r="AY123" s="260">
        <f>IFERROR(INDEX(TableWRTECalcPts[BYE],MATCH(TableWRTERank[[#This Row],[RK]],TableWRTECalcPts[RK],0)),"")</f>
        <v>13</v>
      </c>
      <c r="AZ123" s="261">
        <f>IFERROR(INDEX(TableWRTECalcPts[Custom],MATCH(TableWRTERank[[#This Row],[RK]],TableWRTECalcPts[RK],0)),"")</f>
        <v>54.6611752499904</v>
      </c>
      <c r="BA123" s="249">
        <f>IFERROR((TableWRTERank[[#This Row],[FPS]]-INDEX(TableWRTERank[FPS],MATCH(WRTEVORPCalc,TableWRTERank[RK],0)))/INDEX(TableWRTERank[FPS],MATCH(WRTEVORPCalc,TableWRTERank[RK],0)),"")</f>
        <v>-0.53969597178270112</v>
      </c>
      <c r="BC123" s="124" t="s">
        <v>358</v>
      </c>
      <c r="BD123" s="124">
        <v>122</v>
      </c>
      <c r="BE123" s="262">
        <f>RANK(TableWRTEMaster[[#This Row],[VORP]],TableWRTEMaster[VORP])+COUNTIF($BJ$2:BJ123,BJ123)-1</f>
        <v>171</v>
      </c>
      <c r="BF123" s="263" t="str">
        <f>IFERROR(INDEX(TableWRVORP[WIDE RECEIVER],MATCH(TableWRTEMaster[[#This Row],[RK]],TableWRVORP[RK],0)),"")</f>
        <v>Zach Pascal</v>
      </c>
      <c r="BG123" s="263" t="str">
        <f>_xlfn.CONCAT(TableWRTEMaster[[#This Row],[POS]],TableWRTEMaster[[#This Row],[RK]])</f>
        <v>WR122</v>
      </c>
      <c r="BH123" s="263">
        <f>IFERROR(INDEX(TableWRVORP[BYE],MATCH(TableWRTEMaster[[#This Row],[RK]],TableWRVORP[RK],0)),"")</f>
        <v>7</v>
      </c>
      <c r="BI123" s="264">
        <f>IFERROR(INDEX(TableWRVORP[FPS],MATCH(TableWRTEMaster[[#This Row],[RK]],TableWRVORP[RK],0)),"")</f>
        <v>23.786128114823704</v>
      </c>
      <c r="BJ123" s="254">
        <f>IFERROR(INDEX(TableWRVORP[VORP],MATCH(TableWRTEMaster[[#This Row],[RK]],TableWRVORP[RK],0)),"")</f>
        <v>-0.78172355684608941</v>
      </c>
    </row>
    <row r="124" spans="7:62" x14ac:dyDescent="0.3">
      <c r="G124" s="246"/>
      <c r="H124" s="246">
        <v>123</v>
      </c>
      <c r="I124" s="247" t="str">
        <f>IFERROR(INDEX(TableRBCalcPts[PLAYER],MATCH(TableRBVORP[[#This Row],[RK]],TableRBCalcPts[RK],0)),"")</f>
        <v>Jake Funk</v>
      </c>
      <c r="J124" s="247" t="str">
        <f>IFERROR(INDEX(TableRBCalcPts[TM],MATCH(TableRBVORP[[#This Row],[RK]],TableRBCalcPts[RK],0)),"")</f>
        <v>LAR</v>
      </c>
      <c r="K124" s="247">
        <f>IFERROR(INDEX(TableRBCalcPts[BYE],MATCH(TableRBVORP[[#This Row],[RK]],TableRBCalcPts[RK],0)),"")</f>
        <v>7</v>
      </c>
      <c r="L124" s="248">
        <f>IFERROR(INDEX(TableRBCalcPts[Custom],MATCH(TableRBVORP[[#This Row],[RK]],TableRBCalcPts[RK],0)),"")</f>
        <v>5.6878614075559746</v>
      </c>
      <c r="M124" s="249">
        <f>IFERROR((TableRBVORP[[#This Row],[FPS]]-INDEX(TableRBVORP[FPS],MATCH(RBVORPCalc,TableRBVORP[RK],0)))/INDEX(TableRBVORP[FPS],MATCH(RBVORPCalc,TableRBVORP[RK],0)),"")</f>
        <v>-0.94386194243955457</v>
      </c>
      <c r="N124" s="246"/>
      <c r="O124" s="246">
        <v>123</v>
      </c>
      <c r="P124" s="247" t="str">
        <f>IFERROR(INDEX(TableWRCalcPts[PLAYER],MATCH(TableWRVORP[[#This Row],[RK]],TableWRCalcPts[RK],0)),"")</f>
        <v>Jaylon Moore</v>
      </c>
      <c r="Q124" s="247" t="str">
        <f>IFERROR(INDEX(TableWRCalcPts[TM],MATCH(TableWRVORP[[#This Row],[RK]],TableWRCalcPts[RK],0)),"")</f>
        <v>BAL</v>
      </c>
      <c r="R124" s="247">
        <f>IFERROR(INDEX(TableWRCalcPts[BYE],MATCH(TableWRVORP[[#This Row],[RK]],TableWRCalcPts[RK],0)),"")</f>
        <v>10</v>
      </c>
      <c r="S124" s="248">
        <f>IFERROR(INDEX(TableWRCalcPts[Custom],MATCH(TableWRVORP[[#This Row],[RK]],TableWRCalcPts[RK],0)),"")</f>
        <v>23.760689221327276</v>
      </c>
      <c r="T124" s="249">
        <f>IFERROR((TableWRVORP[[#This Row],[FPS]]-INDEX(TableWRVORP[FPS],MATCH(WRVORPCalc,TableWRVORP[RK],0)))/INDEX(TableWRVORP[FPS],MATCH(WRVORPCalc,TableWRVORP[RK],0)),"")</f>
        <v>-0.7819570001018965</v>
      </c>
      <c r="U124" s="246"/>
      <c r="V124" s="246"/>
      <c r="AB124" s="246"/>
      <c r="AC124" s="250"/>
      <c r="AD124" s="250"/>
      <c r="AE124" s="250"/>
      <c r="AF124" s="250" t="s">
        <v>357</v>
      </c>
      <c r="AG124" s="250">
        <v>83</v>
      </c>
      <c r="AH124" s="251">
        <f>RANK(TableOverallMaster[[#This Row],[VORP]],TableOverallMaster[VORP])+COUNTIF($AM$2:AM124,AM124)-1</f>
        <v>277</v>
      </c>
      <c r="AI124" s="252" t="str">
        <f>IFERROR(INDEX(TableRBVORP[RUNNING BACK],MATCH(TableOverallMaster[[#This Row],[RK]],TableRBVORP[RK],0)),"")</f>
        <v>Keaontay Ingram</v>
      </c>
      <c r="AJ124" s="252" t="str">
        <f t="shared" si="1"/>
        <v>RB83</v>
      </c>
      <c r="AK124" s="252">
        <f>IFERROR(INDEX(TableRBVORP[BYE],MATCH(TableOverallMaster[[#This Row],[RK]],TableRBVORP[RK],0)),"")</f>
        <v>13</v>
      </c>
      <c r="AL124" s="253">
        <f>IFERROR(INDEX(TableRBVORP[FPS],MATCH(TableOverallMaster[[#This Row],[RK]],TableRBVORP[RK],0)),"")</f>
        <v>24.057012080374395</v>
      </c>
      <c r="AM124" s="254">
        <f>IFERROR(INDEX(TableRBVORP[VORP],MATCH(TableOverallMaster[[#This Row],[RK]],TableRBVORP[RK],0)),"")</f>
        <v>-0.76256208931070035</v>
      </c>
      <c r="AN124" s="250"/>
      <c r="AO124" s="250">
        <v>123</v>
      </c>
      <c r="AP124" s="255" t="str">
        <f>IFERROR(INDEX(TableOverallMaster[OVERALL PLAYER],MATCH(TableOverallRank[[#This Row],[RK]],TableOverallMaster[OVR RK],0)),"")</f>
        <v>T.J. Hockenson</v>
      </c>
      <c r="AQ124" s="256" t="str">
        <f>IFERROR(INDEX(TableOverallMaster[POS RK],MATCH(TableOverallRank[[#This Row],[OVERALL PLAYER]],TableOverallMaster[OVERALL PLAYER],0)),"")</f>
        <v>TE10</v>
      </c>
      <c r="AR124" s="257">
        <f>IFERROR(INDEX(TableOverallMaster[BYE],MATCH(TableOverallRank[[#This Row],[OVERALL PLAYER]],TableOverallMaster[OVERALL PLAYER],0)),"")</f>
        <v>6</v>
      </c>
      <c r="AS124" s="258">
        <f>IFERROR(INDEX(TableOverallMaster[Custom],MATCH(TableOverallRank[[#This Row],[OVERALL PLAYER]],TableOverallMaster[OVERALL PLAYER],0)),"")</f>
        <v>102.45239309867193</v>
      </c>
      <c r="AT124" s="259">
        <f>IFERROR(INDEX(TableOverallMaster[VORP],MATCH(TableOverallRank[[#This Row],[OVERALL PLAYER]],TableOverallMaster[OVERALL PLAYER],0)),"")</f>
        <v>0</v>
      </c>
      <c r="AU124" s="250"/>
      <c r="AV124" s="246">
        <v>123</v>
      </c>
      <c r="AW124" s="260" t="str">
        <f>IFERROR(INDEX(TableWRTECalcPts[PLAYER],MATCH(TableWRTERank[[#This Row],[RK]],TableWRTECalcPts[RK],0)),"")</f>
        <v>Dan Arnold</v>
      </c>
      <c r="AX124" s="260" t="str">
        <f>IFERROR(INDEX(TableWRTECalcPts[POS RK],MATCH(TableWRTERank[[#This Row],[WR and TE COMBINED]],TableWRTECalcPts[PLAYER],0)),"")</f>
        <v>TE30</v>
      </c>
      <c r="AY124" s="260">
        <f>IFERROR(INDEX(TableWRTECalcPts[BYE],MATCH(TableWRTERank[[#This Row],[RK]],TableWRTECalcPts[RK],0)),"")</f>
        <v>11</v>
      </c>
      <c r="AZ124" s="261">
        <f>IFERROR(INDEX(TableWRTECalcPts[Custom],MATCH(TableWRTERank[[#This Row],[RK]],TableWRTECalcPts[RK],0)),"")</f>
        <v>54.026711510678737</v>
      </c>
      <c r="BA124" s="249">
        <f>IFERROR((TableWRTERank[[#This Row],[FPS]]-INDEX(TableWRTERank[FPS],MATCH(WRTEVORPCalc,TableWRTERank[RK],0)))/INDEX(TableWRTERank[FPS],MATCH(WRTEVORPCalc,TableWRTERank[RK],0)),"")</f>
        <v>-0.54503881729649251</v>
      </c>
      <c r="BC124" s="124" t="s">
        <v>358</v>
      </c>
      <c r="BD124" s="124">
        <v>123</v>
      </c>
      <c r="BE124" s="262">
        <f>RANK(TableWRTEMaster[[#This Row],[VORP]],TableWRTEMaster[VORP])+COUNTIF($BJ$2:BJ124,BJ124)-1</f>
        <v>172</v>
      </c>
      <c r="BF124" s="263" t="str">
        <f>IFERROR(INDEX(TableWRVORP[WIDE RECEIVER],MATCH(TableWRTEMaster[[#This Row],[RK]],TableWRVORP[RK],0)),"")</f>
        <v>Jaylon Moore</v>
      </c>
      <c r="BG124" s="263" t="str">
        <f>_xlfn.CONCAT(TableWRTEMaster[[#This Row],[POS]],TableWRTEMaster[[#This Row],[RK]])</f>
        <v>WR123</v>
      </c>
      <c r="BH124" s="263">
        <f>IFERROR(INDEX(TableWRVORP[BYE],MATCH(TableWRTEMaster[[#This Row],[RK]],TableWRVORP[RK],0)),"")</f>
        <v>10</v>
      </c>
      <c r="BI124" s="264">
        <f>IFERROR(INDEX(TableWRVORP[FPS],MATCH(TableWRTEMaster[[#This Row],[RK]],TableWRVORP[RK],0)),"")</f>
        <v>23.760689221327276</v>
      </c>
      <c r="BJ124" s="254">
        <f>IFERROR(INDEX(TableWRVORP[VORP],MATCH(TableWRTEMaster[[#This Row],[RK]],TableWRVORP[RK],0)),"")</f>
        <v>-0.7819570001018965</v>
      </c>
    </row>
    <row r="125" spans="7:62" x14ac:dyDescent="0.3">
      <c r="G125" s="246"/>
      <c r="H125" s="246">
        <v>124</v>
      </c>
      <c r="I125" s="247" t="str">
        <f>IFERROR(INDEX(TableRBCalcPts[PLAYER],MATCH(TableRBVORP[[#This Row],[RK]],TableRBCalcPts[RK],0)),"")</f>
        <v>Ryquell Armstead</v>
      </c>
      <c r="J125" s="247" t="str">
        <f>IFERROR(INDEX(TableRBCalcPts[TM],MATCH(TableRBVORP[[#This Row],[RK]],TableRBCalcPts[RK],0)),"")</f>
        <v>JAX</v>
      </c>
      <c r="K125" s="247">
        <f>IFERROR(INDEX(TableRBCalcPts[BYE],MATCH(TableRBVORP[[#This Row],[RK]],TableRBCalcPts[RK],0)),"")</f>
        <v>11</v>
      </c>
      <c r="L125" s="248">
        <f>IFERROR(INDEX(TableRBCalcPts[Custom],MATCH(TableRBVORP[[#This Row],[RK]],TableRBCalcPts[RK],0)),"")</f>
        <v>5.2273271528490284</v>
      </c>
      <c r="M125" s="249">
        <f>IFERROR((TableRBVORP[[#This Row],[FPS]]-INDEX(TableRBVORP[FPS],MATCH(RBVORPCalc,TableRBVORP[RK],0)))/INDEX(TableRBVORP[FPS],MATCH(RBVORPCalc,TableRBVORP[RK],0)),"")</f>
        <v>-0.94840732367281566</v>
      </c>
      <c r="N125" s="246"/>
      <c r="O125" s="246">
        <v>124</v>
      </c>
      <c r="P125" s="247" t="str">
        <f>IFERROR(INDEX(TableWRCalcPts[PLAYER],MATCH(TableWRVORP[[#This Row],[RK]],TableWRCalcPts[RK],0)),"")</f>
        <v>Dyami Brown</v>
      </c>
      <c r="Q125" s="247" t="str">
        <f>IFERROR(INDEX(TableWRCalcPts[TM],MATCH(TableWRVORP[[#This Row],[RK]],TableWRCalcPts[RK],0)),"")</f>
        <v>WSH</v>
      </c>
      <c r="R125" s="247">
        <f>IFERROR(INDEX(TableWRCalcPts[BYE],MATCH(TableWRVORP[[#This Row],[RK]],TableWRCalcPts[RK],0)),"")</f>
        <v>14</v>
      </c>
      <c r="S125" s="248">
        <f>IFERROR(INDEX(TableWRCalcPts[Custom],MATCH(TableWRVORP[[#This Row],[RK]],TableWRCalcPts[RK],0)),"")</f>
        <v>23.658623331692777</v>
      </c>
      <c r="T125" s="249">
        <f>IFERROR((TableWRVORP[[#This Row],[FPS]]-INDEX(TableWRVORP[FPS],MATCH(WRVORPCalc,TableWRVORP[RK],0)))/INDEX(TableWRVORP[FPS],MATCH(WRVORPCalc,TableWRVORP[RK],0)),"")</f>
        <v>-0.78289362077631697</v>
      </c>
      <c r="U125" s="246"/>
      <c r="V125" s="246"/>
      <c r="AB125" s="246"/>
      <c r="AC125" s="250"/>
      <c r="AD125" s="250"/>
      <c r="AE125" s="250"/>
      <c r="AF125" s="250" t="s">
        <v>357</v>
      </c>
      <c r="AG125" s="250">
        <v>84</v>
      </c>
      <c r="AH125" s="251">
        <f>RANK(TableOverallMaster[[#This Row],[VORP]],TableOverallMaster[VORP])+COUNTIF($AM$2:AM125,AM125)-1</f>
        <v>278</v>
      </c>
      <c r="AI125" s="252" t="str">
        <f>IFERROR(INDEX(TableRBVORP[RUNNING BACK],MATCH(TableOverallMaster[[#This Row],[RK]],TableRBVORP[RK],0)),"")</f>
        <v>Duke Johnson</v>
      </c>
      <c r="AJ125" s="252" t="str">
        <f t="shared" si="1"/>
        <v>RB84</v>
      </c>
      <c r="AK125" s="252">
        <f>IFERROR(INDEX(TableRBVORP[BYE],MATCH(TableOverallMaster[[#This Row],[RK]],TableRBVORP[RK],0)),"")</f>
        <v>7</v>
      </c>
      <c r="AL125" s="253">
        <f>IFERROR(INDEX(TableRBVORP[FPS],MATCH(TableOverallMaster[[#This Row],[RK]],TableRBVORP[RK],0)),"")</f>
        <v>23.791529259382088</v>
      </c>
      <c r="AM125" s="254">
        <f>IFERROR(INDEX(TableRBVORP[VORP],MATCH(TableOverallMaster[[#This Row],[RK]],TableRBVORP[RK],0)),"")</f>
        <v>-0.76518235179923022</v>
      </c>
      <c r="AN125" s="250"/>
      <c r="AO125" s="250">
        <v>124</v>
      </c>
      <c r="AP125" s="255" t="str">
        <f>IFERROR(INDEX(TableOverallMaster[OVERALL PLAYER],MATCH(TableOverallRank[[#This Row],[RK]],TableOverallMaster[OVR RK],0)),"")</f>
        <v>Daniel Jones</v>
      </c>
      <c r="AQ125" s="256" t="str">
        <f>IFERROR(INDEX(TableOverallMaster[POS RK],MATCH(TableOverallRank[[#This Row],[OVERALL PLAYER]],TableOverallMaster[OVERALL PLAYER],0)),"")</f>
        <v>QB22</v>
      </c>
      <c r="AR125" s="257">
        <f>IFERROR(INDEX(TableOverallMaster[BYE],MATCH(TableOverallRank[[#This Row],[OVERALL PLAYER]],TableOverallMaster[OVERALL PLAYER],0)),"")</f>
        <v>9</v>
      </c>
      <c r="AS125" s="258">
        <f>IFERROR(INDEX(TableOverallMaster[Custom],MATCH(TableOverallRank[[#This Row],[OVERALL PLAYER]],TableOverallMaster[OVERALL PLAYER],0)),"")</f>
        <v>272.32576236876167</v>
      </c>
      <c r="AT125" s="259">
        <f>IFERROR(INDEX(TableOverallMaster[VORP],MATCH(TableOverallRank[[#This Row],[OVERALL PLAYER]],TableOverallMaster[OVERALL PLAYER],0)),"")</f>
        <v>-8.2967989652485419E-3</v>
      </c>
      <c r="AU125" s="250"/>
      <c r="AV125" s="246">
        <v>124</v>
      </c>
      <c r="AW125" s="260" t="str">
        <f>IFERROR(INDEX(TableWRTECalcPts[PLAYER],MATCH(TableWRTERank[[#This Row],[RK]],TableWRTECalcPts[RK],0)),"")</f>
        <v>Parris Campbell</v>
      </c>
      <c r="AX125" s="260" t="str">
        <f>IFERROR(INDEX(TableWRTECalcPts[POS RK],MATCH(TableWRTERank[[#This Row],[WR and TE COMBINED]],TableWRTECalcPts[PLAYER],0)),"")</f>
        <v>WR94</v>
      </c>
      <c r="AY125" s="260">
        <f>IFERROR(INDEX(TableWRTECalcPts[BYE],MATCH(TableWRTERank[[#This Row],[RK]],TableWRTECalcPts[RK],0)),"")</f>
        <v>14</v>
      </c>
      <c r="AZ125" s="261">
        <f>IFERROR(INDEX(TableWRTECalcPts[Custom],MATCH(TableWRTERank[[#This Row],[RK]],TableWRTECalcPts[RK],0)),"")</f>
        <v>53.350300430483863</v>
      </c>
      <c r="BA125" s="249">
        <f>IFERROR((TableWRTERank[[#This Row],[FPS]]-INDEX(TableWRTERank[FPS],MATCH(WRTEVORPCalc,TableWRTERank[RK],0)))/INDEX(TableWRTERank[FPS],MATCH(WRTEVORPCalc,TableWRTERank[RK],0)),"")</f>
        <v>-0.55073490311097695</v>
      </c>
      <c r="BC125" s="124" t="s">
        <v>358</v>
      </c>
      <c r="BD125" s="124">
        <v>124</v>
      </c>
      <c r="BE125" s="262">
        <f>RANK(TableWRTEMaster[[#This Row],[VORP]],TableWRTEMaster[VORP])+COUNTIF($BJ$2:BJ125,BJ125)-1</f>
        <v>173</v>
      </c>
      <c r="BF125" s="263" t="str">
        <f>IFERROR(INDEX(TableWRVORP[WIDE RECEIVER],MATCH(TableWRTEMaster[[#This Row],[RK]],TableWRVORP[RK],0)),"")</f>
        <v>Dyami Brown</v>
      </c>
      <c r="BG125" s="263" t="str">
        <f>_xlfn.CONCAT(TableWRTEMaster[[#This Row],[POS]],TableWRTEMaster[[#This Row],[RK]])</f>
        <v>WR124</v>
      </c>
      <c r="BH125" s="263">
        <f>IFERROR(INDEX(TableWRVORP[BYE],MATCH(TableWRTEMaster[[#This Row],[RK]],TableWRVORP[RK],0)),"")</f>
        <v>14</v>
      </c>
      <c r="BI125" s="264">
        <f>IFERROR(INDEX(TableWRVORP[FPS],MATCH(TableWRTEMaster[[#This Row],[RK]],TableWRVORP[RK],0)),"")</f>
        <v>23.658623331692777</v>
      </c>
      <c r="BJ125" s="254">
        <f>IFERROR(INDEX(TableWRVORP[VORP],MATCH(TableWRTEMaster[[#This Row],[RK]],TableWRVORP[RK],0)),"")</f>
        <v>-0.78289362077631697</v>
      </c>
    </row>
    <row r="126" spans="7:62" x14ac:dyDescent="0.3">
      <c r="G126" s="246"/>
      <c r="H126" s="246">
        <v>125</v>
      </c>
      <c r="I126" s="247" t="str">
        <f>IFERROR(INDEX(TableRBCalcPts[PLAYER],MATCH(TableRBVORP[[#This Row],[RK]],TableRBCalcPts[RK],0)),"")</f>
        <v/>
      </c>
      <c r="J126" s="247" t="str">
        <f>IFERROR(INDEX(TableRBCalcPts[TM],MATCH(TableRBVORP[[#This Row],[RK]],TableRBCalcPts[RK],0)),"")</f>
        <v/>
      </c>
      <c r="K126" s="247" t="str">
        <f>IFERROR(INDEX(TableRBCalcPts[BYE],MATCH(TableRBVORP[[#This Row],[RK]],TableRBCalcPts[RK],0)),"")</f>
        <v/>
      </c>
      <c r="L126" s="248" t="str">
        <f>IFERROR(INDEX(TableRBCalcPts[Custom],MATCH(TableRBVORP[[#This Row],[RK]],TableRBCalcPts[RK],0)),"")</f>
        <v/>
      </c>
      <c r="M126" s="249" t="str">
        <f>IFERROR((TableRBVORP[[#This Row],[FPS]]-INDEX(TableRBVORP[FPS],MATCH(RBVORPCalc,TableRBVORP[RK],0)))/INDEX(TableRBVORP[FPS],MATCH(RBVORPCalc,TableRBVORP[RK],0)),"")</f>
        <v/>
      </c>
      <c r="N126" s="246"/>
      <c r="O126" s="246">
        <v>125</v>
      </c>
      <c r="P126" s="247" t="str">
        <f>IFERROR(INDEX(TableWRCalcPts[PLAYER],MATCH(TableWRVORP[[#This Row],[RK]],TableWRCalcPts[RK],0)),"")</f>
        <v>Rashard Higgins</v>
      </c>
      <c r="Q126" s="247" t="str">
        <f>IFERROR(INDEX(TableWRCalcPts[TM],MATCH(TableWRVORP[[#This Row],[RK]],TableWRCalcPts[RK],0)),"")</f>
        <v>CAR</v>
      </c>
      <c r="R126" s="247">
        <f>IFERROR(INDEX(TableWRCalcPts[BYE],MATCH(TableWRVORP[[#This Row],[RK]],TableWRCalcPts[RK],0)),"")</f>
        <v>13</v>
      </c>
      <c r="S126" s="248">
        <f>IFERROR(INDEX(TableWRCalcPts[Custom],MATCH(TableWRVORP[[#This Row],[RK]],TableWRCalcPts[RK],0)),"")</f>
        <v>23.388939153604547</v>
      </c>
      <c r="T126" s="249">
        <f>IFERROR((TableWRVORP[[#This Row],[FPS]]-INDEX(TableWRVORP[FPS],MATCH(WRVORPCalc,TableWRVORP[RK],0)))/INDEX(TableWRVORP[FPS],MATCH(WRVORPCalc,TableWRVORP[RK],0)),"")</f>
        <v>-0.7853684120867741</v>
      </c>
      <c r="U126" s="246"/>
      <c r="V126" s="246"/>
      <c r="AB126" s="246"/>
      <c r="AC126" s="250"/>
      <c r="AD126" s="250"/>
      <c r="AE126" s="250"/>
      <c r="AF126" s="250" t="s">
        <v>357</v>
      </c>
      <c r="AG126" s="250">
        <v>85</v>
      </c>
      <c r="AH126" s="251">
        <f>RANK(TableOverallMaster[[#This Row],[VORP]],TableOverallMaster[VORP])+COUNTIF($AM$2:AM126,AM126)-1</f>
        <v>279</v>
      </c>
      <c r="AI126" s="252" t="str">
        <f>IFERROR(INDEX(TableRBVORP[RUNNING BACK],MATCH(TableOverallMaster[[#This Row],[RK]],TableRBVORP[RK],0)),"")</f>
        <v>Joshua Kelley</v>
      </c>
      <c r="AJ126" s="252" t="str">
        <f t="shared" si="1"/>
        <v>RB85</v>
      </c>
      <c r="AK126" s="252">
        <f>IFERROR(INDEX(TableRBVORP[BYE],MATCH(TableOverallMaster[[#This Row],[RK]],TableRBVORP[RK],0)),"")</f>
        <v>8</v>
      </c>
      <c r="AL126" s="253">
        <f>IFERROR(INDEX(TableRBVORP[FPS],MATCH(TableOverallMaster[[#This Row],[RK]],TableRBVORP[RK],0)),"")</f>
        <v>22.922049210206108</v>
      </c>
      <c r="AM126" s="254">
        <f>IFERROR(INDEX(TableRBVORP[VORP],MATCH(TableOverallMaster[[#This Row],[RK]],TableRBVORP[RK],0)),"")</f>
        <v>-0.77376394645332247</v>
      </c>
      <c r="AN126" s="250"/>
      <c r="AO126" s="250">
        <v>125</v>
      </c>
      <c r="AP126" s="255" t="str">
        <f>IFERROR(INDEX(TableOverallMaster[OVERALL PLAYER],MATCH(TableOverallRank[[#This Row],[RK]],TableOverallMaster[OVR RK],0)),"")</f>
        <v>Alexander Mattison</v>
      </c>
      <c r="AQ126" s="256" t="str">
        <f>IFERROR(INDEX(TableOverallMaster[POS RK],MATCH(TableOverallRank[[#This Row],[OVERALL PLAYER]],TableOverallMaster[OVERALL PLAYER],0)),"")</f>
        <v>RB43</v>
      </c>
      <c r="AR126" s="257">
        <f>IFERROR(INDEX(TableOverallMaster[BYE],MATCH(TableOverallRank[[#This Row],[OVERALL PLAYER]],TableOverallMaster[OVERALL PLAYER],0)),"")</f>
        <v>7</v>
      </c>
      <c r="AS126" s="258">
        <f>IFERROR(INDEX(TableOverallMaster[Custom],MATCH(TableOverallRank[[#This Row],[OVERALL PLAYER]],TableOverallMaster[OVERALL PLAYER],0)),"")</f>
        <v>99.906737828742521</v>
      </c>
      <c r="AT126" s="259">
        <f>IFERROR(INDEX(TableOverallMaster[VORP],MATCH(TableOverallRank[[#This Row],[OVERALL PLAYER]],TableOverallMaster[OVERALL PLAYER],0)),"")</f>
        <v>-1.3940425577943633E-2</v>
      </c>
      <c r="AU126" s="250"/>
      <c r="AV126" s="246">
        <v>125</v>
      </c>
      <c r="AW126" s="260" t="str">
        <f>IFERROR(INDEX(TableWRTECalcPts[PLAYER],MATCH(TableWRTERank[[#This Row],[RK]],TableWRTECalcPts[RK],0)),"")</f>
        <v>James Washington</v>
      </c>
      <c r="AX126" s="260" t="str">
        <f>IFERROR(INDEX(TableWRTECalcPts[POS RK],MATCH(TableWRTERank[[#This Row],[WR and TE COMBINED]],TableWRTECalcPts[PLAYER],0)),"")</f>
        <v>WR95</v>
      </c>
      <c r="AY126" s="260">
        <f>IFERROR(INDEX(TableWRTECalcPts[BYE],MATCH(TableWRTERank[[#This Row],[RK]],TableWRTECalcPts[RK],0)),"")</f>
        <v>9</v>
      </c>
      <c r="AZ126" s="261">
        <f>IFERROR(INDEX(TableWRTECalcPts[Custom],MATCH(TableWRTERank[[#This Row],[RK]],TableWRTECalcPts[RK],0)),"")</f>
        <v>51.375545577633844</v>
      </c>
      <c r="BA126" s="249">
        <f>IFERROR((TableWRTERank[[#This Row],[FPS]]-INDEX(TableWRTERank[FPS],MATCH(WRTEVORPCalc,TableWRTERank[RK],0)))/INDEX(TableWRTERank[FPS],MATCH(WRTEVORPCalc,TableWRTERank[RK],0)),"")</f>
        <v>-0.56736439578747544</v>
      </c>
      <c r="BC126" s="124" t="s">
        <v>358</v>
      </c>
      <c r="BD126" s="124">
        <v>125</v>
      </c>
      <c r="BE126" s="262">
        <f>RANK(TableWRTEMaster[[#This Row],[VORP]],TableWRTEMaster[VORP])+COUNTIF($BJ$2:BJ126,BJ126)-1</f>
        <v>175</v>
      </c>
      <c r="BF126" s="263" t="str">
        <f>IFERROR(INDEX(TableWRVORP[WIDE RECEIVER],MATCH(TableWRTEMaster[[#This Row],[RK]],TableWRVORP[RK],0)),"")</f>
        <v>Rashard Higgins</v>
      </c>
      <c r="BG126" s="263" t="str">
        <f>_xlfn.CONCAT(TableWRTEMaster[[#This Row],[POS]],TableWRTEMaster[[#This Row],[RK]])</f>
        <v>WR125</v>
      </c>
      <c r="BH126" s="263">
        <f>IFERROR(INDEX(TableWRVORP[BYE],MATCH(TableWRTEMaster[[#This Row],[RK]],TableWRVORP[RK],0)),"")</f>
        <v>13</v>
      </c>
      <c r="BI126" s="264">
        <f>IFERROR(INDEX(TableWRVORP[FPS],MATCH(TableWRTEMaster[[#This Row],[RK]],TableWRVORP[RK],0)),"")</f>
        <v>23.388939153604547</v>
      </c>
      <c r="BJ126" s="254">
        <f>IFERROR(INDEX(TableWRVORP[VORP],MATCH(TableWRTEMaster[[#This Row],[RK]],TableWRVORP[RK],0)),"")</f>
        <v>-0.7853684120867741</v>
      </c>
    </row>
    <row r="127" spans="7:62" x14ac:dyDescent="0.3">
      <c r="G127" s="246"/>
      <c r="H127" s="246">
        <v>126</v>
      </c>
      <c r="I127" s="247" t="str">
        <f>IFERROR(INDEX(TableRBCalcPts[PLAYER],MATCH(TableRBVORP[[#This Row],[RK]],TableRBCalcPts[RK],0)),"")</f>
        <v/>
      </c>
      <c r="J127" s="247" t="str">
        <f>IFERROR(INDEX(TableRBCalcPts[TM],MATCH(TableRBVORP[[#This Row],[RK]],TableRBCalcPts[RK],0)),"")</f>
        <v/>
      </c>
      <c r="K127" s="247" t="str">
        <f>IFERROR(INDEX(TableRBCalcPts[BYE],MATCH(TableRBVORP[[#This Row],[RK]],TableRBCalcPts[RK],0)),"")</f>
        <v/>
      </c>
      <c r="L127" s="248" t="str">
        <f>IFERROR(INDEX(TableRBCalcPts[Custom],MATCH(TableRBVORP[[#This Row],[RK]],TableRBCalcPts[RK],0)),"")</f>
        <v/>
      </c>
      <c r="M127" s="249" t="str">
        <f>IFERROR((TableRBVORP[[#This Row],[FPS]]-INDEX(TableRBVORP[FPS],MATCH(RBVORPCalc,TableRBVORP[RK],0)))/INDEX(TableRBVORP[FPS],MATCH(RBVORPCalc,TableRBVORP[RK],0)),"")</f>
        <v/>
      </c>
      <c r="N127" s="246"/>
      <c r="O127" s="246">
        <v>126</v>
      </c>
      <c r="P127" s="247" t="str">
        <f>IFERROR(INDEX(TableWRCalcPts[PLAYER],MATCH(TableWRVORP[[#This Row],[RK]],TableWRCalcPts[RK],0)),"")</f>
        <v>Auden Tate</v>
      </c>
      <c r="Q127" s="247" t="str">
        <f>IFERROR(INDEX(TableWRCalcPts[TM],MATCH(TableWRVORP[[#This Row],[RK]],TableWRCalcPts[RK],0)),"")</f>
        <v>ATL</v>
      </c>
      <c r="R127" s="247">
        <f>IFERROR(INDEX(TableWRCalcPts[BYE],MATCH(TableWRVORP[[#This Row],[RK]],TableWRCalcPts[RK],0)),"")</f>
        <v>14</v>
      </c>
      <c r="S127" s="248">
        <f>IFERROR(INDEX(TableWRCalcPts[Custom],MATCH(TableWRVORP[[#This Row],[RK]],TableWRCalcPts[RK],0)),"")</f>
        <v>22.711400034276718</v>
      </c>
      <c r="T127" s="249">
        <f>IFERROR((TableWRVORP[[#This Row],[FPS]]-INDEX(TableWRVORP[FPS],MATCH(WRVORPCalc,TableWRVORP[RK],0)))/INDEX(TableWRVORP[FPS],MATCH(WRVORPCalc,TableWRVORP[RK],0)),"")</f>
        <v>-0.79158593636607644</v>
      </c>
      <c r="U127" s="246"/>
      <c r="V127" s="246"/>
      <c r="AB127" s="246"/>
      <c r="AC127" s="250"/>
      <c r="AD127" s="250"/>
      <c r="AE127" s="250"/>
      <c r="AF127" s="250" t="s">
        <v>357</v>
      </c>
      <c r="AG127" s="250">
        <v>86</v>
      </c>
      <c r="AH127" s="251">
        <f>RANK(TableOverallMaster[[#This Row],[VORP]],TableOverallMaster[VORP])+COUNTIF($AM$2:AM127,AM127)-1</f>
        <v>280</v>
      </c>
      <c r="AI127" s="252" t="str">
        <f>IFERROR(INDEX(TableRBVORP[RUNNING BACK],MATCH(TableOverallMaster[[#This Row],[RK]],TableRBVORP[RK],0)),"")</f>
        <v>ZaQuandre White</v>
      </c>
      <c r="AJ127" s="252" t="str">
        <f t="shared" si="1"/>
        <v>RB86</v>
      </c>
      <c r="AK127" s="252">
        <f>IFERROR(INDEX(TableRBVORP[BYE],MATCH(TableOverallMaster[[#This Row],[RK]],TableRBVORP[RK],0)),"")</f>
        <v>11</v>
      </c>
      <c r="AL127" s="253">
        <f>IFERROR(INDEX(TableRBVORP[FPS],MATCH(TableOverallMaster[[#This Row],[RK]],TableRBVORP[RK],0)),"")</f>
        <v>22.249247349411675</v>
      </c>
      <c r="AM127" s="254">
        <f>IFERROR(INDEX(TableRBVORP[VORP],MATCH(TableOverallMaster[[#This Row],[RK]],TableRBVORP[RK],0)),"")</f>
        <v>-0.78040436661860246</v>
      </c>
      <c r="AN127" s="250"/>
      <c r="AO127" s="250">
        <v>126</v>
      </c>
      <c r="AP127" s="255" t="str">
        <f>IFERROR(INDEX(TableOverallMaster[OVERALL PLAYER],MATCH(TableOverallRank[[#This Row],[RK]],TableOverallMaster[OVR RK],0)),"")</f>
        <v>Chase Claypool</v>
      </c>
      <c r="AQ127" s="256" t="str">
        <f>IFERROR(INDEX(TableOverallMaster[POS RK],MATCH(TableOverallRank[[#This Row],[OVERALL PLAYER]],TableOverallMaster[OVERALL PLAYER],0)),"")</f>
        <v>WR51</v>
      </c>
      <c r="AR127" s="257">
        <f>IFERROR(INDEX(TableOverallMaster[BYE],MATCH(TableOverallRank[[#This Row],[OVERALL PLAYER]],TableOverallMaster[OVERALL PLAYER],0)),"")</f>
        <v>9</v>
      </c>
      <c r="AS127" s="258">
        <f>IFERROR(INDEX(TableOverallMaster[Custom],MATCH(TableOverallRank[[#This Row],[OVERALL PLAYER]],TableOverallMaster[OVERALL PLAYER],0)),"")</f>
        <v>106.93345533928145</v>
      </c>
      <c r="AT127" s="259">
        <f>IFERROR(INDEX(TableOverallMaster[VORP],MATCH(TableOverallRank[[#This Row],[OVERALL PLAYER]],TableOverallMaster[OVERALL PLAYER],0)),"")</f>
        <v>-1.8711487092782513E-2</v>
      </c>
      <c r="AU127" s="250"/>
      <c r="AV127" s="246">
        <v>126</v>
      </c>
      <c r="AW127" s="260" t="str">
        <f>IFERROR(INDEX(TableWRTECalcPts[PLAYER],MATCH(TableWRTERank[[#This Row],[RK]],TableWRTECalcPts[RK],0)),"")</f>
        <v>Olamide Zaccheaus</v>
      </c>
      <c r="AX127" s="260" t="str">
        <f>IFERROR(INDEX(TableWRTECalcPts[POS RK],MATCH(TableWRTERank[[#This Row],[WR and TE COMBINED]],TableWRTECalcPts[PLAYER],0)),"")</f>
        <v>WR96</v>
      </c>
      <c r="AY127" s="260">
        <f>IFERROR(INDEX(TableWRTECalcPts[BYE],MATCH(TableWRTERank[[#This Row],[RK]],TableWRTECalcPts[RK],0)),"")</f>
        <v>14</v>
      </c>
      <c r="AZ127" s="261">
        <f>IFERROR(INDEX(TableWRTECalcPts[Custom],MATCH(TableWRTERank[[#This Row],[RK]],TableWRTECalcPts[RK],0)),"")</f>
        <v>51.177073421678053</v>
      </c>
      <c r="BA127" s="249">
        <f>IFERROR((TableWRTERank[[#This Row],[FPS]]-INDEX(TableWRTERank[FPS],MATCH(WRTEVORPCalc,TableWRTERank[RK],0)))/INDEX(TableWRTERank[FPS],MATCH(WRTEVORPCalc,TableWRTERank[RK],0)),"")</f>
        <v>-0.56903573806026064</v>
      </c>
      <c r="BC127" s="124" t="s">
        <v>358</v>
      </c>
      <c r="BD127" s="124">
        <v>126</v>
      </c>
      <c r="BE127" s="262">
        <f>RANK(TableWRTEMaster[[#This Row],[VORP]],TableWRTEMaster[VORP])+COUNTIF($BJ$2:BJ127,BJ127)-1</f>
        <v>177</v>
      </c>
      <c r="BF127" s="263" t="str">
        <f>IFERROR(INDEX(TableWRVORP[WIDE RECEIVER],MATCH(TableWRTEMaster[[#This Row],[RK]],TableWRVORP[RK],0)),"")</f>
        <v>Auden Tate</v>
      </c>
      <c r="BG127" s="263" t="str">
        <f>_xlfn.CONCAT(TableWRTEMaster[[#This Row],[POS]],TableWRTEMaster[[#This Row],[RK]])</f>
        <v>WR126</v>
      </c>
      <c r="BH127" s="263">
        <f>IFERROR(INDEX(TableWRVORP[BYE],MATCH(TableWRTEMaster[[#This Row],[RK]],TableWRVORP[RK],0)),"")</f>
        <v>14</v>
      </c>
      <c r="BI127" s="264">
        <f>IFERROR(INDEX(TableWRVORP[FPS],MATCH(TableWRTEMaster[[#This Row],[RK]],TableWRVORP[RK],0)),"")</f>
        <v>22.711400034276718</v>
      </c>
      <c r="BJ127" s="254">
        <f>IFERROR(INDEX(TableWRVORP[VORP],MATCH(TableWRTEMaster[[#This Row],[RK]],TableWRVORP[RK],0)),"")</f>
        <v>-0.79158593636607644</v>
      </c>
    </row>
    <row r="128" spans="7:62" x14ac:dyDescent="0.3">
      <c r="G128" s="246"/>
      <c r="H128" s="246">
        <v>127</v>
      </c>
      <c r="I128" s="247" t="str">
        <f>IFERROR(INDEX(TableRBCalcPts[PLAYER],MATCH(TableRBVORP[[#This Row],[RK]],TableRBCalcPts[RK],0)),"")</f>
        <v/>
      </c>
      <c r="J128" s="247" t="str">
        <f>IFERROR(INDEX(TableRBCalcPts[TM],MATCH(TableRBVORP[[#This Row],[RK]],TableRBCalcPts[RK],0)),"")</f>
        <v/>
      </c>
      <c r="K128" s="247" t="str">
        <f>IFERROR(INDEX(TableRBCalcPts[BYE],MATCH(TableRBVORP[[#This Row],[RK]],TableRBCalcPts[RK],0)),"")</f>
        <v/>
      </c>
      <c r="L128" s="248" t="str">
        <f>IFERROR(INDEX(TableRBCalcPts[Custom],MATCH(TableRBVORP[[#This Row],[RK]],TableRBCalcPts[RK],0)),"")</f>
        <v/>
      </c>
      <c r="M128" s="249" t="str">
        <f>IFERROR((TableRBVORP[[#This Row],[FPS]]-INDEX(TableRBVORP[FPS],MATCH(RBVORPCalc,TableRBVORP[RK],0)))/INDEX(TableRBVORP[FPS],MATCH(RBVORPCalc,TableRBVORP[RK],0)),"")</f>
        <v/>
      </c>
      <c r="N128" s="246"/>
      <c r="O128" s="246">
        <v>127</v>
      </c>
      <c r="P128" s="247" t="str">
        <f>IFERROR(INDEX(TableWRCalcPts[PLAYER],MATCH(TableWRVORP[[#This Row],[RK]],TableWRCalcPts[RK],0)),"")</f>
        <v>Noah Brown</v>
      </c>
      <c r="Q128" s="247" t="str">
        <f>IFERROR(INDEX(TableWRCalcPts[TM],MATCH(TableWRVORP[[#This Row],[RK]],TableWRCalcPts[RK],0)),"")</f>
        <v>DAL</v>
      </c>
      <c r="R128" s="247">
        <f>IFERROR(INDEX(TableWRCalcPts[BYE],MATCH(TableWRVORP[[#This Row],[RK]],TableWRCalcPts[RK],0)),"")</f>
        <v>9</v>
      </c>
      <c r="S128" s="248">
        <f>IFERROR(INDEX(TableWRCalcPts[Custom],MATCH(TableWRVORP[[#This Row],[RK]],TableWRCalcPts[RK],0)),"")</f>
        <v>22.327059721988597</v>
      </c>
      <c r="T128" s="249">
        <f>IFERROR((TableWRVORP[[#This Row],[FPS]]-INDEX(TableWRVORP[FPS],MATCH(WRVORPCalc,TableWRVORP[RK],0)))/INDEX(TableWRVORP[FPS],MATCH(WRVORPCalc,TableWRVORP[RK],0)),"")</f>
        <v>-0.79511288433852223</v>
      </c>
      <c r="U128" s="246"/>
      <c r="V128" s="246"/>
      <c r="AB128" s="246"/>
      <c r="AC128" s="250"/>
      <c r="AD128" s="250"/>
      <c r="AE128" s="250"/>
      <c r="AF128" s="250" t="s">
        <v>357</v>
      </c>
      <c r="AG128" s="250">
        <v>87</v>
      </c>
      <c r="AH128" s="251">
        <f>RANK(TableOverallMaster[[#This Row],[VORP]],TableOverallMaster[VORP])+COUNTIF($AM$2:AM128,AM128)-1</f>
        <v>282</v>
      </c>
      <c r="AI128" s="252" t="str">
        <f>IFERROR(INDEX(TableRBVORP[RUNNING BACK],MATCH(TableOverallMaster[[#This Row],[RK]],TableRBVORP[RK],0)),"")</f>
        <v>Jeff Wilson</v>
      </c>
      <c r="AJ128" s="252" t="str">
        <f t="shared" si="1"/>
        <v>RB87</v>
      </c>
      <c r="AK128" s="252">
        <f>IFERROR(INDEX(TableRBVORP[BYE],MATCH(TableOverallMaster[[#This Row],[RK]],TableRBVORP[RK],0)),"")</f>
        <v>9</v>
      </c>
      <c r="AL128" s="253">
        <f>IFERROR(INDEX(TableRBVORP[FPS],MATCH(TableOverallMaster[[#This Row],[RK]],TableRBVORP[RK],0)),"")</f>
        <v>22.176805142525897</v>
      </c>
      <c r="AM128" s="254">
        <f>IFERROR(INDEX(TableRBVORP[VORP],MATCH(TableOverallMaster[[#This Row],[RK]],TableRBVORP[RK],0)),"")</f>
        <v>-0.78111935675084399</v>
      </c>
      <c r="AN128" s="250"/>
      <c r="AO128" s="250">
        <v>127</v>
      </c>
      <c r="AP128" s="255" t="str">
        <f>IFERROR(INDEX(TableOverallMaster[OVERALL PLAYER],MATCH(TableOverallRank[[#This Row],[RK]],TableOverallMaster[OVR RK],0)),"")</f>
        <v>Van Jefferson</v>
      </c>
      <c r="AQ128" s="256" t="str">
        <f>IFERROR(INDEX(TableOverallMaster[POS RK],MATCH(TableOverallRank[[#This Row],[OVERALL PLAYER]],TableOverallMaster[OVERALL PLAYER],0)),"")</f>
        <v>WR52</v>
      </c>
      <c r="AR128" s="257">
        <f>IFERROR(INDEX(TableOverallMaster[BYE],MATCH(TableOverallRank[[#This Row],[OVERALL PLAYER]],TableOverallMaster[OVERALL PLAYER],0)),"")</f>
        <v>7</v>
      </c>
      <c r="AS128" s="258">
        <f>IFERROR(INDEX(TableOverallMaster[Custom],MATCH(TableOverallRank[[#This Row],[OVERALL PLAYER]],TableOverallMaster[OVERALL PLAYER],0)),"")</f>
        <v>106.76394680560256</v>
      </c>
      <c r="AT128" s="259">
        <f>IFERROR(INDEX(TableOverallMaster[VORP],MATCH(TableOverallRank[[#This Row],[OVERALL PLAYER]],TableOverallMaster[OVERALL PLAYER],0)),"")</f>
        <v>-2.0267003805593174E-2</v>
      </c>
      <c r="AU128" s="250"/>
      <c r="AV128" s="246">
        <v>127</v>
      </c>
      <c r="AW128" s="260" t="str">
        <f>IFERROR(INDEX(TableWRTECalcPts[PLAYER],MATCH(TableWRTERank[[#This Row],[RK]],TableWRTECalcPts[RK],0)),"")</f>
        <v>Tommy Tremble</v>
      </c>
      <c r="AX128" s="260" t="str">
        <f>IFERROR(INDEX(TableWRTECalcPts[POS RK],MATCH(TableWRTERank[[#This Row],[WR and TE COMBINED]],TableWRTECalcPts[PLAYER],0)),"")</f>
        <v>TE31</v>
      </c>
      <c r="AY128" s="260">
        <f>IFERROR(INDEX(TableWRTECalcPts[BYE],MATCH(TableWRTERank[[#This Row],[RK]],TableWRTECalcPts[RK],0)),"")</f>
        <v>13</v>
      </c>
      <c r="AZ128" s="261">
        <f>IFERROR(INDEX(TableWRTECalcPts[Custom],MATCH(TableWRTERank[[#This Row],[RK]],TableWRTECalcPts[RK],0)),"")</f>
        <v>50.482570632097605</v>
      </c>
      <c r="BA128" s="249">
        <f>IFERROR((TableWRTERank[[#This Row],[FPS]]-INDEX(TableWRTERank[FPS],MATCH(WRTEVORPCalc,TableWRTERank[RK],0)))/INDEX(TableWRTERank[FPS],MATCH(WRTEVORPCalc,TableWRTERank[RK],0)),"")</f>
        <v>-0.57488417491127919</v>
      </c>
      <c r="BC128" s="124" t="s">
        <v>358</v>
      </c>
      <c r="BD128" s="124">
        <v>127</v>
      </c>
      <c r="BE128" s="262">
        <f>RANK(TableWRTEMaster[[#This Row],[VORP]],TableWRTEMaster[VORP])+COUNTIF($BJ$2:BJ128,BJ128)-1</f>
        <v>179</v>
      </c>
      <c r="BF128" s="263" t="str">
        <f>IFERROR(INDEX(TableWRVORP[WIDE RECEIVER],MATCH(TableWRTEMaster[[#This Row],[RK]],TableWRVORP[RK],0)),"")</f>
        <v>Noah Brown</v>
      </c>
      <c r="BG128" s="263" t="str">
        <f>_xlfn.CONCAT(TableWRTEMaster[[#This Row],[POS]],TableWRTEMaster[[#This Row],[RK]])</f>
        <v>WR127</v>
      </c>
      <c r="BH128" s="263">
        <f>IFERROR(INDEX(TableWRVORP[BYE],MATCH(TableWRTEMaster[[#This Row],[RK]],TableWRVORP[RK],0)),"")</f>
        <v>9</v>
      </c>
      <c r="BI128" s="264">
        <f>IFERROR(INDEX(TableWRVORP[FPS],MATCH(TableWRTEMaster[[#This Row],[RK]],TableWRVORP[RK],0)),"")</f>
        <v>22.327059721988597</v>
      </c>
      <c r="BJ128" s="254">
        <f>IFERROR(INDEX(TableWRVORP[VORP],MATCH(TableWRTEMaster[[#This Row],[RK]],TableWRVORP[RK],0)),"")</f>
        <v>-0.79511288433852223</v>
      </c>
    </row>
    <row r="129" spans="7:62" x14ac:dyDescent="0.3">
      <c r="G129" s="246"/>
      <c r="H129" s="246">
        <v>128</v>
      </c>
      <c r="I129" s="247" t="str">
        <f>IFERROR(INDEX(TableRBCalcPts[PLAYER],MATCH(TableRBVORP[[#This Row],[RK]],TableRBCalcPts[RK],0)),"")</f>
        <v/>
      </c>
      <c r="J129" s="247" t="str">
        <f>IFERROR(INDEX(TableRBCalcPts[TM],MATCH(TableRBVORP[[#This Row],[RK]],TableRBCalcPts[RK],0)),"")</f>
        <v/>
      </c>
      <c r="K129" s="247" t="str">
        <f>IFERROR(INDEX(TableRBCalcPts[BYE],MATCH(TableRBVORP[[#This Row],[RK]],TableRBCalcPts[RK],0)),"")</f>
        <v/>
      </c>
      <c r="L129" s="248" t="str">
        <f>IFERROR(INDEX(TableRBCalcPts[Custom],MATCH(TableRBVORP[[#This Row],[RK]],TableRBCalcPts[RK],0)),"")</f>
        <v/>
      </c>
      <c r="M129" s="249" t="str">
        <f>IFERROR((TableRBVORP[[#This Row],[FPS]]-INDEX(TableRBVORP[FPS],MATCH(RBVORPCalc,TableRBVORP[RK],0)))/INDEX(TableRBVORP[FPS],MATCH(RBVORPCalc,TableRBVORP[RK],0)),"")</f>
        <v/>
      </c>
      <c r="N129" s="246"/>
      <c r="O129" s="246">
        <v>128</v>
      </c>
      <c r="P129" s="247" t="str">
        <f>IFERROR(INDEX(TableWRCalcPts[PLAYER],MATCH(TableWRVORP[[#This Row],[RK]],TableWRCalcPts[RK],0)),"")</f>
        <v>KhaDarel Hodge</v>
      </c>
      <c r="Q129" s="247" t="str">
        <f>IFERROR(INDEX(TableWRCalcPts[TM],MATCH(TableWRVORP[[#This Row],[RK]],TableWRCalcPts[RK],0)),"")</f>
        <v>ATL</v>
      </c>
      <c r="R129" s="247">
        <f>IFERROR(INDEX(TableWRCalcPts[BYE],MATCH(TableWRVORP[[#This Row],[RK]],TableWRCalcPts[RK],0)),"")</f>
        <v>14</v>
      </c>
      <c r="S129" s="248">
        <f>IFERROR(INDEX(TableWRCalcPts[Custom],MATCH(TableWRVORP[[#This Row],[RK]],TableWRCalcPts[RK],0)),"")</f>
        <v>22.265489269749821</v>
      </c>
      <c r="T129" s="249">
        <f>IFERROR((TableWRVORP[[#This Row],[FPS]]-INDEX(TableWRVORP[FPS],MATCH(WRVORPCalc,TableWRVORP[RK],0)))/INDEX(TableWRVORP[FPS],MATCH(WRVORPCalc,TableWRVORP[RK],0)),"")</f>
        <v>-0.79567789345867757</v>
      </c>
      <c r="U129" s="246"/>
      <c r="V129" s="246"/>
      <c r="AB129" s="246"/>
      <c r="AC129" s="250"/>
      <c r="AD129" s="250"/>
      <c r="AE129" s="250"/>
      <c r="AF129" s="250" t="s">
        <v>357</v>
      </c>
      <c r="AG129" s="250">
        <v>88</v>
      </c>
      <c r="AH129" s="251">
        <f>RANK(TableOverallMaster[[#This Row],[VORP]],TableOverallMaster[VORP])+COUNTIF($AM$2:AM129,AM129)-1</f>
        <v>284</v>
      </c>
      <c r="AI129" s="252" t="str">
        <f>IFERROR(INDEX(TableRBVORP[RUNNING BACK],MATCH(TableOverallMaster[[#This Row],[RK]],TableRBVORP[RK],0)),"")</f>
        <v>Ke'Shawn Vaughn</v>
      </c>
      <c r="AJ129" s="252" t="str">
        <f t="shared" si="1"/>
        <v>RB88</v>
      </c>
      <c r="AK129" s="252">
        <f>IFERROR(INDEX(TableRBVORP[BYE],MATCH(TableOverallMaster[[#This Row],[RK]],TableRBVORP[RK],0)),"")</f>
        <v>11</v>
      </c>
      <c r="AL129" s="253">
        <f>IFERROR(INDEX(TableRBVORP[FPS],MATCH(TableOverallMaster[[#This Row],[RK]],TableRBVORP[RK],0)),"")</f>
        <v>21.745369875224792</v>
      </c>
      <c r="AM129" s="254">
        <f>IFERROR(INDEX(TableRBVORP[VORP],MATCH(TableOverallMaster[[#This Row],[RK]],TableRBVORP[RK],0)),"")</f>
        <v>-0.78537753678265354</v>
      </c>
      <c r="AN129" s="250"/>
      <c r="AO129" s="250">
        <v>128</v>
      </c>
      <c r="AP129" s="255" t="str">
        <f>IFERROR(INDEX(TableOverallMaster[OVERALL PLAYER],MATCH(TableOverallRank[[#This Row],[RK]],TableOverallMaster[OVR RK],0)),"")</f>
        <v>Mecole Hardman</v>
      </c>
      <c r="AQ129" s="256" t="str">
        <f>IFERROR(INDEX(TableOverallMaster[POS RK],MATCH(TableOverallRank[[#This Row],[OVERALL PLAYER]],TableOverallMaster[OVERALL PLAYER],0)),"")</f>
        <v>WR53</v>
      </c>
      <c r="AR129" s="257">
        <f>IFERROR(INDEX(TableOverallMaster[BYE],MATCH(TableOverallRank[[#This Row],[OVERALL PLAYER]],TableOverallMaster[OVERALL PLAYER],0)),"")</f>
        <v>8</v>
      </c>
      <c r="AS129" s="258">
        <f>IFERROR(INDEX(TableOverallMaster[Custom],MATCH(TableOverallRank[[#This Row],[OVERALL PLAYER]],TableOverallMaster[OVERALL PLAYER],0)),"")</f>
        <v>106.4869180452002</v>
      </c>
      <c r="AT129" s="259">
        <f>IFERROR(INDEX(TableOverallMaster[VORP],MATCH(TableOverallRank[[#This Row],[OVERALL PLAYER]],TableOverallMaster[OVERALL PLAYER],0)),"")</f>
        <v>-2.2809193613873877E-2</v>
      </c>
      <c r="AU129" s="250"/>
      <c r="AV129" s="246">
        <v>128</v>
      </c>
      <c r="AW129" s="260" t="str">
        <f>IFERROR(INDEX(TableWRTECalcPts[PLAYER],MATCH(TableWRTERank[[#This Row],[RK]],TableWRTECalcPts[RK],0)),"")</f>
        <v>Adam Trautman</v>
      </c>
      <c r="AX129" s="260" t="str">
        <f>IFERROR(INDEX(TableWRTECalcPts[POS RK],MATCH(TableWRTERank[[#This Row],[WR and TE COMBINED]],TableWRTECalcPts[PLAYER],0)),"")</f>
        <v>TE32</v>
      </c>
      <c r="AY129" s="260">
        <f>IFERROR(INDEX(TableWRTECalcPts[BYE],MATCH(TableWRTERank[[#This Row],[RK]],TableWRTECalcPts[RK],0)),"")</f>
        <v>14</v>
      </c>
      <c r="AZ129" s="261">
        <f>IFERROR(INDEX(TableWRTECalcPts[Custom],MATCH(TableWRTERank[[#This Row],[RK]],TableWRTECalcPts[RK],0)),"")</f>
        <v>50.26987913575595</v>
      </c>
      <c r="BA129" s="249">
        <f>IFERROR((TableWRTERank[[#This Row],[FPS]]-INDEX(TableWRTERank[FPS],MATCH(WRTEVORPCalc,TableWRTERank[RK],0)))/INDEX(TableWRTERank[FPS],MATCH(WRTEVORPCalc,TableWRTERank[RK],0)),"")</f>
        <v>-0.57667525884033621</v>
      </c>
      <c r="BC129" s="124" t="s">
        <v>358</v>
      </c>
      <c r="BD129" s="124">
        <v>128</v>
      </c>
      <c r="BE129" s="262">
        <f>RANK(TableWRTEMaster[[#This Row],[VORP]],TableWRTEMaster[VORP])+COUNTIF($BJ$2:BJ129,BJ129)-1</f>
        <v>180</v>
      </c>
      <c r="BF129" s="263" t="str">
        <f>IFERROR(INDEX(TableWRVORP[WIDE RECEIVER],MATCH(TableWRTEMaster[[#This Row],[RK]],TableWRVORP[RK],0)),"")</f>
        <v>KhaDarel Hodge</v>
      </c>
      <c r="BG129" s="263" t="str">
        <f>_xlfn.CONCAT(TableWRTEMaster[[#This Row],[POS]],TableWRTEMaster[[#This Row],[RK]])</f>
        <v>WR128</v>
      </c>
      <c r="BH129" s="263">
        <f>IFERROR(INDEX(TableWRVORP[BYE],MATCH(TableWRTEMaster[[#This Row],[RK]],TableWRVORP[RK],0)),"")</f>
        <v>14</v>
      </c>
      <c r="BI129" s="264">
        <f>IFERROR(INDEX(TableWRVORP[FPS],MATCH(TableWRTEMaster[[#This Row],[RK]],TableWRVORP[RK],0)),"")</f>
        <v>22.265489269749821</v>
      </c>
      <c r="BJ129" s="254">
        <f>IFERROR(INDEX(TableWRVORP[VORP],MATCH(TableWRTEMaster[[#This Row],[RK]],TableWRVORP[RK],0)),"")</f>
        <v>-0.79567789345867757</v>
      </c>
    </row>
    <row r="130" spans="7:62" x14ac:dyDescent="0.3">
      <c r="G130" s="246"/>
      <c r="H130" s="246">
        <v>129</v>
      </c>
      <c r="I130" s="247" t="str">
        <f>IFERROR(INDEX(TableRBCalcPts[PLAYER],MATCH(TableRBVORP[[#This Row],[RK]],TableRBCalcPts[RK],0)),"")</f>
        <v/>
      </c>
      <c r="J130" s="247" t="str">
        <f>IFERROR(INDEX(TableRBCalcPts[TM],MATCH(TableRBVORP[[#This Row],[RK]],TableRBCalcPts[RK],0)),"")</f>
        <v/>
      </c>
      <c r="K130" s="247" t="str">
        <f>IFERROR(INDEX(TableRBCalcPts[BYE],MATCH(TableRBVORP[[#This Row],[RK]],TableRBCalcPts[RK],0)),"")</f>
        <v/>
      </c>
      <c r="L130" s="248" t="str">
        <f>IFERROR(INDEX(TableRBCalcPts[Custom],MATCH(TableRBVORP[[#This Row],[RK]],TableRBCalcPts[RK],0)),"")</f>
        <v/>
      </c>
      <c r="M130" s="249" t="str">
        <f>IFERROR((TableRBVORP[[#This Row],[FPS]]-INDEX(TableRBVORP[FPS],MATCH(RBVORPCalc,TableRBVORP[RK],0)))/INDEX(TableRBVORP[FPS],MATCH(RBVORPCalc,TableRBVORP[RK],0)),"")</f>
        <v/>
      </c>
      <c r="N130" s="246"/>
      <c r="O130" s="246">
        <v>129</v>
      </c>
      <c r="P130" s="247" t="str">
        <f>IFERROR(INDEX(TableWRCalcPts[PLAYER],MATCH(TableWRVORP[[#This Row],[RK]],TableWRCalcPts[RK],0)),"")</f>
        <v>Ben Skowronek</v>
      </c>
      <c r="Q130" s="247" t="str">
        <f>IFERROR(INDEX(TableWRCalcPts[TM],MATCH(TableWRVORP[[#This Row],[RK]],TableWRCalcPts[RK],0)),"")</f>
        <v>LAR</v>
      </c>
      <c r="R130" s="247">
        <f>IFERROR(INDEX(TableWRCalcPts[BYE],MATCH(TableWRVORP[[#This Row],[RK]],TableWRCalcPts[RK],0)),"")</f>
        <v>7</v>
      </c>
      <c r="S130" s="248">
        <f>IFERROR(INDEX(TableWRCalcPts[Custom],MATCH(TableWRVORP[[#This Row],[RK]],TableWRCalcPts[RK],0)),"")</f>
        <v>22.067779718861189</v>
      </c>
      <c r="T130" s="249">
        <f>IFERROR((TableWRVORP[[#This Row],[FPS]]-INDEX(TableWRVORP[FPS],MATCH(WRVORPCalc,TableWRVORP[RK],0)))/INDEX(TableWRVORP[FPS],MATCH(WRVORPCalc,TableWRVORP[RK],0)),"")</f>
        <v>-0.79749220040839219</v>
      </c>
      <c r="U130" s="246"/>
      <c r="V130" s="246"/>
      <c r="AB130" s="246"/>
      <c r="AC130" s="250"/>
      <c r="AD130" s="250"/>
      <c r="AE130" s="250"/>
      <c r="AF130" s="250" t="s">
        <v>357</v>
      </c>
      <c r="AG130" s="250">
        <v>89</v>
      </c>
      <c r="AH130" s="251">
        <f>RANK(TableOverallMaster[[#This Row],[VORP]],TableOverallMaster[VORP])+COUNTIF($AM$2:AM130,AM130)-1</f>
        <v>285</v>
      </c>
      <c r="AI130" s="252" t="str">
        <f>IFERROR(INDEX(TableRBVORP[RUNNING BACK],MATCH(TableOverallMaster[[#This Row],[RK]],TableRBVORP[RK],0)),"")</f>
        <v>Jashaun Corbin</v>
      </c>
      <c r="AJ130" s="252" t="str">
        <f t="shared" ref="AJ130:AJ193" si="2">CONCATENATE(AF130,AG130)</f>
        <v>RB89</v>
      </c>
      <c r="AK130" s="252">
        <f>IFERROR(INDEX(TableRBVORP[BYE],MATCH(TableOverallMaster[[#This Row],[RK]],TableRBVORP[RK],0)),"")</f>
        <v>9</v>
      </c>
      <c r="AL130" s="253">
        <f>IFERROR(INDEX(TableRBVORP[FPS],MATCH(TableOverallMaster[[#This Row],[RK]],TableRBVORP[RK],0)),"")</f>
        <v>21.05921723337142</v>
      </c>
      <c r="AM130" s="254">
        <f>IFERROR(INDEX(TableRBVORP[VORP],MATCH(TableOverallMaster[[#This Row],[RK]],TableRBVORP[RK],0)),"")</f>
        <v>-0.79214972649396498</v>
      </c>
      <c r="AN130" s="250"/>
      <c r="AO130" s="250">
        <v>129</v>
      </c>
      <c r="AP130" s="255" t="str">
        <f>IFERROR(INDEX(TableOverallMaster[OVERALL PLAYER],MATCH(TableOverallRank[[#This Row],[RK]],TableOverallMaster[OVR RK],0)),"")</f>
        <v>James Cook</v>
      </c>
      <c r="AQ130" s="256" t="str">
        <f>IFERROR(INDEX(TableOverallMaster[POS RK],MATCH(TableOverallRank[[#This Row],[OVERALL PLAYER]],TableOverallMaster[OVERALL PLAYER],0)),"")</f>
        <v>RB44</v>
      </c>
      <c r="AR130" s="257">
        <f>IFERROR(INDEX(TableOverallMaster[BYE],MATCH(TableOverallRank[[#This Row],[OVERALL PLAYER]],TableOverallMaster[OVERALL PLAYER],0)),"")</f>
        <v>7</v>
      </c>
      <c r="AS130" s="258">
        <f>IFERROR(INDEX(TableOverallMaster[Custom],MATCH(TableOverallRank[[#This Row],[OVERALL PLAYER]],TableOverallMaster[OVERALL PLAYER],0)),"")</f>
        <v>98.453293591470882</v>
      </c>
      <c r="AT130" s="259">
        <f>IFERROR(INDEX(TableOverallMaster[VORP],MATCH(TableOverallRank[[#This Row],[OVERALL PLAYER]],TableOverallMaster[OVERALL PLAYER],0)),"")</f>
        <v>-2.8285630287830037E-2</v>
      </c>
      <c r="AU130" s="250"/>
      <c r="AV130" s="246">
        <v>129</v>
      </c>
      <c r="AW130" s="260" t="str">
        <f>IFERROR(INDEX(TableWRTECalcPts[PLAYER],MATCH(TableWRTERank[[#This Row],[RK]],TableWRTECalcPts[RK],0)),"")</f>
        <v>Dee Eskridge</v>
      </c>
      <c r="AX130" s="260" t="str">
        <f>IFERROR(INDEX(TableWRTECalcPts[POS RK],MATCH(TableWRTERank[[#This Row],[WR and TE COMBINED]],TableWRTECalcPts[PLAYER],0)),"")</f>
        <v>WR97</v>
      </c>
      <c r="AY130" s="260">
        <f>IFERROR(INDEX(TableWRTECalcPts[BYE],MATCH(TableWRTERank[[#This Row],[RK]],TableWRTECalcPts[RK],0)),"")</f>
        <v>11</v>
      </c>
      <c r="AZ130" s="261">
        <f>IFERROR(INDEX(TableWRTECalcPts[Custom],MATCH(TableWRTERank[[#This Row],[RK]],TableWRTECalcPts[RK],0)),"")</f>
        <v>49.28641646878944</v>
      </c>
      <c r="BA130" s="249">
        <f>IFERROR((TableWRTERank[[#This Row],[FPS]]-INDEX(TableWRTERank[FPS],MATCH(WRTEVORPCalc,TableWRTERank[RK],0)))/INDEX(TableWRTERank[FPS],MATCH(WRTEVORPCalc,TableWRTERank[RK],0)),"")</f>
        <v>-0.58495703882650829</v>
      </c>
      <c r="BC130" s="124" t="s">
        <v>358</v>
      </c>
      <c r="BD130" s="124">
        <v>129</v>
      </c>
      <c r="BE130" s="262">
        <f>RANK(TableWRTEMaster[[#This Row],[VORP]],TableWRTEMaster[VORP])+COUNTIF($BJ$2:BJ130,BJ130)-1</f>
        <v>181</v>
      </c>
      <c r="BF130" s="263" t="str">
        <f>IFERROR(INDEX(TableWRVORP[WIDE RECEIVER],MATCH(TableWRTEMaster[[#This Row],[RK]],TableWRVORP[RK],0)),"")</f>
        <v>Ben Skowronek</v>
      </c>
      <c r="BG130" s="263" t="str">
        <f>_xlfn.CONCAT(TableWRTEMaster[[#This Row],[POS]],TableWRTEMaster[[#This Row],[RK]])</f>
        <v>WR129</v>
      </c>
      <c r="BH130" s="263">
        <f>IFERROR(INDEX(TableWRVORP[BYE],MATCH(TableWRTEMaster[[#This Row],[RK]],TableWRVORP[RK],0)),"")</f>
        <v>7</v>
      </c>
      <c r="BI130" s="264">
        <f>IFERROR(INDEX(TableWRVORP[FPS],MATCH(TableWRTEMaster[[#This Row],[RK]],TableWRVORP[RK],0)),"")</f>
        <v>22.067779718861189</v>
      </c>
      <c r="BJ130" s="254">
        <f>IFERROR(INDEX(TableWRVORP[VORP],MATCH(TableWRTEMaster[[#This Row],[RK]],TableWRVORP[RK],0)),"")</f>
        <v>-0.79749220040839219</v>
      </c>
    </row>
    <row r="131" spans="7:62" x14ac:dyDescent="0.3">
      <c r="G131" s="246"/>
      <c r="H131" s="246">
        <v>130</v>
      </c>
      <c r="I131" s="247" t="str">
        <f>IFERROR(INDEX(TableRBCalcPts[PLAYER],MATCH(TableRBVORP[[#This Row],[RK]],TableRBCalcPts[RK],0)),"")</f>
        <v/>
      </c>
      <c r="J131" s="247" t="str">
        <f>IFERROR(INDEX(TableRBCalcPts[TM],MATCH(TableRBVORP[[#This Row],[RK]],TableRBCalcPts[RK],0)),"")</f>
        <v/>
      </c>
      <c r="K131" s="247" t="str">
        <f>IFERROR(INDEX(TableRBCalcPts[BYE],MATCH(TableRBVORP[[#This Row],[RK]],TableRBCalcPts[RK],0)),"")</f>
        <v/>
      </c>
      <c r="L131" s="248" t="str">
        <f>IFERROR(INDEX(TableRBCalcPts[Custom],MATCH(TableRBVORP[[#This Row],[RK]],TableRBCalcPts[RK],0)),"")</f>
        <v/>
      </c>
      <c r="M131" s="249" t="str">
        <f>IFERROR((TableRBVORP[[#This Row],[FPS]]-INDEX(TableRBVORP[FPS],MATCH(RBVORPCalc,TableRBVORP[RK],0)))/INDEX(TableRBVORP[FPS],MATCH(RBVORPCalc,TableRBVORP[RK],0)),"")</f>
        <v/>
      </c>
      <c r="N131" s="246"/>
      <c r="O131" s="246">
        <v>130</v>
      </c>
      <c r="P131" s="247" t="str">
        <f>IFERROR(INDEX(TableWRCalcPts[PLAYER],MATCH(TableWRVORP[[#This Row],[RK]],TableWRCalcPts[RK],0)),"")</f>
        <v>Malik Turner</v>
      </c>
      <c r="Q131" s="247" t="str">
        <f>IFERROR(INDEX(TableWRCalcPts[TM],MATCH(TableWRVORP[[#This Row],[RK]],TableWRCalcPts[RK],0)),"")</f>
        <v>SF</v>
      </c>
      <c r="R131" s="247">
        <f>IFERROR(INDEX(TableWRCalcPts[BYE],MATCH(TableWRVORP[[#This Row],[RK]],TableWRCalcPts[RK],0)),"")</f>
        <v>9</v>
      </c>
      <c r="S131" s="248">
        <f>IFERROR(INDEX(TableWRCalcPts[Custom],MATCH(TableWRVORP[[#This Row],[RK]],TableWRCalcPts[RK],0)),"")</f>
        <v>21.770513630880117</v>
      </c>
      <c r="T131" s="249">
        <f>IFERROR((TableWRVORP[[#This Row],[FPS]]-INDEX(TableWRVORP[FPS],MATCH(WRVORPCalc,TableWRVORP[RK],0)))/INDEX(TableWRVORP[FPS],MATCH(WRVORPCalc,TableWRVORP[RK],0)),"")</f>
        <v>-0.80022010063837323</v>
      </c>
      <c r="U131" s="246"/>
      <c r="V131" s="246"/>
      <c r="AB131" s="246"/>
      <c r="AC131" s="250"/>
      <c r="AD131" s="250"/>
      <c r="AE131" s="250"/>
      <c r="AF131" s="250" t="s">
        <v>357</v>
      </c>
      <c r="AG131" s="250">
        <v>90</v>
      </c>
      <c r="AH131" s="251">
        <f>RANK(TableOverallMaster[[#This Row],[VORP]],TableOverallMaster[VORP])+COUNTIF($AM$2:AM131,AM131)-1</f>
        <v>287</v>
      </c>
      <c r="AI131" s="252" t="str">
        <f>IFERROR(INDEX(TableRBVORP[RUNNING BACK],MATCH(TableOverallMaster[[#This Row],[RK]],TableRBVORP[RK],0)),"")</f>
        <v>Rico Dowdle</v>
      </c>
      <c r="AJ131" s="252" t="str">
        <f t="shared" si="2"/>
        <v>RB90</v>
      </c>
      <c r="AK131" s="252">
        <f>IFERROR(INDEX(TableRBVORP[BYE],MATCH(TableOverallMaster[[#This Row],[RK]],TableRBVORP[RK],0)),"")</f>
        <v>9</v>
      </c>
      <c r="AL131" s="253">
        <f>IFERROR(INDEX(TableRBVORP[FPS],MATCH(TableOverallMaster[[#This Row],[RK]],TableRBVORP[RK],0)),"")</f>
        <v>20.267624726719617</v>
      </c>
      <c r="AM131" s="254">
        <f>IFERROR(INDEX(TableRBVORP[VORP],MATCH(TableOverallMaster[[#This Row],[RK]],TableRBVORP[RK],0)),"")</f>
        <v>-0.79996258663922148</v>
      </c>
      <c r="AN131" s="250"/>
      <c r="AO131" s="250">
        <v>130</v>
      </c>
      <c r="AP131" s="255" t="str">
        <f>IFERROR(INDEX(TableOverallMaster[OVERALL PLAYER],MATCH(TableOverallRank[[#This Row],[RK]],TableOverallMaster[OVR RK],0)),"")</f>
        <v>Marvin Jones</v>
      </c>
      <c r="AQ131" s="256" t="str">
        <f>IFERROR(INDEX(TableOverallMaster[POS RK],MATCH(TableOverallRank[[#This Row],[OVERALL PLAYER]],TableOverallMaster[OVERALL PLAYER],0)),"")</f>
        <v>WR54</v>
      </c>
      <c r="AR131" s="257">
        <f>IFERROR(INDEX(TableOverallMaster[BYE],MATCH(TableOverallRank[[#This Row],[OVERALL PLAYER]],TableOverallMaster[OVERALL PLAYER],0)),"")</f>
        <v>11</v>
      </c>
      <c r="AS131" s="258">
        <f>IFERROR(INDEX(TableOverallMaster[Custom],MATCH(TableOverallRank[[#This Row],[OVERALL PLAYER]],TableOverallMaster[OVERALL PLAYER],0)),"")</f>
        <v>105.82007116870886</v>
      </c>
      <c r="AT131" s="259">
        <f>IFERROR(INDEX(TableOverallMaster[VORP],MATCH(TableOverallRank[[#This Row],[OVERALL PLAYER]],TableOverallMaster[OVERALL PLAYER],0)),"")</f>
        <v>-2.8928599160929318E-2</v>
      </c>
      <c r="AU131" s="250"/>
      <c r="AV131" s="246">
        <v>130</v>
      </c>
      <c r="AW131" s="260" t="str">
        <f>IFERROR(INDEX(TableWRTECalcPts[PLAYER],MATCH(TableWRTERank[[#This Row],[RK]],TableWRTECalcPts[RK],0)),"")</f>
        <v>KJ Hamler</v>
      </c>
      <c r="AX131" s="260" t="str">
        <f>IFERROR(INDEX(TableWRTECalcPts[POS RK],MATCH(TableWRTERank[[#This Row],[WR and TE COMBINED]],TableWRTECalcPts[PLAYER],0)),"")</f>
        <v>WR98</v>
      </c>
      <c r="AY131" s="260">
        <f>IFERROR(INDEX(TableWRTECalcPts[BYE],MATCH(TableWRTERank[[#This Row],[RK]],TableWRTECalcPts[RK],0)),"")</f>
        <v>9</v>
      </c>
      <c r="AZ131" s="261">
        <f>IFERROR(INDEX(TableWRTECalcPts[Custom],MATCH(TableWRTERank[[#This Row],[RK]],TableWRTECalcPts[RK],0)),"")</f>
        <v>47.9270366316658</v>
      </c>
      <c r="BA131" s="249">
        <f>IFERROR((TableWRTERank[[#This Row],[FPS]]-INDEX(TableWRTERank[FPS],MATCH(WRTEVORPCalc,TableWRTERank[RK],0)))/INDEX(TableWRTERank[FPS],MATCH(WRTEVORPCalc,TableWRTERank[RK],0)),"")</f>
        <v>-0.59640443292375644</v>
      </c>
      <c r="BC131" s="124" t="s">
        <v>358</v>
      </c>
      <c r="BD131" s="124">
        <v>130</v>
      </c>
      <c r="BE131" s="262">
        <f>RANK(TableWRTEMaster[[#This Row],[VORP]],TableWRTEMaster[VORP])+COUNTIF($BJ$2:BJ131,BJ131)-1</f>
        <v>182</v>
      </c>
      <c r="BF131" s="263" t="str">
        <f>IFERROR(INDEX(TableWRVORP[WIDE RECEIVER],MATCH(TableWRTEMaster[[#This Row],[RK]],TableWRVORP[RK],0)),"")</f>
        <v>Malik Turner</v>
      </c>
      <c r="BG131" s="263" t="str">
        <f>_xlfn.CONCAT(TableWRTEMaster[[#This Row],[POS]],TableWRTEMaster[[#This Row],[RK]])</f>
        <v>WR130</v>
      </c>
      <c r="BH131" s="263">
        <f>IFERROR(INDEX(TableWRVORP[BYE],MATCH(TableWRTEMaster[[#This Row],[RK]],TableWRVORP[RK],0)),"")</f>
        <v>9</v>
      </c>
      <c r="BI131" s="264">
        <f>IFERROR(INDEX(TableWRVORP[FPS],MATCH(TableWRTEMaster[[#This Row],[RK]],TableWRVORP[RK],0)),"")</f>
        <v>21.770513630880117</v>
      </c>
      <c r="BJ131" s="254">
        <f>IFERROR(INDEX(TableWRVORP[VORP],MATCH(TableWRTEMaster[[#This Row],[RK]],TableWRVORP[RK],0)),"")</f>
        <v>-0.80022010063837323</v>
      </c>
    </row>
    <row r="132" spans="7:62" x14ac:dyDescent="0.3">
      <c r="G132" s="246"/>
      <c r="H132" s="246">
        <v>131</v>
      </c>
      <c r="I132" s="247" t="str">
        <f>IFERROR(INDEX(TableRBCalcPts[PLAYER],MATCH(TableRBVORP[[#This Row],[RK]],TableRBCalcPts[RK],0)),"")</f>
        <v/>
      </c>
      <c r="J132" s="247" t="str">
        <f>IFERROR(INDEX(TableRBCalcPts[TM],MATCH(TableRBVORP[[#This Row],[RK]],TableRBCalcPts[RK],0)),"")</f>
        <v/>
      </c>
      <c r="K132" s="247" t="str">
        <f>IFERROR(INDEX(TableRBCalcPts[BYE],MATCH(TableRBVORP[[#This Row],[RK]],TableRBCalcPts[RK],0)),"")</f>
        <v/>
      </c>
      <c r="L132" s="248" t="str">
        <f>IFERROR(INDEX(TableRBCalcPts[Custom],MATCH(TableRBVORP[[#This Row],[RK]],TableRBCalcPts[RK],0)),"")</f>
        <v/>
      </c>
      <c r="M132" s="249" t="str">
        <f>IFERROR((TableRBVORP[[#This Row],[FPS]]-INDEX(TableRBVORP[FPS],MATCH(RBVORPCalc,TableRBVORP[RK],0)))/INDEX(TableRBVORP[FPS],MATCH(RBVORPCalc,TableRBVORP[RK],0)),"")</f>
        <v/>
      </c>
      <c r="N132" s="246"/>
      <c r="O132" s="246">
        <v>131</v>
      </c>
      <c r="P132" s="247" t="str">
        <f>IFERROR(INDEX(TableWRCalcPts[PLAYER],MATCH(TableWRVORP[[#This Row],[RK]],TableWRCalcPts[RK],0)),"")</f>
        <v>Equanimeous St. Brown</v>
      </c>
      <c r="Q132" s="247" t="str">
        <f>IFERROR(INDEX(TableWRCalcPts[TM],MATCH(TableWRVORP[[#This Row],[RK]],TableWRCalcPts[RK],0)),"")</f>
        <v>CHI</v>
      </c>
      <c r="R132" s="247">
        <f>IFERROR(INDEX(TableWRCalcPts[BYE],MATCH(TableWRVORP[[#This Row],[RK]],TableWRCalcPts[RK],0)),"")</f>
        <v>14</v>
      </c>
      <c r="S132" s="248">
        <f>IFERROR(INDEX(TableWRCalcPts[Custom],MATCH(TableWRVORP[[#This Row],[RK]],TableWRCalcPts[RK],0)),"")</f>
        <v>21.07897725115906</v>
      </c>
      <c r="T132" s="249">
        <f>IFERROR((TableWRVORP[[#This Row],[FPS]]-INDEX(TableWRVORP[FPS],MATCH(WRVORPCalc,TableWRVORP[RK],0)))/INDEX(TableWRVORP[FPS],MATCH(WRVORPCalc,TableWRVORP[RK],0)),"")</f>
        <v>-0.80656607256572421</v>
      </c>
      <c r="U132" s="246"/>
      <c r="V132" s="246"/>
      <c r="AB132" s="246"/>
      <c r="AC132" s="250"/>
      <c r="AD132" s="250"/>
      <c r="AE132" s="250"/>
      <c r="AF132" s="250" t="s">
        <v>357</v>
      </c>
      <c r="AG132" s="250">
        <v>91</v>
      </c>
      <c r="AH132" s="251">
        <f>RANK(TableOverallMaster[[#This Row],[VORP]],TableOverallMaster[VORP])+COUNTIF($AM$2:AM132,AM132)-1</f>
        <v>288</v>
      </c>
      <c r="AI132" s="252" t="str">
        <f>IFERROR(INDEX(TableRBVORP[RUNNING BACK],MATCH(TableOverallMaster[[#This Row],[RK]],TableRBVORP[RK],0)),"")</f>
        <v>Demetric Felton</v>
      </c>
      <c r="AJ132" s="252" t="str">
        <f t="shared" si="2"/>
        <v>RB91</v>
      </c>
      <c r="AK132" s="252">
        <f>IFERROR(INDEX(TableRBVORP[BYE],MATCH(TableOverallMaster[[#This Row],[RK]],TableRBVORP[RK],0)),"")</f>
        <v>9</v>
      </c>
      <c r="AL132" s="253">
        <f>IFERROR(INDEX(TableRBVORP[FPS],MATCH(TableOverallMaster[[#This Row],[RK]],TableRBVORP[RK],0)),"")</f>
        <v>19.479398619282502</v>
      </c>
      <c r="AM132" s="254">
        <f>IFERROR(INDEX(TableRBVORP[VORP],MATCH(TableOverallMaster[[#This Row],[RK]],TableRBVORP[RK],0)),"")</f>
        <v>-0.80774222109570948</v>
      </c>
      <c r="AN132" s="250"/>
      <c r="AO132" s="250">
        <v>131</v>
      </c>
      <c r="AP132" s="255" t="str">
        <f>IFERROR(INDEX(TableOverallMaster[OVERALL PLAYER],MATCH(TableOverallRank[[#This Row],[RK]],TableOverallMaster[OVR RK],0)),"")</f>
        <v>Ryan Tannehill</v>
      </c>
      <c r="AQ132" s="256" t="str">
        <f>IFERROR(INDEX(TableOverallMaster[POS RK],MATCH(TableOverallRank[[#This Row],[OVERALL PLAYER]],TableOverallMaster[OVERALL PLAYER],0)),"")</f>
        <v>QB23</v>
      </c>
      <c r="AR132" s="257">
        <f>IFERROR(INDEX(TableOverallMaster[BYE],MATCH(TableOverallRank[[#This Row],[OVERALL PLAYER]],TableOverallMaster[OVERALL PLAYER],0)),"")</f>
        <v>6</v>
      </c>
      <c r="AS132" s="258">
        <f>IFERROR(INDEX(TableOverallMaster[Custom],MATCH(TableOverallRank[[#This Row],[OVERALL PLAYER]],TableOverallMaster[OVERALL PLAYER],0)),"")</f>
        <v>271.12275313928944</v>
      </c>
      <c r="AT132" s="259">
        <f>IFERROR(INDEX(TableOverallMaster[VORP],MATCH(TableOverallRank[[#This Row],[OVERALL PLAYER]],TableOverallMaster[OVERALL PLAYER],0)),"")</f>
        <v>-2.9230283939149615E-2</v>
      </c>
      <c r="AU132" s="250"/>
      <c r="AV132" s="246">
        <v>131</v>
      </c>
      <c r="AW132" s="260" t="str">
        <f>IFERROR(INDEX(TableWRTECalcPts[PLAYER],MATCH(TableWRTERank[[#This Row],[RK]],TableWRTECalcPts[RK],0)),"")</f>
        <v>Bryan Edwards</v>
      </c>
      <c r="AX132" s="260" t="str">
        <f>IFERROR(INDEX(TableWRTECalcPts[POS RK],MATCH(TableWRTERank[[#This Row],[WR and TE COMBINED]],TableWRTECalcPts[PLAYER],0)),"")</f>
        <v>WR99</v>
      </c>
      <c r="AY132" s="260">
        <f>IFERROR(INDEX(TableWRTECalcPts[BYE],MATCH(TableWRTERank[[#This Row],[RK]],TableWRTECalcPts[RK],0)),"")</f>
        <v>14</v>
      </c>
      <c r="AZ132" s="261">
        <f>IFERROR(INDEX(TableWRTECalcPts[Custom],MATCH(TableWRTERank[[#This Row],[RK]],TableWRTECalcPts[RK],0)),"")</f>
        <v>47.814013950587054</v>
      </c>
      <c r="BA132" s="249">
        <f>IFERROR((TableWRTERank[[#This Row],[FPS]]-INDEX(TableWRTERank[FPS],MATCH(WRTEVORPCalc,TableWRTERank[RK],0)))/INDEX(TableWRTERank[FPS],MATCH(WRTEVORPCalc,TableWRTERank[RK],0)),"")</f>
        <v>-0.59735620161776148</v>
      </c>
      <c r="BC132" s="124" t="s">
        <v>358</v>
      </c>
      <c r="BD132" s="124">
        <v>131</v>
      </c>
      <c r="BE132" s="262">
        <f>RANK(TableWRTEMaster[[#This Row],[VORP]],TableWRTEMaster[VORP])+COUNTIF($BJ$2:BJ132,BJ132)-1</f>
        <v>185</v>
      </c>
      <c r="BF132" s="263" t="str">
        <f>IFERROR(INDEX(TableWRVORP[WIDE RECEIVER],MATCH(TableWRTEMaster[[#This Row],[RK]],TableWRVORP[RK],0)),"")</f>
        <v>Equanimeous St. Brown</v>
      </c>
      <c r="BG132" s="263" t="str">
        <f>_xlfn.CONCAT(TableWRTEMaster[[#This Row],[POS]],TableWRTEMaster[[#This Row],[RK]])</f>
        <v>WR131</v>
      </c>
      <c r="BH132" s="263">
        <f>IFERROR(INDEX(TableWRVORP[BYE],MATCH(TableWRTEMaster[[#This Row],[RK]],TableWRVORP[RK],0)),"")</f>
        <v>14</v>
      </c>
      <c r="BI132" s="264">
        <f>IFERROR(INDEX(TableWRVORP[FPS],MATCH(TableWRTEMaster[[#This Row],[RK]],TableWRVORP[RK],0)),"")</f>
        <v>21.07897725115906</v>
      </c>
      <c r="BJ132" s="254">
        <f>IFERROR(INDEX(TableWRVORP[VORP],MATCH(TableWRTEMaster[[#This Row],[RK]],TableWRVORP[RK],0)),"")</f>
        <v>-0.80656607256572421</v>
      </c>
    </row>
    <row r="133" spans="7:62" x14ac:dyDescent="0.3">
      <c r="G133" s="246"/>
      <c r="H133" s="246">
        <v>132</v>
      </c>
      <c r="I133" s="247" t="str">
        <f>IFERROR(INDEX(TableRBCalcPts[PLAYER],MATCH(TableRBVORP[[#This Row],[RK]],TableRBCalcPts[RK],0)),"")</f>
        <v/>
      </c>
      <c r="J133" s="247" t="str">
        <f>IFERROR(INDEX(TableRBCalcPts[TM],MATCH(TableRBVORP[[#This Row],[RK]],TableRBCalcPts[RK],0)),"")</f>
        <v/>
      </c>
      <c r="K133" s="247" t="str">
        <f>IFERROR(INDEX(TableRBCalcPts[BYE],MATCH(TableRBVORP[[#This Row],[RK]],TableRBCalcPts[RK],0)),"")</f>
        <v/>
      </c>
      <c r="L133" s="248" t="str">
        <f>IFERROR(INDEX(TableRBCalcPts[Custom],MATCH(TableRBVORP[[#This Row],[RK]],TableRBCalcPts[RK],0)),"")</f>
        <v/>
      </c>
      <c r="M133" s="249" t="str">
        <f>IFERROR((TableRBVORP[[#This Row],[FPS]]-INDEX(TableRBVORP[FPS],MATCH(RBVORPCalc,TableRBVORP[RK],0)))/INDEX(TableRBVORP[FPS],MATCH(RBVORPCalc,TableRBVORP[RK],0)),"")</f>
        <v/>
      </c>
      <c r="N133" s="246"/>
      <c r="O133" s="246">
        <v>132</v>
      </c>
      <c r="P133" s="247" t="str">
        <f>IFERROR(INDEX(TableWRCalcPts[PLAYER],MATCH(TableWRVORP[[#This Row],[RK]],TableWRCalcPts[RK],0)),"")</f>
        <v>Tre'Quan Smith</v>
      </c>
      <c r="Q133" s="247" t="str">
        <f>IFERROR(INDEX(TableWRCalcPts[TM],MATCH(TableWRVORP[[#This Row],[RK]],TableWRCalcPts[RK],0)),"")</f>
        <v>NO</v>
      </c>
      <c r="R133" s="247">
        <f>IFERROR(INDEX(TableWRCalcPts[BYE],MATCH(TableWRVORP[[#This Row],[RK]],TableWRCalcPts[RK],0)),"")</f>
        <v>14</v>
      </c>
      <c r="S133" s="248">
        <f>IFERROR(INDEX(TableWRCalcPts[Custom],MATCH(TableWRVORP[[#This Row],[RK]],TableWRCalcPts[RK],0)),"")</f>
        <v>20.717203124655729</v>
      </c>
      <c r="T133" s="249">
        <f>IFERROR((TableWRVORP[[#This Row],[FPS]]-INDEX(TableWRVORP[FPS],MATCH(WRVORPCalc,TableWRVORP[RK],0)))/INDEX(TableWRVORP[FPS],MATCH(WRVORPCalc,TableWRVORP[RK],0)),"")</f>
        <v>-0.80988593905164663</v>
      </c>
      <c r="U133" s="246"/>
      <c r="V133" s="246"/>
      <c r="AB133" s="246"/>
      <c r="AC133" s="250"/>
      <c r="AD133" s="250"/>
      <c r="AE133" s="250"/>
      <c r="AF133" s="250" t="s">
        <v>357</v>
      </c>
      <c r="AG133" s="250">
        <v>92</v>
      </c>
      <c r="AH133" s="251">
        <f>RANK(TableOverallMaster[[#This Row],[VORP]],TableOverallMaster[VORP])+COUNTIF($AM$2:AM133,AM133)-1</f>
        <v>289</v>
      </c>
      <c r="AI133" s="252" t="str">
        <f>IFERROR(INDEX(TableRBVORP[RUNNING BACK],MATCH(TableOverallMaster[[#This Row],[RK]],TableRBVORP[RK],0)),"")</f>
        <v>Abram Smith</v>
      </c>
      <c r="AJ133" s="252" t="str">
        <f t="shared" si="2"/>
        <v>RB92</v>
      </c>
      <c r="AK133" s="252">
        <f>IFERROR(INDEX(TableRBVORP[BYE],MATCH(TableOverallMaster[[#This Row],[RK]],TableRBVORP[RK],0)),"")</f>
        <v>14</v>
      </c>
      <c r="AL133" s="253">
        <f>IFERROR(INDEX(TableRBVORP[FPS],MATCH(TableOverallMaster[[#This Row],[RK]],TableRBVORP[RK],0)),"")</f>
        <v>19.140250585141398</v>
      </c>
      <c r="AM133" s="254">
        <f>IFERROR(INDEX(TableRBVORP[VORP],MATCH(TableOverallMaster[[#This Row],[RK]],TableRBVORP[RK],0)),"")</f>
        <v>-0.81108954454434923</v>
      </c>
      <c r="AN133" s="250"/>
      <c r="AO133" s="250">
        <v>132</v>
      </c>
      <c r="AP133" s="255" t="str">
        <f>IFERROR(INDEX(TableOverallMaster[OVERALL PLAYER],MATCH(TableOverallRank[[#This Row],[RK]],TableOverallMaster[OVR RK],0)),"")</f>
        <v>Zach Ertz</v>
      </c>
      <c r="AQ133" s="256" t="str">
        <f>IFERROR(INDEX(TableOverallMaster[POS RK],MATCH(TableOverallRank[[#This Row],[OVERALL PLAYER]],TableOverallMaster[OVERALL PLAYER],0)),"")</f>
        <v>TE11</v>
      </c>
      <c r="AR133" s="257">
        <f>IFERROR(INDEX(TableOverallMaster[BYE],MATCH(TableOverallRank[[#This Row],[OVERALL PLAYER]],TableOverallMaster[OVERALL PLAYER],0)),"")</f>
        <v>13</v>
      </c>
      <c r="AS133" s="258">
        <f>IFERROR(INDEX(TableOverallMaster[Custom],MATCH(TableOverallRank[[#This Row],[OVERALL PLAYER]],TableOverallMaster[OVERALL PLAYER],0)),"")</f>
        <v>99.340220639314538</v>
      </c>
      <c r="AT133" s="259">
        <f>IFERROR(INDEX(TableOverallMaster[VORP],MATCH(TableOverallRank[[#This Row],[OVERALL PLAYER]],TableOverallMaster[OVERALL PLAYER],0)),"")</f>
        <v>-3.0376766859511631E-2</v>
      </c>
      <c r="AU133" s="250"/>
      <c r="AV133" s="246">
        <v>132</v>
      </c>
      <c r="AW133" s="260" t="str">
        <f>IFERROR(INDEX(TableWRTECalcPts[PLAYER],MATCH(TableWRTERank[[#This Row],[RK]],TableWRTECalcPts[RK],0)),"")</f>
        <v>Laquon Treadwell</v>
      </c>
      <c r="AX133" s="260" t="str">
        <f>IFERROR(INDEX(TableWRTECalcPts[POS RK],MATCH(TableWRTERank[[#This Row],[WR and TE COMBINED]],TableWRTECalcPts[PLAYER],0)),"")</f>
        <v>WR100</v>
      </c>
      <c r="AY133" s="260">
        <f>IFERROR(INDEX(TableWRTECalcPts[BYE],MATCH(TableWRTERank[[#This Row],[RK]],TableWRTECalcPts[RK],0)),"")</f>
        <v>11</v>
      </c>
      <c r="AZ133" s="261">
        <f>IFERROR(INDEX(TableWRTECalcPts[Custom],MATCH(TableWRTERank[[#This Row],[RK]],TableWRTECalcPts[RK],0)),"")</f>
        <v>47.277068597833136</v>
      </c>
      <c r="BA133" s="249">
        <f>IFERROR((TableWRTERank[[#This Row],[FPS]]-INDEX(TableWRTERank[FPS],MATCH(WRTEVORPCalc,TableWRTERank[RK],0)))/INDEX(TableWRTERank[FPS],MATCH(WRTEVORPCalc,TableWRTERank[RK],0)),"")</f>
        <v>-0.60187784074598771</v>
      </c>
      <c r="BC133" s="124" t="s">
        <v>358</v>
      </c>
      <c r="BD133" s="124">
        <v>132</v>
      </c>
      <c r="BE133" s="262">
        <f>RANK(TableWRTEMaster[[#This Row],[VORP]],TableWRTEMaster[VORP])+COUNTIF($BJ$2:BJ133,BJ133)-1</f>
        <v>187</v>
      </c>
      <c r="BF133" s="263" t="str">
        <f>IFERROR(INDEX(TableWRVORP[WIDE RECEIVER],MATCH(TableWRTEMaster[[#This Row],[RK]],TableWRVORP[RK],0)),"")</f>
        <v>Tre'Quan Smith</v>
      </c>
      <c r="BG133" s="263" t="str">
        <f>_xlfn.CONCAT(TableWRTEMaster[[#This Row],[POS]],TableWRTEMaster[[#This Row],[RK]])</f>
        <v>WR132</v>
      </c>
      <c r="BH133" s="263">
        <f>IFERROR(INDEX(TableWRVORP[BYE],MATCH(TableWRTEMaster[[#This Row],[RK]],TableWRVORP[RK],0)),"")</f>
        <v>14</v>
      </c>
      <c r="BI133" s="264">
        <f>IFERROR(INDEX(TableWRVORP[FPS],MATCH(TableWRTEMaster[[#This Row],[RK]],TableWRVORP[RK],0)),"")</f>
        <v>20.717203124655729</v>
      </c>
      <c r="BJ133" s="254">
        <f>IFERROR(INDEX(TableWRVORP[VORP],MATCH(TableWRTEMaster[[#This Row],[RK]],TableWRVORP[RK],0)),"")</f>
        <v>-0.80988593905164663</v>
      </c>
    </row>
    <row r="134" spans="7:62" x14ac:dyDescent="0.3">
      <c r="G134" s="246"/>
      <c r="H134" s="246">
        <v>133</v>
      </c>
      <c r="I134" s="247" t="str">
        <f>IFERROR(INDEX(TableRBCalcPts[PLAYER],MATCH(TableRBVORP[[#This Row],[RK]],TableRBCalcPts[RK],0)),"")</f>
        <v/>
      </c>
      <c r="J134" s="247" t="str">
        <f>IFERROR(INDEX(TableRBCalcPts[TM],MATCH(TableRBVORP[[#This Row],[RK]],TableRBCalcPts[RK],0)),"")</f>
        <v/>
      </c>
      <c r="K134" s="247" t="str">
        <f>IFERROR(INDEX(TableRBCalcPts[BYE],MATCH(TableRBVORP[[#This Row],[RK]],TableRBCalcPts[RK],0)),"")</f>
        <v/>
      </c>
      <c r="L134" s="248" t="str">
        <f>IFERROR(INDEX(TableRBCalcPts[Custom],MATCH(TableRBVORP[[#This Row],[RK]],TableRBCalcPts[RK],0)),"")</f>
        <v/>
      </c>
      <c r="M134" s="249" t="str">
        <f>IFERROR((TableRBVORP[[#This Row],[FPS]]-INDEX(TableRBVORP[FPS],MATCH(RBVORPCalc,TableRBVORP[RK],0)))/INDEX(TableRBVORP[FPS],MATCH(RBVORPCalc,TableRBVORP[RK],0)),"")</f>
        <v/>
      </c>
      <c r="N134" s="246"/>
      <c r="O134" s="246">
        <v>133</v>
      </c>
      <c r="P134" s="247" t="str">
        <f>IFERROR(INDEX(TableWRCalcPts[PLAYER],MATCH(TableWRVORP[[#This Row],[RK]],TableWRCalcPts[RK],0)),"")</f>
        <v>Miles Boykin</v>
      </c>
      <c r="Q134" s="247" t="str">
        <f>IFERROR(INDEX(TableWRCalcPts[TM],MATCH(TableWRVORP[[#This Row],[RK]],TableWRCalcPts[RK],0)),"")</f>
        <v>PIT</v>
      </c>
      <c r="R134" s="247">
        <f>IFERROR(INDEX(TableWRCalcPts[BYE],MATCH(TableWRVORP[[#This Row],[RK]],TableWRCalcPts[RK],0)),"")</f>
        <v>9</v>
      </c>
      <c r="S134" s="248">
        <f>IFERROR(INDEX(TableWRCalcPts[Custom],MATCH(TableWRVORP[[#This Row],[RK]],TableWRCalcPts[RK],0)),"")</f>
        <v>20.349802281807243</v>
      </c>
      <c r="T134" s="249">
        <f>IFERROR((TableWRVORP[[#This Row],[FPS]]-INDEX(TableWRVORP[FPS],MATCH(WRVORPCalc,TableWRVORP[RK],0)))/INDEX(TableWRVORP[FPS],MATCH(WRVORPCalc,TableWRVORP[RK],0)),"")</f>
        <v>-0.81325743981888321</v>
      </c>
      <c r="U134" s="246"/>
      <c r="V134" s="246"/>
      <c r="AB134" s="246"/>
      <c r="AC134" s="250"/>
      <c r="AD134" s="250"/>
      <c r="AE134" s="250"/>
      <c r="AF134" s="250" t="s">
        <v>357</v>
      </c>
      <c r="AG134" s="250">
        <v>93</v>
      </c>
      <c r="AH134" s="251">
        <f>RANK(TableOverallMaster[[#This Row],[VORP]],TableOverallMaster[VORP])+COUNTIF($AM$2:AM134,AM134)-1</f>
        <v>290</v>
      </c>
      <c r="AI134" s="252" t="str">
        <f>IFERROR(INDEX(TableRBVORP[RUNNING BACK],MATCH(TableOverallMaster[[#This Row],[RK]],TableRBVORP[RK],0)),"")</f>
        <v>Pierre Strong</v>
      </c>
      <c r="AJ134" s="252" t="str">
        <f t="shared" si="2"/>
        <v>RB93</v>
      </c>
      <c r="AK134" s="252">
        <f>IFERROR(INDEX(TableRBVORP[BYE],MATCH(TableOverallMaster[[#This Row],[RK]],TableRBVORP[RK],0)),"")</f>
        <v>10</v>
      </c>
      <c r="AL134" s="253">
        <f>IFERROR(INDEX(TableRBVORP[FPS],MATCH(TableOverallMaster[[#This Row],[RK]],TableRBVORP[RK],0)),"")</f>
        <v>17.933487942625828</v>
      </c>
      <c r="AM134" s="254">
        <f>IFERROR(INDEX(TableRBVORP[VORP],MATCH(TableOverallMaster[[#This Row],[RK]],TableRBVORP[RK],0)),"")</f>
        <v>-0.82300005111846142</v>
      </c>
      <c r="AN134" s="250"/>
      <c r="AO134" s="250">
        <v>133</v>
      </c>
      <c r="AP134" s="255" t="str">
        <f>IFERROR(INDEX(TableOverallMaster[OVERALL PLAYER],MATCH(TableOverallRank[[#This Row],[RK]],TableOverallMaster[OVR RK],0)),"")</f>
        <v>Cameron Brate</v>
      </c>
      <c r="AQ134" s="256" t="str">
        <f>IFERROR(INDEX(TableOverallMaster[POS RK],MATCH(TableOverallRank[[#This Row],[OVERALL PLAYER]],TableOverallMaster[OVERALL PLAYER],0)),"")</f>
        <v>TE12</v>
      </c>
      <c r="AR134" s="257">
        <f>IFERROR(INDEX(TableOverallMaster[BYE],MATCH(TableOverallRank[[#This Row],[OVERALL PLAYER]],TableOverallMaster[OVERALL PLAYER],0)),"")</f>
        <v>11</v>
      </c>
      <c r="AS134" s="258">
        <f>IFERROR(INDEX(TableOverallMaster[Custom],MATCH(TableOverallRank[[#This Row],[OVERALL PLAYER]],TableOverallMaster[OVERALL PLAYER],0)),"")</f>
        <v>99.231125452288012</v>
      </c>
      <c r="AT134" s="259">
        <f>IFERROR(INDEX(TableOverallMaster[VORP],MATCH(TableOverallRank[[#This Row],[OVERALL PLAYER]],TableOverallMaster[OVERALL PLAYER],0)),"")</f>
        <v>-3.1441604719584418E-2</v>
      </c>
      <c r="AU134" s="250"/>
      <c r="AV134" s="246">
        <v>133</v>
      </c>
      <c r="AW134" s="260" t="str">
        <f>IFERROR(INDEX(TableWRTECalcPts[PLAYER],MATCH(TableWRTERank[[#This Row],[RK]],TableWRTECalcPts[RK],0)),"")</f>
        <v>Isaiah McKenzie</v>
      </c>
      <c r="AX134" s="260" t="str">
        <f>IFERROR(INDEX(TableWRTECalcPts[POS RK],MATCH(TableWRTERank[[#This Row],[WR and TE COMBINED]],TableWRTECalcPts[PLAYER],0)),"")</f>
        <v>WR101</v>
      </c>
      <c r="AY134" s="260">
        <f>IFERROR(INDEX(TableWRTECalcPts[BYE],MATCH(TableWRTERank[[#This Row],[RK]],TableWRTECalcPts[RK],0)),"")</f>
        <v>7</v>
      </c>
      <c r="AZ134" s="261">
        <f>IFERROR(INDEX(TableWRTECalcPts[Custom],MATCH(TableWRTERank[[#This Row],[RK]],TableWRTECalcPts[RK],0)),"")</f>
        <v>46.563602815971421</v>
      </c>
      <c r="BA134" s="249">
        <f>IFERROR((TableWRTERank[[#This Row],[FPS]]-INDEX(TableWRTERank[FPS],MATCH(WRTEVORPCalc,TableWRTERank[RK],0)))/INDEX(TableWRTERank[FPS],MATCH(WRTEVORPCalc,TableWRTERank[RK],0)),"")</f>
        <v>-0.60788596574301124</v>
      </c>
      <c r="BC134" s="124" t="s">
        <v>358</v>
      </c>
      <c r="BD134" s="124">
        <v>133</v>
      </c>
      <c r="BE134" s="262">
        <f>RANK(TableWRTEMaster[[#This Row],[VORP]],TableWRTEMaster[VORP])+COUNTIF($BJ$2:BJ134,BJ134)-1</f>
        <v>188</v>
      </c>
      <c r="BF134" s="263" t="str">
        <f>IFERROR(INDEX(TableWRVORP[WIDE RECEIVER],MATCH(TableWRTEMaster[[#This Row],[RK]],TableWRVORP[RK],0)),"")</f>
        <v>Miles Boykin</v>
      </c>
      <c r="BG134" s="263" t="str">
        <f>_xlfn.CONCAT(TableWRTEMaster[[#This Row],[POS]],TableWRTEMaster[[#This Row],[RK]])</f>
        <v>WR133</v>
      </c>
      <c r="BH134" s="263">
        <f>IFERROR(INDEX(TableWRVORP[BYE],MATCH(TableWRTEMaster[[#This Row],[RK]],TableWRVORP[RK],0)),"")</f>
        <v>9</v>
      </c>
      <c r="BI134" s="264">
        <f>IFERROR(INDEX(TableWRVORP[FPS],MATCH(TableWRTEMaster[[#This Row],[RK]],TableWRVORP[RK],0)),"")</f>
        <v>20.349802281807243</v>
      </c>
      <c r="BJ134" s="254">
        <f>IFERROR(INDEX(TableWRVORP[VORP],MATCH(TableWRTEMaster[[#This Row],[RK]],TableWRVORP[RK],0)),"")</f>
        <v>-0.81325743981888321</v>
      </c>
    </row>
    <row r="135" spans="7:62" x14ac:dyDescent="0.3">
      <c r="G135" s="246"/>
      <c r="H135" s="246">
        <v>134</v>
      </c>
      <c r="I135" s="247" t="str">
        <f>IFERROR(INDEX(TableRBCalcPts[PLAYER],MATCH(TableRBVORP[[#This Row],[RK]],TableRBCalcPts[RK],0)),"")</f>
        <v/>
      </c>
      <c r="J135" s="247" t="str">
        <f>IFERROR(INDEX(TableRBCalcPts[TM],MATCH(TableRBVORP[[#This Row],[RK]],TableRBCalcPts[RK],0)),"")</f>
        <v/>
      </c>
      <c r="K135" s="247" t="str">
        <f>IFERROR(INDEX(TableRBCalcPts[BYE],MATCH(TableRBVORP[[#This Row],[RK]],TableRBCalcPts[RK],0)),"")</f>
        <v/>
      </c>
      <c r="L135" s="248" t="str">
        <f>IFERROR(INDEX(TableRBCalcPts[Custom],MATCH(TableRBVORP[[#This Row],[RK]],TableRBCalcPts[RK],0)),"")</f>
        <v/>
      </c>
      <c r="M135" s="249" t="str">
        <f>IFERROR((TableRBVORP[[#This Row],[FPS]]-INDEX(TableRBVORP[FPS],MATCH(RBVORPCalc,TableRBVORP[RK],0)))/INDEX(TableRBVORP[FPS],MATCH(RBVORPCalc,TableRBVORP[RK],0)),"")</f>
        <v/>
      </c>
      <c r="N135" s="246"/>
      <c r="O135" s="246">
        <v>134</v>
      </c>
      <c r="P135" s="247" t="str">
        <f>IFERROR(INDEX(TableWRCalcPts[PLAYER],MATCH(TableWRVORP[[#This Row],[RK]],TableWRCalcPts[RK],0)),"")</f>
        <v>Keelan Cole</v>
      </c>
      <c r="Q135" s="247" t="str">
        <f>IFERROR(INDEX(TableWRCalcPts[TM],MATCH(TableWRVORP[[#This Row],[RK]],TableWRCalcPts[RK],0)),"")</f>
        <v>LV</v>
      </c>
      <c r="R135" s="247">
        <f>IFERROR(INDEX(TableWRCalcPts[BYE],MATCH(TableWRVORP[[#This Row],[RK]],TableWRCalcPts[RK],0)),"")</f>
        <v>6</v>
      </c>
      <c r="S135" s="248">
        <f>IFERROR(INDEX(TableWRCalcPts[Custom],MATCH(TableWRVORP[[#This Row],[RK]],TableWRCalcPts[RK],0)),"")</f>
        <v>19.428639238758887</v>
      </c>
      <c r="T135" s="249">
        <f>IFERROR((TableWRVORP[[#This Row],[FPS]]-INDEX(TableWRVORP[FPS],MATCH(WRVORPCalc,TableWRVORP[RK],0)))/INDEX(TableWRVORP[FPS],MATCH(WRVORPCalc,TableWRVORP[RK],0)),"")</f>
        <v>-0.82171061015542568</v>
      </c>
      <c r="U135" s="246"/>
      <c r="V135" s="246"/>
      <c r="AB135" s="246"/>
      <c r="AC135" s="250"/>
      <c r="AD135" s="250"/>
      <c r="AE135" s="250"/>
      <c r="AF135" s="250" t="s">
        <v>357</v>
      </c>
      <c r="AG135" s="250">
        <v>94</v>
      </c>
      <c r="AH135" s="251">
        <f>RANK(TableOverallMaster[[#This Row],[VORP]],TableOverallMaster[VORP])+COUNTIF($AM$2:AM135,AM135)-1</f>
        <v>291</v>
      </c>
      <c r="AI135" s="252" t="str">
        <f>IFERROR(INDEX(TableRBVORP[RUNNING BACK],MATCH(TableOverallMaster[[#This Row],[RK]],TableRBVORP[RK],0)),"")</f>
        <v>Benny Snell</v>
      </c>
      <c r="AJ135" s="252" t="str">
        <f t="shared" si="2"/>
        <v>RB94</v>
      </c>
      <c r="AK135" s="252">
        <f>IFERROR(INDEX(TableRBVORP[BYE],MATCH(TableOverallMaster[[#This Row],[RK]],TableRBVORP[RK],0)),"")</f>
        <v>9</v>
      </c>
      <c r="AL135" s="253">
        <f>IFERROR(INDEX(TableRBVORP[FPS],MATCH(TableOverallMaster[[#This Row],[RK]],TableRBVORP[RK],0)),"")</f>
        <v>17.493678221063099</v>
      </c>
      <c r="AM135" s="254">
        <f>IFERROR(INDEX(TableRBVORP[VORP],MATCH(TableOverallMaster[[#This Row],[RK]],TableRBVORP[RK],0)),"")</f>
        <v>-0.82734088534341865</v>
      </c>
      <c r="AN135" s="250"/>
      <c r="AO135" s="250">
        <v>134</v>
      </c>
      <c r="AP135" s="255" t="str">
        <f>IFERROR(INDEX(TableOverallMaster[OVERALL PLAYER],MATCH(TableOverallRank[[#This Row],[RK]],TableOverallMaster[OVR RK],0)),"")</f>
        <v>Kenneth Gainwell</v>
      </c>
      <c r="AQ135" s="256" t="str">
        <f>IFERROR(INDEX(TableOverallMaster[POS RK],MATCH(TableOverallRank[[#This Row],[OVERALL PLAYER]],TableOverallMaster[OVERALL PLAYER],0)),"")</f>
        <v>RB45</v>
      </c>
      <c r="AR135" s="257">
        <f>IFERROR(INDEX(TableOverallMaster[BYE],MATCH(TableOverallRank[[#This Row],[OVERALL PLAYER]],TableOverallMaster[OVERALL PLAYER],0)),"")</f>
        <v>7</v>
      </c>
      <c r="AS135" s="258">
        <f>IFERROR(INDEX(TableOverallMaster[Custom],MATCH(TableOverallRank[[#This Row],[OVERALL PLAYER]],TableOverallMaster[OVERALL PLAYER],0)),"")</f>
        <v>97.466462689647429</v>
      </c>
      <c r="AT135" s="259">
        <f>IFERROR(INDEX(TableOverallMaster[VORP],MATCH(TableOverallRank[[#This Row],[OVERALL PLAYER]],TableOverallMaster[OVERALL PLAYER],0)),"")</f>
        <v>-3.8025454450106112E-2</v>
      </c>
      <c r="AU135" s="250"/>
      <c r="AV135" s="246">
        <v>134</v>
      </c>
      <c r="AW135" s="260" t="str">
        <f>IFERROR(INDEX(TableWRTECalcPts[PLAYER],MATCH(TableWRTERank[[#This Row],[RK]],TableWRTECalcPts[RK],0)),"")</f>
        <v>James Proche</v>
      </c>
      <c r="AX135" s="260" t="str">
        <f>IFERROR(INDEX(TableWRTECalcPts[POS RK],MATCH(TableWRTERank[[#This Row],[WR and TE COMBINED]],TableWRTECalcPts[PLAYER],0)),"")</f>
        <v>WR102</v>
      </c>
      <c r="AY135" s="260">
        <f>IFERROR(INDEX(TableWRTECalcPts[BYE],MATCH(TableWRTERank[[#This Row],[RK]],TableWRTECalcPts[RK],0)),"")</f>
        <v>10</v>
      </c>
      <c r="AZ135" s="261">
        <f>IFERROR(INDEX(TableWRTECalcPts[Custom],MATCH(TableWRTERank[[#This Row],[RK]],TableWRTECalcPts[RK],0)),"")</f>
        <v>46.152657475365487</v>
      </c>
      <c r="BA135" s="249">
        <f>IFERROR((TableWRTERank[[#This Row],[FPS]]-INDEX(TableWRTERank[FPS],MATCH(WRTEVORPCalc,TableWRTERank[RK],0)))/INDEX(TableWRTERank[FPS],MATCH(WRTEVORPCalc,TableWRTERank[RK],0)),"")</f>
        <v>-0.61134655353302725</v>
      </c>
      <c r="BC135" s="124" t="s">
        <v>358</v>
      </c>
      <c r="BD135" s="124">
        <v>134</v>
      </c>
      <c r="BE135" s="262">
        <f>RANK(TableWRTEMaster[[#This Row],[VORP]],TableWRTEMaster[VORP])+COUNTIF($BJ$2:BJ135,BJ135)-1</f>
        <v>191</v>
      </c>
      <c r="BF135" s="263" t="str">
        <f>IFERROR(INDEX(TableWRVORP[WIDE RECEIVER],MATCH(TableWRTEMaster[[#This Row],[RK]],TableWRVORP[RK],0)),"")</f>
        <v>Keelan Cole</v>
      </c>
      <c r="BG135" s="263" t="str">
        <f>_xlfn.CONCAT(TableWRTEMaster[[#This Row],[POS]],TableWRTEMaster[[#This Row],[RK]])</f>
        <v>WR134</v>
      </c>
      <c r="BH135" s="263">
        <f>IFERROR(INDEX(TableWRVORP[BYE],MATCH(TableWRTEMaster[[#This Row],[RK]],TableWRVORP[RK],0)),"")</f>
        <v>6</v>
      </c>
      <c r="BI135" s="264">
        <f>IFERROR(INDEX(TableWRVORP[FPS],MATCH(TableWRTEMaster[[#This Row],[RK]],TableWRVORP[RK],0)),"")</f>
        <v>19.428639238758887</v>
      </c>
      <c r="BJ135" s="254">
        <f>IFERROR(INDEX(TableWRVORP[VORP],MATCH(TableWRTEMaster[[#This Row],[RK]],TableWRVORP[RK],0)),"")</f>
        <v>-0.82171061015542568</v>
      </c>
    </row>
    <row r="136" spans="7:62" x14ac:dyDescent="0.3">
      <c r="G136" s="246"/>
      <c r="H136" s="246">
        <v>135</v>
      </c>
      <c r="I136" s="247" t="str">
        <f>IFERROR(INDEX(TableRBCalcPts[PLAYER],MATCH(TableRBVORP[[#This Row],[RK]],TableRBCalcPts[RK],0)),"")</f>
        <v/>
      </c>
      <c r="J136" s="247" t="str">
        <f>IFERROR(INDEX(TableRBCalcPts[TM],MATCH(TableRBVORP[[#This Row],[RK]],TableRBCalcPts[RK],0)),"")</f>
        <v/>
      </c>
      <c r="K136" s="247" t="str">
        <f>IFERROR(INDEX(TableRBCalcPts[BYE],MATCH(TableRBVORP[[#This Row],[RK]],TableRBCalcPts[RK],0)),"")</f>
        <v/>
      </c>
      <c r="L136" s="248" t="str">
        <f>IFERROR(INDEX(TableRBCalcPts[Custom],MATCH(TableRBVORP[[#This Row],[RK]],TableRBCalcPts[RK],0)),"")</f>
        <v/>
      </c>
      <c r="M136" s="249" t="str">
        <f>IFERROR((TableRBVORP[[#This Row],[FPS]]-INDEX(TableRBVORP[FPS],MATCH(RBVORPCalc,TableRBVORP[RK],0)))/INDEX(TableRBVORP[FPS],MATCH(RBVORPCalc,TableRBVORP[RK],0)),"")</f>
        <v/>
      </c>
      <c r="N136" s="246"/>
      <c r="O136" s="246">
        <v>135</v>
      </c>
      <c r="P136" s="247" t="str">
        <f>IFERROR(INDEX(TableWRCalcPts[PLAYER],MATCH(TableWRVORP[[#This Row],[RK]],TableWRCalcPts[RK],0)),"")</f>
        <v>Nelson Agholor</v>
      </c>
      <c r="Q136" s="247" t="str">
        <f>IFERROR(INDEX(TableWRCalcPts[TM],MATCH(TableWRVORP[[#This Row],[RK]],TableWRCalcPts[RK],0)),"")</f>
        <v>NE</v>
      </c>
      <c r="R136" s="247">
        <f>IFERROR(INDEX(TableWRCalcPts[BYE],MATCH(TableWRVORP[[#This Row],[RK]],TableWRCalcPts[RK],0)),"")</f>
        <v>10</v>
      </c>
      <c r="S136" s="248">
        <f>IFERROR(INDEX(TableWRCalcPts[Custom],MATCH(TableWRVORP[[#This Row],[RK]],TableWRCalcPts[RK],0)),"")</f>
        <v>19.29962773583124</v>
      </c>
      <c r="T136" s="249">
        <f>IFERROR((TableWRVORP[[#This Row],[FPS]]-INDEX(TableWRVORP[FPS],MATCH(WRVORPCalc,TableWRVORP[RK],0)))/INDEX(TableWRVORP[FPS],MATCH(WRVORPCalc,TableWRVORP[RK],0)),"")</f>
        <v>-0.82289450069234071</v>
      </c>
      <c r="U136" s="246"/>
      <c r="V136" s="246"/>
      <c r="AB136" s="246"/>
      <c r="AC136" s="250"/>
      <c r="AD136" s="250"/>
      <c r="AE136" s="250"/>
      <c r="AF136" s="250" t="s">
        <v>357</v>
      </c>
      <c r="AG136" s="250">
        <v>95</v>
      </c>
      <c r="AH136" s="251">
        <f>RANK(TableOverallMaster[[#This Row],[VORP]],TableOverallMaster[VORP])+COUNTIF($AM$2:AM136,AM136)-1</f>
        <v>293</v>
      </c>
      <c r="AI136" s="252" t="str">
        <f>IFERROR(INDEX(TableRBVORP[RUNNING BACK],MATCH(TableOverallMaster[[#This Row],[RK]],TableRBVORP[RK],0)),"")</f>
        <v>Snoop Conner</v>
      </c>
      <c r="AJ136" s="252" t="str">
        <f t="shared" si="2"/>
        <v>RB95</v>
      </c>
      <c r="AK136" s="252">
        <f>IFERROR(INDEX(TableRBVORP[BYE],MATCH(TableOverallMaster[[#This Row],[RK]],TableRBVORP[RK],0)),"")</f>
        <v>11</v>
      </c>
      <c r="AL136" s="253">
        <f>IFERROR(INDEX(TableRBVORP[FPS],MATCH(TableOverallMaster[[#This Row],[RK]],TableRBVORP[RK],0)),"")</f>
        <v>17.168184838525917</v>
      </c>
      <c r="AM136" s="254">
        <f>IFERROR(INDEX(TableRBVORP[VORP],MATCH(TableOverallMaster[[#This Row],[RK]],TableRBVORP[RK],0)),"")</f>
        <v>-0.83055344010435961</v>
      </c>
      <c r="AN136" s="250"/>
      <c r="AO136" s="250">
        <v>135</v>
      </c>
      <c r="AP136" s="255" t="str">
        <f>IFERROR(INDEX(TableOverallMaster[OVERALL PLAYER],MATCH(TableOverallRank[[#This Row],[RK]],TableOverallMaster[OVR RK],0)),"")</f>
        <v>Kenny Golladay</v>
      </c>
      <c r="AQ136" s="256" t="str">
        <f>IFERROR(INDEX(TableOverallMaster[POS RK],MATCH(TableOverallRank[[#This Row],[OVERALL PLAYER]],TableOverallMaster[OVERALL PLAYER],0)),"")</f>
        <v>WR55</v>
      </c>
      <c r="AR136" s="257">
        <f>IFERROR(INDEX(TableOverallMaster[BYE],MATCH(TableOverallRank[[#This Row],[OVERALL PLAYER]],TableOverallMaster[OVERALL PLAYER],0)),"")</f>
        <v>9</v>
      </c>
      <c r="AS136" s="258">
        <f>IFERROR(INDEX(TableOverallMaster[Custom],MATCH(TableOverallRank[[#This Row],[OVERALL PLAYER]],TableOverallMaster[OVERALL PLAYER],0)),"")</f>
        <v>104.4107223692055</v>
      </c>
      <c r="AT136" s="259">
        <f>IFERROR(INDEX(TableOverallMaster[VORP],MATCH(TableOverallRank[[#This Row],[OVERALL PLAYER]],TableOverallMaster[OVERALL PLAYER],0)),"")</f>
        <v>-4.1861668453829999E-2</v>
      </c>
      <c r="AU136" s="250"/>
      <c r="AV136" s="246">
        <v>135</v>
      </c>
      <c r="AW136" s="260" t="str">
        <f>IFERROR(INDEX(TableWRTECalcPts[PLAYER],MATCH(TableWRTERank[[#This Row],[RK]],TableWRTECalcPts[RK],0)),"")</f>
        <v>Braxton Berrios</v>
      </c>
      <c r="AX136" s="260" t="str">
        <f>IFERROR(INDEX(TableWRTECalcPts[POS RK],MATCH(TableWRTERank[[#This Row],[WR and TE COMBINED]],TableWRTECalcPts[PLAYER],0)),"")</f>
        <v>WR103</v>
      </c>
      <c r="AY136" s="260">
        <f>IFERROR(INDEX(TableWRTECalcPts[BYE],MATCH(TableWRTERank[[#This Row],[RK]],TableWRTECalcPts[RK],0)),"")</f>
        <v>10</v>
      </c>
      <c r="AZ136" s="261">
        <f>IFERROR(INDEX(TableWRTECalcPts[Custom],MATCH(TableWRTERank[[#This Row],[RK]],TableWRTECalcPts[RK],0)),"")</f>
        <v>45.627287616763233</v>
      </c>
      <c r="BA136" s="249">
        <f>IFERROR((TableWRTERank[[#This Row],[FPS]]-INDEX(TableWRTERank[FPS],MATCH(WRTEVORPCalc,TableWRTERank[RK],0)))/INDEX(TableWRTERank[FPS],MATCH(WRTEVORPCalc,TableWRTERank[RK],0)),"")</f>
        <v>-0.61577071494398439</v>
      </c>
      <c r="BC136" s="124" t="s">
        <v>358</v>
      </c>
      <c r="BD136" s="124">
        <v>135</v>
      </c>
      <c r="BE136" s="262">
        <f>RANK(TableWRTEMaster[[#This Row],[VORP]],TableWRTEMaster[VORP])+COUNTIF($BJ$2:BJ136,BJ136)-1</f>
        <v>192</v>
      </c>
      <c r="BF136" s="263" t="str">
        <f>IFERROR(INDEX(TableWRVORP[WIDE RECEIVER],MATCH(TableWRTEMaster[[#This Row],[RK]],TableWRVORP[RK],0)),"")</f>
        <v>Nelson Agholor</v>
      </c>
      <c r="BG136" s="263" t="str">
        <f>_xlfn.CONCAT(TableWRTEMaster[[#This Row],[POS]],TableWRTEMaster[[#This Row],[RK]])</f>
        <v>WR135</v>
      </c>
      <c r="BH136" s="263">
        <f>IFERROR(INDEX(TableWRVORP[BYE],MATCH(TableWRTEMaster[[#This Row],[RK]],TableWRVORP[RK],0)),"")</f>
        <v>10</v>
      </c>
      <c r="BI136" s="264">
        <f>IFERROR(INDEX(TableWRVORP[FPS],MATCH(TableWRTEMaster[[#This Row],[RK]],TableWRVORP[RK],0)),"")</f>
        <v>19.29962773583124</v>
      </c>
      <c r="BJ136" s="254">
        <f>IFERROR(INDEX(TableWRVORP[VORP],MATCH(TableWRTEMaster[[#This Row],[RK]],TableWRVORP[RK],0)),"")</f>
        <v>-0.82289450069234071</v>
      </c>
    </row>
    <row r="137" spans="7:62" x14ac:dyDescent="0.3">
      <c r="G137" s="246"/>
      <c r="H137" s="246">
        <v>136</v>
      </c>
      <c r="I137" s="247" t="str">
        <f>IFERROR(INDEX(TableRBCalcPts[PLAYER],MATCH(TableRBVORP[[#This Row],[RK]],TableRBCalcPts[RK],0)),"")</f>
        <v/>
      </c>
      <c r="J137" s="247" t="str">
        <f>IFERROR(INDEX(TableRBCalcPts[TM],MATCH(TableRBVORP[[#This Row],[RK]],TableRBCalcPts[RK],0)),"")</f>
        <v/>
      </c>
      <c r="K137" s="247" t="str">
        <f>IFERROR(INDEX(TableRBCalcPts[BYE],MATCH(TableRBVORP[[#This Row],[RK]],TableRBCalcPts[RK],0)),"")</f>
        <v/>
      </c>
      <c r="L137" s="248" t="str">
        <f>IFERROR(INDEX(TableRBCalcPts[Custom],MATCH(TableRBVORP[[#This Row],[RK]],TableRBCalcPts[RK],0)),"")</f>
        <v/>
      </c>
      <c r="M137" s="249" t="str">
        <f>IFERROR((TableRBVORP[[#This Row],[FPS]]-INDEX(TableRBVORP[FPS],MATCH(RBVORPCalc,TableRBVORP[RK],0)))/INDEX(TableRBVORP[FPS],MATCH(RBVORPCalc,TableRBVORP[RK],0)),"")</f>
        <v/>
      </c>
      <c r="N137" s="246"/>
      <c r="O137" s="246">
        <v>136</v>
      </c>
      <c r="P137" s="247" t="str">
        <f>IFERROR(INDEX(TableWRCalcPts[PLAYER],MATCH(TableWRVORP[[#This Row],[RK]],TableWRCalcPts[RK],0)),"")</f>
        <v>Mack Hollins</v>
      </c>
      <c r="Q137" s="247" t="str">
        <f>IFERROR(INDEX(TableWRCalcPts[TM],MATCH(TableWRVORP[[#This Row],[RK]],TableWRCalcPts[RK],0)),"")</f>
        <v>LV</v>
      </c>
      <c r="R137" s="247">
        <f>IFERROR(INDEX(TableWRCalcPts[BYE],MATCH(TableWRVORP[[#This Row],[RK]],TableWRCalcPts[RK],0)),"")</f>
        <v>6</v>
      </c>
      <c r="S137" s="248">
        <f>IFERROR(INDEX(TableWRCalcPts[Custom],MATCH(TableWRVORP[[#This Row],[RK]],TableWRCalcPts[RK],0)),"")</f>
        <v>18.867715638529205</v>
      </c>
      <c r="T137" s="249">
        <f>IFERROR((TableWRVORP[[#This Row],[FPS]]-INDEX(TableWRVORP[FPS],MATCH(WRVORPCalc,TableWRVORP[RK],0)))/INDEX(TableWRVORP[FPS],MATCH(WRVORPCalc,TableWRVORP[RK],0)),"")</f>
        <v>-0.82685799722692299</v>
      </c>
      <c r="U137" s="246"/>
      <c r="V137" s="246"/>
      <c r="AB137" s="246"/>
      <c r="AC137" s="250"/>
      <c r="AD137" s="250"/>
      <c r="AE137" s="250"/>
      <c r="AF137" s="250" t="s">
        <v>357</v>
      </c>
      <c r="AG137" s="250">
        <v>96</v>
      </c>
      <c r="AH137" s="251">
        <f>RANK(TableOverallMaster[[#This Row],[VORP]],TableOverallMaster[VORP])+COUNTIF($AM$2:AM137,AM137)-1</f>
        <v>294</v>
      </c>
      <c r="AI137" s="252" t="str">
        <f>IFERROR(INDEX(TableRBVORP[RUNNING BACK],MATCH(TableOverallMaster[[#This Row],[RK]],TableRBVORP[RK],0)),"")</f>
        <v>Jermar Jefferson</v>
      </c>
      <c r="AJ137" s="252" t="str">
        <f t="shared" si="2"/>
        <v>RB96</v>
      </c>
      <c r="AK137" s="252">
        <f>IFERROR(INDEX(TableRBVORP[BYE],MATCH(TableOverallMaster[[#This Row],[RK]],TableRBVORP[RK],0)),"")</f>
        <v>6</v>
      </c>
      <c r="AL137" s="253">
        <f>IFERROR(INDEX(TableRBVORP[FPS],MATCH(TableOverallMaster[[#This Row],[RK]],TableRBVORP[RK],0)),"")</f>
        <v>16.461601927920299</v>
      </c>
      <c r="AM137" s="254">
        <f>IFERROR(INDEX(TableRBVORP[VORP],MATCH(TableOverallMaster[[#This Row],[RK]],TableRBVORP[RK],0)),"")</f>
        <v>-0.83752727249312187</v>
      </c>
      <c r="AN137" s="250"/>
      <c r="AO137" s="250">
        <v>136</v>
      </c>
      <c r="AP137" s="255" t="str">
        <f>IFERROR(INDEX(TableOverallMaster[OVERALL PLAYER],MATCH(TableOverallRank[[#This Row],[RK]],TableOverallMaster[OVR RK],0)),"")</f>
        <v>David Njoku</v>
      </c>
      <c r="AQ137" s="256" t="str">
        <f>IFERROR(INDEX(TableOverallMaster[POS RK],MATCH(TableOverallRank[[#This Row],[OVERALL PLAYER]],TableOverallMaster[OVERALL PLAYER],0)),"")</f>
        <v>TE13</v>
      </c>
      <c r="AR137" s="257">
        <f>IFERROR(INDEX(TableOverallMaster[BYE],MATCH(TableOverallRank[[#This Row],[OVERALL PLAYER]],TableOverallMaster[OVERALL PLAYER],0)),"")</f>
        <v>9</v>
      </c>
      <c r="AS137" s="258">
        <f>IFERROR(INDEX(TableOverallMaster[Custom],MATCH(TableOverallRank[[#This Row],[OVERALL PLAYER]],TableOverallMaster[OVERALL PLAYER],0)),"")</f>
        <v>98.103124524733062</v>
      </c>
      <c r="AT137" s="259">
        <f>IFERROR(INDEX(TableOverallMaster[VORP],MATCH(TableOverallRank[[#This Row],[OVERALL PLAYER]],TableOverallMaster[OVERALL PLAYER],0)),"")</f>
        <v>-4.245160549593107E-2</v>
      </c>
      <c r="AU137" s="250"/>
      <c r="AV137" s="246">
        <v>136</v>
      </c>
      <c r="AW137" s="260" t="str">
        <f>IFERROR(INDEX(TableWRTECalcPts[PLAYER],MATCH(TableWRTERank[[#This Row],[RK]],TableWRTECalcPts[RK],0)),"")</f>
        <v>Jauan Jennings</v>
      </c>
      <c r="AX137" s="260" t="str">
        <f>IFERROR(INDEX(TableWRTECalcPts[POS RK],MATCH(TableWRTERank[[#This Row],[WR and TE COMBINED]],TableWRTECalcPts[PLAYER],0)),"")</f>
        <v>WR104</v>
      </c>
      <c r="AY137" s="260">
        <f>IFERROR(INDEX(TableWRTECalcPts[BYE],MATCH(TableWRTERank[[#This Row],[RK]],TableWRTECalcPts[RK],0)),"")</f>
        <v>9</v>
      </c>
      <c r="AZ137" s="261">
        <f>IFERROR(INDEX(TableWRTECalcPts[Custom],MATCH(TableWRTERank[[#This Row],[RK]],TableWRTECalcPts[RK],0)),"")</f>
        <v>43.316310817014994</v>
      </c>
      <c r="BA137" s="249">
        <f>IFERROR((TableWRTERank[[#This Row],[FPS]]-INDEX(TableWRTERank[FPS],MATCH(WRTEVORPCalc,TableWRTERank[RK],0)))/INDEX(TableWRTERank[FPS],MATCH(WRTEVORPCalc,TableWRTERank[RK],0)),"")</f>
        <v>-0.63523154660696657</v>
      </c>
      <c r="BC137" s="124" t="s">
        <v>358</v>
      </c>
      <c r="BD137" s="124">
        <v>136</v>
      </c>
      <c r="BE137" s="262">
        <f>RANK(TableWRTEMaster[[#This Row],[VORP]],TableWRTEMaster[VORP])+COUNTIF($BJ$2:BJ137,BJ137)-1</f>
        <v>193</v>
      </c>
      <c r="BF137" s="263" t="str">
        <f>IFERROR(INDEX(TableWRVORP[WIDE RECEIVER],MATCH(TableWRTEMaster[[#This Row],[RK]],TableWRVORP[RK],0)),"")</f>
        <v>Mack Hollins</v>
      </c>
      <c r="BG137" s="263" t="str">
        <f>_xlfn.CONCAT(TableWRTEMaster[[#This Row],[POS]],TableWRTEMaster[[#This Row],[RK]])</f>
        <v>WR136</v>
      </c>
      <c r="BH137" s="263">
        <f>IFERROR(INDEX(TableWRVORP[BYE],MATCH(TableWRTEMaster[[#This Row],[RK]],TableWRVORP[RK],0)),"")</f>
        <v>6</v>
      </c>
      <c r="BI137" s="264">
        <f>IFERROR(INDEX(TableWRVORP[FPS],MATCH(TableWRTEMaster[[#This Row],[RK]],TableWRVORP[RK],0)),"")</f>
        <v>18.867715638529205</v>
      </c>
      <c r="BJ137" s="254">
        <f>IFERROR(INDEX(TableWRVORP[VORP],MATCH(TableWRTEMaster[[#This Row],[RK]],TableWRVORP[RK],0)),"")</f>
        <v>-0.82685799722692299</v>
      </c>
    </row>
    <row r="138" spans="7:62" x14ac:dyDescent="0.3">
      <c r="G138" s="246"/>
      <c r="H138" s="246">
        <v>137</v>
      </c>
      <c r="I138" s="247" t="str">
        <f>IFERROR(INDEX(TableRBCalcPts[PLAYER],MATCH(TableRBVORP[[#This Row],[RK]],TableRBCalcPts[RK],0)),"")</f>
        <v/>
      </c>
      <c r="J138" s="247" t="str">
        <f>IFERROR(INDEX(TableRBCalcPts[TM],MATCH(TableRBVORP[[#This Row],[RK]],TableRBCalcPts[RK],0)),"")</f>
        <v/>
      </c>
      <c r="K138" s="247" t="str">
        <f>IFERROR(INDEX(TableRBCalcPts[BYE],MATCH(TableRBVORP[[#This Row],[RK]],TableRBCalcPts[RK],0)),"")</f>
        <v/>
      </c>
      <c r="L138" s="248" t="str">
        <f>IFERROR(INDEX(TableRBCalcPts[Custom],MATCH(TableRBVORP[[#This Row],[RK]],TableRBCalcPts[RK],0)),"")</f>
        <v/>
      </c>
      <c r="M138" s="249" t="str">
        <f>IFERROR((TableRBVORP[[#This Row],[FPS]]-INDEX(TableRBVORP[FPS],MATCH(RBVORPCalc,TableRBVORP[RK],0)))/INDEX(TableRBVORP[FPS],MATCH(RBVORPCalc,TableRBVORP[RK],0)),"")</f>
        <v/>
      </c>
      <c r="N138" s="246"/>
      <c r="O138" s="246">
        <v>137</v>
      </c>
      <c r="P138" s="247" t="str">
        <f>IFERROR(INDEX(TableWRCalcPts[PLAYER],MATCH(TableWRVORP[[#This Row],[RK]],TableWRCalcPts[RK],0)),"")</f>
        <v>Romeo Doubs</v>
      </c>
      <c r="Q138" s="247" t="str">
        <f>IFERROR(INDEX(TableWRCalcPts[TM],MATCH(TableWRVORP[[#This Row],[RK]],TableWRCalcPts[RK],0)),"")</f>
        <v>GB</v>
      </c>
      <c r="R138" s="247">
        <f>IFERROR(INDEX(TableWRCalcPts[BYE],MATCH(TableWRVORP[[#This Row],[RK]],TableWRCalcPts[RK],0)),"")</f>
        <v>14</v>
      </c>
      <c r="S138" s="248">
        <f>IFERROR(INDEX(TableWRCalcPts[Custom],MATCH(TableWRVORP[[#This Row],[RK]],TableWRCalcPts[RK],0)),"")</f>
        <v>18.432043108152239</v>
      </c>
      <c r="T138" s="249">
        <f>IFERROR((TableWRVORP[[#This Row],[FPS]]-INDEX(TableWRVORP[FPS],MATCH(WRVORPCalc,TableWRVORP[RK],0)))/INDEX(TableWRVORP[FPS],MATCH(WRVORPCalc,TableWRVORP[RK],0)),"")</f>
        <v>-0.83085600185598585</v>
      </c>
      <c r="U138" s="246"/>
      <c r="V138" s="246"/>
      <c r="AB138" s="246"/>
      <c r="AC138" s="250"/>
      <c r="AD138" s="250"/>
      <c r="AE138" s="250"/>
      <c r="AF138" s="250" t="s">
        <v>357</v>
      </c>
      <c r="AG138" s="250">
        <v>97</v>
      </c>
      <c r="AH138" s="251">
        <f>RANK(TableOverallMaster[[#This Row],[VORP]],TableOverallMaster[VORP])+COUNTIF($AM$2:AM138,AM138)-1</f>
        <v>295</v>
      </c>
      <c r="AI138" s="252" t="str">
        <f>IFERROR(INDEX(TableRBVORP[RUNNING BACK],MATCH(TableOverallMaster[[#This Row],[RK]],TableRBVORP[RK],0)),"")</f>
        <v>Dare Ogunbowale</v>
      </c>
      <c r="AJ138" s="252" t="str">
        <f t="shared" si="2"/>
        <v>RB97</v>
      </c>
      <c r="AK138" s="252">
        <f>IFERROR(INDEX(TableRBVORP[BYE],MATCH(TableOverallMaster[[#This Row],[RK]],TableRBVORP[RK],0)),"")</f>
        <v>6</v>
      </c>
      <c r="AL138" s="253">
        <f>IFERROR(INDEX(TableRBVORP[FPS],MATCH(TableOverallMaster[[#This Row],[RK]],TableRBVORP[RK],0)),"")</f>
        <v>16.348073894509326</v>
      </c>
      <c r="AM138" s="254">
        <f>IFERROR(INDEX(TableRBVORP[VORP],MATCH(TableOverallMaster[[#This Row],[RK]],TableRBVORP[RK],0)),"")</f>
        <v>-0.83864777153796199</v>
      </c>
      <c r="AN138" s="250"/>
      <c r="AO138" s="250">
        <v>137</v>
      </c>
      <c r="AP138" s="255" t="str">
        <f>IFERROR(INDEX(TableOverallMaster[OVERALL PLAYER],MATCH(TableOverallRank[[#This Row],[RK]],TableOverallMaster[OVR RK],0)),"")</f>
        <v>Jamaal Williams</v>
      </c>
      <c r="AQ138" s="256" t="str">
        <f>IFERROR(INDEX(TableOverallMaster[POS RK],MATCH(TableOverallRank[[#This Row],[OVERALL PLAYER]],TableOverallMaster[OVERALL PLAYER],0)),"")</f>
        <v>RB46</v>
      </c>
      <c r="AR138" s="257">
        <f>IFERROR(INDEX(TableOverallMaster[BYE],MATCH(TableOverallRank[[#This Row],[OVERALL PLAYER]],TableOverallMaster[OVERALL PLAYER],0)),"")</f>
        <v>6</v>
      </c>
      <c r="AS138" s="258">
        <f>IFERROR(INDEX(TableOverallMaster[Custom],MATCH(TableOverallRank[[#This Row],[OVERALL PLAYER]],TableOverallMaster[OVERALL PLAYER],0)),"")</f>
        <v>96.533767208897046</v>
      </c>
      <c r="AT138" s="259">
        <f>IFERROR(INDEX(TableOverallMaster[VORP],MATCH(TableOverallRank[[#This Row],[OVERALL PLAYER]],TableOverallMaster[OVERALL PLAYER],0)),"")</f>
        <v>-4.7230972804539938E-2</v>
      </c>
      <c r="AU138" s="250"/>
      <c r="AV138" s="246">
        <v>137</v>
      </c>
      <c r="AW138" s="260" t="str">
        <f>IFERROR(INDEX(TableWRTECalcPts[PLAYER],MATCH(TableWRTERank[[#This Row],[RK]],TableWRTECalcPts[RK],0)),"")</f>
        <v>Ricky Seals-Jones</v>
      </c>
      <c r="AX138" s="260" t="str">
        <f>IFERROR(INDEX(TableWRTECalcPts[POS RK],MATCH(TableWRTERank[[#This Row],[WR and TE COMBINED]],TableWRTECalcPts[PLAYER],0)),"")</f>
        <v>TE33</v>
      </c>
      <c r="AY138" s="260">
        <f>IFERROR(INDEX(TableWRTECalcPts[BYE],MATCH(TableWRTERank[[#This Row],[RK]],TableWRTECalcPts[RK],0)),"")</f>
        <v>9</v>
      </c>
      <c r="AZ138" s="261">
        <f>IFERROR(INDEX(TableWRTECalcPts[Custom],MATCH(TableWRTERank[[#This Row],[RK]],TableWRTECalcPts[RK],0)),"")</f>
        <v>43.271345190999646</v>
      </c>
      <c r="BA138" s="249">
        <f>IFERROR((TableWRTERank[[#This Row],[FPS]]-INDEX(TableWRTERank[FPS],MATCH(WRTEVORPCalc,TableWRTERank[RK],0)))/INDEX(TableWRTERank[FPS],MATCH(WRTEVORPCalc,TableWRTERank[RK],0)),"")</f>
        <v>-0.63561020401218182</v>
      </c>
      <c r="BC138" s="124" t="s">
        <v>358</v>
      </c>
      <c r="BD138" s="124">
        <v>137</v>
      </c>
      <c r="BE138" s="262">
        <f>RANK(TableWRTEMaster[[#This Row],[VORP]],TableWRTEMaster[VORP])+COUNTIF($BJ$2:BJ138,BJ138)-1</f>
        <v>194</v>
      </c>
      <c r="BF138" s="263" t="str">
        <f>IFERROR(INDEX(TableWRVORP[WIDE RECEIVER],MATCH(TableWRTEMaster[[#This Row],[RK]],TableWRVORP[RK],0)),"")</f>
        <v>Romeo Doubs</v>
      </c>
      <c r="BG138" s="263" t="str">
        <f>_xlfn.CONCAT(TableWRTEMaster[[#This Row],[POS]],TableWRTEMaster[[#This Row],[RK]])</f>
        <v>WR137</v>
      </c>
      <c r="BH138" s="263">
        <f>IFERROR(INDEX(TableWRVORP[BYE],MATCH(TableWRTEMaster[[#This Row],[RK]],TableWRVORP[RK],0)),"")</f>
        <v>14</v>
      </c>
      <c r="BI138" s="264">
        <f>IFERROR(INDEX(TableWRVORP[FPS],MATCH(TableWRTEMaster[[#This Row],[RK]],TableWRVORP[RK],0)),"")</f>
        <v>18.432043108152239</v>
      </c>
      <c r="BJ138" s="254">
        <f>IFERROR(INDEX(TableWRVORP[VORP],MATCH(TableWRTEMaster[[#This Row],[RK]],TableWRVORP[RK],0)),"")</f>
        <v>-0.83085600185598585</v>
      </c>
    </row>
    <row r="139" spans="7:62" x14ac:dyDescent="0.3">
      <c r="G139" s="246"/>
      <c r="H139" s="246">
        <v>138</v>
      </c>
      <c r="I139" s="247" t="str">
        <f>IFERROR(INDEX(TableRBCalcPts[PLAYER],MATCH(TableRBVORP[[#This Row],[RK]],TableRBCalcPts[RK],0)),"")</f>
        <v/>
      </c>
      <c r="J139" s="247" t="str">
        <f>IFERROR(INDEX(TableRBCalcPts[TM],MATCH(TableRBVORP[[#This Row],[RK]],TableRBCalcPts[RK],0)),"")</f>
        <v/>
      </c>
      <c r="K139" s="247" t="str">
        <f>IFERROR(INDEX(TableRBCalcPts[BYE],MATCH(TableRBVORP[[#This Row],[RK]],TableRBCalcPts[RK],0)),"")</f>
        <v/>
      </c>
      <c r="L139" s="248" t="str">
        <f>IFERROR(INDEX(TableRBCalcPts[Custom],MATCH(TableRBVORP[[#This Row],[RK]],TableRBCalcPts[RK],0)),"")</f>
        <v/>
      </c>
      <c r="M139" s="249" t="str">
        <f>IFERROR((TableRBVORP[[#This Row],[FPS]]-INDEX(TableRBVORP[FPS],MATCH(RBVORPCalc,TableRBVORP[RK],0)))/INDEX(TableRBVORP[FPS],MATCH(RBVORPCalc,TableRBVORP[RK],0)),"")</f>
        <v/>
      </c>
      <c r="N139" s="246"/>
      <c r="O139" s="246">
        <v>138</v>
      </c>
      <c r="P139" s="247" t="str">
        <f>IFERROR(INDEX(TableWRCalcPts[PLAYER],MATCH(TableWRVORP[[#This Row],[RK]],TableWRCalcPts[RK],0)),"")</f>
        <v>Richie James</v>
      </c>
      <c r="Q139" s="247" t="str">
        <f>IFERROR(INDEX(TableWRCalcPts[TM],MATCH(TableWRVORP[[#This Row],[RK]],TableWRCalcPts[RK],0)),"")</f>
        <v>NYG</v>
      </c>
      <c r="R139" s="247">
        <f>IFERROR(INDEX(TableWRCalcPts[BYE],MATCH(TableWRVORP[[#This Row],[RK]],TableWRCalcPts[RK],0)),"")</f>
        <v>9</v>
      </c>
      <c r="S139" s="248">
        <f>IFERROR(INDEX(TableWRCalcPts[Custom],MATCH(TableWRVORP[[#This Row],[RK]],TableWRCalcPts[RK],0)),"")</f>
        <v>18.325436797417154</v>
      </c>
      <c r="T139" s="249">
        <f>IFERROR((TableWRVORP[[#This Row],[FPS]]-INDEX(TableWRVORP[FPS],MATCH(WRVORPCalc,TableWRVORP[RK],0)))/INDEX(TableWRVORP[FPS],MATCH(WRVORPCalc,TableWRVORP[RK],0)),"")</f>
        <v>-0.83183428828464234</v>
      </c>
      <c r="U139" s="246"/>
      <c r="V139" s="246"/>
      <c r="AB139" s="246"/>
      <c r="AC139" s="250"/>
      <c r="AD139" s="250"/>
      <c r="AE139" s="250"/>
      <c r="AF139" s="250" t="s">
        <v>357</v>
      </c>
      <c r="AG139" s="250">
        <v>98</v>
      </c>
      <c r="AH139" s="251">
        <f>RANK(TableOverallMaster[[#This Row],[VORP]],TableOverallMaster[VORP])+COUNTIF($AM$2:AM139,AM139)-1</f>
        <v>296</v>
      </c>
      <c r="AI139" s="252" t="str">
        <f>IFERROR(INDEX(TableRBVORP[RUNNING BACK],MATCH(TableOverallMaster[[#This Row],[RK]],TableRBVORP[RK],0)),"")</f>
        <v>Mike Davis</v>
      </c>
      <c r="AJ139" s="252" t="str">
        <f t="shared" si="2"/>
        <v>RB98</v>
      </c>
      <c r="AK139" s="252">
        <f>IFERROR(INDEX(TableRBVORP[BYE],MATCH(TableOverallMaster[[#This Row],[RK]],TableRBVORP[RK],0)),"")</f>
        <v>10</v>
      </c>
      <c r="AL139" s="253">
        <f>IFERROR(INDEX(TableRBVORP[FPS],MATCH(TableOverallMaster[[#This Row],[RK]],TableRBVORP[RK],0)),"")</f>
        <v>15.706408260384052</v>
      </c>
      <c r="AM139" s="254">
        <f>IFERROR(INDEX(TableRBVORP[VORP],MATCH(TableOverallMaster[[#This Row],[RK]],TableRBVORP[RK],0)),"")</f>
        <v>-0.84498088335662058</v>
      </c>
      <c r="AN139" s="250"/>
      <c r="AO139" s="250">
        <v>138</v>
      </c>
      <c r="AP139" s="255" t="str">
        <f>IFERROR(INDEX(TableOverallMaster[OVERALL PLAYER],MATCH(TableOverallRank[[#This Row],[RK]],TableOverallMaster[OVR RK],0)),"")</f>
        <v>Nyheim Hines</v>
      </c>
      <c r="AQ139" s="256" t="str">
        <f>IFERROR(INDEX(TableOverallMaster[POS RK],MATCH(TableOverallRank[[#This Row],[OVERALL PLAYER]],TableOverallMaster[OVERALL PLAYER],0)),"")</f>
        <v>RB47</v>
      </c>
      <c r="AR139" s="257">
        <f>IFERROR(INDEX(TableOverallMaster[BYE],MATCH(TableOverallRank[[#This Row],[OVERALL PLAYER]],TableOverallMaster[OVERALL PLAYER],0)),"")</f>
        <v>14</v>
      </c>
      <c r="AS139" s="258">
        <f>IFERROR(INDEX(TableOverallMaster[Custom],MATCH(TableOverallRank[[#This Row],[OVERALL PLAYER]],TableOverallMaster[OVERALL PLAYER],0)),"")</f>
        <v>96.306893168664445</v>
      </c>
      <c r="AT139" s="259">
        <f>IFERROR(INDEX(TableOverallMaster[VORP],MATCH(TableOverallRank[[#This Row],[OVERALL PLAYER]],TableOverallMaster[OVERALL PLAYER],0)),"")</f>
        <v>-4.9470174328091351E-2</v>
      </c>
      <c r="AU139" s="250"/>
      <c r="AV139" s="246">
        <v>138</v>
      </c>
      <c r="AW139" s="260" t="str">
        <f>IFERROR(INDEX(TableWRTECalcPts[PLAYER],MATCH(TableWRTERank[[#This Row],[RK]],TableWRTECalcPts[RK],0)),"")</f>
        <v>Anthony Schwartz</v>
      </c>
      <c r="AX139" s="260" t="str">
        <f>IFERROR(INDEX(TableWRTECalcPts[POS RK],MATCH(TableWRTERank[[#This Row],[WR and TE COMBINED]],TableWRTECalcPts[PLAYER],0)),"")</f>
        <v>WR105</v>
      </c>
      <c r="AY139" s="260">
        <f>IFERROR(INDEX(TableWRTECalcPts[BYE],MATCH(TableWRTERank[[#This Row],[RK]],TableWRTECalcPts[RK],0)),"")</f>
        <v>9</v>
      </c>
      <c r="AZ139" s="261">
        <f>IFERROR(INDEX(TableWRTECalcPts[Custom],MATCH(TableWRTERank[[#This Row],[RK]],TableWRTECalcPts[RK],0)),"")</f>
        <v>42.407443228787997</v>
      </c>
      <c r="BA139" s="249">
        <f>IFERROR((TableWRTERank[[#This Row],[FPS]]-INDEX(TableWRTERank[FPS],MATCH(WRTEVORPCalc,TableWRTERank[RK],0)))/INDEX(TableWRTERank[FPS],MATCH(WRTEVORPCalc,TableWRTERank[RK],0)),"")</f>
        <v>-0.64288515833528559</v>
      </c>
      <c r="BC139" s="124" t="s">
        <v>358</v>
      </c>
      <c r="BD139" s="124">
        <v>138</v>
      </c>
      <c r="BE139" s="262">
        <f>RANK(TableWRTEMaster[[#This Row],[VORP]],TableWRTEMaster[VORP])+COUNTIF($BJ$2:BJ139,BJ139)-1</f>
        <v>196</v>
      </c>
      <c r="BF139" s="263" t="str">
        <f>IFERROR(INDEX(TableWRVORP[WIDE RECEIVER],MATCH(TableWRTEMaster[[#This Row],[RK]],TableWRVORP[RK],0)),"")</f>
        <v>Richie James</v>
      </c>
      <c r="BG139" s="263" t="str">
        <f>_xlfn.CONCAT(TableWRTEMaster[[#This Row],[POS]],TableWRTEMaster[[#This Row],[RK]])</f>
        <v>WR138</v>
      </c>
      <c r="BH139" s="263">
        <f>IFERROR(INDEX(TableWRVORP[BYE],MATCH(TableWRTEMaster[[#This Row],[RK]],TableWRVORP[RK],0)),"")</f>
        <v>9</v>
      </c>
      <c r="BI139" s="264">
        <f>IFERROR(INDEX(TableWRVORP[FPS],MATCH(TableWRTEMaster[[#This Row],[RK]],TableWRVORP[RK],0)),"")</f>
        <v>18.325436797417154</v>
      </c>
      <c r="BJ139" s="254">
        <f>IFERROR(INDEX(TableWRVORP[VORP],MATCH(TableWRTEMaster[[#This Row],[RK]],TableWRVORP[RK],0)),"")</f>
        <v>-0.83183428828464234</v>
      </c>
    </row>
    <row r="140" spans="7:62" x14ac:dyDescent="0.3">
      <c r="G140" s="246"/>
      <c r="H140" s="246">
        <v>139</v>
      </c>
      <c r="I140" s="247" t="str">
        <f>IFERROR(INDEX(TableRBCalcPts[PLAYER],MATCH(TableRBVORP[[#This Row],[RK]],TableRBCalcPts[RK],0)),"")</f>
        <v/>
      </c>
      <c r="J140" s="247" t="str">
        <f>IFERROR(INDEX(TableRBCalcPts[TM],MATCH(TableRBVORP[[#This Row],[RK]],TableRBCalcPts[RK],0)),"")</f>
        <v/>
      </c>
      <c r="K140" s="247" t="str">
        <f>IFERROR(INDEX(TableRBCalcPts[BYE],MATCH(TableRBVORP[[#This Row],[RK]],TableRBCalcPts[RK],0)),"")</f>
        <v/>
      </c>
      <c r="L140" s="248" t="str">
        <f>IFERROR(INDEX(TableRBCalcPts[Custom],MATCH(TableRBVORP[[#This Row],[RK]],TableRBCalcPts[RK],0)),"")</f>
        <v/>
      </c>
      <c r="M140" s="249" t="str">
        <f>IFERROR((TableRBVORP[[#This Row],[FPS]]-INDEX(TableRBVORP[FPS],MATCH(RBVORPCalc,TableRBVORP[RK],0)))/INDEX(TableRBVORP[FPS],MATCH(RBVORPCalc,TableRBVORP[RK],0)),"")</f>
        <v/>
      </c>
      <c r="N140" s="246"/>
      <c r="O140" s="246">
        <v>139</v>
      </c>
      <c r="P140" s="247" t="str">
        <f>IFERROR(INDEX(TableWRCalcPts[PLAYER],MATCH(TableWRVORP[[#This Row],[RK]],TableWRCalcPts[RK],0)),"")</f>
        <v>Ray-Ray McCloud</v>
      </c>
      <c r="Q140" s="247" t="str">
        <f>IFERROR(INDEX(TableWRCalcPts[TM],MATCH(TableWRVORP[[#This Row],[RK]],TableWRCalcPts[RK],0)),"")</f>
        <v>SF</v>
      </c>
      <c r="R140" s="247">
        <f>IFERROR(INDEX(TableWRCalcPts[BYE],MATCH(TableWRVORP[[#This Row],[RK]],TableWRCalcPts[RK],0)),"")</f>
        <v>9</v>
      </c>
      <c r="S140" s="248">
        <f>IFERROR(INDEX(TableWRCalcPts[Custom],MATCH(TableWRVORP[[#This Row],[RK]],TableWRCalcPts[RK],0)),"")</f>
        <v>17.59547476515823</v>
      </c>
      <c r="T140" s="249">
        <f>IFERROR((TableWRVORP[[#This Row],[FPS]]-INDEX(TableWRVORP[FPS],MATCH(WRVORPCalc,TableWRVORP[RK],0)))/INDEX(TableWRVORP[FPS],MATCH(WRVORPCalc,TableWRVORP[RK],0)),"")</f>
        <v>-0.8385328781211101</v>
      </c>
      <c r="U140" s="246"/>
      <c r="V140" s="246"/>
      <c r="AB140" s="246"/>
      <c r="AC140" s="250"/>
      <c r="AD140" s="250"/>
      <c r="AE140" s="250"/>
      <c r="AF140" s="250" t="s">
        <v>357</v>
      </c>
      <c r="AG140" s="250">
        <v>99</v>
      </c>
      <c r="AH140" s="251">
        <f>RANK(TableOverallMaster[[#This Row],[VORP]],TableOverallMaster[VORP])+COUNTIF($AM$2:AM140,AM140)-1</f>
        <v>297</v>
      </c>
      <c r="AI140" s="252" t="str">
        <f>IFERROR(INDEX(TableRBVORP[RUNNING BACK],MATCH(TableOverallMaster[[#This Row],[RK]],TableRBVORP[RK],0)),"")</f>
        <v>Darrynton Evans</v>
      </c>
      <c r="AJ140" s="252" t="str">
        <f t="shared" si="2"/>
        <v>RB99</v>
      </c>
      <c r="AK140" s="252">
        <f>IFERROR(INDEX(TableRBVORP[BYE],MATCH(TableOverallMaster[[#This Row],[RK]],TableRBVORP[RK],0)),"")</f>
        <v>14</v>
      </c>
      <c r="AL140" s="253">
        <f>IFERROR(INDEX(TableRBVORP[FPS],MATCH(TableOverallMaster[[#This Row],[RK]],TableRBVORP[RK],0)),"")</f>
        <v>15.339572196945394</v>
      </c>
      <c r="AM140" s="254">
        <f>IFERROR(INDEX(TableRBVORP[VORP],MATCH(TableOverallMaster[[#This Row],[RK]],TableRBVORP[RK],0)),"")</f>
        <v>-0.84860148213162045</v>
      </c>
      <c r="AN140" s="250"/>
      <c r="AO140" s="250">
        <v>139</v>
      </c>
      <c r="AP140" s="255" t="str">
        <f>IFERROR(INDEX(TableOverallMaster[OVERALL PLAYER],MATCH(TableOverallRank[[#This Row],[RK]],TableOverallMaster[OVR RK],0)),"")</f>
        <v>James Robinson</v>
      </c>
      <c r="AQ140" s="256" t="str">
        <f>IFERROR(INDEX(TableOverallMaster[POS RK],MATCH(TableOverallRank[[#This Row],[OVERALL PLAYER]],TableOverallMaster[OVERALL PLAYER],0)),"")</f>
        <v>RB48</v>
      </c>
      <c r="AR140" s="257">
        <f>IFERROR(INDEX(TableOverallMaster[BYE],MATCH(TableOverallRank[[#This Row],[OVERALL PLAYER]],TableOverallMaster[OVERALL PLAYER],0)),"")</f>
        <v>11</v>
      </c>
      <c r="AS140" s="258">
        <f>IFERROR(INDEX(TableOverallMaster[Custom],MATCH(TableOverallRank[[#This Row],[OVERALL PLAYER]],TableOverallMaster[OVERALL PLAYER],0)),"")</f>
        <v>96.05744529511027</v>
      </c>
      <c r="AT140" s="259">
        <f>IFERROR(INDEX(TableOverallMaster[VORP],MATCH(TableOverallRank[[#This Row],[OVERALL PLAYER]],TableOverallMaster[OVERALL PLAYER],0)),"")</f>
        <v>-5.1932175083825687E-2</v>
      </c>
      <c r="AU140" s="250"/>
      <c r="AV140" s="246">
        <v>139</v>
      </c>
      <c r="AW140" s="260" t="str">
        <f>IFERROR(INDEX(TableWRTECalcPts[PLAYER],MATCH(TableWRTERank[[#This Row],[RK]],TableWRTECalcPts[RK],0)),"")</f>
        <v>Jonnu Smith</v>
      </c>
      <c r="AX140" s="260" t="str">
        <f>IFERROR(INDEX(TableWRTECalcPts[POS RK],MATCH(TableWRTERank[[#This Row],[WR and TE COMBINED]],TableWRTECalcPts[PLAYER],0)),"")</f>
        <v>TE34</v>
      </c>
      <c r="AY140" s="260">
        <f>IFERROR(INDEX(TableWRTECalcPts[BYE],MATCH(TableWRTERank[[#This Row],[RK]],TableWRTECalcPts[RK],0)),"")</f>
        <v>10</v>
      </c>
      <c r="AZ140" s="261">
        <f>IFERROR(INDEX(TableWRTECalcPts[Custom],MATCH(TableWRTERank[[#This Row],[RK]],TableWRTECalcPts[RK],0)),"")</f>
        <v>41.486085433533724</v>
      </c>
      <c r="BA140" s="249">
        <f>IFERROR((TableWRTERank[[#This Row],[FPS]]-INDEX(TableWRTERank[FPS],MATCH(WRTEVORPCalc,TableWRTERank[RK],0)))/INDEX(TableWRTERank[FPS],MATCH(WRTEVORPCalc,TableWRTERank[RK],0)),"")</f>
        <v>-0.65064395061600999</v>
      </c>
      <c r="BC140" s="124" t="s">
        <v>358</v>
      </c>
      <c r="BD140" s="124">
        <v>139</v>
      </c>
      <c r="BE140" s="262">
        <f>RANK(TableWRTEMaster[[#This Row],[VORP]],TableWRTEMaster[VORP])+COUNTIF($BJ$2:BJ140,BJ140)-1</f>
        <v>200</v>
      </c>
      <c r="BF140" s="263" t="str">
        <f>IFERROR(INDEX(TableWRVORP[WIDE RECEIVER],MATCH(TableWRTEMaster[[#This Row],[RK]],TableWRVORP[RK],0)),"")</f>
        <v>Ray-Ray McCloud</v>
      </c>
      <c r="BG140" s="263" t="str">
        <f>_xlfn.CONCAT(TableWRTEMaster[[#This Row],[POS]],TableWRTEMaster[[#This Row],[RK]])</f>
        <v>WR139</v>
      </c>
      <c r="BH140" s="263">
        <f>IFERROR(INDEX(TableWRVORP[BYE],MATCH(TableWRTEMaster[[#This Row],[RK]],TableWRVORP[RK],0)),"")</f>
        <v>9</v>
      </c>
      <c r="BI140" s="264">
        <f>IFERROR(INDEX(TableWRVORP[FPS],MATCH(TableWRTEMaster[[#This Row],[RK]],TableWRVORP[RK],0)),"")</f>
        <v>17.59547476515823</v>
      </c>
      <c r="BJ140" s="254">
        <f>IFERROR(INDEX(TableWRVORP[VORP],MATCH(TableWRTEMaster[[#This Row],[RK]],TableWRVORP[RK],0)),"")</f>
        <v>-0.8385328781211101</v>
      </c>
    </row>
    <row r="141" spans="7:62" x14ac:dyDescent="0.3">
      <c r="G141" s="246"/>
      <c r="H141" s="246">
        <v>140</v>
      </c>
      <c r="I141" s="247" t="str">
        <f>IFERROR(INDEX(TableRBCalcPts[PLAYER],MATCH(TableRBVORP[[#This Row],[RK]],TableRBCalcPts[RK],0)),"")</f>
        <v/>
      </c>
      <c r="J141" s="247" t="str">
        <f>IFERROR(INDEX(TableRBCalcPts[TM],MATCH(TableRBVORP[[#This Row],[RK]],TableRBCalcPts[RK],0)),"")</f>
        <v/>
      </c>
      <c r="K141" s="247" t="str">
        <f>IFERROR(INDEX(TableRBCalcPts[BYE],MATCH(TableRBVORP[[#This Row],[RK]],TableRBCalcPts[RK],0)),"")</f>
        <v/>
      </c>
      <c r="L141" s="248" t="str">
        <f>IFERROR(INDEX(TableRBCalcPts[Custom],MATCH(TableRBVORP[[#This Row],[RK]],TableRBCalcPts[RK],0)),"")</f>
        <v/>
      </c>
      <c r="M141" s="249" t="str">
        <f>IFERROR((TableRBVORP[[#This Row],[FPS]]-INDEX(TableRBVORP[FPS],MATCH(RBVORPCalc,TableRBVORP[RK],0)))/INDEX(TableRBVORP[FPS],MATCH(RBVORPCalc,TableRBVORP[RK],0)),"")</f>
        <v/>
      </c>
      <c r="N141" s="246"/>
      <c r="O141" s="246">
        <v>140</v>
      </c>
      <c r="P141" s="247" t="str">
        <f>IFERROR(INDEX(TableWRCalcPts[PLAYER],MATCH(TableWRVORP[[#This Row],[RK]],TableWRCalcPts[RK],0)),"")</f>
        <v>Olabisi Johnson</v>
      </c>
      <c r="Q141" s="247" t="str">
        <f>IFERROR(INDEX(TableWRCalcPts[TM],MATCH(TableWRVORP[[#This Row],[RK]],TableWRCalcPts[RK],0)),"")</f>
        <v>MIN</v>
      </c>
      <c r="R141" s="247">
        <f>IFERROR(INDEX(TableWRCalcPts[BYE],MATCH(TableWRVORP[[#This Row],[RK]],TableWRCalcPts[RK],0)),"")</f>
        <v>7</v>
      </c>
      <c r="S141" s="248">
        <f>IFERROR(INDEX(TableWRCalcPts[Custom],MATCH(TableWRVORP[[#This Row],[RK]],TableWRCalcPts[RK],0)),"")</f>
        <v>17.451560558101846</v>
      </c>
      <c r="T141" s="249">
        <f>IFERROR((TableWRVORP[[#This Row],[FPS]]-INDEX(TableWRVORP[FPS],MATCH(WRVORPCalc,TableWRVORP[RK],0)))/INDEX(TableWRVORP[FPS],MATCH(WRVORPCalc,TableWRVORP[RK],0)),"")</f>
        <v>-0.83985352522617662</v>
      </c>
      <c r="U141" s="246"/>
      <c r="V141" s="246"/>
      <c r="AB141" s="246"/>
      <c r="AC141" s="250"/>
      <c r="AD141" s="250"/>
      <c r="AE141" s="250"/>
      <c r="AF141" s="250" t="s">
        <v>357</v>
      </c>
      <c r="AG141" s="250">
        <v>100</v>
      </c>
      <c r="AH141" s="251">
        <f>RANK(TableOverallMaster[[#This Row],[VORP]],TableOverallMaster[VORP])+COUNTIF($AM$2:AM141,AM141)-1</f>
        <v>298</v>
      </c>
      <c r="AI141" s="252" t="str">
        <f>IFERROR(INDEX(TableRBVORP[RUNNING BACK],MATCH(TableOverallMaster[[#This Row],[RK]],TableRBVORP[RK],0)),"")</f>
        <v>Zack Moss</v>
      </c>
      <c r="AJ141" s="252" t="str">
        <f t="shared" si="2"/>
        <v>RB100</v>
      </c>
      <c r="AK141" s="252">
        <f>IFERROR(INDEX(TableRBVORP[BYE],MATCH(TableOverallMaster[[#This Row],[RK]],TableRBVORP[RK],0)),"")</f>
        <v>7</v>
      </c>
      <c r="AL141" s="253">
        <f>IFERROR(INDEX(TableRBVORP[FPS],MATCH(TableOverallMaster[[#This Row],[RK]],TableRBVORP[RK],0)),"")</f>
        <v>14.671193693335264</v>
      </c>
      <c r="AM141" s="254">
        <f>IFERROR(INDEX(TableRBVORP[VORP],MATCH(TableOverallMaster[[#This Row],[RK]],TableRBVORP[RK],0)),"")</f>
        <v>-0.85519824464379857</v>
      </c>
      <c r="AN141" s="250"/>
      <c r="AO141" s="250">
        <v>140</v>
      </c>
      <c r="AP141" s="255" t="str">
        <f>IFERROR(INDEX(TableOverallMaster[OVERALL PLAYER],MATCH(TableOverallRank[[#This Row],[RK]],TableOverallMaster[OVR RK],0)),"")</f>
        <v>Pat Freiermuth</v>
      </c>
      <c r="AQ141" s="256" t="str">
        <f>IFERROR(INDEX(TableOverallMaster[POS RK],MATCH(TableOverallRank[[#This Row],[OVERALL PLAYER]],TableOverallMaster[OVERALL PLAYER],0)),"")</f>
        <v>TE14</v>
      </c>
      <c r="AR141" s="257">
        <f>IFERROR(INDEX(TableOverallMaster[BYE],MATCH(TableOverallRank[[#This Row],[OVERALL PLAYER]],TableOverallMaster[OVERALL PLAYER],0)),"")</f>
        <v>9</v>
      </c>
      <c r="AS141" s="258">
        <f>IFERROR(INDEX(TableOverallMaster[Custom],MATCH(TableOverallRank[[#This Row],[OVERALL PLAYER]],TableOverallMaster[OVERALL PLAYER],0)),"")</f>
        <v>95.849834967367968</v>
      </c>
      <c r="AT141" s="259">
        <f>IFERROR(INDEX(TableOverallMaster[VORP],MATCH(TableOverallRank[[#This Row],[OVERALL PLAYER]],TableOverallMaster[OVERALL PLAYER],0)),"")</f>
        <v>-6.4445133311283806E-2</v>
      </c>
      <c r="AU141" s="250"/>
      <c r="AV141" s="246">
        <v>140</v>
      </c>
      <c r="AW141" s="260" t="str">
        <f>IFERROR(INDEX(TableWRTECalcPts[PLAYER],MATCH(TableWRTERank[[#This Row],[RK]],TableWRTECalcPts[RK],0)),"")</f>
        <v>Laviska Shenault</v>
      </c>
      <c r="AX141" s="260" t="str">
        <f>IFERROR(INDEX(TableWRTECalcPts[POS RK],MATCH(TableWRTERank[[#This Row],[WR and TE COMBINED]],TableWRTECalcPts[PLAYER],0)),"")</f>
        <v>WR106</v>
      </c>
      <c r="AY141" s="260">
        <f>IFERROR(INDEX(TableWRTECalcPts[BYE],MATCH(TableWRTERank[[#This Row],[RK]],TableWRTECalcPts[RK],0)),"")</f>
        <v>11</v>
      </c>
      <c r="AZ141" s="261">
        <f>IFERROR(INDEX(TableWRTECalcPts[Custom],MATCH(TableWRTERank[[#This Row],[RK]],TableWRTECalcPts[RK],0)),"")</f>
        <v>40.413989999832708</v>
      </c>
      <c r="BA141" s="249">
        <f>IFERROR((TableWRTERank[[#This Row],[FPS]]-INDEX(TableWRTERank[FPS],MATCH(WRTEVORPCalc,TableWRTERank[RK],0)))/INDEX(TableWRTERank[FPS],MATCH(WRTEVORPCalc,TableWRTERank[RK],0)),"")</f>
        <v>-0.65967211081397503</v>
      </c>
      <c r="BC141" s="124" t="s">
        <v>358</v>
      </c>
      <c r="BD141" s="124">
        <v>140</v>
      </c>
      <c r="BE141" s="262">
        <f>RANK(TableWRTEMaster[[#This Row],[VORP]],TableWRTEMaster[VORP])+COUNTIF($BJ$2:BJ141,BJ141)-1</f>
        <v>201</v>
      </c>
      <c r="BF141" s="263" t="str">
        <f>IFERROR(INDEX(TableWRVORP[WIDE RECEIVER],MATCH(TableWRTEMaster[[#This Row],[RK]],TableWRVORP[RK],0)),"")</f>
        <v>Olabisi Johnson</v>
      </c>
      <c r="BG141" s="263" t="str">
        <f>_xlfn.CONCAT(TableWRTEMaster[[#This Row],[POS]],TableWRTEMaster[[#This Row],[RK]])</f>
        <v>WR140</v>
      </c>
      <c r="BH141" s="263">
        <f>IFERROR(INDEX(TableWRVORP[BYE],MATCH(TableWRTEMaster[[#This Row],[RK]],TableWRVORP[RK],0)),"")</f>
        <v>7</v>
      </c>
      <c r="BI141" s="264">
        <f>IFERROR(INDEX(TableWRVORP[FPS],MATCH(TableWRTEMaster[[#This Row],[RK]],TableWRVORP[RK],0)),"")</f>
        <v>17.451560558101846</v>
      </c>
      <c r="BJ141" s="254">
        <f>IFERROR(INDEX(TableWRVORP[VORP],MATCH(TableWRTEMaster[[#This Row],[RK]],TableWRVORP[RK],0)),"")</f>
        <v>-0.83985352522617662</v>
      </c>
    </row>
    <row r="142" spans="7:62" x14ac:dyDescent="0.3">
      <c r="G142" s="246"/>
      <c r="H142" s="246">
        <v>141</v>
      </c>
      <c r="I142" s="247" t="str">
        <f>IFERROR(INDEX(TableRBCalcPts[PLAYER],MATCH(TableRBVORP[[#This Row],[RK]],TableRBCalcPts[RK],0)),"")</f>
        <v/>
      </c>
      <c r="J142" s="247" t="str">
        <f>IFERROR(INDEX(TableRBCalcPts[TM],MATCH(TableRBVORP[[#This Row],[RK]],TableRBCalcPts[RK],0)),"")</f>
        <v/>
      </c>
      <c r="K142" s="247" t="str">
        <f>IFERROR(INDEX(TableRBCalcPts[BYE],MATCH(TableRBVORP[[#This Row],[RK]],TableRBCalcPts[RK],0)),"")</f>
        <v/>
      </c>
      <c r="L142" s="248" t="str">
        <f>IFERROR(INDEX(TableRBCalcPts[Custom],MATCH(TableRBVORP[[#This Row],[RK]],TableRBCalcPts[RK],0)),"")</f>
        <v/>
      </c>
      <c r="M142" s="249" t="str">
        <f>IFERROR((TableRBVORP[[#This Row],[FPS]]-INDEX(TableRBVORP[FPS],MATCH(RBVORPCalc,TableRBVORP[RK],0)))/INDEX(TableRBVORP[FPS],MATCH(RBVORPCalc,TableRBVORP[RK],0)),"")</f>
        <v/>
      </c>
      <c r="N142" s="246"/>
      <c r="O142" s="246">
        <v>141</v>
      </c>
      <c r="P142" s="247" t="str">
        <f>IFERROR(INDEX(TableWRCalcPts[PLAYER],MATCH(TableWRVORP[[#This Row],[RK]],TableWRCalcPts[RK],0)),"")</f>
        <v>Tutu Atwell</v>
      </c>
      <c r="Q142" s="247" t="str">
        <f>IFERROR(INDEX(TableWRCalcPts[TM],MATCH(TableWRVORP[[#This Row],[RK]],TableWRCalcPts[RK],0)),"")</f>
        <v>LAR</v>
      </c>
      <c r="R142" s="247">
        <f>IFERROR(INDEX(TableWRCalcPts[BYE],MATCH(TableWRVORP[[#This Row],[RK]],TableWRCalcPts[RK],0)),"")</f>
        <v>7</v>
      </c>
      <c r="S142" s="248">
        <f>IFERROR(INDEX(TableWRCalcPts[Custom],MATCH(TableWRVORP[[#This Row],[RK]],TableWRCalcPts[RK],0)),"")</f>
        <v>17.411240387793896</v>
      </c>
      <c r="T142" s="249">
        <f>IFERROR((TableWRVORP[[#This Row],[FPS]]-INDEX(TableWRVORP[FPS],MATCH(WRVORPCalc,TableWRVORP[RK],0)))/INDEX(TableWRVORP[FPS],MATCH(WRVORPCalc,TableWRVORP[RK],0)),"")</f>
        <v>-0.84022352841962167</v>
      </c>
      <c r="U142" s="246"/>
      <c r="V142" s="246"/>
      <c r="AB142" s="246"/>
      <c r="AC142" s="250"/>
      <c r="AD142" s="250"/>
      <c r="AE142" s="250"/>
      <c r="AF142" s="250" t="s">
        <v>358</v>
      </c>
      <c r="AG142" s="250">
        <v>1</v>
      </c>
      <c r="AH142" s="251">
        <f>RANK(TableOverallMaster[[#This Row],[VORP]],TableOverallMaster[VORP])+COUNTIF($AM$2:AM142,AM142)-1</f>
        <v>7</v>
      </c>
      <c r="AI142" s="252" t="str">
        <f>IFERROR(INDEX(TableWRVORP[WIDE RECEIVER],MATCH(TableOverallMaster[[#This Row],[RK]],TableWRVORP[RK],0)),"")</f>
        <v>Cooper Kupp</v>
      </c>
      <c r="AJ142" s="252" t="str">
        <f t="shared" si="2"/>
        <v>WR1</v>
      </c>
      <c r="AK142" s="252">
        <f>IFERROR(INDEX(TableWRVORP[BYE],MATCH(TableOverallMaster[[#This Row],[RK]],TableWRVORP[RK],0)),"")</f>
        <v>7</v>
      </c>
      <c r="AL142" s="253">
        <f>IFERROR(INDEX(TableWRVORP[FPS],MATCH(TableOverallMaster[[#This Row],[RK]],TableWRVORP[RK],0)),"")</f>
        <v>238.89381844067441</v>
      </c>
      <c r="AM142" s="254">
        <f>IFERROR(INDEX(TableWRVORP[VORP],MATCH(TableOverallMaster[[#This Row],[RK]],TableWRVORP[RK],0)),"")</f>
        <v>1.1922396419024333</v>
      </c>
      <c r="AN142" s="250"/>
      <c r="AO142" s="250">
        <v>141</v>
      </c>
      <c r="AP142" s="255" t="str">
        <f>IFERROR(INDEX(TableOverallMaster[OVERALL PLAYER],MATCH(TableOverallRank[[#This Row],[RK]],TableOverallMaster[OVR RK],0)),"")</f>
        <v>Hunter Henry</v>
      </c>
      <c r="AQ142" s="256" t="str">
        <f>IFERROR(INDEX(TableOverallMaster[POS RK],MATCH(TableOverallRank[[#This Row],[OVERALL PLAYER]],TableOverallMaster[OVERALL PLAYER],0)),"")</f>
        <v>TE15</v>
      </c>
      <c r="AR142" s="257">
        <f>IFERROR(INDEX(TableOverallMaster[BYE],MATCH(TableOverallRank[[#This Row],[OVERALL PLAYER]],TableOverallMaster[OVERALL PLAYER],0)),"")</f>
        <v>10</v>
      </c>
      <c r="AS142" s="258">
        <f>IFERROR(INDEX(TableOverallMaster[Custom],MATCH(TableOverallRank[[#This Row],[OVERALL PLAYER]],TableOverallMaster[OVERALL PLAYER],0)),"")</f>
        <v>95.676800335250789</v>
      </c>
      <c r="AT142" s="259">
        <f>IFERROR(INDEX(TableOverallMaster[VORP],MATCH(TableOverallRank[[#This Row],[OVERALL PLAYER]],TableOverallMaster[OVERALL PLAYER],0)),"")</f>
        <v>-6.613406049867053E-2</v>
      </c>
      <c r="AU142" s="250"/>
      <c r="AV142" s="246">
        <v>141</v>
      </c>
      <c r="AW142" s="260" t="str">
        <f>IFERROR(INDEX(TableWRTECalcPts[PLAYER],MATCH(TableWRTERank[[#This Row],[RK]],TableWRTECalcPts[RK],0)),"")</f>
        <v>Calvin Austin</v>
      </c>
      <c r="AX142" s="260" t="str">
        <f>IFERROR(INDEX(TableWRTECalcPts[POS RK],MATCH(TableWRTERank[[#This Row],[WR and TE COMBINED]],TableWRTECalcPts[PLAYER],0)),"")</f>
        <v>WR107</v>
      </c>
      <c r="AY142" s="260">
        <f>IFERROR(INDEX(TableWRTECalcPts[BYE],MATCH(TableWRTERank[[#This Row],[RK]],TableWRTECalcPts[RK],0)),"")</f>
        <v>9</v>
      </c>
      <c r="AZ142" s="261">
        <f>IFERROR(INDEX(TableWRTECalcPts[Custom],MATCH(TableWRTERank[[#This Row],[RK]],TableWRTECalcPts[RK],0)),"")</f>
        <v>38.631807132828371</v>
      </c>
      <c r="BA142" s="249">
        <f>IFERROR((TableWRTERank[[#This Row],[FPS]]-INDEX(TableWRTERank[FPS],MATCH(WRTEVORPCalc,TableWRTERank[RK],0)))/INDEX(TableWRTERank[FPS],MATCH(WRTEVORPCalc,TableWRTERank[RK],0)),"")</f>
        <v>-0.67467994679536647</v>
      </c>
      <c r="BC142" s="124" t="s">
        <v>358</v>
      </c>
      <c r="BD142" s="124">
        <v>141</v>
      </c>
      <c r="BE142" s="262">
        <f>RANK(TableWRTEMaster[[#This Row],[VORP]],TableWRTEMaster[VORP])+COUNTIF($BJ$2:BJ142,BJ142)-1</f>
        <v>202</v>
      </c>
      <c r="BF142" s="263" t="str">
        <f>IFERROR(INDEX(TableWRVORP[WIDE RECEIVER],MATCH(TableWRTEMaster[[#This Row],[RK]],TableWRVORP[RK],0)),"")</f>
        <v>Tutu Atwell</v>
      </c>
      <c r="BG142" s="263" t="str">
        <f>_xlfn.CONCAT(TableWRTEMaster[[#This Row],[POS]],TableWRTEMaster[[#This Row],[RK]])</f>
        <v>WR141</v>
      </c>
      <c r="BH142" s="263">
        <f>IFERROR(INDEX(TableWRVORP[BYE],MATCH(TableWRTEMaster[[#This Row],[RK]],TableWRVORP[RK],0)),"")</f>
        <v>7</v>
      </c>
      <c r="BI142" s="264">
        <f>IFERROR(INDEX(TableWRVORP[FPS],MATCH(TableWRTEMaster[[#This Row],[RK]],TableWRVORP[RK],0)),"")</f>
        <v>17.411240387793896</v>
      </c>
      <c r="BJ142" s="254">
        <f>IFERROR(INDEX(TableWRVORP[VORP],MATCH(TableWRTEMaster[[#This Row],[RK]],TableWRVORP[RK],0)),"")</f>
        <v>-0.84022352841962167</v>
      </c>
    </row>
    <row r="143" spans="7:62" x14ac:dyDescent="0.3">
      <c r="G143" s="246"/>
      <c r="H143" s="246">
        <v>142</v>
      </c>
      <c r="I143" s="247" t="str">
        <f>IFERROR(INDEX(TableRBCalcPts[PLAYER],MATCH(TableRBVORP[[#This Row],[RK]],TableRBCalcPts[RK],0)),"")</f>
        <v/>
      </c>
      <c r="J143" s="247" t="str">
        <f>IFERROR(INDEX(TableRBCalcPts[TM],MATCH(TableRBVORP[[#This Row],[RK]],TableRBCalcPts[RK],0)),"")</f>
        <v/>
      </c>
      <c r="K143" s="247" t="str">
        <f>IFERROR(INDEX(TableRBCalcPts[BYE],MATCH(TableRBVORP[[#This Row],[RK]],TableRBCalcPts[RK],0)),"")</f>
        <v/>
      </c>
      <c r="L143" s="248" t="str">
        <f>IFERROR(INDEX(TableRBCalcPts[Custom],MATCH(TableRBVORP[[#This Row],[RK]],TableRBCalcPts[RK],0)),"")</f>
        <v/>
      </c>
      <c r="M143" s="249" t="str">
        <f>IFERROR((TableRBVORP[[#This Row],[FPS]]-INDEX(TableRBVORP[FPS],MATCH(RBVORPCalc,TableRBVORP[RK],0)))/INDEX(TableRBVORP[FPS],MATCH(RBVORPCalc,TableRBVORP[RK],0)),"")</f>
        <v/>
      </c>
      <c r="N143" s="246"/>
      <c r="O143" s="246">
        <v>142</v>
      </c>
      <c r="P143" s="247" t="str">
        <f>IFERROR(INDEX(TableWRCalcPts[PLAYER],MATCH(TableWRVORP[[#This Row],[RK]],TableWRCalcPts[RK],0)),"")</f>
        <v>Racey McMath</v>
      </c>
      <c r="Q143" s="247" t="str">
        <f>IFERROR(INDEX(TableWRCalcPts[TM],MATCH(TableWRVORP[[#This Row],[RK]],TableWRCalcPts[RK],0)),"")</f>
        <v>TEN</v>
      </c>
      <c r="R143" s="247">
        <f>IFERROR(INDEX(TableWRCalcPts[BYE],MATCH(TableWRVORP[[#This Row],[RK]],TableWRCalcPts[RK],0)),"")</f>
        <v>6</v>
      </c>
      <c r="S143" s="248">
        <f>IFERROR(INDEX(TableWRCalcPts[Custom],MATCH(TableWRVORP[[#This Row],[RK]],TableWRCalcPts[RK],0)),"")</f>
        <v>17.206971689669135</v>
      </c>
      <c r="T143" s="249">
        <f>IFERROR((TableWRVORP[[#This Row],[FPS]]-INDEX(TableWRVORP[FPS],MATCH(WRVORPCalc,TableWRVORP[RK],0)))/INDEX(TableWRVORP[FPS],MATCH(WRVORPCalc,TableWRVORP[RK],0)),"")</f>
        <v>-0.84209802622183294</v>
      </c>
      <c r="U143" s="246"/>
      <c r="V143" s="246"/>
      <c r="AB143" s="246"/>
      <c r="AC143" s="250"/>
      <c r="AD143" s="250"/>
      <c r="AE143" s="250"/>
      <c r="AF143" s="250" t="s">
        <v>358</v>
      </c>
      <c r="AG143" s="250">
        <v>2</v>
      </c>
      <c r="AH143" s="251">
        <f>RANK(TableOverallMaster[[#This Row],[VORP]],TableOverallMaster[VORP])+COUNTIF($AM$2:AM143,AM143)-1</f>
        <v>8</v>
      </c>
      <c r="AI143" s="252" t="str">
        <f>IFERROR(INDEX(TableWRVORP[WIDE RECEIVER],MATCH(TableOverallMaster[[#This Row],[RK]],TableWRVORP[RK],0)),"")</f>
        <v>Ja'Marr Chase</v>
      </c>
      <c r="AJ143" s="252" t="str">
        <f t="shared" si="2"/>
        <v>WR2</v>
      </c>
      <c r="AK143" s="252">
        <f>IFERROR(INDEX(TableWRVORP[BYE],MATCH(TableOverallMaster[[#This Row],[RK]],TableWRVORP[RK],0)),"")</f>
        <v>10</v>
      </c>
      <c r="AL143" s="253">
        <f>IFERROR(INDEX(TableWRVORP[FPS],MATCH(TableOverallMaster[[#This Row],[RK]],TableWRVORP[RK],0)),"")</f>
        <v>233.9846437068403</v>
      </c>
      <c r="AM143" s="254">
        <f>IFERROR(INDEX(TableWRVORP[VORP],MATCH(TableOverallMaster[[#This Row],[RK]],TableWRVORP[RK],0)),"")</f>
        <v>1.147189972845343</v>
      </c>
      <c r="AN143" s="250"/>
      <c r="AO143" s="250">
        <v>142</v>
      </c>
      <c r="AP143" s="255" t="str">
        <f>IFERROR(INDEX(TableOverallMaster[OVERALL PLAYER],MATCH(TableOverallRank[[#This Row],[RK]],TableOverallMaster[OVR RK],0)),"")</f>
        <v>Jared Goff</v>
      </c>
      <c r="AQ143" s="256" t="str">
        <f>IFERROR(INDEX(TableOverallMaster[POS RK],MATCH(TableOverallRank[[#This Row],[OVERALL PLAYER]],TableOverallMaster[OVERALL PLAYER],0)),"")</f>
        <v>QB24</v>
      </c>
      <c r="AR143" s="257">
        <f>IFERROR(INDEX(TableOverallMaster[BYE],MATCH(TableOverallRank[[#This Row],[OVERALL PLAYER]],TableOverallMaster[OVERALL PLAYER],0)),"")</f>
        <v>6</v>
      </c>
      <c r="AS143" s="258">
        <f>IFERROR(INDEX(TableOverallMaster[Custom],MATCH(TableOverallRank[[#This Row],[OVERALL PLAYER]],TableOverallMaster[OVERALL PLAYER],0)),"")</f>
        <v>258.14716946765958</v>
      </c>
      <c r="AT143" s="259">
        <f>IFERROR(INDEX(TableOverallMaster[VORP],MATCH(TableOverallRank[[#This Row],[OVERALL PLAYER]],TableOverallMaster[OVERALL PLAYER],0)),"")</f>
        <v>-6.8349977383674432E-2</v>
      </c>
      <c r="AU143" s="250"/>
      <c r="AV143" s="246">
        <v>142</v>
      </c>
      <c r="AW143" s="260" t="str">
        <f>IFERROR(INDEX(TableWRTECalcPts[PLAYER],MATCH(TableWRTERank[[#This Row],[RK]],TableWRTECalcPts[RK],0)),"")</f>
        <v>Cade Otton</v>
      </c>
      <c r="AX143" s="260" t="str">
        <f>IFERROR(INDEX(TableWRTECalcPts[POS RK],MATCH(TableWRTERank[[#This Row],[WR and TE COMBINED]],TableWRTECalcPts[PLAYER],0)),"")</f>
        <v>TE35</v>
      </c>
      <c r="AY143" s="260">
        <f>IFERROR(INDEX(TableWRTECalcPts[BYE],MATCH(TableWRTERank[[#This Row],[RK]],TableWRTECalcPts[RK],0)),"")</f>
        <v>11</v>
      </c>
      <c r="AZ143" s="261">
        <f>IFERROR(INDEX(TableWRTECalcPts[Custom],MATCH(TableWRTERank[[#This Row],[RK]],TableWRTECalcPts[RK],0)),"")</f>
        <v>38.578392188776903</v>
      </c>
      <c r="BA143" s="249">
        <f>IFERROR((TableWRTERank[[#This Row],[FPS]]-INDEX(TableWRTERank[FPS],MATCH(WRTEVORPCalc,TableWRTERank[RK],0)))/INDEX(TableWRTERank[FPS],MATCH(WRTEVORPCalc,TableWRTERank[RK],0)),"")</f>
        <v>-0.67512975625887406</v>
      </c>
      <c r="BC143" s="124" t="s">
        <v>358</v>
      </c>
      <c r="BD143" s="124">
        <v>142</v>
      </c>
      <c r="BE143" s="262">
        <f>RANK(TableWRTEMaster[[#This Row],[VORP]],TableWRTEMaster[VORP])+COUNTIF($BJ$2:BJ143,BJ143)-1</f>
        <v>203</v>
      </c>
      <c r="BF143" s="263" t="str">
        <f>IFERROR(INDEX(TableWRVORP[WIDE RECEIVER],MATCH(TableWRTEMaster[[#This Row],[RK]],TableWRVORP[RK],0)),"")</f>
        <v>Racey McMath</v>
      </c>
      <c r="BG143" s="263" t="str">
        <f>_xlfn.CONCAT(TableWRTEMaster[[#This Row],[POS]],TableWRTEMaster[[#This Row],[RK]])</f>
        <v>WR142</v>
      </c>
      <c r="BH143" s="263">
        <f>IFERROR(INDEX(TableWRVORP[BYE],MATCH(TableWRTEMaster[[#This Row],[RK]],TableWRVORP[RK],0)),"")</f>
        <v>6</v>
      </c>
      <c r="BI143" s="264">
        <f>IFERROR(INDEX(TableWRVORP[FPS],MATCH(TableWRTEMaster[[#This Row],[RK]],TableWRVORP[RK],0)),"")</f>
        <v>17.206971689669135</v>
      </c>
      <c r="BJ143" s="254">
        <f>IFERROR(INDEX(TableWRVORP[VORP],MATCH(TableWRTEMaster[[#This Row],[RK]],TableWRVORP[RK],0)),"")</f>
        <v>-0.84209802622183294</v>
      </c>
    </row>
    <row r="144" spans="7:62" x14ac:dyDescent="0.3">
      <c r="G144" s="246"/>
      <c r="H144" s="246">
        <v>143</v>
      </c>
      <c r="I144" s="247" t="str">
        <f>IFERROR(INDEX(TableRBCalcPts[PLAYER],MATCH(TableRBVORP[[#This Row],[RK]],TableRBCalcPts[RK],0)),"")</f>
        <v/>
      </c>
      <c r="J144" s="247" t="str">
        <f>IFERROR(INDEX(TableRBCalcPts[TM],MATCH(TableRBVORP[[#This Row],[RK]],TableRBCalcPts[RK],0)),"")</f>
        <v/>
      </c>
      <c r="K144" s="247" t="str">
        <f>IFERROR(INDEX(TableRBCalcPts[BYE],MATCH(TableRBVORP[[#This Row],[RK]],TableRBCalcPts[RK],0)),"")</f>
        <v/>
      </c>
      <c r="L144" s="248" t="str">
        <f>IFERROR(INDEX(TableRBCalcPts[Custom],MATCH(TableRBVORP[[#This Row],[RK]],TableRBCalcPts[RK],0)),"")</f>
        <v/>
      </c>
      <c r="M144" s="249" t="str">
        <f>IFERROR((TableRBVORP[[#This Row],[FPS]]-INDEX(TableRBVORP[FPS],MATCH(RBVORPCalc,TableRBVORP[RK],0)))/INDEX(TableRBVORP[FPS],MATCH(RBVORPCalc,TableRBVORP[RK],0)),"")</f>
        <v/>
      </c>
      <c r="N144" s="246"/>
      <c r="O144" s="246">
        <v>143</v>
      </c>
      <c r="P144" s="247" t="str">
        <f>IFERROR(INDEX(TableWRCalcPts[PLAYER],MATCH(TableWRVORP[[#This Row],[RK]],TableWRCalcPts[RK],0)),"")</f>
        <v>Khalil Shakir</v>
      </c>
      <c r="Q144" s="247" t="str">
        <f>IFERROR(INDEX(TableWRCalcPts[TM],MATCH(TableWRVORP[[#This Row],[RK]],TableWRCalcPts[RK],0)),"")</f>
        <v>BUF</v>
      </c>
      <c r="R144" s="247">
        <f>IFERROR(INDEX(TableWRCalcPts[BYE],MATCH(TableWRVORP[[#This Row],[RK]],TableWRCalcPts[RK],0)),"")</f>
        <v>7</v>
      </c>
      <c r="S144" s="248">
        <f>IFERROR(INDEX(TableWRCalcPts[Custom],MATCH(TableWRVORP[[#This Row],[RK]],TableWRCalcPts[RK],0)),"")</f>
        <v>16.720762056006564</v>
      </c>
      <c r="T144" s="249">
        <f>IFERROR((TableWRVORP[[#This Row],[FPS]]-INDEX(TableWRVORP[FPS],MATCH(WRVORPCalc,TableWRVORP[RK],0)))/INDEX(TableWRVORP[FPS],MATCH(WRVORPCalc,TableWRVORP[RK],0)),"")</f>
        <v>-0.84655979103495071</v>
      </c>
      <c r="U144" s="246"/>
      <c r="V144" s="246"/>
      <c r="AB144" s="246"/>
      <c r="AC144" s="250"/>
      <c r="AD144" s="250"/>
      <c r="AE144" s="250"/>
      <c r="AF144" s="250" t="s">
        <v>358</v>
      </c>
      <c r="AG144" s="250">
        <v>3</v>
      </c>
      <c r="AH144" s="251">
        <f>RANK(TableOverallMaster[[#This Row],[VORP]],TableOverallMaster[VORP])+COUNTIF($AM$2:AM144,AM144)-1</f>
        <v>21</v>
      </c>
      <c r="AI144" s="252" t="str">
        <f>IFERROR(INDEX(TableWRVORP[WIDE RECEIVER],MATCH(TableOverallMaster[[#This Row],[RK]],TableWRVORP[RK],0)),"")</f>
        <v>Deebo Samuel</v>
      </c>
      <c r="AJ144" s="252" t="str">
        <f t="shared" si="2"/>
        <v>WR3</v>
      </c>
      <c r="AK144" s="252">
        <f>IFERROR(INDEX(TableWRVORP[BYE],MATCH(TableOverallMaster[[#This Row],[RK]],TableWRVORP[RK],0)),"")</f>
        <v>9</v>
      </c>
      <c r="AL144" s="253">
        <f>IFERROR(INDEX(TableWRVORP[FPS],MATCH(TableOverallMaster[[#This Row],[RK]],TableWRVORP[RK],0)),"")</f>
        <v>204.70306981913626</v>
      </c>
      <c r="AM144" s="254">
        <f>IFERROR(INDEX(TableWRVORP[VORP],MATCH(TableOverallMaster[[#This Row],[RK]],TableWRVORP[RK],0)),"")</f>
        <v>0.8784838695525905</v>
      </c>
      <c r="AN144" s="250"/>
      <c r="AO144" s="250">
        <v>143</v>
      </c>
      <c r="AP144" s="255" t="str">
        <f>IFERROR(INDEX(TableOverallMaster[OVERALL PLAYER],MATCH(TableOverallRank[[#This Row],[RK]],TableOverallMaster[OVR RK],0)),"")</f>
        <v>DeAndre Hopkins</v>
      </c>
      <c r="AQ144" s="256" t="str">
        <f>IFERROR(INDEX(TableOverallMaster[POS RK],MATCH(TableOverallRank[[#This Row],[OVERALL PLAYER]],TableOverallMaster[OVERALL PLAYER],0)),"")</f>
        <v>WR56</v>
      </c>
      <c r="AR144" s="257">
        <f>IFERROR(INDEX(TableOverallMaster[BYE],MATCH(TableOverallRank[[#This Row],[OVERALL PLAYER]],TableOverallMaster[OVERALL PLAYER],0)),"")</f>
        <v>13</v>
      </c>
      <c r="AS144" s="258">
        <f>IFERROR(INDEX(TableOverallMaster[Custom],MATCH(TableOverallRank[[#This Row],[OVERALL PLAYER]],TableOverallMaster[OVERALL PLAYER],0)),"")</f>
        <v>101.49414320839625</v>
      </c>
      <c r="AT144" s="259">
        <f>IFERROR(INDEX(TableOverallMaster[VORP],MATCH(TableOverallRank[[#This Row],[OVERALL PLAYER]],TableOverallMaster[OVERALL PLAYER],0)),"")</f>
        <v>-6.8626029695183666E-2</v>
      </c>
      <c r="AU144" s="250"/>
      <c r="AV144" s="246">
        <v>143</v>
      </c>
      <c r="AW144" s="260" t="str">
        <f>IFERROR(INDEX(TableWRTECalcPts[PLAYER],MATCH(TableWRTERank[[#This Row],[RK]],TableWRTECalcPts[RK],0)),"")</f>
        <v>Geoff Swaim</v>
      </c>
      <c r="AX144" s="260" t="str">
        <f>IFERROR(INDEX(TableWRTECalcPts[POS RK],MATCH(TableWRTERank[[#This Row],[WR and TE COMBINED]],TableWRTECalcPts[PLAYER],0)),"")</f>
        <v>TE36</v>
      </c>
      <c r="AY144" s="260">
        <f>IFERROR(INDEX(TableWRTECalcPts[BYE],MATCH(TableWRTERank[[#This Row],[RK]],TableWRTECalcPts[RK],0)),"")</f>
        <v>6</v>
      </c>
      <c r="AZ144" s="261">
        <f>IFERROR(INDEX(TableWRTECalcPts[Custom],MATCH(TableWRTERank[[#This Row],[RK]],TableWRTECalcPts[RK],0)),"")</f>
        <v>38.183041253692494</v>
      </c>
      <c r="BA144" s="249">
        <f>IFERROR((TableWRTERank[[#This Row],[FPS]]-INDEX(TableWRTERank[FPS],MATCH(WRTEVORPCalc,TableWRTERank[RK],0)))/INDEX(TableWRTERank[FPS],MATCH(WRTEVORPCalc,TableWRTERank[RK],0)),"")</f>
        <v>-0.67845902291197002</v>
      </c>
      <c r="BC144" s="124" t="s">
        <v>358</v>
      </c>
      <c r="BD144" s="124">
        <v>143</v>
      </c>
      <c r="BE144" s="262">
        <f>RANK(TableWRTEMaster[[#This Row],[VORP]],TableWRTEMaster[VORP])+COUNTIF($BJ$2:BJ144,BJ144)-1</f>
        <v>204</v>
      </c>
      <c r="BF144" s="263" t="str">
        <f>IFERROR(INDEX(TableWRVORP[WIDE RECEIVER],MATCH(TableWRTEMaster[[#This Row],[RK]],TableWRVORP[RK],0)),"")</f>
        <v>Khalil Shakir</v>
      </c>
      <c r="BG144" s="263" t="str">
        <f>_xlfn.CONCAT(TableWRTEMaster[[#This Row],[POS]],TableWRTEMaster[[#This Row],[RK]])</f>
        <v>WR143</v>
      </c>
      <c r="BH144" s="263">
        <f>IFERROR(INDEX(TableWRVORP[BYE],MATCH(TableWRTEMaster[[#This Row],[RK]],TableWRVORP[RK],0)),"")</f>
        <v>7</v>
      </c>
      <c r="BI144" s="264">
        <f>IFERROR(INDEX(TableWRVORP[FPS],MATCH(TableWRTEMaster[[#This Row],[RK]],TableWRVORP[RK],0)),"")</f>
        <v>16.720762056006564</v>
      </c>
      <c r="BJ144" s="254">
        <f>IFERROR(INDEX(TableWRVORP[VORP],MATCH(TableWRTEMaster[[#This Row],[RK]],TableWRVORP[RK],0)),"")</f>
        <v>-0.84655979103495071</v>
      </c>
    </row>
    <row r="145" spans="7:62" x14ac:dyDescent="0.3">
      <c r="G145" s="246"/>
      <c r="H145" s="246">
        <v>144</v>
      </c>
      <c r="I145" s="247" t="str">
        <f>IFERROR(INDEX(TableRBCalcPts[PLAYER],MATCH(TableRBVORP[[#This Row],[RK]],TableRBCalcPts[RK],0)),"")</f>
        <v/>
      </c>
      <c r="J145" s="247" t="str">
        <f>IFERROR(INDEX(TableRBCalcPts[TM],MATCH(TableRBVORP[[#This Row],[RK]],TableRBCalcPts[RK],0)),"")</f>
        <v/>
      </c>
      <c r="K145" s="247" t="str">
        <f>IFERROR(INDEX(TableRBCalcPts[BYE],MATCH(TableRBVORP[[#This Row],[RK]],TableRBCalcPts[RK],0)),"")</f>
        <v/>
      </c>
      <c r="L145" s="248" t="str">
        <f>IFERROR(INDEX(TableRBCalcPts[Custom],MATCH(TableRBVORP[[#This Row],[RK]],TableRBCalcPts[RK],0)),"")</f>
        <v/>
      </c>
      <c r="M145" s="249" t="str">
        <f>IFERROR((TableRBVORP[[#This Row],[FPS]]-INDEX(TableRBVORP[FPS],MATCH(RBVORPCalc,TableRBVORP[RK],0)))/INDEX(TableRBVORP[FPS],MATCH(RBVORPCalc,TableRBVORP[RK],0)),"")</f>
        <v/>
      </c>
      <c r="N145" s="246"/>
      <c r="O145" s="246">
        <v>144</v>
      </c>
      <c r="P145" s="247" t="str">
        <f>IFERROR(INDEX(TableWRCalcPts[PLAYER],MATCH(TableWRVORP[[#This Row],[RK]],TableWRCalcPts[RK],0)),"")</f>
        <v>Danny Gray</v>
      </c>
      <c r="Q145" s="247" t="str">
        <f>IFERROR(INDEX(TableWRCalcPts[TM],MATCH(TableWRVORP[[#This Row],[RK]],TableWRCalcPts[RK],0)),"")</f>
        <v>SF</v>
      </c>
      <c r="R145" s="247">
        <f>IFERROR(INDEX(TableWRCalcPts[BYE],MATCH(TableWRVORP[[#This Row],[RK]],TableWRCalcPts[RK],0)),"")</f>
        <v>9</v>
      </c>
      <c r="S145" s="248">
        <f>IFERROR(INDEX(TableWRCalcPts[Custom],MATCH(TableWRVORP[[#This Row],[RK]],TableWRCalcPts[RK],0)),"")</f>
        <v>16.414170038763562</v>
      </c>
      <c r="T145" s="249">
        <f>IFERROR((TableWRVORP[[#This Row],[FPS]]-INDEX(TableWRVORP[FPS],MATCH(WRVORPCalc,TableWRVORP[RK],0)))/INDEX(TableWRVORP[FPS],MATCH(WRVORPCalc,TableWRVORP[RK],0)),"")</f>
        <v>-0.84937327184612488</v>
      </c>
      <c r="U145" s="246"/>
      <c r="V145" s="246"/>
      <c r="AB145" s="246"/>
      <c r="AC145" s="250"/>
      <c r="AD145" s="250"/>
      <c r="AE145" s="250"/>
      <c r="AF145" s="250" t="s">
        <v>358</v>
      </c>
      <c r="AG145" s="250">
        <v>4</v>
      </c>
      <c r="AH145" s="251">
        <f>RANK(TableOverallMaster[[#This Row],[VORP]],TableOverallMaster[VORP])+COUNTIF($AM$2:AM145,AM145)-1</f>
        <v>23</v>
      </c>
      <c r="AI145" s="252" t="str">
        <f>IFERROR(INDEX(TableWRVORP[WIDE RECEIVER],MATCH(TableOverallMaster[[#This Row],[RK]],TableWRVORP[RK],0)),"")</f>
        <v>Justin Jefferson</v>
      </c>
      <c r="AJ145" s="252" t="str">
        <f t="shared" si="2"/>
        <v>WR4</v>
      </c>
      <c r="AK145" s="252">
        <f>IFERROR(INDEX(TableWRVORP[BYE],MATCH(TableOverallMaster[[#This Row],[RK]],TableWRVORP[RK],0)),"")</f>
        <v>7</v>
      </c>
      <c r="AL145" s="253">
        <f>IFERROR(INDEX(TableWRVORP[FPS],MATCH(TableOverallMaster[[#This Row],[RK]],TableWRVORP[RK],0)),"")</f>
        <v>202.65658638405648</v>
      </c>
      <c r="AM145" s="254">
        <f>IFERROR(INDEX(TableWRVORP[VORP],MATCH(TableOverallMaster[[#This Row],[RK]],TableWRVORP[RK],0)),"")</f>
        <v>0.85970405288691698</v>
      </c>
      <c r="AN145" s="250"/>
      <c r="AO145" s="250">
        <v>144</v>
      </c>
      <c r="AP145" s="255" t="str">
        <f>IFERROR(INDEX(TableOverallMaster[OVERALL PLAYER],MATCH(TableOverallRank[[#This Row],[RK]],TableOverallMaster[OVR RK],0)),"")</f>
        <v>Alec Pierce</v>
      </c>
      <c r="AQ145" s="256" t="str">
        <f>IFERROR(INDEX(TableOverallMaster[POS RK],MATCH(TableOverallRank[[#This Row],[OVERALL PLAYER]],TableOverallMaster[OVERALL PLAYER],0)),"")</f>
        <v>WR57</v>
      </c>
      <c r="AR145" s="257">
        <f>IFERROR(INDEX(TableOverallMaster[BYE],MATCH(TableOverallRank[[#This Row],[OVERALL PLAYER]],TableOverallMaster[OVERALL PLAYER],0)),"")</f>
        <v>14</v>
      </c>
      <c r="AS145" s="258">
        <f>IFERROR(INDEX(TableOverallMaster[Custom],MATCH(TableOverallRank[[#This Row],[OVERALL PLAYER]],TableOverallMaster[OVERALL PLAYER],0)),"")</f>
        <v>101.41919743167956</v>
      </c>
      <c r="AT145" s="259">
        <f>IFERROR(INDEX(TableOverallMaster[VORP],MATCH(TableOverallRank[[#This Row],[OVERALL PLAYER]],TableOverallMaster[OVERALL PLAYER],0)),"")</f>
        <v>-6.9313779189012853E-2</v>
      </c>
      <c r="AU145" s="250"/>
      <c r="AV145" s="246">
        <v>144</v>
      </c>
      <c r="AW145" s="260" t="str">
        <f>IFERROR(INDEX(TableWRTECalcPts[PLAYER],MATCH(TableWRTERank[[#This Row],[RK]],TableWRTECalcPts[RK],0)),"")</f>
        <v>Harrison Bryant</v>
      </c>
      <c r="AX145" s="260" t="str">
        <f>IFERROR(INDEX(TableWRTECalcPts[POS RK],MATCH(TableWRTERank[[#This Row],[WR and TE COMBINED]],TableWRTECalcPts[PLAYER],0)),"")</f>
        <v>TE37</v>
      </c>
      <c r="AY145" s="260">
        <f>IFERROR(INDEX(TableWRTECalcPts[BYE],MATCH(TableWRTERank[[#This Row],[RK]],TableWRTECalcPts[RK],0)),"")</f>
        <v>9</v>
      </c>
      <c r="AZ145" s="261">
        <f>IFERROR(INDEX(TableWRTECalcPts[Custom],MATCH(TableWRTERank[[#This Row],[RK]],TableWRTECalcPts[RK],0)),"")</f>
        <v>38.106607571611121</v>
      </c>
      <c r="BA145" s="249">
        <f>IFERROR((TableWRTERank[[#This Row],[FPS]]-INDEX(TableWRTERank[FPS],MATCH(WRTEVORPCalc,TableWRTERank[RK],0)))/INDEX(TableWRTERank[FPS],MATCH(WRTEVORPCalc,TableWRTERank[RK],0)),"")</f>
        <v>-0.67910267412496772</v>
      </c>
      <c r="BC145" s="124" t="s">
        <v>358</v>
      </c>
      <c r="BD145" s="124">
        <v>144</v>
      </c>
      <c r="BE145" s="262">
        <f>RANK(TableWRTEMaster[[#This Row],[VORP]],TableWRTEMaster[VORP])+COUNTIF($BJ$2:BJ145,BJ145)-1</f>
        <v>205</v>
      </c>
      <c r="BF145" s="263" t="str">
        <f>IFERROR(INDEX(TableWRVORP[WIDE RECEIVER],MATCH(TableWRTEMaster[[#This Row],[RK]],TableWRVORP[RK],0)),"")</f>
        <v>Danny Gray</v>
      </c>
      <c r="BG145" s="263" t="str">
        <f>_xlfn.CONCAT(TableWRTEMaster[[#This Row],[POS]],TableWRTEMaster[[#This Row],[RK]])</f>
        <v>WR144</v>
      </c>
      <c r="BH145" s="263">
        <f>IFERROR(INDEX(TableWRVORP[BYE],MATCH(TableWRTEMaster[[#This Row],[RK]],TableWRVORP[RK],0)),"")</f>
        <v>9</v>
      </c>
      <c r="BI145" s="264">
        <f>IFERROR(INDEX(TableWRVORP[FPS],MATCH(TableWRTEMaster[[#This Row],[RK]],TableWRVORP[RK],0)),"")</f>
        <v>16.414170038763562</v>
      </c>
      <c r="BJ145" s="254">
        <f>IFERROR(INDEX(TableWRVORP[VORP],MATCH(TableWRTEMaster[[#This Row],[RK]],TableWRVORP[RK],0)),"")</f>
        <v>-0.84937327184612488</v>
      </c>
    </row>
    <row r="146" spans="7:62" x14ac:dyDescent="0.3">
      <c r="G146" s="246"/>
      <c r="H146" s="246">
        <v>145</v>
      </c>
      <c r="I146" s="247" t="str">
        <f>IFERROR(INDEX(TableRBCalcPts[PLAYER],MATCH(TableRBVORP[[#This Row],[RK]],TableRBCalcPts[RK],0)),"")</f>
        <v/>
      </c>
      <c r="J146" s="247" t="str">
        <f>IFERROR(INDEX(TableRBCalcPts[TM],MATCH(TableRBVORP[[#This Row],[RK]],TableRBCalcPts[RK],0)),"")</f>
        <v/>
      </c>
      <c r="K146" s="247" t="str">
        <f>IFERROR(INDEX(TableRBCalcPts[BYE],MATCH(TableRBVORP[[#This Row],[RK]],TableRBCalcPts[RK],0)),"")</f>
        <v/>
      </c>
      <c r="L146" s="248" t="str">
        <f>IFERROR(INDEX(TableRBCalcPts[Custom],MATCH(TableRBVORP[[#This Row],[RK]],TableRBCalcPts[RK],0)),"")</f>
        <v/>
      </c>
      <c r="M146" s="249" t="str">
        <f>IFERROR((TableRBVORP[[#This Row],[FPS]]-INDEX(TableRBVORP[FPS],MATCH(RBVORPCalc,TableRBVORP[RK],0)))/INDEX(TableRBVORP[FPS],MATCH(RBVORPCalc,TableRBVORP[RK],0)),"")</f>
        <v/>
      </c>
      <c r="N146" s="246"/>
      <c r="O146" s="246">
        <v>145</v>
      </c>
      <c r="P146" s="247" t="str">
        <f>IFERROR(INDEX(TableWRCalcPts[PLAYER],MATCH(TableWRVORP[[#This Row],[RK]],TableWRCalcPts[RK],0)),"")</f>
        <v>Dez Fitzpatrick</v>
      </c>
      <c r="Q146" s="247" t="str">
        <f>IFERROR(INDEX(TableWRCalcPts[TM],MATCH(TableWRVORP[[#This Row],[RK]],TableWRCalcPts[RK],0)),"")</f>
        <v>TEN</v>
      </c>
      <c r="R146" s="247">
        <f>IFERROR(INDEX(TableWRCalcPts[BYE],MATCH(TableWRVORP[[#This Row],[RK]],TableWRCalcPts[RK],0)),"")</f>
        <v>6</v>
      </c>
      <c r="S146" s="248">
        <f>IFERROR(INDEX(TableWRCalcPts[Custom],MATCH(TableWRVORP[[#This Row],[RK]],TableWRCalcPts[RK],0)),"")</f>
        <v>16.391863399059599</v>
      </c>
      <c r="T146" s="249">
        <f>IFERROR((TableWRVORP[[#This Row],[FPS]]-INDEX(TableWRVORP[FPS],MATCH(WRVORPCalc,TableWRVORP[RK],0)))/INDEX(TableWRVORP[FPS],MATCH(WRVORPCalc,TableWRVORP[RK],0)),"")</f>
        <v>-0.84957797157488235</v>
      </c>
      <c r="U146" s="246"/>
      <c r="V146" s="246"/>
      <c r="AB146" s="246"/>
      <c r="AC146" s="250"/>
      <c r="AD146" s="250"/>
      <c r="AE146" s="250"/>
      <c r="AF146" s="250" t="s">
        <v>358</v>
      </c>
      <c r="AG146" s="250">
        <v>5</v>
      </c>
      <c r="AH146" s="251">
        <f>RANK(TableOverallMaster[[#This Row],[VORP]],TableOverallMaster[VORP])+COUNTIF($AM$2:AM146,AM146)-1</f>
        <v>28</v>
      </c>
      <c r="AI146" s="252" t="str">
        <f>IFERROR(INDEX(TableWRVORP[WIDE RECEIVER],MATCH(TableOverallMaster[[#This Row],[RK]],TableWRVORP[RK],0)),"")</f>
        <v>Stefon Diggs</v>
      </c>
      <c r="AJ146" s="252" t="str">
        <f t="shared" si="2"/>
        <v>WR5</v>
      </c>
      <c r="AK146" s="252">
        <f>IFERROR(INDEX(TableWRVORP[BYE],MATCH(TableOverallMaster[[#This Row],[RK]],TableWRVORP[RK],0)),"")</f>
        <v>7</v>
      </c>
      <c r="AL146" s="253">
        <f>IFERROR(INDEX(TableWRVORP[FPS],MATCH(TableOverallMaster[[#This Row],[RK]],TableWRVORP[RK],0)),"")</f>
        <v>187.79224518431042</v>
      </c>
      <c r="AM146" s="254">
        <f>IFERROR(INDEX(TableWRVORP[VORP],MATCH(TableOverallMaster[[#This Row],[RK]],TableWRVORP[RK],0)),"")</f>
        <v>0.72329952705386713</v>
      </c>
      <c r="AN146" s="250"/>
      <c r="AO146" s="250">
        <v>145</v>
      </c>
      <c r="AP146" s="255" t="str">
        <f>IFERROR(INDEX(TableOverallMaster[OVERALL PLAYER],MATCH(TableOverallRank[[#This Row],[RK]],TableOverallMaster[OVR RK],0)),"")</f>
        <v>Jameis Winston</v>
      </c>
      <c r="AQ146" s="256" t="str">
        <f>IFERROR(INDEX(TableOverallMaster[POS RK],MATCH(TableOverallRank[[#This Row],[OVERALL PLAYER]],TableOverallMaster[OVERALL PLAYER],0)),"")</f>
        <v>QB25</v>
      </c>
      <c r="AR146" s="257">
        <f>IFERROR(INDEX(TableOverallMaster[BYE],MATCH(TableOverallRank[[#This Row],[OVERALL PLAYER]],TableOverallMaster[OVERALL PLAYER],0)),"")</f>
        <v>14</v>
      </c>
      <c r="AS146" s="258">
        <f>IFERROR(INDEX(TableOverallMaster[Custom],MATCH(TableOverallRank[[#This Row],[OVERALL PLAYER]],TableOverallMaster[OVERALL PLAYER],0)),"")</f>
        <v>258.137240167492</v>
      </c>
      <c r="AT146" s="259">
        <f>IFERROR(INDEX(TableOverallMaster[VORP],MATCH(TableOverallRank[[#This Row],[OVERALL PLAYER]],TableOverallMaster[OVERALL PLAYER],0)),"")</f>
        <v>-6.9557367814451043E-2</v>
      </c>
      <c r="AU146" s="250"/>
      <c r="AV146" s="246">
        <v>145</v>
      </c>
      <c r="AW146" s="260" t="str">
        <f>IFERROR(INDEX(TableWRTECalcPts[PLAYER],MATCH(TableWRTERank[[#This Row],[RK]],TableWRTECalcPts[RK],0)),"")</f>
        <v>Demarcus Robinson</v>
      </c>
      <c r="AX146" s="260" t="str">
        <f>IFERROR(INDEX(TableWRTECalcPts[POS RK],MATCH(TableWRTERank[[#This Row],[WR and TE COMBINED]],TableWRTECalcPts[PLAYER],0)),"")</f>
        <v>WR108</v>
      </c>
      <c r="AY146" s="260">
        <f>IFERROR(INDEX(TableWRTECalcPts[BYE],MATCH(TableWRTERank[[#This Row],[RK]],TableWRTECalcPts[RK],0)),"")</f>
        <v>6</v>
      </c>
      <c r="AZ146" s="261">
        <f>IFERROR(INDEX(TableWRTECalcPts[Custom],MATCH(TableWRTERank[[#This Row],[RK]],TableWRTECalcPts[RK],0)),"")</f>
        <v>35.322918725494581</v>
      </c>
      <c r="BA146" s="249">
        <f>IFERROR((TableWRTERank[[#This Row],[FPS]]-INDEX(TableWRTERank[FPS],MATCH(WRTEVORPCalc,TableWRTERank[RK],0)))/INDEX(TableWRTERank[FPS],MATCH(WRTEVORPCalc,TableWRTERank[RK],0)),"")</f>
        <v>-0.70254423357389728</v>
      </c>
      <c r="BC146" s="124" t="s">
        <v>358</v>
      </c>
      <c r="BD146" s="124">
        <v>145</v>
      </c>
      <c r="BE146" s="262">
        <f>RANK(TableWRTEMaster[[#This Row],[VORP]],TableWRTEMaster[VORP])+COUNTIF($BJ$2:BJ146,BJ146)-1</f>
        <v>206</v>
      </c>
      <c r="BF146" s="263" t="str">
        <f>IFERROR(INDEX(TableWRVORP[WIDE RECEIVER],MATCH(TableWRTEMaster[[#This Row],[RK]],TableWRVORP[RK],0)),"")</f>
        <v>Dez Fitzpatrick</v>
      </c>
      <c r="BG146" s="263" t="str">
        <f>_xlfn.CONCAT(TableWRTEMaster[[#This Row],[POS]],TableWRTEMaster[[#This Row],[RK]])</f>
        <v>WR145</v>
      </c>
      <c r="BH146" s="263">
        <f>IFERROR(INDEX(TableWRVORP[BYE],MATCH(TableWRTEMaster[[#This Row],[RK]],TableWRVORP[RK],0)),"")</f>
        <v>6</v>
      </c>
      <c r="BI146" s="264">
        <f>IFERROR(INDEX(TableWRVORP[FPS],MATCH(TableWRTEMaster[[#This Row],[RK]],TableWRVORP[RK],0)),"")</f>
        <v>16.391863399059599</v>
      </c>
      <c r="BJ146" s="254">
        <f>IFERROR(INDEX(TableWRVORP[VORP],MATCH(TableWRTEMaster[[#This Row],[RK]],TableWRVORP[RK],0)),"")</f>
        <v>-0.84957797157488235</v>
      </c>
    </row>
    <row r="147" spans="7:62" x14ac:dyDescent="0.3">
      <c r="G147" s="246"/>
      <c r="H147" s="246">
        <v>146</v>
      </c>
      <c r="I147" s="247" t="str">
        <f>IFERROR(INDEX(TableRBCalcPts[PLAYER],MATCH(TableRBVORP[[#This Row],[RK]],TableRBCalcPts[RK],0)),"")</f>
        <v/>
      </c>
      <c r="J147" s="247" t="str">
        <f>IFERROR(INDEX(TableRBCalcPts[TM],MATCH(TableRBVORP[[#This Row],[RK]],TableRBCalcPts[RK],0)),"")</f>
        <v/>
      </c>
      <c r="K147" s="247" t="str">
        <f>IFERROR(INDEX(TableRBCalcPts[BYE],MATCH(TableRBVORP[[#This Row],[RK]],TableRBCalcPts[RK],0)),"")</f>
        <v/>
      </c>
      <c r="L147" s="248" t="str">
        <f>IFERROR(INDEX(TableRBCalcPts[Custom],MATCH(TableRBVORP[[#This Row],[RK]],TableRBCalcPts[RK],0)),"")</f>
        <v/>
      </c>
      <c r="M147" s="249" t="str">
        <f>IFERROR((TableRBVORP[[#This Row],[FPS]]-INDEX(TableRBVORP[FPS],MATCH(RBVORPCalc,TableRBVORP[RK],0)))/INDEX(TableRBVORP[FPS],MATCH(RBVORPCalc,TableRBVORP[RK],0)),"")</f>
        <v/>
      </c>
      <c r="N147" s="246"/>
      <c r="O147" s="246">
        <v>146</v>
      </c>
      <c r="P147" s="247" t="str">
        <f>IFERROR(INDEX(TableWRCalcPts[PLAYER],MATCH(TableWRVORP[[#This Row],[RK]],TableWRCalcPts[RK],0)),"")</f>
        <v>Deonte Harty</v>
      </c>
      <c r="Q147" s="247" t="str">
        <f>IFERROR(INDEX(TableWRCalcPts[TM],MATCH(TableWRVORP[[#This Row],[RK]],TableWRCalcPts[RK],0)),"")</f>
        <v>NO</v>
      </c>
      <c r="R147" s="247">
        <f>IFERROR(INDEX(TableWRCalcPts[BYE],MATCH(TableWRVORP[[#This Row],[RK]],TableWRCalcPts[RK],0)),"")</f>
        <v>14</v>
      </c>
      <c r="S147" s="248">
        <f>IFERROR(INDEX(TableWRCalcPts[Custom],MATCH(TableWRVORP[[#This Row],[RK]],TableWRCalcPts[RK],0)),"")</f>
        <v>16.077201517724664</v>
      </c>
      <c r="T147" s="249">
        <f>IFERROR((TableWRVORP[[#This Row],[FPS]]-INDEX(TableWRVORP[FPS],MATCH(WRVORPCalc,TableWRVORP[RK],0)))/INDEX(TableWRVORP[FPS],MATCH(WRVORPCalc,TableWRVORP[RK],0)),"")</f>
        <v>-0.85246550652476372</v>
      </c>
      <c r="U147" s="246"/>
      <c r="V147" s="246"/>
      <c r="AB147" s="246"/>
      <c r="AC147" s="250"/>
      <c r="AD147" s="250"/>
      <c r="AE147" s="250"/>
      <c r="AF147" s="250" t="s">
        <v>358</v>
      </c>
      <c r="AG147" s="250">
        <v>6</v>
      </c>
      <c r="AH147" s="251">
        <f>RANK(TableOverallMaster[[#This Row],[VORP]],TableOverallMaster[VORP])+COUNTIF($AM$2:AM147,AM147)-1</f>
        <v>29</v>
      </c>
      <c r="AI147" s="252" t="str">
        <f>IFERROR(INDEX(TableWRVORP[WIDE RECEIVER],MATCH(TableOverallMaster[[#This Row],[RK]],TableWRVORP[RK],0)),"")</f>
        <v>Davante Adams</v>
      </c>
      <c r="AJ147" s="252" t="str">
        <f t="shared" si="2"/>
        <v>WR6</v>
      </c>
      <c r="AK147" s="252">
        <f>IFERROR(INDEX(TableWRVORP[BYE],MATCH(TableOverallMaster[[#This Row],[RK]],TableWRVORP[RK],0)),"")</f>
        <v>6</v>
      </c>
      <c r="AL147" s="253">
        <f>IFERROR(INDEX(TableWRVORP[FPS],MATCH(TableOverallMaster[[#This Row],[RK]],TableWRVORP[RK],0)),"")</f>
        <v>186.68481728142513</v>
      </c>
      <c r="AM147" s="254">
        <f>IFERROR(INDEX(TableWRVORP[VORP],MATCH(TableOverallMaster[[#This Row],[RK]],TableWRVORP[RK],0)),"")</f>
        <v>0.71313707343702348</v>
      </c>
      <c r="AN147" s="250"/>
      <c r="AO147" s="250">
        <v>146</v>
      </c>
      <c r="AP147" s="255" t="str">
        <f>IFERROR(INDEX(TableOverallMaster[OVERALL PLAYER],MATCH(TableOverallRank[[#This Row],[RK]],TableOverallMaster[OVR RK],0)),"")</f>
        <v>Tyler Allgeier</v>
      </c>
      <c r="AQ147" s="256" t="str">
        <f>IFERROR(INDEX(TableOverallMaster[POS RK],MATCH(TableOverallRank[[#This Row],[OVERALL PLAYER]],TableOverallMaster[OVERALL PLAYER],0)),"")</f>
        <v>RB49</v>
      </c>
      <c r="AR147" s="257">
        <f>IFERROR(INDEX(TableOverallMaster[BYE],MATCH(TableOverallRank[[#This Row],[OVERALL PLAYER]],TableOverallMaster[OVERALL PLAYER],0)),"")</f>
        <v>14</v>
      </c>
      <c r="AS147" s="258">
        <f>IFERROR(INDEX(TableOverallMaster[Custom],MATCH(TableOverallRank[[#This Row],[OVERALL PLAYER]],TableOverallMaster[OVERALL PLAYER],0)),"")</f>
        <v>93.945519105220711</v>
      </c>
      <c r="AT147" s="259">
        <f>IFERROR(INDEX(TableOverallMaster[VORP],MATCH(TableOverallRank[[#This Row],[OVERALL PLAYER]],TableOverallMaster[OVERALL PLAYER],0)),"")</f>
        <v>-7.2776465321617592E-2</v>
      </c>
      <c r="AU147" s="250"/>
      <c r="AV147" s="246">
        <v>146</v>
      </c>
      <c r="AW147" s="260" t="str">
        <f>IFERROR(INDEX(TableWRTECalcPts[PLAYER],MATCH(TableWRTERank[[#This Row],[RK]],TableWRTECalcPts[RK],0)),"")</f>
        <v>Marquez Callaway</v>
      </c>
      <c r="AX147" s="260" t="str">
        <f>IFERROR(INDEX(TableWRTECalcPts[POS RK],MATCH(TableWRTERank[[#This Row],[WR and TE COMBINED]],TableWRTECalcPts[PLAYER],0)),"")</f>
        <v>WR109</v>
      </c>
      <c r="AY147" s="260">
        <f>IFERROR(INDEX(TableWRTECalcPts[BYE],MATCH(TableWRTERank[[#This Row],[RK]],TableWRTECalcPts[RK],0)),"")</f>
        <v>14</v>
      </c>
      <c r="AZ147" s="261">
        <f>IFERROR(INDEX(TableWRTECalcPts[Custom],MATCH(TableWRTERank[[#This Row],[RK]],TableWRTECalcPts[RK],0)),"")</f>
        <v>35.071330105964549</v>
      </c>
      <c r="BA147" s="249">
        <f>IFERROR((TableWRTERank[[#This Row],[FPS]]-INDEX(TableWRTERank[FPS],MATCH(WRTEVORPCalc,TableWRTERank[RK],0)))/INDEX(TableWRTERank[FPS],MATCH(WRTEVORPCalc,TableWRTERank[RK],0)),"")</f>
        <v>-0.70466287179368792</v>
      </c>
      <c r="BC147" s="124" t="s">
        <v>358</v>
      </c>
      <c r="BD147" s="124">
        <v>146</v>
      </c>
      <c r="BE147" s="262">
        <f>RANK(TableWRTEMaster[[#This Row],[VORP]],TableWRTEMaster[VORP])+COUNTIF($BJ$2:BJ147,BJ147)-1</f>
        <v>207</v>
      </c>
      <c r="BF147" s="263" t="str">
        <f>IFERROR(INDEX(TableWRVORP[WIDE RECEIVER],MATCH(TableWRTEMaster[[#This Row],[RK]],TableWRVORP[RK],0)),"")</f>
        <v>Deonte Harty</v>
      </c>
      <c r="BG147" s="263" t="str">
        <f>_xlfn.CONCAT(TableWRTEMaster[[#This Row],[POS]],TableWRTEMaster[[#This Row],[RK]])</f>
        <v>WR146</v>
      </c>
      <c r="BH147" s="263">
        <f>IFERROR(INDEX(TableWRVORP[BYE],MATCH(TableWRTEMaster[[#This Row],[RK]],TableWRVORP[RK],0)),"")</f>
        <v>14</v>
      </c>
      <c r="BI147" s="264">
        <f>IFERROR(INDEX(TableWRVORP[FPS],MATCH(TableWRTEMaster[[#This Row],[RK]],TableWRVORP[RK],0)),"")</f>
        <v>16.077201517724664</v>
      </c>
      <c r="BJ147" s="254">
        <f>IFERROR(INDEX(TableWRVORP[VORP],MATCH(TableWRTEMaster[[#This Row],[RK]],TableWRVORP[RK],0)),"")</f>
        <v>-0.85246550652476372</v>
      </c>
    </row>
    <row r="148" spans="7:62" x14ac:dyDescent="0.3">
      <c r="G148" s="246"/>
      <c r="H148" s="246">
        <v>147</v>
      </c>
      <c r="I148" s="247" t="str">
        <f>IFERROR(INDEX(TableRBCalcPts[PLAYER],MATCH(TableRBVORP[[#This Row],[RK]],TableRBCalcPts[RK],0)),"")</f>
        <v/>
      </c>
      <c r="J148" s="247" t="str">
        <f>IFERROR(INDEX(TableRBCalcPts[TM],MATCH(TableRBVORP[[#This Row],[RK]],TableRBCalcPts[RK],0)),"")</f>
        <v/>
      </c>
      <c r="K148" s="247" t="str">
        <f>IFERROR(INDEX(TableRBCalcPts[BYE],MATCH(TableRBVORP[[#This Row],[RK]],TableRBCalcPts[RK],0)),"")</f>
        <v/>
      </c>
      <c r="L148" s="248" t="str">
        <f>IFERROR(INDEX(TableRBCalcPts[Custom],MATCH(TableRBVORP[[#This Row],[RK]],TableRBCalcPts[RK],0)),"")</f>
        <v/>
      </c>
      <c r="M148" s="249" t="str">
        <f>IFERROR((TableRBVORP[[#This Row],[FPS]]-INDEX(TableRBVORP[FPS],MATCH(RBVORPCalc,TableRBVORP[RK],0)))/INDEX(TableRBVORP[FPS],MATCH(RBVORPCalc,TableRBVORP[RK],0)),"")</f>
        <v/>
      </c>
      <c r="N148" s="246"/>
      <c r="O148" s="246">
        <v>147</v>
      </c>
      <c r="P148" s="247" t="str">
        <f>IFERROR(INDEX(TableWRCalcPts[PLAYER],MATCH(TableWRVORP[[#This Row],[RK]],TableWRCalcPts[RK],0)),"")</f>
        <v>Ty Montgomery</v>
      </c>
      <c r="Q148" s="247" t="str">
        <f>IFERROR(INDEX(TableWRCalcPts[TM],MATCH(TableWRVORP[[#This Row],[RK]],TableWRCalcPts[RK],0)),"")</f>
        <v>NE</v>
      </c>
      <c r="R148" s="247">
        <f>IFERROR(INDEX(TableWRCalcPts[BYE],MATCH(TableWRVORP[[#This Row],[RK]],TableWRCalcPts[RK],0)),"")</f>
        <v>10</v>
      </c>
      <c r="S148" s="248">
        <f>IFERROR(INDEX(TableWRCalcPts[Custom],MATCH(TableWRVORP[[#This Row],[RK]],TableWRCalcPts[RK],0)),"")</f>
        <v>14.628730848439291</v>
      </c>
      <c r="T148" s="249">
        <f>IFERROR((TableWRVORP[[#This Row],[FPS]]-INDEX(TableWRVORP[FPS],MATCH(WRVORPCalc,TableWRVORP[RK],0)))/INDEX(TableWRVORP[FPS],MATCH(WRVORPCalc,TableWRVORP[RK],0)),"")</f>
        <v>-0.86575758265325886</v>
      </c>
      <c r="U148" s="246"/>
      <c r="V148" s="246"/>
      <c r="AB148" s="246"/>
      <c r="AC148" s="250"/>
      <c r="AD148" s="250"/>
      <c r="AE148" s="250"/>
      <c r="AF148" s="250" t="s">
        <v>358</v>
      </c>
      <c r="AG148" s="250">
        <v>7</v>
      </c>
      <c r="AH148" s="251">
        <f>RANK(TableOverallMaster[[#This Row],[VORP]],TableOverallMaster[VORP])+COUNTIF($AM$2:AM148,AM148)-1</f>
        <v>31</v>
      </c>
      <c r="AI148" s="252" t="str">
        <f>IFERROR(INDEX(TableWRVORP[WIDE RECEIVER],MATCH(TableOverallMaster[[#This Row],[RK]],TableWRVORP[RK],0)),"")</f>
        <v>CeeDee Lamb</v>
      </c>
      <c r="AJ148" s="252" t="str">
        <f t="shared" si="2"/>
        <v>WR7</v>
      </c>
      <c r="AK148" s="252">
        <f>IFERROR(INDEX(TableWRVORP[BYE],MATCH(TableOverallMaster[[#This Row],[RK]],TableWRVORP[RK],0)),"")</f>
        <v>9</v>
      </c>
      <c r="AL148" s="253">
        <f>IFERROR(INDEX(TableWRVORP[FPS],MATCH(TableOverallMaster[[#This Row],[RK]],TableWRVORP[RK],0)),"")</f>
        <v>183.36829122663792</v>
      </c>
      <c r="AM148" s="254">
        <f>IFERROR(INDEX(TableWRVORP[VORP],MATCH(TableOverallMaster[[#This Row],[RK]],TableWRVORP[RK],0)),"")</f>
        <v>0.68270254843271772</v>
      </c>
      <c r="AN148" s="250"/>
      <c r="AO148" s="250">
        <v>147</v>
      </c>
      <c r="AP148" s="255" t="str">
        <f>IFERROR(INDEX(TableOverallMaster[OVERALL PLAYER],MATCH(TableOverallRank[[#This Row],[RK]],TableOverallMaster[OVR RK],0)),"")</f>
        <v>Jarvis Landry</v>
      </c>
      <c r="AQ148" s="256" t="str">
        <f>IFERROR(INDEX(TableOverallMaster[POS RK],MATCH(TableOverallRank[[#This Row],[OVERALL PLAYER]],TableOverallMaster[OVERALL PLAYER],0)),"")</f>
        <v>WR58</v>
      </c>
      <c r="AR148" s="257">
        <f>IFERROR(INDEX(TableOverallMaster[BYE],MATCH(TableOverallRank[[#This Row],[OVERALL PLAYER]],TableOverallMaster[OVERALL PLAYER],0)),"")</f>
        <v>14</v>
      </c>
      <c r="AS148" s="258">
        <f>IFERROR(INDEX(TableOverallMaster[Custom],MATCH(TableOverallRank[[#This Row],[OVERALL PLAYER]],TableOverallMaster[OVERALL PLAYER],0)),"")</f>
        <v>100.36232784392826</v>
      </c>
      <c r="AT148" s="259">
        <f>IFERROR(INDEX(TableOverallMaster[VORP],MATCH(TableOverallRank[[#This Row],[OVERALL PLAYER]],TableOverallMaster[OVERALL PLAYER],0)),"")</f>
        <v>-7.9012277968565275E-2</v>
      </c>
      <c r="AU148" s="250"/>
      <c r="AV148" s="246">
        <v>147</v>
      </c>
      <c r="AW148" s="260" t="str">
        <f>IFERROR(INDEX(TableWRTECalcPts[PLAYER],MATCH(TableWRTERank[[#This Row],[RK]],TableWRTECalcPts[RK],0)),"")</f>
        <v>O.J. Howard</v>
      </c>
      <c r="AX148" s="260" t="str">
        <f>IFERROR(INDEX(TableWRTECalcPts[POS RK],MATCH(TableWRTERank[[#This Row],[WR and TE COMBINED]],TableWRTECalcPts[PLAYER],0)),"")</f>
        <v>TE38</v>
      </c>
      <c r="AY148" s="260">
        <f>IFERROR(INDEX(TableWRTECalcPts[BYE],MATCH(TableWRTERank[[#This Row],[RK]],TableWRTECalcPts[RK],0)),"")</f>
        <v>7</v>
      </c>
      <c r="AZ148" s="261">
        <f>IFERROR(INDEX(TableWRTECalcPts[Custom],MATCH(TableWRTERank[[#This Row],[RK]],TableWRTECalcPts[RK],0)),"")</f>
        <v>35.057279579450409</v>
      </c>
      <c r="BA148" s="249">
        <f>IFERROR((TableWRTERank[[#This Row],[FPS]]-INDEX(TableWRTERank[FPS],MATCH(WRTEVORPCalc,TableWRTERank[RK],0)))/INDEX(TableWRTERank[FPS],MATCH(WRTEVORPCalc,TableWRTERank[RK],0)),"")</f>
        <v>-0.70478119186133115</v>
      </c>
      <c r="BC148" s="124" t="s">
        <v>358</v>
      </c>
      <c r="BD148" s="124">
        <v>147</v>
      </c>
      <c r="BE148" s="262">
        <f>RANK(TableWRTEMaster[[#This Row],[VORP]],TableWRTEMaster[VORP])+COUNTIF($BJ$2:BJ148,BJ148)-1</f>
        <v>212</v>
      </c>
      <c r="BF148" s="263" t="str">
        <f>IFERROR(INDEX(TableWRVORP[WIDE RECEIVER],MATCH(TableWRTEMaster[[#This Row],[RK]],TableWRVORP[RK],0)),"")</f>
        <v>Ty Montgomery</v>
      </c>
      <c r="BG148" s="263" t="str">
        <f>_xlfn.CONCAT(TableWRTEMaster[[#This Row],[POS]],TableWRTEMaster[[#This Row],[RK]])</f>
        <v>WR147</v>
      </c>
      <c r="BH148" s="263">
        <f>IFERROR(INDEX(TableWRVORP[BYE],MATCH(TableWRTEMaster[[#This Row],[RK]],TableWRVORP[RK],0)),"")</f>
        <v>10</v>
      </c>
      <c r="BI148" s="264">
        <f>IFERROR(INDEX(TableWRVORP[FPS],MATCH(TableWRTEMaster[[#This Row],[RK]],TableWRVORP[RK],0)),"")</f>
        <v>14.628730848439291</v>
      </c>
      <c r="BJ148" s="254">
        <f>IFERROR(INDEX(TableWRVORP[VORP],MATCH(TableWRTEMaster[[#This Row],[RK]],TableWRVORP[RK],0)),"")</f>
        <v>-0.86575758265325886</v>
      </c>
    </row>
    <row r="149" spans="7:62" x14ac:dyDescent="0.3">
      <c r="G149" s="246"/>
      <c r="H149" s="246">
        <v>148</v>
      </c>
      <c r="I149" s="247" t="str">
        <f>IFERROR(INDEX(TableRBCalcPts[PLAYER],MATCH(TableRBVORP[[#This Row],[RK]],TableRBCalcPts[RK],0)),"")</f>
        <v/>
      </c>
      <c r="J149" s="247" t="str">
        <f>IFERROR(INDEX(TableRBCalcPts[TM],MATCH(TableRBVORP[[#This Row],[RK]],TableRBCalcPts[RK],0)),"")</f>
        <v/>
      </c>
      <c r="K149" s="247" t="str">
        <f>IFERROR(INDEX(TableRBCalcPts[BYE],MATCH(TableRBVORP[[#This Row],[RK]],TableRBCalcPts[RK],0)),"")</f>
        <v/>
      </c>
      <c r="L149" s="248" t="str">
        <f>IFERROR(INDEX(TableRBCalcPts[Custom],MATCH(TableRBVORP[[#This Row],[RK]],TableRBCalcPts[RK],0)),"")</f>
        <v/>
      </c>
      <c r="M149" s="249" t="str">
        <f>IFERROR((TableRBVORP[[#This Row],[FPS]]-INDEX(TableRBVORP[FPS],MATCH(RBVORPCalc,TableRBVORP[RK],0)))/INDEX(TableRBVORP[FPS],MATCH(RBVORPCalc,TableRBVORP[RK],0)),"")</f>
        <v/>
      </c>
      <c r="N149" s="246"/>
      <c r="O149" s="246">
        <v>148</v>
      </c>
      <c r="P149" s="247" t="str">
        <f>IFERROR(INDEX(TableWRCalcPts[PLAYER],MATCH(TableWRVORP[[#This Row],[RK]],TableWRCalcPts[RK],0)),"")</f>
        <v>Kyle Philips</v>
      </c>
      <c r="Q149" s="247" t="str">
        <f>IFERROR(INDEX(TableWRCalcPts[TM],MATCH(TableWRVORP[[#This Row],[RK]],TableWRCalcPts[RK],0)),"")</f>
        <v>TEN</v>
      </c>
      <c r="R149" s="247">
        <f>IFERROR(INDEX(TableWRCalcPts[BYE],MATCH(TableWRVORP[[#This Row],[RK]],TableWRCalcPts[RK],0)),"")</f>
        <v>6</v>
      </c>
      <c r="S149" s="248">
        <f>IFERROR(INDEX(TableWRCalcPts[Custom],MATCH(TableWRVORP[[#This Row],[RK]],TableWRCalcPts[RK],0)),"")</f>
        <v>14.615915494250935</v>
      </c>
      <c r="T149" s="249">
        <f>IFERROR((TableWRVORP[[#This Row],[FPS]]-INDEX(TableWRVORP[FPS],MATCH(WRVORPCalc,TableWRVORP[RK],0)))/INDEX(TableWRVORP[FPS],MATCH(WRVORPCalc,TableWRVORP[RK],0)),"")</f>
        <v>-0.86587518438803834</v>
      </c>
      <c r="U149" s="246"/>
      <c r="V149" s="246"/>
      <c r="AB149" s="246"/>
      <c r="AC149" s="250"/>
      <c r="AD149" s="250"/>
      <c r="AE149" s="250"/>
      <c r="AF149" s="250" t="s">
        <v>358</v>
      </c>
      <c r="AG149" s="250">
        <v>8</v>
      </c>
      <c r="AH149" s="251">
        <f>RANK(TableOverallMaster[[#This Row],[VORP]],TableOverallMaster[VORP])+COUNTIF($AM$2:AM149,AM149)-1</f>
        <v>32</v>
      </c>
      <c r="AI149" s="252" t="str">
        <f>IFERROR(INDEX(TableWRVORP[WIDE RECEIVER],MATCH(TableOverallMaster[[#This Row],[RK]],TableWRVORP[RK],0)),"")</f>
        <v>Mike Evans</v>
      </c>
      <c r="AJ149" s="252" t="str">
        <f t="shared" si="2"/>
        <v>WR8</v>
      </c>
      <c r="AK149" s="252">
        <f>IFERROR(INDEX(TableWRVORP[BYE],MATCH(TableOverallMaster[[#This Row],[RK]],TableWRVORP[RK],0)),"")</f>
        <v>11</v>
      </c>
      <c r="AL149" s="253">
        <f>IFERROR(INDEX(TableWRVORP[FPS],MATCH(TableOverallMaster[[#This Row],[RK]],TableWRVORP[RK],0)),"")</f>
        <v>179.06376440282733</v>
      </c>
      <c r="AM149" s="254">
        <f>IFERROR(INDEX(TableWRVORP[VORP],MATCH(TableOverallMaster[[#This Row],[RK]],TableWRVORP[RK],0)),"")</f>
        <v>0.64320150816141675</v>
      </c>
      <c r="AN149" s="250"/>
      <c r="AO149" s="250">
        <v>148</v>
      </c>
      <c r="AP149" s="255" t="str">
        <f>IFERROR(INDEX(TableOverallMaster[OVERALL PLAYER],MATCH(TableOverallRank[[#This Row],[RK]],TableOverallMaster[OVR RK],0)),"")</f>
        <v>Marlon Mack</v>
      </c>
      <c r="AQ149" s="256" t="str">
        <f>IFERROR(INDEX(TableOverallMaster[POS RK],MATCH(TableOverallRank[[#This Row],[OVERALL PLAYER]],TableOverallMaster[OVERALL PLAYER],0)),"")</f>
        <v>RB50</v>
      </c>
      <c r="AR149" s="257">
        <f>IFERROR(INDEX(TableOverallMaster[BYE],MATCH(TableOverallRank[[#This Row],[OVERALL PLAYER]],TableOverallMaster[OVERALL PLAYER],0)),"")</f>
        <v>6</v>
      </c>
      <c r="AS149" s="258">
        <f>IFERROR(INDEX(TableOverallMaster[Custom],MATCH(TableOverallRank[[#This Row],[OVERALL PLAYER]],TableOverallMaster[OVERALL PLAYER],0)),"")</f>
        <v>93.003437023698993</v>
      </c>
      <c r="AT149" s="259">
        <f>IFERROR(INDEX(TableOverallMaster[VORP],MATCH(TableOverallRank[[#This Row],[OVERALL PLAYER]],TableOverallMaster[OVERALL PLAYER],0)),"")</f>
        <v>-8.2074627553361465E-2</v>
      </c>
      <c r="AU149" s="250"/>
      <c r="AV149" s="246">
        <v>148</v>
      </c>
      <c r="AW149" s="260" t="str">
        <f>IFERROR(INDEX(TableWRTECalcPts[PLAYER],MATCH(TableWRTERank[[#This Row],[RK]],TableWRTECalcPts[RK],0)),"")</f>
        <v>Quez Watkins</v>
      </c>
      <c r="AX149" s="260" t="str">
        <f>IFERROR(INDEX(TableWRTECalcPts[POS RK],MATCH(TableWRTERank[[#This Row],[WR and TE COMBINED]],TableWRTECalcPts[PLAYER],0)),"")</f>
        <v>WR110</v>
      </c>
      <c r="AY149" s="260">
        <f>IFERROR(INDEX(TableWRTECalcPts[BYE],MATCH(TableWRTERank[[#This Row],[RK]],TableWRTECalcPts[RK],0)),"")</f>
        <v>7</v>
      </c>
      <c r="AZ149" s="261">
        <f>IFERROR(INDEX(TableWRTECalcPts[Custom],MATCH(TableWRTERank[[#This Row],[RK]],TableWRTECalcPts[RK],0)),"")</f>
        <v>34.037529360914419</v>
      </c>
      <c r="BA149" s="249">
        <f>IFERROR((TableWRTERank[[#This Row],[FPS]]-INDEX(TableWRTERank[FPS],MATCH(WRTEVORPCalc,TableWRTERank[RK],0)))/INDEX(TableWRTERank[FPS],MATCH(WRTEVORPCalc,TableWRTERank[RK],0)),"")</f>
        <v>-0.71336855082719364</v>
      </c>
      <c r="BC149" s="124" t="s">
        <v>358</v>
      </c>
      <c r="BD149" s="124">
        <v>148</v>
      </c>
      <c r="BE149" s="262">
        <f>RANK(TableWRTEMaster[[#This Row],[VORP]],TableWRTEMaster[VORP])+COUNTIF($BJ$2:BJ149,BJ149)-1</f>
        <v>213</v>
      </c>
      <c r="BF149" s="263" t="str">
        <f>IFERROR(INDEX(TableWRVORP[WIDE RECEIVER],MATCH(TableWRTEMaster[[#This Row],[RK]],TableWRVORP[RK],0)),"")</f>
        <v>Kyle Philips</v>
      </c>
      <c r="BG149" s="263" t="str">
        <f>_xlfn.CONCAT(TableWRTEMaster[[#This Row],[POS]],TableWRTEMaster[[#This Row],[RK]])</f>
        <v>WR148</v>
      </c>
      <c r="BH149" s="263">
        <f>IFERROR(INDEX(TableWRVORP[BYE],MATCH(TableWRTEMaster[[#This Row],[RK]],TableWRVORP[RK],0)),"")</f>
        <v>6</v>
      </c>
      <c r="BI149" s="264">
        <f>IFERROR(INDEX(TableWRVORP[FPS],MATCH(TableWRTEMaster[[#This Row],[RK]],TableWRVORP[RK],0)),"")</f>
        <v>14.615915494250935</v>
      </c>
      <c r="BJ149" s="254">
        <f>IFERROR(INDEX(TableWRVORP[VORP],MATCH(TableWRTEMaster[[#This Row],[RK]],TableWRVORP[RK],0)),"")</f>
        <v>-0.86587518438803834</v>
      </c>
    </row>
    <row r="150" spans="7:62" x14ac:dyDescent="0.3">
      <c r="G150" s="246"/>
      <c r="H150" s="246">
        <v>149</v>
      </c>
      <c r="I150" s="247" t="str">
        <f>IFERROR(INDEX(TableRBCalcPts[PLAYER],MATCH(TableRBVORP[[#This Row],[RK]],TableRBCalcPts[RK],0)),"")</f>
        <v/>
      </c>
      <c r="J150" s="247" t="str">
        <f>IFERROR(INDEX(TableRBCalcPts[TM],MATCH(TableRBVORP[[#This Row],[RK]],TableRBCalcPts[RK],0)),"")</f>
        <v/>
      </c>
      <c r="K150" s="247" t="str">
        <f>IFERROR(INDEX(TableRBCalcPts[BYE],MATCH(TableRBVORP[[#This Row],[RK]],TableRBCalcPts[RK],0)),"")</f>
        <v/>
      </c>
      <c r="L150" s="248" t="str">
        <f>IFERROR(INDEX(TableRBCalcPts[Custom],MATCH(TableRBVORP[[#This Row],[RK]],TableRBCalcPts[RK],0)),"")</f>
        <v/>
      </c>
      <c r="M150" s="249" t="str">
        <f>IFERROR((TableRBVORP[[#This Row],[FPS]]-INDEX(TableRBVORP[FPS],MATCH(RBVORPCalc,TableRBVORP[RK],0)))/INDEX(TableRBVORP[FPS],MATCH(RBVORPCalc,TableRBVORP[RK],0)),"")</f>
        <v/>
      </c>
      <c r="N150" s="246"/>
      <c r="O150" s="246">
        <v>149</v>
      </c>
      <c r="P150" s="247" t="str">
        <f>IFERROR(INDEX(TableWRCalcPts[PLAYER],MATCH(TableWRVORP[[#This Row],[RK]],TableWRCalcPts[RK],0)),"")</f>
        <v>Andy Isabella</v>
      </c>
      <c r="Q150" s="247" t="str">
        <f>IFERROR(INDEX(TableWRCalcPts[TM],MATCH(TableWRVORP[[#This Row],[RK]],TableWRCalcPts[RK],0)),"")</f>
        <v>ARI</v>
      </c>
      <c r="R150" s="247">
        <f>IFERROR(INDEX(TableWRCalcPts[BYE],MATCH(TableWRVORP[[#This Row],[RK]],TableWRCalcPts[RK],0)),"")</f>
        <v>13</v>
      </c>
      <c r="S150" s="248">
        <f>IFERROR(INDEX(TableWRCalcPts[Custom],MATCH(TableWRVORP[[#This Row],[RK]],TableWRCalcPts[RK],0)),"")</f>
        <v>14.509907838994287</v>
      </c>
      <c r="T150" s="249">
        <f>IFERROR((TableWRVORP[[#This Row],[FPS]]-INDEX(TableWRVORP[FPS],MATCH(WRVORPCalc,TableWRVORP[RK],0)))/INDEX(TableWRVORP[FPS],MATCH(WRVORPCalc,TableWRVORP[RK],0)),"")</f>
        <v>-0.86684797717822304</v>
      </c>
      <c r="U150" s="246"/>
      <c r="V150" s="246"/>
      <c r="AB150" s="246"/>
      <c r="AC150" s="250"/>
      <c r="AD150" s="250"/>
      <c r="AE150" s="250"/>
      <c r="AF150" s="250" t="s">
        <v>358</v>
      </c>
      <c r="AG150" s="250">
        <v>9</v>
      </c>
      <c r="AH150" s="251">
        <f>RANK(TableOverallMaster[[#This Row],[VORP]],TableOverallMaster[VORP])+COUNTIF($AM$2:AM150,AM150)-1</f>
        <v>37</v>
      </c>
      <c r="AI150" s="252" t="str">
        <f>IFERROR(INDEX(TableWRVORP[WIDE RECEIVER],MATCH(TableOverallMaster[[#This Row],[RK]],TableWRVORP[RK],0)),"")</f>
        <v>Tee Higgins</v>
      </c>
      <c r="AJ150" s="252" t="str">
        <f t="shared" si="2"/>
        <v>WR9</v>
      </c>
      <c r="AK150" s="252">
        <f>IFERROR(INDEX(TableWRVORP[BYE],MATCH(TableOverallMaster[[#This Row],[RK]],TableWRVORP[RK],0)),"")</f>
        <v>10</v>
      </c>
      <c r="AL150" s="253">
        <f>IFERROR(INDEX(TableWRVORP[FPS],MATCH(TableOverallMaster[[#This Row],[RK]],TableWRVORP[RK],0)),"")</f>
        <v>173.13026472375194</v>
      </c>
      <c r="AM150" s="254">
        <f>IFERROR(INDEX(TableWRVORP[VORP],MATCH(TableOverallMaster[[#This Row],[RK]],TableWRVORP[RK],0)),"")</f>
        <v>0.5887519903941133</v>
      </c>
      <c r="AN150" s="250"/>
      <c r="AO150" s="250">
        <v>149</v>
      </c>
      <c r="AP150" s="255" t="str">
        <f>IFERROR(INDEX(TableOverallMaster[OVERALL PLAYER],MATCH(TableOverallRank[[#This Row],[RK]],TableOverallMaster[OVR RK],0)),"")</f>
        <v>Raheem Mostert</v>
      </c>
      <c r="AQ150" s="256" t="str">
        <f>IFERROR(INDEX(TableOverallMaster[POS RK],MATCH(TableOverallRank[[#This Row],[OVERALL PLAYER]],TableOverallMaster[OVERALL PLAYER],0)),"")</f>
        <v>RB51</v>
      </c>
      <c r="AR150" s="257">
        <f>IFERROR(INDEX(TableOverallMaster[BYE],MATCH(TableOverallRank[[#This Row],[OVERALL PLAYER]],TableOverallMaster[OVERALL PLAYER],0)),"")</f>
        <v>11</v>
      </c>
      <c r="AS150" s="258">
        <f>IFERROR(INDEX(TableOverallMaster[Custom],MATCH(TableOverallRank[[#This Row],[OVERALL PLAYER]],TableOverallMaster[OVERALL PLAYER],0)),"")</f>
        <v>92.80705914161156</v>
      </c>
      <c r="AT150" s="259">
        <f>IFERROR(INDEX(TableOverallMaster[VORP],MATCH(TableOverallRank[[#This Row],[OVERALL PLAYER]],TableOverallMaster[OVERALL PLAYER],0)),"")</f>
        <v>-8.401283807895156E-2</v>
      </c>
      <c r="AU150" s="250"/>
      <c r="AV150" s="246">
        <v>149</v>
      </c>
      <c r="AW150" s="260" t="str">
        <f>IFERROR(INDEX(TableWRTECalcPts[PLAYER],MATCH(TableWRTERank[[#This Row],[RK]],TableWRTECalcPts[RK],0)),"")</f>
        <v>Donald Parham</v>
      </c>
      <c r="AX150" s="260" t="str">
        <f>IFERROR(INDEX(TableWRTECalcPts[POS RK],MATCH(TableWRTERank[[#This Row],[WR and TE COMBINED]],TableWRTECalcPts[PLAYER],0)),"")</f>
        <v>TE39</v>
      </c>
      <c r="AY150" s="260">
        <f>IFERROR(INDEX(TableWRTECalcPts[BYE],MATCH(TableWRTERank[[#This Row],[RK]],TableWRTECalcPts[RK],0)),"")</f>
        <v>8</v>
      </c>
      <c r="AZ150" s="261">
        <f>IFERROR(INDEX(TableWRTECalcPts[Custom],MATCH(TableWRTERank[[#This Row],[RK]],TableWRTECalcPts[RK],0)),"")</f>
        <v>32.820358387610085</v>
      </c>
      <c r="BA150" s="249">
        <f>IFERROR((TableWRTERank[[#This Row],[FPS]]-INDEX(TableWRTERank[FPS],MATCH(WRTEVORPCalc,TableWRTERank[RK],0)))/INDEX(TableWRTERank[FPS],MATCH(WRTEVORPCalc,TableWRTERank[RK],0)),"")</f>
        <v>-0.72361839817275087</v>
      </c>
      <c r="BC150" s="124" t="s">
        <v>358</v>
      </c>
      <c r="BD150" s="124">
        <v>149</v>
      </c>
      <c r="BE150" s="262">
        <f>RANK(TableWRTEMaster[[#This Row],[VORP]],TableWRTEMaster[VORP])+COUNTIF($BJ$2:BJ150,BJ150)-1</f>
        <v>215</v>
      </c>
      <c r="BF150" s="263" t="str">
        <f>IFERROR(INDEX(TableWRVORP[WIDE RECEIVER],MATCH(TableWRTEMaster[[#This Row],[RK]],TableWRVORP[RK],0)),"")</f>
        <v>Andy Isabella</v>
      </c>
      <c r="BG150" s="263" t="str">
        <f>_xlfn.CONCAT(TableWRTEMaster[[#This Row],[POS]],TableWRTEMaster[[#This Row],[RK]])</f>
        <v>WR149</v>
      </c>
      <c r="BH150" s="263">
        <f>IFERROR(INDEX(TableWRVORP[BYE],MATCH(TableWRTEMaster[[#This Row],[RK]],TableWRVORP[RK],0)),"")</f>
        <v>13</v>
      </c>
      <c r="BI150" s="264">
        <f>IFERROR(INDEX(TableWRVORP[FPS],MATCH(TableWRTEMaster[[#This Row],[RK]],TableWRVORP[RK],0)),"")</f>
        <v>14.509907838994287</v>
      </c>
      <c r="BJ150" s="254">
        <f>IFERROR(INDEX(TableWRVORP[VORP],MATCH(TableWRTEMaster[[#This Row],[RK]],TableWRVORP[RK],0)),"")</f>
        <v>-0.86684797717822304</v>
      </c>
    </row>
    <row r="151" spans="7:62" x14ac:dyDescent="0.3">
      <c r="G151" s="246"/>
      <c r="H151" s="246">
        <v>150</v>
      </c>
      <c r="I151" s="247" t="str">
        <f>IFERROR(INDEX(TableRBCalcPts[PLAYER],MATCH(TableRBVORP[[#This Row],[RK]],TableRBCalcPts[RK],0)),"")</f>
        <v/>
      </c>
      <c r="J151" s="247" t="str">
        <f>IFERROR(INDEX(TableRBCalcPts[TM],MATCH(TableRBVORP[[#This Row],[RK]],TableRBCalcPts[RK],0)),"")</f>
        <v/>
      </c>
      <c r="K151" s="247" t="str">
        <f>IFERROR(INDEX(TableRBCalcPts[BYE],MATCH(TableRBVORP[[#This Row],[RK]],TableRBCalcPts[RK],0)),"")</f>
        <v/>
      </c>
      <c r="L151" s="248" t="str">
        <f>IFERROR(INDEX(TableRBCalcPts[Custom],MATCH(TableRBVORP[[#This Row],[RK]],TableRBCalcPts[RK],0)),"")</f>
        <v/>
      </c>
      <c r="M151" s="249" t="str">
        <f>IFERROR((TableRBVORP[[#This Row],[FPS]]-INDEX(TableRBVORP[FPS],MATCH(RBVORPCalc,TableRBVORP[RK],0)))/INDEX(TableRBVORP[FPS],MATCH(RBVORPCalc,TableRBVORP[RK],0)),"")</f>
        <v/>
      </c>
      <c r="N151" s="246"/>
      <c r="O151" s="246">
        <v>150</v>
      </c>
      <c r="P151" s="247" t="str">
        <f>IFERROR(INDEX(TableWRCalcPts[PLAYER],MATCH(TableWRVORP[[#This Row],[RK]],TableWRCalcPts[RK],0)),"")</f>
        <v>Quintez Cephus</v>
      </c>
      <c r="Q151" s="247" t="str">
        <f>IFERROR(INDEX(TableWRCalcPts[TM],MATCH(TableWRVORP[[#This Row],[RK]],TableWRCalcPts[RK],0)),"")</f>
        <v>DET</v>
      </c>
      <c r="R151" s="247">
        <f>IFERROR(INDEX(TableWRCalcPts[BYE],MATCH(TableWRVORP[[#This Row],[RK]],TableWRCalcPts[RK],0)),"")</f>
        <v>6</v>
      </c>
      <c r="S151" s="248">
        <f>IFERROR(INDEX(TableWRCalcPts[Custom],MATCH(TableWRVORP[[#This Row],[RK]],TableWRCalcPts[RK],0)),"")</f>
        <v>13.980069410941089</v>
      </c>
      <c r="T151" s="249">
        <f>IFERROR((TableWRVORP[[#This Row],[FPS]]-INDEX(TableWRVORP[FPS],MATCH(WRVORPCalc,TableWRVORP[RK],0)))/INDEX(TableWRVORP[FPS],MATCH(WRVORPCalc,TableWRVORP[RK],0)),"")</f>
        <v>-0.87171010719633368</v>
      </c>
      <c r="U151" s="246"/>
      <c r="V151" s="246"/>
      <c r="AB151" s="246"/>
      <c r="AC151" s="250"/>
      <c r="AD151" s="250"/>
      <c r="AE151" s="250"/>
      <c r="AF151" s="250" t="s">
        <v>358</v>
      </c>
      <c r="AG151" s="250">
        <v>10</v>
      </c>
      <c r="AH151" s="251">
        <f>RANK(TableOverallMaster[[#This Row],[VORP]],TableOverallMaster[VORP])+COUNTIF($AM$2:AM151,AM151)-1</f>
        <v>41</v>
      </c>
      <c r="AI151" s="252" t="str">
        <f>IFERROR(INDEX(TableWRVORP[WIDE RECEIVER],MATCH(TableOverallMaster[[#This Row],[RK]],TableWRVORP[RK],0)),"")</f>
        <v>Tyreek Hill</v>
      </c>
      <c r="AJ151" s="252" t="str">
        <f t="shared" si="2"/>
        <v>WR10</v>
      </c>
      <c r="AK151" s="252">
        <f>IFERROR(INDEX(TableWRVORP[BYE],MATCH(TableOverallMaster[[#This Row],[RK]],TableWRVORP[RK],0)),"")</f>
        <v>11</v>
      </c>
      <c r="AL151" s="253">
        <f>IFERROR(INDEX(TableWRVORP[FPS],MATCH(TableOverallMaster[[#This Row],[RK]],TableWRVORP[RK],0)),"")</f>
        <v>170.43250907909703</v>
      </c>
      <c r="AM151" s="254">
        <f>IFERROR(INDEX(TableWRVORP[VORP],MATCH(TableOverallMaster[[#This Row],[RK]],TableWRVORP[RK],0)),"")</f>
        <v>0.56399569110189363</v>
      </c>
      <c r="AN151" s="250"/>
      <c r="AO151" s="250">
        <v>150</v>
      </c>
      <c r="AP151" s="255" t="str">
        <f>IFERROR(INDEX(TableOverallMaster[OVERALL PLAYER],MATCH(TableOverallRank[[#This Row],[RK]],TableOverallMaster[OVR RK],0)),"")</f>
        <v>Dameon Pierce</v>
      </c>
      <c r="AQ151" s="256" t="str">
        <f>IFERROR(INDEX(TableOverallMaster[POS RK],MATCH(TableOverallRank[[#This Row],[OVERALL PLAYER]],TableOverallMaster[OVERALL PLAYER],0)),"")</f>
        <v>RB52</v>
      </c>
      <c r="AR151" s="257">
        <f>IFERROR(INDEX(TableOverallMaster[BYE],MATCH(TableOverallRank[[#This Row],[OVERALL PLAYER]],TableOverallMaster[OVERALL PLAYER],0)),"")</f>
        <v>6</v>
      </c>
      <c r="AS151" s="258">
        <f>IFERROR(INDEX(TableOverallMaster[Custom],MATCH(TableOverallRank[[#This Row],[OVERALL PLAYER]],TableOverallMaster[OVERALL PLAYER],0)),"")</f>
        <v>92.187574817760776</v>
      </c>
      <c r="AT151" s="259">
        <f>IFERROR(INDEX(TableOverallMaster[VORP],MATCH(TableOverallRank[[#This Row],[OVERALL PLAYER]],TableOverallMaster[OVERALL PLAYER],0)),"")</f>
        <v>-9.0127024789607046E-2</v>
      </c>
      <c r="AU151" s="250"/>
      <c r="AV151" s="246">
        <v>150</v>
      </c>
      <c r="AW151" s="260" t="str">
        <f>IFERROR(INDEX(TableWRTECalcPts[PLAYER],MATCH(TableWRTERank[[#This Row],[RK]],TableWRTECalcPts[RK],0)),"")</f>
        <v>Chris Conley</v>
      </c>
      <c r="AX151" s="260" t="str">
        <f>IFERROR(INDEX(TableWRTECalcPts[POS RK],MATCH(TableWRTERank[[#This Row],[WR and TE COMBINED]],TableWRTECalcPts[PLAYER],0)),"")</f>
        <v>WR111</v>
      </c>
      <c r="AY151" s="260">
        <f>IFERROR(INDEX(TableWRTECalcPts[BYE],MATCH(TableWRTERank[[#This Row],[RK]],TableWRTECalcPts[RK],0)),"")</f>
        <v>6</v>
      </c>
      <c r="AZ151" s="261">
        <f>IFERROR(INDEX(TableWRTECalcPts[Custom],MATCH(TableWRTERank[[#This Row],[RK]],TableWRTECalcPts[RK],0)),"")</f>
        <v>32.477047166674978</v>
      </c>
      <c r="BA151" s="249">
        <f>IFERROR((TableWRTERank[[#This Row],[FPS]]-INDEX(TableWRTERank[FPS],MATCH(WRTEVORPCalc,TableWRTERank[RK],0)))/INDEX(TableWRTERank[FPS],MATCH(WRTEVORPCalc,TableWRTERank[RK],0)),"")</f>
        <v>-0.72650943623049291</v>
      </c>
      <c r="BC151" s="124" t="s">
        <v>358</v>
      </c>
      <c r="BD151" s="124">
        <v>150</v>
      </c>
      <c r="BE151" s="262">
        <f>RANK(TableWRTEMaster[[#This Row],[VORP]],TableWRTEMaster[VORP])+COUNTIF($BJ$2:BJ151,BJ151)-1</f>
        <v>216</v>
      </c>
      <c r="BF151" s="263" t="str">
        <f>IFERROR(INDEX(TableWRVORP[WIDE RECEIVER],MATCH(TableWRTEMaster[[#This Row],[RK]],TableWRVORP[RK],0)),"")</f>
        <v>Quintez Cephus</v>
      </c>
      <c r="BG151" s="263" t="str">
        <f>_xlfn.CONCAT(TableWRTEMaster[[#This Row],[POS]],TableWRTEMaster[[#This Row],[RK]])</f>
        <v>WR150</v>
      </c>
      <c r="BH151" s="263">
        <f>IFERROR(INDEX(TableWRVORP[BYE],MATCH(TableWRTEMaster[[#This Row],[RK]],TableWRVORP[RK],0)),"")</f>
        <v>6</v>
      </c>
      <c r="BI151" s="264">
        <f>IFERROR(INDEX(TableWRVORP[FPS],MATCH(TableWRTEMaster[[#This Row],[RK]],TableWRVORP[RK],0)),"")</f>
        <v>13.980069410941089</v>
      </c>
      <c r="BJ151" s="254">
        <f>IFERROR(INDEX(TableWRVORP[VORP],MATCH(TableWRTEMaster[[#This Row],[RK]],TableWRVORP[RK],0)),"")</f>
        <v>-0.87171010719633368</v>
      </c>
    </row>
    <row r="152" spans="7:62" x14ac:dyDescent="0.3">
      <c r="H152" s="246">
        <v>151</v>
      </c>
      <c r="I152" s="247" t="str">
        <f>IFERROR(INDEX(TableRBCalcPts[PLAYER],MATCH(TableRBVORP[[#This Row],[RK]],TableRBCalcPts[RK],0)),"")</f>
        <v/>
      </c>
      <c r="J152" s="247" t="str">
        <f>IFERROR(INDEX(TableRBCalcPts[TM],MATCH(TableRBVORP[[#This Row],[RK]],TableRBCalcPts[RK],0)),"")</f>
        <v/>
      </c>
      <c r="K152" s="247" t="str">
        <f>IFERROR(INDEX(TableRBCalcPts[BYE],MATCH(TableRBVORP[[#This Row],[RK]],TableRBCalcPts[RK],0)),"")</f>
        <v/>
      </c>
      <c r="L152" s="248" t="str">
        <f>IFERROR(INDEX(TableRBCalcPts[Custom],MATCH(TableRBVORP[[#This Row],[RK]],TableRBCalcPts[RK],0)),"")</f>
        <v/>
      </c>
      <c r="M152" s="249" t="str">
        <f>IFERROR((TableRBVORP[[#This Row],[FPS]]-INDEX(TableRBVORP[FPS],MATCH(RBVORPCalc,TableRBVORP[RK],0)))/INDEX(TableRBVORP[FPS],MATCH(RBVORPCalc,TableRBVORP[RK],0)),"")</f>
        <v/>
      </c>
      <c r="N152" s="246"/>
      <c r="O152" s="246">
        <v>151</v>
      </c>
      <c r="P152" s="247" t="str">
        <f>IFERROR(INDEX(TableWRCalcPts[PLAYER],MATCH(TableWRVORP[[#This Row],[RK]],TableWRCalcPts[RK],0)),"")</f>
        <v>Cam Sims</v>
      </c>
      <c r="Q152" s="247" t="str">
        <f>IFERROR(INDEX(TableWRCalcPts[TM],MATCH(TableWRVORP[[#This Row],[RK]],TableWRCalcPts[RK],0)),"")</f>
        <v>WSH</v>
      </c>
      <c r="R152" s="247">
        <f>IFERROR(INDEX(TableWRCalcPts[BYE],MATCH(TableWRVORP[[#This Row],[RK]],TableWRCalcPts[RK],0)),"")</f>
        <v>14</v>
      </c>
      <c r="S152" s="248">
        <f>IFERROR(INDEX(TableWRCalcPts[Custom],MATCH(TableWRVORP[[#This Row],[RK]],TableWRCalcPts[RK],0)),"")</f>
        <v>13.915093875252108</v>
      </c>
      <c r="T152" s="249">
        <f>IFERROR((TableWRVORP[[#This Row],[FPS]]-INDEX(TableWRVORP[FPS],MATCH(WRVORPCalc,TableWRVORP[RK],0)))/INDEX(TableWRVORP[FPS],MATCH(WRVORPCalc,TableWRVORP[RK],0)),"")</f>
        <v>-0.87230636349974489</v>
      </c>
      <c r="U152" s="246"/>
      <c r="V152" s="246"/>
      <c r="AB152" s="246"/>
      <c r="AC152" s="250"/>
      <c r="AD152" s="250"/>
      <c r="AE152" s="250"/>
      <c r="AF152" s="250" t="s">
        <v>358</v>
      </c>
      <c r="AG152" s="250">
        <v>11</v>
      </c>
      <c r="AH152" s="251">
        <f>RANK(TableOverallMaster[[#This Row],[VORP]],TableOverallMaster[VORP])+COUNTIF($AM$2:AM152,AM152)-1</f>
        <v>44</v>
      </c>
      <c r="AI152" s="252" t="str">
        <f>IFERROR(INDEX(TableWRVORP[WIDE RECEIVER],MATCH(TableOverallMaster[[#This Row],[RK]],TableWRVORP[RK],0)),"")</f>
        <v>A.J. Brown</v>
      </c>
      <c r="AJ152" s="252" t="str">
        <f t="shared" si="2"/>
        <v>WR11</v>
      </c>
      <c r="AK152" s="252">
        <f>IFERROR(INDEX(TableWRVORP[BYE],MATCH(TableOverallMaster[[#This Row],[RK]],TableWRVORP[RK],0)),"")</f>
        <v>7</v>
      </c>
      <c r="AL152" s="253">
        <f>IFERROR(INDEX(TableWRVORP[FPS],MATCH(TableOverallMaster[[#This Row],[RK]],TableWRVORP[RK],0)),"")</f>
        <v>169.4104360268131</v>
      </c>
      <c r="AM152" s="254">
        <f>IFERROR(INDEX(TableWRVORP[VORP],MATCH(TableOverallMaster[[#This Row],[RK]],TableWRVORP[RK],0)),"")</f>
        <v>0.55461650717506683</v>
      </c>
      <c r="AN152" s="250"/>
      <c r="AO152" s="250">
        <v>151</v>
      </c>
      <c r="AP152" s="255" t="str">
        <f>IFERROR(INDEX(TableOverallMaster[OVERALL PLAYER],MATCH(TableOverallRank[[#This Row],[RK]],TableOverallMaster[OVR RK],0)),"")</f>
        <v>Robbie Anderson</v>
      </c>
      <c r="AQ152" s="256" t="str">
        <f>IFERROR(INDEX(TableOverallMaster[POS RK],MATCH(TableOverallRank[[#This Row],[OVERALL PLAYER]],TableOverallMaster[OVERALL PLAYER],0)),"")</f>
        <v>WR59</v>
      </c>
      <c r="AR152" s="257">
        <f>IFERROR(INDEX(TableOverallMaster[BYE],MATCH(TableOverallRank[[#This Row],[OVERALL PLAYER]],TableOverallMaster[OVERALL PLAYER],0)),"")</f>
        <v>13</v>
      </c>
      <c r="AS152" s="258">
        <f>IFERROR(INDEX(TableOverallMaster[Custom],MATCH(TableOverallRank[[#This Row],[OVERALL PLAYER]],TableOverallMaster[OVERALL PLAYER],0)),"")</f>
        <v>99.022998253309396</v>
      </c>
      <c r="AT152" s="259">
        <f>IFERROR(INDEX(TableOverallMaster[VORP],MATCH(TableOverallRank[[#This Row],[OVERALL PLAYER]],TableOverallMaster[OVERALL PLAYER],0)),"")</f>
        <v>-9.1302807046682727E-2</v>
      </c>
      <c r="AU152" s="250"/>
      <c r="AV152" s="246">
        <v>151</v>
      </c>
      <c r="AW152" s="260" t="str">
        <f>IFERROR(INDEX(TableWRTECalcPts[PLAYER],MATCH(TableWRTERank[[#This Row],[RK]],TableWRTECalcPts[RK],0)),"")</f>
        <v>Amari Rodgers</v>
      </c>
      <c r="AX152" s="260" t="str">
        <f>IFERROR(INDEX(TableWRTECalcPts[POS RK],MATCH(TableWRTERank[[#This Row],[WR and TE COMBINED]],TableWRTECalcPts[PLAYER],0)),"")</f>
        <v>WR112</v>
      </c>
      <c r="AY152" s="260">
        <f>IFERROR(INDEX(TableWRTECalcPts[BYE],MATCH(TableWRTERank[[#This Row],[RK]],TableWRTECalcPts[RK],0)),"")</f>
        <v>14</v>
      </c>
      <c r="AZ152" s="261">
        <f>IFERROR(INDEX(TableWRTECalcPts[Custom],MATCH(TableWRTERank[[#This Row],[RK]],TableWRTECalcPts[RK],0)),"")</f>
        <v>32.268086751033962</v>
      </c>
      <c r="BA152" s="249">
        <f>IFERROR((TableWRTERank[[#This Row],[FPS]]-INDEX(TableWRTERank[FPS],MATCH(WRTEVORPCalc,TableWRTERank[RK],0)))/INDEX(TableWRTERank[FPS],MATCH(WRTEVORPCalc,TableWRTERank[RK],0)),"")</f>
        <v>-0.72826910057392535</v>
      </c>
      <c r="BC152" s="124" t="s">
        <v>358</v>
      </c>
      <c r="BD152" s="124">
        <v>151</v>
      </c>
      <c r="BE152" s="262">
        <f>RANK(TableWRTEMaster[[#This Row],[VORP]],TableWRTEMaster[VORP])+COUNTIF($BJ$2:BJ152,BJ152)-1</f>
        <v>217</v>
      </c>
      <c r="BF152" s="263" t="str">
        <f>IFERROR(INDEX(TableWRVORP[WIDE RECEIVER],MATCH(TableWRTEMaster[[#This Row],[RK]],TableWRVORP[RK],0)),"")</f>
        <v>Cam Sims</v>
      </c>
      <c r="BG152" s="263" t="str">
        <f>_xlfn.CONCAT(TableWRTEMaster[[#This Row],[POS]],TableWRTEMaster[[#This Row],[RK]])</f>
        <v>WR151</v>
      </c>
      <c r="BH152" s="263">
        <f>IFERROR(INDEX(TableWRVORP[BYE],MATCH(TableWRTEMaster[[#This Row],[RK]],TableWRVORP[RK],0)),"")</f>
        <v>14</v>
      </c>
      <c r="BI152" s="264">
        <f>IFERROR(INDEX(TableWRVORP[FPS],MATCH(TableWRTEMaster[[#This Row],[RK]],TableWRVORP[RK],0)),"")</f>
        <v>13.915093875252108</v>
      </c>
      <c r="BJ152" s="254">
        <f>IFERROR(INDEX(TableWRVORP[VORP],MATCH(TableWRTEMaster[[#This Row],[RK]],TableWRVORP[RK],0)),"")</f>
        <v>-0.87230636349974489</v>
      </c>
    </row>
    <row r="153" spans="7:62" x14ac:dyDescent="0.3">
      <c r="H153" s="246">
        <v>152</v>
      </c>
      <c r="I153" s="247" t="str">
        <f>IFERROR(INDEX(TableRBCalcPts[PLAYER],MATCH(TableRBVORP[[#This Row],[RK]],TableRBCalcPts[RK],0)),"")</f>
        <v/>
      </c>
      <c r="J153" s="247" t="str">
        <f>IFERROR(INDEX(TableRBCalcPts[TM],MATCH(TableRBVORP[[#This Row],[RK]],TableRBCalcPts[RK],0)),"")</f>
        <v/>
      </c>
      <c r="K153" s="247" t="str">
        <f>IFERROR(INDEX(TableRBCalcPts[BYE],MATCH(TableRBVORP[[#This Row],[RK]],TableRBCalcPts[RK],0)),"")</f>
        <v/>
      </c>
      <c r="L153" s="248" t="str">
        <f>IFERROR(INDEX(TableRBCalcPts[Custom],MATCH(TableRBVORP[[#This Row],[RK]],TableRBCalcPts[RK],0)),"")</f>
        <v/>
      </c>
      <c r="M153" s="249" t="str">
        <f>IFERROR((TableRBVORP[[#This Row],[FPS]]-INDEX(TableRBVORP[FPS],MATCH(RBVORPCalc,TableRBVORP[RK],0)))/INDEX(TableRBVORP[FPS],MATCH(RBVORPCalc,TableRBVORP[RK],0)),"")</f>
        <v/>
      </c>
      <c r="N153" s="246"/>
      <c r="O153" s="246">
        <v>152</v>
      </c>
      <c r="P153" s="247" t="str">
        <f>IFERROR(INDEX(TableWRCalcPts[PLAYER],MATCH(TableWRVORP[[#This Row],[RK]],TableWRCalcPts[RK],0)),"")</f>
        <v>Dante Pettis</v>
      </c>
      <c r="Q153" s="247" t="str">
        <f>IFERROR(INDEX(TableWRCalcPts[TM],MATCH(TableWRVORP[[#This Row],[RK]],TableWRCalcPts[RK],0)),"")</f>
        <v>CHI</v>
      </c>
      <c r="R153" s="247">
        <f>IFERROR(INDEX(TableWRCalcPts[BYE],MATCH(TableWRVORP[[#This Row],[RK]],TableWRCalcPts[RK],0)),"")</f>
        <v>14</v>
      </c>
      <c r="S153" s="248">
        <f>IFERROR(INDEX(TableWRCalcPts[Custom],MATCH(TableWRVORP[[#This Row],[RK]],TableWRCalcPts[RK],0)),"")</f>
        <v>13.749726037576302</v>
      </c>
      <c r="T153" s="249">
        <f>IFERROR((TableWRVORP[[#This Row],[FPS]]-INDEX(TableWRVORP[FPS],MATCH(WRVORPCalc,TableWRVORP[RK],0)))/INDEX(TableWRVORP[FPS],MATCH(WRVORPCalc,TableWRVORP[RK],0)),"")</f>
        <v>-0.87382388258673893</v>
      </c>
      <c r="U153" s="246"/>
      <c r="V153" s="246"/>
      <c r="AB153" s="246"/>
      <c r="AC153" s="250"/>
      <c r="AD153" s="250"/>
      <c r="AE153" s="250"/>
      <c r="AF153" s="250" t="s">
        <v>358</v>
      </c>
      <c r="AG153" s="250">
        <v>12</v>
      </c>
      <c r="AH153" s="251">
        <f>RANK(TableOverallMaster[[#This Row],[VORP]],TableOverallMaster[VORP])+COUNTIF($AM$2:AM153,AM153)-1</f>
        <v>47</v>
      </c>
      <c r="AI153" s="252" t="str">
        <f>IFERROR(INDEX(TableWRVORP[WIDE RECEIVER],MATCH(TableOverallMaster[[#This Row],[RK]],TableWRVORP[RK],0)),"")</f>
        <v>Mike Williams</v>
      </c>
      <c r="AJ153" s="252" t="str">
        <f t="shared" si="2"/>
        <v>WR12</v>
      </c>
      <c r="AK153" s="252">
        <f>IFERROR(INDEX(TableWRVORP[BYE],MATCH(TableOverallMaster[[#This Row],[RK]],TableWRVORP[RK],0)),"")</f>
        <v>8</v>
      </c>
      <c r="AL153" s="253">
        <f>IFERROR(INDEX(TableWRVORP[FPS],MATCH(TableOverallMaster[[#This Row],[RK]],TableWRVORP[RK],0)),"")</f>
        <v>161.21370314796229</v>
      </c>
      <c r="AM153" s="254">
        <f>IFERROR(INDEX(TableWRVORP[VORP],MATCH(TableOverallMaster[[#This Row],[RK]],TableWRVORP[RK],0)),"")</f>
        <v>0.47939814083812382</v>
      </c>
      <c r="AN153" s="250"/>
      <c r="AO153" s="250">
        <v>152</v>
      </c>
      <c r="AP153" s="255" t="str">
        <f>IFERROR(INDEX(TableOverallMaster[OVERALL PLAYER],MATCH(TableOverallRank[[#This Row],[RK]],TableOverallMaster[OVR RK],0)),"")</f>
        <v>Cole Kmet</v>
      </c>
      <c r="AQ153" s="256" t="str">
        <f>IFERROR(INDEX(TableOverallMaster[POS RK],MATCH(TableOverallRank[[#This Row],[OVERALL PLAYER]],TableOverallMaster[OVERALL PLAYER],0)),"")</f>
        <v>TE16</v>
      </c>
      <c r="AR153" s="257">
        <f>IFERROR(INDEX(TableOverallMaster[BYE],MATCH(TableOverallRank[[#This Row],[OVERALL PLAYER]],TableOverallMaster[OVERALL PLAYER],0)),"")</f>
        <v>14</v>
      </c>
      <c r="AS153" s="258">
        <f>IFERROR(INDEX(TableOverallMaster[Custom],MATCH(TableOverallRank[[#This Row],[OVERALL PLAYER]],TableOverallMaster[OVERALL PLAYER],0)),"")</f>
        <v>92.695204078308137</v>
      </c>
      <c r="AT153" s="259">
        <f>IFERROR(INDEX(TableOverallMaster[VORP],MATCH(TableOverallRank[[#This Row],[OVERALL PLAYER]],TableOverallMaster[OVERALL PLAYER],0)),"")</f>
        <v>-9.5236321234259944E-2</v>
      </c>
      <c r="AU153" s="250"/>
      <c r="AV153" s="246">
        <v>152</v>
      </c>
      <c r="AW153" s="260" t="str">
        <f>IFERROR(INDEX(TableWRTECalcPts[PLAYER],MATCH(TableWRTERank[[#This Row],[RK]],TableWRTECalcPts[RK],0)),"")</f>
        <v>Jordan Akins</v>
      </c>
      <c r="AX153" s="260" t="str">
        <f>IFERROR(INDEX(TableWRTECalcPts[POS RK],MATCH(TableWRTERank[[#This Row],[WR and TE COMBINED]],TableWRTECalcPts[PLAYER],0)),"")</f>
        <v>TE40</v>
      </c>
      <c r="AY153" s="260">
        <f>IFERROR(INDEX(TableWRTECalcPts[BYE],MATCH(TableWRTERank[[#This Row],[RK]],TableWRTECalcPts[RK],0)),"")</f>
        <v>9</v>
      </c>
      <c r="AZ153" s="261">
        <f>IFERROR(INDEX(TableWRTECalcPts[Custom],MATCH(TableWRTERank[[#This Row],[RK]],TableWRTECalcPts[RK],0)),"")</f>
        <v>31.016681903522954</v>
      </c>
      <c r="BA153" s="249">
        <f>IFERROR((TableWRTERank[[#This Row],[FPS]]-INDEX(TableWRTERank[FPS],MATCH(WRTEVORPCalc,TableWRTERank[RK],0)))/INDEX(TableWRTERank[FPS],MATCH(WRTEVORPCalc,TableWRTERank[RK],0)),"")</f>
        <v>-0.73880723279676075</v>
      </c>
      <c r="BC153" s="124" t="s">
        <v>358</v>
      </c>
      <c r="BD153" s="124">
        <v>152</v>
      </c>
      <c r="BE153" s="262">
        <f>RANK(TableWRTEMaster[[#This Row],[VORP]],TableWRTEMaster[VORP])+COUNTIF($BJ$2:BJ153,BJ153)-1</f>
        <v>218</v>
      </c>
      <c r="BF153" s="263" t="str">
        <f>IFERROR(INDEX(TableWRVORP[WIDE RECEIVER],MATCH(TableWRTEMaster[[#This Row],[RK]],TableWRVORP[RK],0)),"")</f>
        <v>Dante Pettis</v>
      </c>
      <c r="BG153" s="263" t="str">
        <f>_xlfn.CONCAT(TableWRTEMaster[[#This Row],[POS]],TableWRTEMaster[[#This Row],[RK]])</f>
        <v>WR152</v>
      </c>
      <c r="BH153" s="263">
        <f>IFERROR(INDEX(TableWRVORP[BYE],MATCH(TableWRTEMaster[[#This Row],[RK]],TableWRVORP[RK],0)),"")</f>
        <v>14</v>
      </c>
      <c r="BI153" s="264">
        <f>IFERROR(INDEX(TableWRVORP[FPS],MATCH(TableWRTEMaster[[#This Row],[RK]],TableWRVORP[RK],0)),"")</f>
        <v>13.749726037576302</v>
      </c>
      <c r="BJ153" s="254">
        <f>IFERROR(INDEX(TableWRVORP[VORP],MATCH(TableWRTEMaster[[#This Row],[RK]],TableWRVORP[RK],0)),"")</f>
        <v>-0.87382388258673893</v>
      </c>
    </row>
    <row r="154" spans="7:62" x14ac:dyDescent="0.3">
      <c r="H154" s="246">
        <v>153</v>
      </c>
      <c r="I154" s="247" t="str">
        <f>IFERROR(INDEX(TableRBCalcPts[PLAYER],MATCH(TableRBVORP[[#This Row],[RK]],TableRBCalcPts[RK],0)),"")</f>
        <v/>
      </c>
      <c r="J154" s="247" t="str">
        <f>IFERROR(INDEX(TableRBCalcPts[TM],MATCH(TableRBVORP[[#This Row],[RK]],TableRBCalcPts[RK],0)),"")</f>
        <v/>
      </c>
      <c r="K154" s="247" t="str">
        <f>IFERROR(INDEX(TableRBCalcPts[BYE],MATCH(TableRBVORP[[#This Row],[RK]],TableRBCalcPts[RK],0)),"")</f>
        <v/>
      </c>
      <c r="L154" s="248" t="str">
        <f>IFERROR(INDEX(TableRBCalcPts[Custom],MATCH(TableRBVORP[[#This Row],[RK]],TableRBCalcPts[RK],0)),"")</f>
        <v/>
      </c>
      <c r="M154" s="249" t="str">
        <f>IFERROR((TableRBVORP[[#This Row],[FPS]]-INDEX(TableRBVORP[FPS],MATCH(RBVORPCalc,TableRBVORP[RK],0)))/INDEX(TableRBVORP[FPS],MATCH(RBVORPCalc,TableRBVORP[RK],0)),"")</f>
        <v/>
      </c>
      <c r="N154" s="246"/>
      <c r="O154" s="246">
        <v>153</v>
      </c>
      <c r="P154" s="247" t="str">
        <f>IFERROR(INDEX(TableWRCalcPts[PLAYER],MATCH(TableWRVORP[[#This Row],[RK]],TableWRCalcPts[RK],0)),"")</f>
        <v>Brandon Zylstra</v>
      </c>
      <c r="Q154" s="247" t="str">
        <f>IFERROR(INDEX(TableWRCalcPts[TM],MATCH(TableWRVORP[[#This Row],[RK]],TableWRCalcPts[RK],0)),"")</f>
        <v>CAR</v>
      </c>
      <c r="R154" s="247">
        <f>IFERROR(INDEX(TableWRCalcPts[BYE],MATCH(TableWRVORP[[#This Row],[RK]],TableWRCalcPts[RK],0)),"")</f>
        <v>13</v>
      </c>
      <c r="S154" s="248">
        <f>IFERROR(INDEX(TableWRCalcPts[Custom],MATCH(TableWRVORP[[#This Row],[RK]],TableWRCalcPts[RK],0)),"")</f>
        <v>13.741457224291679</v>
      </c>
      <c r="T154" s="249">
        <f>IFERROR((TableWRVORP[[#This Row],[FPS]]-INDEX(TableWRVORP[FPS],MATCH(WRVORPCalc,TableWRVORP[RK],0)))/INDEX(TableWRVORP[FPS],MATCH(WRVORPCalc,TableWRVORP[RK],0)),"")</f>
        <v>-0.87389976240812706</v>
      </c>
      <c r="U154" s="246"/>
      <c r="V154" s="246"/>
      <c r="AB154" s="246"/>
      <c r="AC154" s="250"/>
      <c r="AD154" s="250"/>
      <c r="AE154" s="250"/>
      <c r="AF154" s="250" t="s">
        <v>358</v>
      </c>
      <c r="AG154" s="250">
        <v>13</v>
      </c>
      <c r="AH154" s="251">
        <f>RANK(TableOverallMaster[[#This Row],[VORP]],TableOverallMaster[VORP])+COUNTIF($AM$2:AM154,AM154)-1</f>
        <v>48</v>
      </c>
      <c r="AI154" s="252" t="str">
        <f>IFERROR(INDEX(TableWRVORP[WIDE RECEIVER],MATCH(TableOverallMaster[[#This Row],[RK]],TableWRVORP[RK],0)),"")</f>
        <v>Michael Pittman</v>
      </c>
      <c r="AJ154" s="252" t="str">
        <f t="shared" si="2"/>
        <v>WR13</v>
      </c>
      <c r="AK154" s="252">
        <f>IFERROR(INDEX(TableWRVORP[BYE],MATCH(TableOverallMaster[[#This Row],[RK]],TableWRVORP[RK],0)),"")</f>
        <v>14</v>
      </c>
      <c r="AL154" s="253">
        <f>IFERROR(INDEX(TableWRVORP[FPS],MATCH(TableOverallMaster[[#This Row],[RK]],TableWRVORP[RK],0)),"")</f>
        <v>157.32741468517131</v>
      </c>
      <c r="AM154" s="254">
        <f>IFERROR(INDEX(TableWRVORP[VORP],MATCH(TableOverallMaster[[#This Row],[RK]],TableWRVORP[RK],0)),"")</f>
        <v>0.44373511831368712</v>
      </c>
      <c r="AN154" s="250"/>
      <c r="AO154" s="250">
        <v>153</v>
      </c>
      <c r="AP154" s="255" t="str">
        <f>IFERROR(INDEX(TableOverallMaster[OVERALL PLAYER],MATCH(TableOverallRank[[#This Row],[RK]],TableOverallMaster[OVR RK],0)),"")</f>
        <v>Jahan Dotson</v>
      </c>
      <c r="AQ154" s="256" t="str">
        <f>IFERROR(INDEX(TableOverallMaster[POS RK],MATCH(TableOverallRank[[#This Row],[OVERALL PLAYER]],TableOverallMaster[OVERALL PLAYER],0)),"")</f>
        <v>WR60</v>
      </c>
      <c r="AR154" s="257">
        <f>IFERROR(INDEX(TableOverallMaster[BYE],MATCH(TableOverallRank[[#This Row],[OVERALL PLAYER]],TableOverallMaster[OVERALL PLAYER],0)),"")</f>
        <v>14</v>
      </c>
      <c r="AS154" s="258">
        <f>IFERROR(INDEX(TableOverallMaster[Custom],MATCH(TableOverallRank[[#This Row],[OVERALL PLAYER]],TableOverallMaster[OVERALL PLAYER],0)),"")</f>
        <v>97.971643167931461</v>
      </c>
      <c r="AT154" s="259">
        <f>IFERROR(INDEX(TableOverallMaster[VORP],MATCH(TableOverallRank[[#This Row],[OVERALL PLAYER]],TableOverallMaster[OVERALL PLAYER],0)),"")</f>
        <v>-0.10095070129076755</v>
      </c>
      <c r="AU154" s="250"/>
      <c r="AV154" s="246">
        <v>153</v>
      </c>
      <c r="AW154" s="260" t="str">
        <f>IFERROR(INDEX(TableWRTECalcPts[PLAYER],MATCH(TableWRTERank[[#This Row],[RK]],TableWRTECalcPts[RK],0)),"")</f>
        <v>Josh Reynolds</v>
      </c>
      <c r="AX154" s="260" t="str">
        <f>IFERROR(INDEX(TableWRTECalcPts[POS RK],MATCH(TableWRTERank[[#This Row],[WR and TE COMBINED]],TableWRTECalcPts[PLAYER],0)),"")</f>
        <v>WR113</v>
      </c>
      <c r="AY154" s="260">
        <f>IFERROR(INDEX(TableWRTECalcPts[BYE],MATCH(TableWRTERank[[#This Row],[RK]],TableWRTECalcPts[RK],0)),"")</f>
        <v>6</v>
      </c>
      <c r="AZ154" s="261">
        <f>IFERROR(INDEX(TableWRTECalcPts[Custom],MATCH(TableWRTERank[[#This Row],[RK]],TableWRTECalcPts[RK],0)),"")</f>
        <v>29.669607801472058</v>
      </c>
      <c r="BA154" s="249">
        <f>IFERROR((TableWRTERank[[#This Row],[FPS]]-INDEX(TableWRTERank[FPS],MATCH(WRTEVORPCalc,TableWRTERank[RK],0)))/INDEX(TableWRTERank[FPS],MATCH(WRTEVORPCalc,TableWRTERank[RK],0)),"")</f>
        <v>-0.75015099978759825</v>
      </c>
      <c r="BC154" s="124" t="s">
        <v>358</v>
      </c>
      <c r="BD154" s="124">
        <v>153</v>
      </c>
      <c r="BE154" s="262">
        <f>RANK(TableWRTEMaster[[#This Row],[VORP]],TableWRTEMaster[VORP])+COUNTIF($BJ$2:BJ154,BJ154)-1</f>
        <v>219</v>
      </c>
      <c r="BF154" s="263" t="str">
        <f>IFERROR(INDEX(TableWRVORP[WIDE RECEIVER],MATCH(TableWRTEMaster[[#This Row],[RK]],TableWRVORP[RK],0)),"")</f>
        <v>Brandon Zylstra</v>
      </c>
      <c r="BG154" s="263" t="str">
        <f>_xlfn.CONCAT(TableWRTEMaster[[#This Row],[POS]],TableWRTEMaster[[#This Row],[RK]])</f>
        <v>WR153</v>
      </c>
      <c r="BH154" s="263">
        <f>IFERROR(INDEX(TableWRVORP[BYE],MATCH(TableWRTEMaster[[#This Row],[RK]],TableWRVORP[RK],0)),"")</f>
        <v>13</v>
      </c>
      <c r="BI154" s="264">
        <f>IFERROR(INDEX(TableWRVORP[FPS],MATCH(TableWRTEMaster[[#This Row],[RK]],TableWRVORP[RK],0)),"")</f>
        <v>13.741457224291679</v>
      </c>
      <c r="BJ154" s="254">
        <f>IFERROR(INDEX(TableWRVORP[VORP],MATCH(TableWRTEMaster[[#This Row],[RK]],TableWRVORP[RK],0)),"")</f>
        <v>-0.87389976240812706</v>
      </c>
    </row>
    <row r="155" spans="7:62" x14ac:dyDescent="0.3">
      <c r="H155" s="246">
        <v>154</v>
      </c>
      <c r="I155" s="247" t="str">
        <f>IFERROR(INDEX(TableRBCalcPts[PLAYER],MATCH(TableRBVORP[[#This Row],[RK]],TableRBCalcPts[RK],0)),"")</f>
        <v/>
      </c>
      <c r="J155" s="247" t="str">
        <f>IFERROR(INDEX(TableRBCalcPts[TM],MATCH(TableRBVORP[[#This Row],[RK]],TableRBCalcPts[RK],0)),"")</f>
        <v/>
      </c>
      <c r="K155" s="247" t="str">
        <f>IFERROR(INDEX(TableRBCalcPts[BYE],MATCH(TableRBVORP[[#This Row],[RK]],TableRBCalcPts[RK],0)),"")</f>
        <v/>
      </c>
      <c r="L155" s="248" t="str">
        <f>IFERROR(INDEX(TableRBCalcPts[Custom],MATCH(TableRBVORP[[#This Row],[RK]],TableRBCalcPts[RK],0)),"")</f>
        <v/>
      </c>
      <c r="M155" s="249" t="str">
        <f>IFERROR((TableRBVORP[[#This Row],[FPS]]-INDEX(TableRBVORP[FPS],MATCH(RBVORPCalc,TableRBVORP[RK],0)))/INDEX(TableRBVORP[FPS],MATCH(RBVORPCalc,TableRBVORP[RK],0)),"")</f>
        <v/>
      </c>
      <c r="N155" s="246"/>
      <c r="O155" s="246">
        <v>154</v>
      </c>
      <c r="P155" s="247" t="str">
        <f>IFERROR(INDEX(TableWRCalcPts[PLAYER],MATCH(TableWRVORP[[#This Row],[RK]],TableWRCalcPts[RK],0)),"")</f>
        <v>DeAndre Carter</v>
      </c>
      <c r="Q155" s="247" t="str">
        <f>IFERROR(INDEX(TableWRCalcPts[TM],MATCH(TableWRVORP[[#This Row],[RK]],TableWRCalcPts[RK],0)),"")</f>
        <v>LAC</v>
      </c>
      <c r="R155" s="247">
        <f>IFERROR(INDEX(TableWRCalcPts[BYE],MATCH(TableWRVORP[[#This Row],[RK]],TableWRCalcPts[RK],0)),"")</f>
        <v>8</v>
      </c>
      <c r="S155" s="248">
        <f>IFERROR(INDEX(TableWRCalcPts[Custom],MATCH(TableWRVORP[[#This Row],[RK]],TableWRCalcPts[RK],0)),"")</f>
        <v>13.327148477988143</v>
      </c>
      <c r="T155" s="249">
        <f>IFERROR((TableWRVORP[[#This Row],[FPS]]-INDEX(TableWRVORP[FPS],MATCH(WRVORPCalc,TableWRVORP[RK],0)))/INDEX(TableWRVORP[FPS],MATCH(WRVORPCalc,TableWRVORP[RK],0)),"")</f>
        <v>-0.87770171954356901</v>
      </c>
      <c r="U155" s="246"/>
      <c r="V155" s="246"/>
      <c r="AB155" s="246"/>
      <c r="AC155" s="250"/>
      <c r="AD155" s="250"/>
      <c r="AE155" s="250"/>
      <c r="AF155" s="250" t="s">
        <v>358</v>
      </c>
      <c r="AG155" s="250">
        <v>14</v>
      </c>
      <c r="AH155" s="251">
        <f>RANK(TableOverallMaster[[#This Row],[VORP]],TableOverallMaster[VORP])+COUNTIF($AM$2:AM155,AM155)-1</f>
        <v>49</v>
      </c>
      <c r="AI155" s="252" t="str">
        <f>IFERROR(INDEX(TableWRVORP[WIDE RECEIVER],MATCH(TableOverallMaster[[#This Row],[RK]],TableWRVORP[RK],0)),"")</f>
        <v>Amari Cooper</v>
      </c>
      <c r="AJ155" s="252" t="str">
        <f t="shared" si="2"/>
        <v>WR14</v>
      </c>
      <c r="AK155" s="252">
        <f>IFERROR(INDEX(TableWRVORP[BYE],MATCH(TableOverallMaster[[#This Row],[RK]],TableWRVORP[RK],0)),"")</f>
        <v>9</v>
      </c>
      <c r="AL155" s="253">
        <f>IFERROR(INDEX(TableWRVORP[FPS],MATCH(TableOverallMaster[[#This Row],[RK]],TableWRVORP[RK],0)),"")</f>
        <v>156.91573129483072</v>
      </c>
      <c r="AM155" s="254">
        <f>IFERROR(INDEX(TableWRVORP[VORP],MATCH(TableOverallMaster[[#This Row],[RK]],TableWRVORP[RK],0)),"")</f>
        <v>0.43995725309260958</v>
      </c>
      <c r="AN155" s="250"/>
      <c r="AO155" s="250">
        <v>154</v>
      </c>
      <c r="AP155" s="255" t="str">
        <f>IFERROR(INDEX(TableOverallMaster[OVERALL PLAYER],MATCH(TableOverallRank[[#This Row],[RK]],TableOverallMaster[OVR RK],0)),"")</f>
        <v>Kadarius Toney</v>
      </c>
      <c r="AQ155" s="256" t="str">
        <f>IFERROR(INDEX(TableOverallMaster[POS RK],MATCH(TableOverallRank[[#This Row],[OVERALL PLAYER]],TableOverallMaster[OVERALL PLAYER],0)),"")</f>
        <v>WR61</v>
      </c>
      <c r="AR155" s="257">
        <f>IFERROR(INDEX(TableOverallMaster[BYE],MATCH(TableOverallRank[[#This Row],[OVERALL PLAYER]],TableOverallMaster[OVERALL PLAYER],0)),"")</f>
        <v>9</v>
      </c>
      <c r="AS155" s="258">
        <f>IFERROR(INDEX(TableOverallMaster[Custom],MATCH(TableOverallRank[[#This Row],[OVERALL PLAYER]],TableOverallMaster[OVERALL PLAYER],0)),"")</f>
        <v>97.721870227738862</v>
      </c>
      <c r="AT155" s="259">
        <f>IFERROR(INDEX(TableOverallMaster[VORP],MATCH(TableOverallRank[[#This Row],[OVERALL PLAYER]],TableOverallMaster[OVERALL PLAYER],0)),"")</f>
        <v>-0.10324277458315674</v>
      </c>
      <c r="AU155" s="250"/>
      <c r="AV155" s="246">
        <v>154</v>
      </c>
      <c r="AW155" s="260" t="str">
        <f>IFERROR(INDEX(TableWRTECalcPts[PLAYER],MATCH(TableWRTERank[[#This Row],[RK]],TableWRTECalcPts[RK],0)),"")</f>
        <v>Foster Moreau</v>
      </c>
      <c r="AX155" s="260" t="str">
        <f>IFERROR(INDEX(TableWRTECalcPts[POS RK],MATCH(TableWRTERank[[#This Row],[WR and TE COMBINED]],TableWRTECalcPts[PLAYER],0)),"")</f>
        <v>TE41</v>
      </c>
      <c r="AY155" s="260">
        <f>IFERROR(INDEX(TableWRTECalcPts[BYE],MATCH(TableWRTERank[[#This Row],[RK]],TableWRTECalcPts[RK],0)),"")</f>
        <v>6</v>
      </c>
      <c r="AZ155" s="261">
        <f>IFERROR(INDEX(TableWRTECalcPts[Custom],MATCH(TableWRTERank[[#This Row],[RK]],TableWRTECalcPts[RK],0)),"")</f>
        <v>29.607862319138633</v>
      </c>
      <c r="BA155" s="249">
        <f>IFERROR((TableWRTERank[[#This Row],[FPS]]-INDEX(TableWRTERank[FPS],MATCH(WRTEVORPCalc,TableWRTERank[RK],0)))/INDEX(TableWRTERank[FPS],MATCH(WRTEVORPCalc,TableWRTERank[RK],0)),"")</f>
        <v>-0.75067096106015252</v>
      </c>
      <c r="BC155" s="124" t="s">
        <v>358</v>
      </c>
      <c r="BD155" s="124">
        <v>154</v>
      </c>
      <c r="BE155" s="262">
        <f>RANK(TableWRTEMaster[[#This Row],[VORP]],TableWRTEMaster[VORP])+COUNTIF($BJ$2:BJ155,BJ155)-1</f>
        <v>221</v>
      </c>
      <c r="BF155" s="263" t="str">
        <f>IFERROR(INDEX(TableWRVORP[WIDE RECEIVER],MATCH(TableWRTEMaster[[#This Row],[RK]],TableWRVORP[RK],0)),"")</f>
        <v>DeAndre Carter</v>
      </c>
      <c r="BG155" s="263" t="str">
        <f>_xlfn.CONCAT(TableWRTEMaster[[#This Row],[POS]],TableWRTEMaster[[#This Row],[RK]])</f>
        <v>WR154</v>
      </c>
      <c r="BH155" s="263">
        <f>IFERROR(INDEX(TableWRVORP[BYE],MATCH(TableWRTEMaster[[#This Row],[RK]],TableWRVORP[RK],0)),"")</f>
        <v>8</v>
      </c>
      <c r="BI155" s="264">
        <f>IFERROR(INDEX(TableWRVORP[FPS],MATCH(TableWRTEMaster[[#This Row],[RK]],TableWRVORP[RK],0)),"")</f>
        <v>13.327148477988143</v>
      </c>
      <c r="BJ155" s="254">
        <f>IFERROR(INDEX(TableWRVORP[VORP],MATCH(TableWRTEMaster[[#This Row],[RK]],TableWRVORP[RK],0)),"")</f>
        <v>-0.87770171954356901</v>
      </c>
    </row>
    <row r="156" spans="7:62" x14ac:dyDescent="0.3">
      <c r="H156" s="246">
        <v>155</v>
      </c>
      <c r="I156" s="247" t="str">
        <f>IFERROR(INDEX(TableRBCalcPts[PLAYER],MATCH(TableRBVORP[[#This Row],[RK]],TableRBCalcPts[RK],0)),"")</f>
        <v/>
      </c>
      <c r="J156" s="247" t="str">
        <f>IFERROR(INDEX(TableRBCalcPts[TM],MATCH(TableRBVORP[[#This Row],[RK]],TableRBCalcPts[RK],0)),"")</f>
        <v/>
      </c>
      <c r="K156" s="247" t="str">
        <f>IFERROR(INDEX(TableRBCalcPts[BYE],MATCH(TableRBVORP[[#This Row],[RK]],TableRBCalcPts[RK],0)),"")</f>
        <v/>
      </c>
      <c r="L156" s="248" t="str">
        <f>IFERROR(INDEX(TableRBCalcPts[Custom],MATCH(TableRBVORP[[#This Row],[RK]],TableRBCalcPts[RK],0)),"")</f>
        <v/>
      </c>
      <c r="M156" s="249" t="str">
        <f>IFERROR((TableRBVORP[[#This Row],[FPS]]-INDEX(TableRBVORP[FPS],MATCH(RBVORPCalc,TableRBVORP[RK],0)))/INDEX(TableRBVORP[FPS],MATCH(RBVORPCalc,TableRBVORP[RK],0)),"")</f>
        <v/>
      </c>
      <c r="N156" s="246"/>
      <c r="O156" s="246">
        <v>155</v>
      </c>
      <c r="P156" s="247" t="str">
        <f>IFERROR(INDEX(TableWRCalcPts[PLAYER],MATCH(TableWRVORP[[#This Row],[RK]],TableWRCalcPts[RK],0)),"")</f>
        <v>Ihmir Smith-Marsette</v>
      </c>
      <c r="Q156" s="247" t="str">
        <f>IFERROR(INDEX(TableWRCalcPts[TM],MATCH(TableWRVORP[[#This Row],[RK]],TableWRCalcPts[RK],0)),"")</f>
        <v>MIN</v>
      </c>
      <c r="R156" s="247">
        <f>IFERROR(INDEX(TableWRCalcPts[BYE],MATCH(TableWRVORP[[#This Row],[RK]],TableWRCalcPts[RK],0)),"")</f>
        <v>7</v>
      </c>
      <c r="S156" s="248">
        <f>IFERROR(INDEX(TableWRCalcPts[Custom],MATCH(TableWRVORP[[#This Row],[RK]],TableWRCalcPts[RK],0)),"")</f>
        <v>13.232471753790474</v>
      </c>
      <c r="T156" s="249">
        <f>IFERROR((TableWRVORP[[#This Row],[FPS]]-INDEX(TableWRVORP[FPS],MATCH(WRVORPCalc,TableWRVORP[RK],0)))/INDEX(TableWRVORP[FPS],MATCH(WRVORPCalc,TableWRVORP[RK],0)),"")</f>
        <v>-0.87857053259744533</v>
      </c>
      <c r="U156" s="246"/>
      <c r="V156" s="246"/>
      <c r="AB156" s="246"/>
      <c r="AC156" s="250"/>
      <c r="AD156" s="250"/>
      <c r="AE156" s="250"/>
      <c r="AF156" s="250" t="s">
        <v>358</v>
      </c>
      <c r="AG156" s="250">
        <v>15</v>
      </c>
      <c r="AH156" s="251">
        <f>RANK(TableOverallMaster[[#This Row],[VORP]],TableOverallMaster[VORP])+COUNTIF($AM$2:AM156,AM156)-1</f>
        <v>53</v>
      </c>
      <c r="AI156" s="252" t="str">
        <f>IFERROR(INDEX(TableWRVORP[WIDE RECEIVER],MATCH(TableOverallMaster[[#This Row],[RK]],TableWRVORP[RK],0)),"")</f>
        <v>Keenan Allen</v>
      </c>
      <c r="AJ156" s="252" t="str">
        <f t="shared" si="2"/>
        <v>WR15</v>
      </c>
      <c r="AK156" s="252">
        <f>IFERROR(INDEX(TableWRVORP[BYE],MATCH(TableOverallMaster[[#This Row],[RK]],TableWRVORP[RK],0)),"")</f>
        <v>8</v>
      </c>
      <c r="AL156" s="253">
        <f>IFERROR(INDEX(TableWRVORP[FPS],MATCH(TableOverallMaster[[#This Row],[RK]],TableWRVORP[RK],0)),"")</f>
        <v>151.05767453585224</v>
      </c>
      <c r="AM156" s="254">
        <f>IFERROR(INDEX(TableWRVORP[VORP],MATCH(TableOverallMaster[[#This Row],[RK]],TableWRVORP[RK],0)),"")</f>
        <v>0.38620004691887061</v>
      </c>
      <c r="AN156" s="250"/>
      <c r="AO156" s="250">
        <v>155</v>
      </c>
      <c r="AP156" s="255" t="str">
        <f>IFERROR(INDEX(TableOverallMaster[OVERALL PLAYER],MATCH(TableOverallRank[[#This Row],[RK]],TableOverallMaster[OVR RK],0)),"")</f>
        <v>Michael Carter</v>
      </c>
      <c r="AQ156" s="256" t="str">
        <f>IFERROR(INDEX(TableOverallMaster[POS RK],MATCH(TableOverallRank[[#This Row],[OVERALL PLAYER]],TableOverallMaster[OVERALL PLAYER],0)),"")</f>
        <v>RB53</v>
      </c>
      <c r="AR156" s="257">
        <f>IFERROR(INDEX(TableOverallMaster[BYE],MATCH(TableOverallRank[[#This Row],[OVERALL PLAYER]],TableOverallMaster[OVERALL PLAYER],0)),"")</f>
        <v>10</v>
      </c>
      <c r="AS156" s="258">
        <f>IFERROR(INDEX(TableOverallMaster[Custom],MATCH(TableOverallRank[[#This Row],[OVERALL PLAYER]],TableOverallMaster[OVERALL PLAYER],0)),"")</f>
        <v>89.910367875968873</v>
      </c>
      <c r="AT156" s="259">
        <f>IFERROR(INDEX(TableOverallMaster[VORP],MATCH(TableOverallRank[[#This Row],[OVERALL PLAYER]],TableOverallMaster[OVERALL PLAYER],0)),"")</f>
        <v>-0.11260260308086692</v>
      </c>
      <c r="AU156" s="250"/>
      <c r="AV156" s="246">
        <v>155</v>
      </c>
      <c r="AW156" s="260" t="str">
        <f>IFERROR(INDEX(TableWRTECalcPts[PLAYER],MATCH(TableWRTERank[[#This Row],[RK]],TableWRTECalcPts[RK],0)),"")</f>
        <v>Tyler Johnson</v>
      </c>
      <c r="AX156" s="260" t="str">
        <f>IFERROR(INDEX(TableWRTECalcPts[POS RK],MATCH(TableWRTERank[[#This Row],[WR and TE COMBINED]],TableWRTECalcPts[PLAYER],0)),"")</f>
        <v>WR114</v>
      </c>
      <c r="AY156" s="260">
        <f>IFERROR(INDEX(TableWRTECalcPts[BYE],MATCH(TableWRTERank[[#This Row],[RK]],TableWRTECalcPts[RK],0)),"")</f>
        <v>11</v>
      </c>
      <c r="AZ156" s="261">
        <f>IFERROR(INDEX(TableWRTECalcPts[Custom],MATCH(TableWRTERank[[#This Row],[RK]],TableWRTECalcPts[RK],0)),"")</f>
        <v>29.439095558228555</v>
      </c>
      <c r="BA156" s="249">
        <f>IFERROR((TableWRTERank[[#This Row],[FPS]]-INDEX(TableWRTERank[FPS],MATCH(WRTEVORPCalc,TableWRTERank[RK],0)))/INDEX(TableWRTERank[FPS],MATCH(WRTEVORPCalc,TableWRTERank[RK],0)),"")</f>
        <v>-0.75209215296685428</v>
      </c>
      <c r="BC156" s="124" t="s">
        <v>358</v>
      </c>
      <c r="BD156" s="124">
        <v>155</v>
      </c>
      <c r="BE156" s="262">
        <f>RANK(TableWRTEMaster[[#This Row],[VORP]],TableWRTEMaster[VORP])+COUNTIF($BJ$2:BJ156,BJ156)-1</f>
        <v>222</v>
      </c>
      <c r="BF156" s="263" t="str">
        <f>IFERROR(INDEX(TableWRVORP[WIDE RECEIVER],MATCH(TableWRTEMaster[[#This Row],[RK]],TableWRVORP[RK],0)),"")</f>
        <v>Ihmir Smith-Marsette</v>
      </c>
      <c r="BG156" s="263" t="str">
        <f>_xlfn.CONCAT(TableWRTEMaster[[#This Row],[POS]],TableWRTEMaster[[#This Row],[RK]])</f>
        <v>WR155</v>
      </c>
      <c r="BH156" s="263">
        <f>IFERROR(INDEX(TableWRVORP[BYE],MATCH(TableWRTEMaster[[#This Row],[RK]],TableWRVORP[RK],0)),"")</f>
        <v>7</v>
      </c>
      <c r="BI156" s="264">
        <f>IFERROR(INDEX(TableWRVORP[FPS],MATCH(TableWRTEMaster[[#This Row],[RK]],TableWRVORP[RK],0)),"")</f>
        <v>13.232471753790474</v>
      </c>
      <c r="BJ156" s="254">
        <f>IFERROR(INDEX(TableWRVORP[VORP],MATCH(TableWRTEMaster[[#This Row],[RK]],TableWRVORP[RK],0)),"")</f>
        <v>-0.87857053259744533</v>
      </c>
    </row>
    <row r="157" spans="7:62" x14ac:dyDescent="0.3">
      <c r="H157" s="246">
        <v>156</v>
      </c>
      <c r="I157" s="247" t="str">
        <f>IFERROR(INDEX(TableRBCalcPts[PLAYER],MATCH(TableRBVORP[[#This Row],[RK]],TableRBCalcPts[RK],0)),"")</f>
        <v/>
      </c>
      <c r="J157" s="247" t="str">
        <f>IFERROR(INDEX(TableRBCalcPts[TM],MATCH(TableRBVORP[[#This Row],[RK]],TableRBCalcPts[RK],0)),"")</f>
        <v/>
      </c>
      <c r="K157" s="247" t="str">
        <f>IFERROR(INDEX(TableRBCalcPts[BYE],MATCH(TableRBVORP[[#This Row],[RK]],TableRBCalcPts[RK],0)),"")</f>
        <v/>
      </c>
      <c r="L157" s="248" t="str">
        <f>IFERROR(INDEX(TableRBCalcPts[Custom],MATCH(TableRBVORP[[#This Row],[RK]],TableRBCalcPts[RK],0)),"")</f>
        <v/>
      </c>
      <c r="M157" s="249" t="str">
        <f>IFERROR((TableRBVORP[[#This Row],[FPS]]-INDEX(TableRBVORP[FPS],MATCH(RBVORPCalc,TableRBVORP[RK],0)))/INDEX(TableRBVORP[FPS],MATCH(RBVORPCalc,TableRBVORP[RK],0)),"")</f>
        <v/>
      </c>
      <c r="N157" s="246"/>
      <c r="O157" s="246">
        <v>156</v>
      </c>
      <c r="P157" s="247" t="str">
        <f>IFERROR(INDEX(TableWRCalcPts[PLAYER],MATCH(TableWRVORP[[#This Row],[RK]],TableWRCalcPts[RK],0)),"")</f>
        <v>Preston Williams</v>
      </c>
      <c r="Q157" s="247" t="str">
        <f>IFERROR(INDEX(TableWRCalcPts[TM],MATCH(TableWRVORP[[#This Row],[RK]],TableWRCalcPts[RK],0)),"")</f>
        <v>MIA</v>
      </c>
      <c r="R157" s="247">
        <f>IFERROR(INDEX(TableWRCalcPts[BYE],MATCH(TableWRVORP[[#This Row],[RK]],TableWRCalcPts[RK],0)),"")</f>
        <v>11</v>
      </c>
      <c r="S157" s="248">
        <f>IFERROR(INDEX(TableWRCalcPts[Custom],MATCH(TableWRVORP[[#This Row],[RK]],TableWRCalcPts[RK],0)),"")</f>
        <v>13.045031667985134</v>
      </c>
      <c r="T157" s="249">
        <f>IFERROR((TableWRVORP[[#This Row],[FPS]]-INDEX(TableWRVORP[FPS],MATCH(WRVORPCalc,TableWRVORP[RK],0)))/INDEX(TableWRVORP[FPS],MATCH(WRVORPCalc,TableWRVORP[RK],0)),"")</f>
        <v>-0.88029060048897223</v>
      </c>
      <c r="U157" s="246"/>
      <c r="V157" s="246"/>
      <c r="AB157" s="246"/>
      <c r="AC157" s="250"/>
      <c r="AD157" s="250"/>
      <c r="AE157" s="250"/>
      <c r="AF157" s="250" t="s">
        <v>358</v>
      </c>
      <c r="AG157" s="250">
        <v>16</v>
      </c>
      <c r="AH157" s="251">
        <f>RANK(TableOverallMaster[[#This Row],[VORP]],TableOverallMaster[VORP])+COUNTIF($AM$2:AM157,AM157)-1</f>
        <v>54</v>
      </c>
      <c r="AI157" s="252" t="str">
        <f>IFERROR(INDEX(TableWRVORP[WIDE RECEIVER],MATCH(TableOverallMaster[[#This Row],[RK]],TableWRVORP[RK],0)),"")</f>
        <v>Diontae Johnson</v>
      </c>
      <c r="AJ157" s="252" t="str">
        <f t="shared" si="2"/>
        <v>WR16</v>
      </c>
      <c r="AK157" s="252">
        <f>IFERROR(INDEX(TableWRVORP[BYE],MATCH(TableOverallMaster[[#This Row],[RK]],TableWRVORP[RK],0)),"")</f>
        <v>9</v>
      </c>
      <c r="AL157" s="253">
        <f>IFERROR(INDEX(TableWRVORP[FPS],MATCH(TableOverallMaster[[#This Row],[RK]],TableWRVORP[RK],0)),"")</f>
        <v>150.82650522066166</v>
      </c>
      <c r="AM157" s="254">
        <f>IFERROR(INDEX(TableWRVORP[VORP],MATCH(TableOverallMaster[[#This Row],[RK]],TableWRVORP[RK],0)),"")</f>
        <v>0.38407869216779283</v>
      </c>
      <c r="AN157" s="250"/>
      <c r="AO157" s="250">
        <v>156</v>
      </c>
      <c r="AP157" s="255" t="str">
        <f>IFERROR(INDEX(TableOverallMaster[OVERALL PLAYER],MATCH(TableOverallRank[[#This Row],[RK]],TableOverallMaster[OVR RK],0)),"")</f>
        <v>George Pickens</v>
      </c>
      <c r="AQ157" s="256" t="str">
        <f>IFERROR(INDEX(TableOverallMaster[POS RK],MATCH(TableOverallRank[[#This Row],[OVERALL PLAYER]],TableOverallMaster[OVERALL PLAYER],0)),"")</f>
        <v>WR62</v>
      </c>
      <c r="AR157" s="257">
        <f>IFERROR(INDEX(TableOverallMaster[BYE],MATCH(TableOverallRank[[#This Row],[OVERALL PLAYER]],TableOverallMaster[OVERALL PLAYER],0)),"")</f>
        <v>9</v>
      </c>
      <c r="AS157" s="258">
        <f>IFERROR(INDEX(TableOverallMaster[Custom],MATCH(TableOverallRank[[#This Row],[OVERALL PLAYER]],TableOverallMaster[OVERALL PLAYER],0)),"")</f>
        <v>96.635223734682157</v>
      </c>
      <c r="AT157" s="259">
        <f>IFERROR(INDEX(TableOverallMaster[VORP],MATCH(TableOverallRank[[#This Row],[OVERALL PLAYER]],TableOverallMaster[OVERALL PLAYER],0)),"")</f>
        <v>-0.11321452493803143</v>
      </c>
      <c r="AU157" s="250"/>
      <c r="AV157" s="246">
        <v>156</v>
      </c>
      <c r="AW157" s="260" t="str">
        <f>IFERROR(INDEX(TableWRTECalcPts[PLAYER],MATCH(TableWRTERank[[#This Row],[RK]],TableWRTECalcPts[RK],0)),"")</f>
        <v>Tyler Conklin</v>
      </c>
      <c r="AX157" s="260" t="str">
        <f>IFERROR(INDEX(TableWRTECalcPts[POS RK],MATCH(TableWRTERank[[#This Row],[WR and TE COMBINED]],TableWRTECalcPts[PLAYER],0)),"")</f>
        <v>TE42</v>
      </c>
      <c r="AY157" s="260">
        <f>IFERROR(INDEX(TableWRTECalcPts[BYE],MATCH(TableWRTERank[[#This Row],[RK]],TableWRTECalcPts[RK],0)),"")</f>
        <v>10</v>
      </c>
      <c r="AZ157" s="261">
        <f>IFERROR(INDEX(TableWRTECalcPts[Custom],MATCH(TableWRTERank[[#This Row],[RK]],TableWRTECalcPts[RK],0)),"")</f>
        <v>29.058916736132929</v>
      </c>
      <c r="BA157" s="249">
        <f>IFERROR((TableWRTERank[[#This Row],[FPS]]-INDEX(TableWRTERank[FPS],MATCH(WRTEVORPCalc,TableWRTERank[RK],0)))/INDEX(TableWRTERank[FPS],MATCH(WRTEVORPCalc,TableWRTERank[RK],0)),"")</f>
        <v>-0.75529365462599674</v>
      </c>
      <c r="BC157" s="124" t="s">
        <v>358</v>
      </c>
      <c r="BD157" s="124">
        <v>156</v>
      </c>
      <c r="BE157" s="262">
        <f>RANK(TableWRTEMaster[[#This Row],[VORP]],TableWRTEMaster[VORP])+COUNTIF($BJ$2:BJ157,BJ157)-1</f>
        <v>223</v>
      </c>
      <c r="BF157" s="263" t="str">
        <f>IFERROR(INDEX(TableWRVORP[WIDE RECEIVER],MATCH(TableWRTEMaster[[#This Row],[RK]],TableWRVORP[RK],0)),"")</f>
        <v>Preston Williams</v>
      </c>
      <c r="BG157" s="263" t="str">
        <f>_xlfn.CONCAT(TableWRTEMaster[[#This Row],[POS]],TableWRTEMaster[[#This Row],[RK]])</f>
        <v>WR156</v>
      </c>
      <c r="BH157" s="263">
        <f>IFERROR(INDEX(TableWRVORP[BYE],MATCH(TableWRTEMaster[[#This Row],[RK]],TableWRVORP[RK],0)),"")</f>
        <v>11</v>
      </c>
      <c r="BI157" s="264">
        <f>IFERROR(INDEX(TableWRVORP[FPS],MATCH(TableWRTEMaster[[#This Row],[RK]],TableWRVORP[RK],0)),"")</f>
        <v>13.045031667985134</v>
      </c>
      <c r="BJ157" s="254">
        <f>IFERROR(INDEX(TableWRVORP[VORP],MATCH(TableWRTEMaster[[#This Row],[RK]],TableWRVORP[RK],0)),"")</f>
        <v>-0.88029060048897223</v>
      </c>
    </row>
    <row r="158" spans="7:62" x14ac:dyDescent="0.3">
      <c r="H158" s="246">
        <v>157</v>
      </c>
      <c r="I158" s="247" t="str">
        <f>IFERROR(INDEX(TableRBCalcPts[PLAYER],MATCH(TableRBVORP[[#This Row],[RK]],TableRBCalcPts[RK],0)),"")</f>
        <v/>
      </c>
      <c r="J158" s="247" t="str">
        <f>IFERROR(INDEX(TableRBCalcPts[TM],MATCH(TableRBVORP[[#This Row],[RK]],TableRBCalcPts[RK],0)),"")</f>
        <v/>
      </c>
      <c r="K158" s="247" t="str">
        <f>IFERROR(INDEX(TableRBCalcPts[BYE],MATCH(TableRBVORP[[#This Row],[RK]],TableRBCalcPts[RK],0)),"")</f>
        <v/>
      </c>
      <c r="L158" s="248" t="str">
        <f>IFERROR(INDEX(TableRBCalcPts[Custom],MATCH(TableRBVORP[[#This Row],[RK]],TableRBCalcPts[RK],0)),"")</f>
        <v/>
      </c>
      <c r="M158" s="249" t="str">
        <f>IFERROR((TableRBVORP[[#This Row],[FPS]]-INDEX(TableRBVORP[FPS],MATCH(RBVORPCalc,TableRBVORP[RK],0)))/INDEX(TableRBVORP[FPS],MATCH(RBVORPCalc,TableRBVORP[RK],0)),"")</f>
        <v/>
      </c>
      <c r="N158" s="246"/>
      <c r="O158" s="246">
        <v>157</v>
      </c>
      <c r="P158" s="247" t="str">
        <f>IFERROR(INDEX(TableWRCalcPts[PLAYER],MATCH(TableWRVORP[[#This Row],[RK]],TableWRCalcPts[RK],0)),"")</f>
        <v>Jakeem Grant</v>
      </c>
      <c r="Q158" s="247" t="str">
        <f>IFERROR(INDEX(TableWRCalcPts[TM],MATCH(TableWRVORP[[#This Row],[RK]],TableWRCalcPts[RK],0)),"")</f>
        <v>CLE</v>
      </c>
      <c r="R158" s="247">
        <f>IFERROR(INDEX(TableWRCalcPts[BYE],MATCH(TableWRVORP[[#This Row],[RK]],TableWRCalcPts[RK],0)),"")</f>
        <v>9</v>
      </c>
      <c r="S158" s="248">
        <f>IFERROR(INDEX(TableWRCalcPts[Custom],MATCH(TableWRVORP[[#This Row],[RK]],TableWRCalcPts[RK],0)),"")</f>
        <v>12.895494146377734</v>
      </c>
      <c r="T158" s="249">
        <f>IFERROR((TableWRVORP[[#This Row],[FPS]]-INDEX(TableWRVORP[FPS],MATCH(WRVORPCalc,TableWRVORP[RK],0)))/INDEX(TableWRVORP[FPS],MATCH(WRVORPCalc,TableWRVORP[RK],0)),"")</f>
        <v>-0.88166285065835448</v>
      </c>
      <c r="U158" s="246"/>
      <c r="V158" s="246"/>
      <c r="AB158" s="246"/>
      <c r="AC158" s="250"/>
      <c r="AD158" s="250"/>
      <c r="AE158" s="250"/>
      <c r="AF158" s="250" t="s">
        <v>358</v>
      </c>
      <c r="AG158" s="250">
        <v>17</v>
      </c>
      <c r="AH158" s="251">
        <f>RANK(TableOverallMaster[[#This Row],[VORP]],TableOverallMaster[VORP])+COUNTIF($AM$2:AM158,AM158)-1</f>
        <v>55</v>
      </c>
      <c r="AI158" s="252" t="str">
        <f>IFERROR(INDEX(TableWRVORP[WIDE RECEIVER],MATCH(TableOverallMaster[[#This Row],[RK]],TableWRVORP[RK],0)),"")</f>
        <v>Allen Robinson</v>
      </c>
      <c r="AJ158" s="252" t="str">
        <f t="shared" si="2"/>
        <v>WR17</v>
      </c>
      <c r="AK158" s="252">
        <f>IFERROR(INDEX(TableWRVORP[BYE],MATCH(TableOverallMaster[[#This Row],[RK]],TableWRVORP[RK],0)),"")</f>
        <v>7</v>
      </c>
      <c r="AL158" s="253">
        <f>IFERROR(INDEX(TableWRVORP[FPS],MATCH(TableOverallMaster[[#This Row],[RK]],TableWRVORP[RK],0)),"")</f>
        <v>150.34659128848409</v>
      </c>
      <c r="AM158" s="254">
        <f>IFERROR(INDEX(TableWRVORP[VORP],MATCH(TableOverallMaster[[#This Row],[RK]],TableWRVORP[RK],0)),"")</f>
        <v>0.37967470066358316</v>
      </c>
      <c r="AN158" s="250"/>
      <c r="AO158" s="250">
        <v>157</v>
      </c>
      <c r="AP158" s="255" t="str">
        <f>IFERROR(INDEX(TableOverallMaster[OVERALL PLAYER],MATCH(TableOverallRank[[#This Row],[RK]],TableOverallMaster[OVR RK],0)),"")</f>
        <v>Mac Jones</v>
      </c>
      <c r="AQ158" s="256" t="str">
        <f>IFERROR(INDEX(TableOverallMaster[POS RK],MATCH(TableOverallRank[[#This Row],[OVERALL PLAYER]],TableOverallMaster[OVERALL PLAYER],0)),"")</f>
        <v>QB26</v>
      </c>
      <c r="AR158" s="257">
        <f>IFERROR(INDEX(TableOverallMaster[BYE],MATCH(TableOverallRank[[#This Row],[OVERALL PLAYER]],TableOverallMaster[OVERALL PLAYER],0)),"")</f>
        <v>10</v>
      </c>
      <c r="AS158" s="258">
        <f>IFERROR(INDEX(TableOverallMaster[Custom],MATCH(TableOverallRank[[#This Row],[OVERALL PLAYER]],TableOverallMaster[OVERALL PLAYER],0)),"")</f>
        <v>243.25766741524433</v>
      </c>
      <c r="AT158" s="259">
        <f>IFERROR(INDEX(TableOverallMaster[VORP],MATCH(TableOverallRank[[#This Row],[OVERALL PLAYER]],TableOverallMaster[OVERALL PLAYER],0)),"")</f>
        <v>-0.1164337441149037</v>
      </c>
      <c r="AU158" s="250"/>
      <c r="AV158" s="246">
        <v>157</v>
      </c>
      <c r="AW158" s="260" t="str">
        <f>IFERROR(INDEX(TableWRTECalcPts[PLAYER],MATCH(TableWRTERank[[#This Row],[RK]],TableWRTECalcPts[RK],0)),"")</f>
        <v>Pharaoh Brown</v>
      </c>
      <c r="AX158" s="260" t="str">
        <f>IFERROR(INDEX(TableWRTECalcPts[POS RK],MATCH(TableWRTERank[[#This Row],[WR and TE COMBINED]],TableWRTECalcPts[PLAYER],0)),"")</f>
        <v>TE43</v>
      </c>
      <c r="AY158" s="260">
        <f>IFERROR(INDEX(TableWRTECalcPts[BYE],MATCH(TableWRTERank[[#This Row],[RK]],TableWRTECalcPts[RK],0)),"")</f>
        <v>6</v>
      </c>
      <c r="AZ158" s="261">
        <f>IFERROR(INDEX(TableWRTECalcPts[Custom],MATCH(TableWRTERank[[#This Row],[RK]],TableWRTECalcPts[RK],0)),"")</f>
        <v>28.593766911205876</v>
      </c>
      <c r="BA158" s="249">
        <f>IFERROR((TableWRTERank[[#This Row],[FPS]]-INDEX(TableWRTERank[FPS],MATCH(WRTEVORPCalc,TableWRTERank[RK],0)))/INDEX(TableWRTERank[FPS],MATCH(WRTEVORPCalc,TableWRTERank[RK],0)),"")</f>
        <v>-0.75921070063094032</v>
      </c>
      <c r="BC158" s="124" t="s">
        <v>358</v>
      </c>
      <c r="BD158" s="124">
        <v>157</v>
      </c>
      <c r="BE158" s="262">
        <f>RANK(TableWRTEMaster[[#This Row],[VORP]],TableWRTEMaster[VORP])+COUNTIF($BJ$2:BJ158,BJ158)-1</f>
        <v>224</v>
      </c>
      <c r="BF158" s="263" t="str">
        <f>IFERROR(INDEX(TableWRVORP[WIDE RECEIVER],MATCH(TableWRTEMaster[[#This Row],[RK]],TableWRVORP[RK],0)),"")</f>
        <v>Jakeem Grant</v>
      </c>
      <c r="BG158" s="263" t="str">
        <f>_xlfn.CONCAT(TableWRTEMaster[[#This Row],[POS]],TableWRTEMaster[[#This Row],[RK]])</f>
        <v>WR157</v>
      </c>
      <c r="BH158" s="263">
        <f>IFERROR(INDEX(TableWRVORP[BYE],MATCH(TableWRTEMaster[[#This Row],[RK]],TableWRVORP[RK],0)),"")</f>
        <v>9</v>
      </c>
      <c r="BI158" s="264">
        <f>IFERROR(INDEX(TableWRVORP[FPS],MATCH(TableWRTEMaster[[#This Row],[RK]],TableWRVORP[RK],0)),"")</f>
        <v>12.895494146377734</v>
      </c>
      <c r="BJ158" s="254">
        <f>IFERROR(INDEX(TableWRVORP[VORP],MATCH(TableWRTEMaster[[#This Row],[RK]],TableWRVORP[RK],0)),"")</f>
        <v>-0.88166285065835448</v>
      </c>
    </row>
    <row r="159" spans="7:62" x14ac:dyDescent="0.3">
      <c r="H159" s="246">
        <v>158</v>
      </c>
      <c r="I159" s="247" t="str">
        <f>IFERROR(INDEX(TableRBCalcPts[PLAYER],MATCH(TableRBVORP[[#This Row],[RK]],TableRBCalcPts[RK],0)),"")</f>
        <v/>
      </c>
      <c r="J159" s="247" t="str">
        <f>IFERROR(INDEX(TableRBCalcPts[TM],MATCH(TableRBVORP[[#This Row],[RK]],TableRBCalcPts[RK],0)),"")</f>
        <v/>
      </c>
      <c r="K159" s="247" t="str">
        <f>IFERROR(INDEX(TableRBCalcPts[BYE],MATCH(TableRBVORP[[#This Row],[RK]],TableRBCalcPts[RK],0)),"")</f>
        <v/>
      </c>
      <c r="L159" s="248" t="str">
        <f>IFERROR(INDEX(TableRBCalcPts[Custom],MATCH(TableRBVORP[[#This Row],[RK]],TableRBCalcPts[RK],0)),"")</f>
        <v/>
      </c>
      <c r="M159" s="249" t="str">
        <f>IFERROR((TableRBVORP[[#This Row],[FPS]]-INDEX(TableRBVORP[FPS],MATCH(RBVORPCalc,TableRBVORP[RK],0)))/INDEX(TableRBVORP[FPS],MATCH(RBVORPCalc,TableRBVORP[RK],0)),"")</f>
        <v/>
      </c>
      <c r="N159" s="246"/>
      <c r="O159" s="246">
        <v>158</v>
      </c>
      <c r="P159" s="247" t="str">
        <f>IFERROR(INDEX(TableWRCalcPts[PLAYER],MATCH(TableWRVORP[[#This Row],[RK]],TableWRCalcPts[RK],0)),"")</f>
        <v>Phillip Dorsett</v>
      </c>
      <c r="Q159" s="247" t="str">
        <f>IFERROR(INDEX(TableWRCalcPts[TM],MATCH(TableWRVORP[[#This Row],[RK]],TableWRCalcPts[RK],0)),"")</f>
        <v>HOU</v>
      </c>
      <c r="R159" s="247">
        <f>IFERROR(INDEX(TableWRCalcPts[BYE],MATCH(TableWRVORP[[#This Row],[RK]],TableWRCalcPts[RK],0)),"")</f>
        <v>6</v>
      </c>
      <c r="S159" s="248">
        <f>IFERROR(INDEX(TableWRCalcPts[Custom],MATCH(TableWRVORP[[#This Row],[RK]],TableWRCalcPts[RK],0)),"")</f>
        <v>12.876327864814634</v>
      </c>
      <c r="T159" s="249">
        <f>IFERROR((TableWRVORP[[#This Row],[FPS]]-INDEX(TableWRVORP[FPS],MATCH(WRVORPCalc,TableWRVORP[RK],0)))/INDEX(TableWRVORP[FPS],MATCH(WRVORPCalc,TableWRVORP[RK],0)),"")</f>
        <v>-0.88183873248947398</v>
      </c>
      <c r="U159" s="246"/>
      <c r="V159" s="246"/>
      <c r="AB159" s="246"/>
      <c r="AC159" s="250"/>
      <c r="AD159" s="250"/>
      <c r="AE159" s="250"/>
      <c r="AF159" s="250" t="s">
        <v>358</v>
      </c>
      <c r="AG159" s="250">
        <v>18</v>
      </c>
      <c r="AH159" s="251">
        <f>RANK(TableOverallMaster[[#This Row],[VORP]],TableOverallMaster[VORP])+COUNTIF($AM$2:AM159,AM159)-1</f>
        <v>56</v>
      </c>
      <c r="AI159" s="252" t="str">
        <f>IFERROR(INDEX(TableWRVORP[WIDE RECEIVER],MATCH(TableOverallMaster[[#This Row],[RK]],TableWRVORP[RK],0)),"")</f>
        <v>DK Metcalf</v>
      </c>
      <c r="AJ159" s="252" t="str">
        <f t="shared" si="2"/>
        <v>WR18</v>
      </c>
      <c r="AK159" s="252">
        <f>IFERROR(INDEX(TableWRVORP[BYE],MATCH(TableOverallMaster[[#This Row],[RK]],TableWRVORP[RK],0)),"")</f>
        <v>11</v>
      </c>
      <c r="AL159" s="253">
        <f>IFERROR(INDEX(TableWRVORP[FPS],MATCH(TableOverallMaster[[#This Row],[RK]],TableWRVORP[RK],0)),"")</f>
        <v>150.29995128334309</v>
      </c>
      <c r="AM159" s="254">
        <f>IFERROR(INDEX(TableWRVORP[VORP],MATCH(TableOverallMaster[[#This Row],[RK]],TableWRVORP[RK],0)),"")</f>
        <v>0.37924670269847871</v>
      </c>
      <c r="AN159" s="250"/>
      <c r="AO159" s="250">
        <v>158</v>
      </c>
      <c r="AP159" s="255" t="str">
        <f>IFERROR(INDEX(TableOverallMaster[OVERALL PLAYER],MATCH(TableOverallRank[[#This Row],[RK]],TableOverallMaster[OVR RK],0)),"")</f>
        <v>Christian Watson</v>
      </c>
      <c r="AQ159" s="256" t="str">
        <f>IFERROR(INDEX(TableOverallMaster[POS RK],MATCH(TableOverallRank[[#This Row],[OVERALL PLAYER]],TableOverallMaster[OVERALL PLAYER],0)),"")</f>
        <v>WR63</v>
      </c>
      <c r="AR159" s="257">
        <f>IFERROR(INDEX(TableOverallMaster[BYE],MATCH(TableOverallRank[[#This Row],[OVERALL PLAYER]],TableOverallMaster[OVERALL PLAYER],0)),"")</f>
        <v>14</v>
      </c>
      <c r="AS159" s="258">
        <f>IFERROR(INDEX(TableOverallMaster[Custom],MATCH(TableOverallRank[[#This Row],[OVERALL PLAYER]],TableOverallMaster[OVERALL PLAYER],0)),"")</f>
        <v>96.138985959044319</v>
      </c>
      <c r="AT159" s="259">
        <f>IFERROR(INDEX(TableOverallMaster[VORP],MATCH(TableOverallRank[[#This Row],[OVERALL PLAYER]],TableOverallMaster[OVERALL PLAYER],0)),"")</f>
        <v>-0.11776831427700886</v>
      </c>
      <c r="AU159" s="250"/>
      <c r="AV159" s="246">
        <v>158</v>
      </c>
      <c r="AW159" s="260" t="str">
        <f>IFERROR(INDEX(TableWRTECalcPts[PLAYER],MATCH(TableWRTERank[[#This Row],[RK]],TableWRTECalcPts[RK],0)),"")</f>
        <v>John Bates</v>
      </c>
      <c r="AX159" s="260" t="str">
        <f>IFERROR(INDEX(TableWRTECalcPts[POS RK],MATCH(TableWRTERank[[#This Row],[WR and TE COMBINED]],TableWRTECalcPts[PLAYER],0)),"")</f>
        <v>TE44</v>
      </c>
      <c r="AY159" s="260">
        <f>IFERROR(INDEX(TableWRTECalcPts[BYE],MATCH(TableWRTERank[[#This Row],[RK]],TableWRTECalcPts[RK],0)),"")</f>
        <v>14</v>
      </c>
      <c r="AZ159" s="261">
        <f>IFERROR(INDEX(TableWRTECalcPts[Custom],MATCH(TableWRTERank[[#This Row],[RK]],TableWRTECalcPts[RK],0)),"")</f>
        <v>28.379723029633141</v>
      </c>
      <c r="BA159" s="249">
        <f>IFERROR((TableWRTERank[[#This Row],[FPS]]-INDEX(TableWRTERank[FPS],MATCH(WRTEVORPCalc,TableWRTERank[RK],0)))/INDEX(TableWRTERank[FPS],MATCH(WRTEVORPCalc,TableWRTERank[RK],0)),"")</f>
        <v>-0.76101317305222649</v>
      </c>
      <c r="BC159" s="124" t="s">
        <v>358</v>
      </c>
      <c r="BD159" s="124">
        <v>158</v>
      </c>
      <c r="BE159" s="262">
        <f>RANK(TableWRTEMaster[[#This Row],[VORP]],TableWRTEMaster[VORP])+COUNTIF($BJ$2:BJ159,BJ159)-1</f>
        <v>225</v>
      </c>
      <c r="BF159" s="263" t="str">
        <f>IFERROR(INDEX(TableWRVORP[WIDE RECEIVER],MATCH(TableWRTEMaster[[#This Row],[RK]],TableWRVORP[RK],0)),"")</f>
        <v>Phillip Dorsett</v>
      </c>
      <c r="BG159" s="263" t="str">
        <f>_xlfn.CONCAT(TableWRTEMaster[[#This Row],[POS]],TableWRTEMaster[[#This Row],[RK]])</f>
        <v>WR158</v>
      </c>
      <c r="BH159" s="263">
        <f>IFERROR(INDEX(TableWRVORP[BYE],MATCH(TableWRTEMaster[[#This Row],[RK]],TableWRVORP[RK],0)),"")</f>
        <v>6</v>
      </c>
      <c r="BI159" s="264">
        <f>IFERROR(INDEX(TableWRVORP[FPS],MATCH(TableWRTEMaster[[#This Row],[RK]],TableWRVORP[RK],0)),"")</f>
        <v>12.876327864814634</v>
      </c>
      <c r="BJ159" s="254">
        <f>IFERROR(INDEX(TableWRVORP[VORP],MATCH(TableWRTEMaster[[#This Row],[RK]],TableWRVORP[RK],0)),"")</f>
        <v>-0.88183873248947398</v>
      </c>
    </row>
    <row r="160" spans="7:62" x14ac:dyDescent="0.3">
      <c r="H160" s="246">
        <v>159</v>
      </c>
      <c r="I160" s="247" t="str">
        <f>IFERROR(INDEX(TableRBCalcPts[PLAYER],MATCH(TableRBVORP[[#This Row],[RK]],TableRBCalcPts[RK],0)),"")</f>
        <v/>
      </c>
      <c r="J160" s="247" t="str">
        <f>IFERROR(INDEX(TableRBCalcPts[TM],MATCH(TableRBVORP[[#This Row],[RK]],TableRBCalcPts[RK],0)),"")</f>
        <v/>
      </c>
      <c r="K160" s="247" t="str">
        <f>IFERROR(INDEX(TableRBCalcPts[BYE],MATCH(TableRBVORP[[#This Row],[RK]],TableRBCalcPts[RK],0)),"")</f>
        <v/>
      </c>
      <c r="L160" s="248" t="str">
        <f>IFERROR(INDEX(TableRBCalcPts[Custom],MATCH(TableRBVORP[[#This Row],[RK]],TableRBCalcPts[RK],0)),"")</f>
        <v/>
      </c>
      <c r="M160" s="249" t="str">
        <f>IFERROR((TableRBVORP[[#This Row],[FPS]]-INDEX(TableRBVORP[FPS],MATCH(RBVORPCalc,TableRBVORP[RK],0)))/INDEX(TableRBVORP[FPS],MATCH(RBVORPCalc,TableRBVORP[RK],0)),"")</f>
        <v/>
      </c>
      <c r="N160" s="246"/>
      <c r="O160" s="246">
        <v>159</v>
      </c>
      <c r="P160" s="247" t="str">
        <f>IFERROR(INDEX(TableWRCalcPts[PLAYER],MATCH(TableWRVORP[[#This Row],[RK]],TableWRCalcPts[RK],0)),"")</f>
        <v>Mike Thomas</v>
      </c>
      <c r="Q160" s="247" t="str">
        <f>IFERROR(INDEX(TableWRCalcPts[TM],MATCH(TableWRVORP[[#This Row],[RK]],TableWRCalcPts[RK],0)),"")</f>
        <v>CIN</v>
      </c>
      <c r="R160" s="247">
        <f>IFERROR(INDEX(TableWRCalcPts[BYE],MATCH(TableWRVORP[[#This Row],[RK]],TableWRCalcPts[RK],0)),"")</f>
        <v>10</v>
      </c>
      <c r="S160" s="248">
        <f>IFERROR(INDEX(TableWRCalcPts[Custom],MATCH(TableWRVORP[[#This Row],[RK]],TableWRCalcPts[RK],0)),"")</f>
        <v>12.674219162495806</v>
      </c>
      <c r="T160" s="249">
        <f>IFERROR((TableWRVORP[[#This Row],[FPS]]-INDEX(TableWRVORP[FPS],MATCH(WRVORPCalc,TableWRVORP[RK],0)))/INDEX(TableWRVORP[FPS],MATCH(WRVORPCalc,TableWRVORP[RK],0)),"")</f>
        <v>-0.88369340881424807</v>
      </c>
      <c r="U160" s="246"/>
      <c r="V160" s="246"/>
      <c r="AB160" s="246"/>
      <c r="AC160" s="250"/>
      <c r="AD160" s="250"/>
      <c r="AE160" s="250"/>
      <c r="AF160" s="250" t="s">
        <v>358</v>
      </c>
      <c r="AG160" s="250">
        <v>19</v>
      </c>
      <c r="AH160" s="251">
        <f>RANK(TableOverallMaster[[#This Row],[VORP]],TableOverallMaster[VORP])+COUNTIF($AM$2:AM160,AM160)-1</f>
        <v>57</v>
      </c>
      <c r="AI160" s="252" t="str">
        <f>IFERROR(INDEX(TableWRVORP[WIDE RECEIVER],MATCH(TableOverallMaster[[#This Row],[RK]],TableWRVORP[RK],0)),"")</f>
        <v>Gabriel Davis</v>
      </c>
      <c r="AJ160" s="252" t="str">
        <f t="shared" si="2"/>
        <v>WR19</v>
      </c>
      <c r="AK160" s="252">
        <f>IFERROR(INDEX(TableWRVORP[BYE],MATCH(TableOverallMaster[[#This Row],[RK]],TableWRVORP[RK],0)),"")</f>
        <v>7</v>
      </c>
      <c r="AL160" s="253">
        <f>IFERROR(INDEX(TableWRVORP[FPS],MATCH(TableOverallMaster[[#This Row],[RK]],TableWRVORP[RK],0)),"")</f>
        <v>149.8562933454524</v>
      </c>
      <c r="AM160" s="254">
        <f>IFERROR(INDEX(TableWRVORP[VORP],MATCH(TableOverallMaster[[#This Row],[RK]],TableWRVORP[RK],0)),"")</f>
        <v>0.37517541895728729</v>
      </c>
      <c r="AN160" s="250"/>
      <c r="AO160" s="250">
        <v>159</v>
      </c>
      <c r="AP160" s="255" t="str">
        <f>IFERROR(INDEX(TableOverallMaster[OVERALL PLAYER],MATCH(TableOverallRank[[#This Row],[RK]],TableOverallMaster[OVR RK],0)),"")</f>
        <v>Darrell Henderson</v>
      </c>
      <c r="AQ160" s="256" t="str">
        <f>IFERROR(INDEX(TableOverallMaster[POS RK],MATCH(TableOverallRank[[#This Row],[OVERALL PLAYER]],TableOverallMaster[OVERALL PLAYER],0)),"")</f>
        <v>RB54</v>
      </c>
      <c r="AR160" s="257">
        <f>IFERROR(INDEX(TableOverallMaster[BYE],MATCH(TableOverallRank[[#This Row],[OVERALL PLAYER]],TableOverallMaster[OVERALL PLAYER],0)),"")</f>
        <v>7</v>
      </c>
      <c r="AS160" s="258">
        <f>IFERROR(INDEX(TableOverallMaster[Custom],MATCH(TableOverallRank[[#This Row],[OVERALL PLAYER]],TableOverallMaster[OVERALL PLAYER],0)),"")</f>
        <v>88.779729859793633</v>
      </c>
      <c r="AT160" s="259">
        <f>IFERROR(INDEX(TableOverallMaster[VORP],MATCH(TableOverallRank[[#This Row],[OVERALL PLAYER]],TableOverallMaster[OVERALL PLAYER],0)),"")</f>
        <v>-0.12376177477723685</v>
      </c>
      <c r="AU160" s="250"/>
      <c r="AV160" s="246">
        <v>159</v>
      </c>
      <c r="AW160" s="260" t="str">
        <f>IFERROR(INDEX(TableWRTECalcPts[PLAYER],MATCH(TableWRTERank[[#This Row],[RK]],TableWRTECalcPts[RK],0)),"")</f>
        <v>Tyquan Thornton</v>
      </c>
      <c r="AX160" s="260" t="str">
        <f>IFERROR(INDEX(TableWRTECalcPts[POS RK],MATCH(TableWRTERank[[#This Row],[WR and TE COMBINED]],TableWRTECalcPts[PLAYER],0)),"")</f>
        <v>WR115</v>
      </c>
      <c r="AY160" s="260">
        <f>IFERROR(INDEX(TableWRTECalcPts[BYE],MATCH(TableWRTERank[[#This Row],[RK]],TableWRTECalcPts[RK],0)),"")</f>
        <v>10</v>
      </c>
      <c r="AZ160" s="261">
        <f>IFERROR(INDEX(TableWRTECalcPts[Custom],MATCH(TableWRTERank[[#This Row],[RK]],TableWRTECalcPts[RK],0)),"")</f>
        <v>28.18513651423002</v>
      </c>
      <c r="BA160" s="249">
        <f>IFERROR((TableWRTERank[[#This Row],[FPS]]-INDEX(TableWRTERank[FPS],MATCH(WRTEVORPCalc,TableWRTERank[RK],0)))/INDEX(TableWRTERank[FPS],MATCH(WRTEVORPCalc,TableWRTERank[RK],0)),"")</f>
        <v>-0.76265179418445028</v>
      </c>
      <c r="BC160" s="124" t="s">
        <v>358</v>
      </c>
      <c r="BD160" s="124">
        <v>159</v>
      </c>
      <c r="BE160" s="262">
        <f>RANK(TableWRTEMaster[[#This Row],[VORP]],TableWRTEMaster[VORP])+COUNTIF($BJ$2:BJ160,BJ160)-1</f>
        <v>226</v>
      </c>
      <c r="BF160" s="263" t="str">
        <f>IFERROR(INDEX(TableWRVORP[WIDE RECEIVER],MATCH(TableWRTEMaster[[#This Row],[RK]],TableWRVORP[RK],0)),"")</f>
        <v>Mike Thomas</v>
      </c>
      <c r="BG160" s="263" t="str">
        <f>_xlfn.CONCAT(TableWRTEMaster[[#This Row],[POS]],TableWRTEMaster[[#This Row],[RK]])</f>
        <v>WR159</v>
      </c>
      <c r="BH160" s="263">
        <f>IFERROR(INDEX(TableWRVORP[BYE],MATCH(TableWRTEMaster[[#This Row],[RK]],TableWRVORP[RK],0)),"")</f>
        <v>10</v>
      </c>
      <c r="BI160" s="264">
        <f>IFERROR(INDEX(TableWRVORP[FPS],MATCH(TableWRTEMaster[[#This Row],[RK]],TableWRVORP[RK],0)),"")</f>
        <v>12.674219162495806</v>
      </c>
      <c r="BJ160" s="254">
        <f>IFERROR(INDEX(TableWRVORP[VORP],MATCH(TableWRTEMaster[[#This Row],[RK]],TableWRVORP[RK],0)),"")</f>
        <v>-0.88369340881424807</v>
      </c>
    </row>
    <row r="161" spans="8:62" x14ac:dyDescent="0.3">
      <c r="H161" s="246">
        <v>160</v>
      </c>
      <c r="I161" s="247" t="str">
        <f>IFERROR(INDEX(TableRBCalcPts[PLAYER],MATCH(TableRBVORP[[#This Row],[RK]],TableRBCalcPts[RK],0)),"")</f>
        <v/>
      </c>
      <c r="J161" s="247" t="str">
        <f>IFERROR(INDEX(TableRBCalcPts[TM],MATCH(TableRBVORP[[#This Row],[RK]],TableRBCalcPts[RK],0)),"")</f>
        <v/>
      </c>
      <c r="K161" s="247" t="str">
        <f>IFERROR(INDEX(TableRBCalcPts[BYE],MATCH(TableRBVORP[[#This Row],[RK]],TableRBCalcPts[RK],0)),"")</f>
        <v/>
      </c>
      <c r="L161" s="248" t="str">
        <f>IFERROR(INDEX(TableRBCalcPts[Custom],MATCH(TableRBVORP[[#This Row],[RK]],TableRBCalcPts[RK],0)),"")</f>
        <v/>
      </c>
      <c r="M161" s="249" t="str">
        <f>IFERROR((TableRBVORP[[#This Row],[FPS]]-INDEX(TableRBVORP[FPS],MATCH(RBVORPCalc,TableRBVORP[RK],0)))/INDEX(TableRBVORP[FPS],MATCH(RBVORPCalc,TableRBVORP[RK],0)),"")</f>
        <v/>
      </c>
      <c r="N161" s="246"/>
      <c r="O161" s="246">
        <v>160</v>
      </c>
      <c r="P161" s="247" t="str">
        <f>IFERROR(INDEX(TableWRCalcPts[PLAYER],MATCH(TableWRVORP[[#This Row],[RK]],TableWRCalcPts[RK],0)),"")</f>
        <v>Antoine Wesley</v>
      </c>
      <c r="Q161" s="247" t="str">
        <f>IFERROR(INDEX(TableWRCalcPts[TM],MATCH(TableWRVORP[[#This Row],[RK]],TableWRCalcPts[RK],0)),"")</f>
        <v>ARI</v>
      </c>
      <c r="R161" s="247">
        <f>IFERROR(INDEX(TableWRCalcPts[BYE],MATCH(TableWRVORP[[#This Row],[RK]],TableWRCalcPts[RK],0)),"")</f>
        <v>13</v>
      </c>
      <c r="S161" s="248">
        <f>IFERROR(INDEX(TableWRCalcPts[Custom],MATCH(TableWRVORP[[#This Row],[RK]],TableWRCalcPts[RK],0)),"")</f>
        <v>12.486852153852277</v>
      </c>
      <c r="T161" s="249">
        <f>IFERROR((TableWRVORP[[#This Row],[FPS]]-INDEX(TableWRVORP[FPS],MATCH(WRVORPCalc,TableWRVORP[RK],0)))/INDEX(TableWRVORP[FPS],MATCH(WRVORPCalc,TableWRVORP[RK],0)),"")</f>
        <v>-0.88541280610386452</v>
      </c>
      <c r="U161" s="246"/>
      <c r="V161" s="246"/>
      <c r="AB161" s="246"/>
      <c r="AC161" s="250"/>
      <c r="AD161" s="250"/>
      <c r="AE161" s="250"/>
      <c r="AF161" s="250" t="s">
        <v>358</v>
      </c>
      <c r="AG161" s="250">
        <v>20</v>
      </c>
      <c r="AH161" s="251">
        <f>RANK(TableOverallMaster[[#This Row],[VORP]],TableOverallMaster[VORP])+COUNTIF($AM$2:AM161,AM161)-1</f>
        <v>59</v>
      </c>
      <c r="AI161" s="252" t="str">
        <f>IFERROR(INDEX(TableWRVORP[WIDE RECEIVER],MATCH(TableOverallMaster[[#This Row],[RK]],TableWRVORP[RK],0)),"")</f>
        <v>Rashod Bateman</v>
      </c>
      <c r="AJ161" s="252" t="str">
        <f t="shared" si="2"/>
        <v>WR20</v>
      </c>
      <c r="AK161" s="252">
        <f>IFERROR(INDEX(TableWRVORP[BYE],MATCH(TableOverallMaster[[#This Row],[RK]],TableWRVORP[RK],0)),"")</f>
        <v>10</v>
      </c>
      <c r="AL161" s="253">
        <f>IFERROR(INDEX(TableWRVORP[FPS],MATCH(TableOverallMaster[[#This Row],[RK]],TableWRVORP[RK],0)),"")</f>
        <v>148.63992321748958</v>
      </c>
      <c r="AM161" s="254">
        <f>IFERROR(INDEX(TableWRVORP[VORP],MATCH(TableOverallMaster[[#This Row],[RK]],TableWRVORP[RK],0)),"")</f>
        <v>0.36401324309542743</v>
      </c>
      <c r="AN161" s="250"/>
      <c r="AO161" s="250">
        <v>160</v>
      </c>
      <c r="AP161" s="255" t="str">
        <f>IFERROR(INDEX(TableOverallMaster[OVERALL PLAYER],MATCH(TableOverallRank[[#This Row],[RK]],TableOverallMaster[OVR RK],0)),"")</f>
        <v>Skyy Moore</v>
      </c>
      <c r="AQ161" s="256" t="str">
        <f>IFERROR(INDEX(TableOverallMaster[POS RK],MATCH(TableOverallRank[[#This Row],[OVERALL PLAYER]],TableOverallMaster[OVERALL PLAYER],0)),"")</f>
        <v>WR64</v>
      </c>
      <c r="AR161" s="257">
        <f>IFERROR(INDEX(TableOverallMaster[BYE],MATCH(TableOverallRank[[#This Row],[OVERALL PLAYER]],TableOverallMaster[OVERALL PLAYER],0)),"")</f>
        <v>8</v>
      </c>
      <c r="AS161" s="258">
        <f>IFERROR(INDEX(TableOverallMaster[Custom],MATCH(TableOverallRank[[#This Row],[OVERALL PLAYER]],TableOverallMaster[OVERALL PLAYER],0)),"")</f>
        <v>95.335174796868472</v>
      </c>
      <c r="AT161" s="259">
        <f>IFERROR(INDEX(TableOverallMaster[VORP],MATCH(TableOverallRank[[#This Row],[OVERALL PLAYER]],TableOverallMaster[OVERALL PLAYER],0)),"")</f>
        <v>-0.12514459008785894</v>
      </c>
      <c r="AU161" s="250"/>
      <c r="AV161" s="246">
        <v>160</v>
      </c>
      <c r="AW161" s="260" t="str">
        <f>IFERROR(INDEX(TableWRTECalcPts[PLAYER],MATCH(TableWRTERank[[#This Row],[RK]],TableWRTECalcPts[RK],0)),"")</f>
        <v>Anthony Firkser</v>
      </c>
      <c r="AX161" s="260" t="str">
        <f>IFERROR(INDEX(TableWRTECalcPts[POS RK],MATCH(TableWRTERank[[#This Row],[WR and TE COMBINED]],TableWRTECalcPts[PLAYER],0)),"")</f>
        <v>TE45</v>
      </c>
      <c r="AY161" s="260">
        <f>IFERROR(INDEX(TableWRTECalcPts[BYE],MATCH(TableWRTERank[[#This Row],[RK]],TableWRTECalcPts[RK],0)),"")</f>
        <v>14</v>
      </c>
      <c r="AZ161" s="261">
        <f>IFERROR(INDEX(TableWRTECalcPts[Custom],MATCH(TableWRTERank[[#This Row],[RK]],TableWRTECalcPts[RK],0)),"")</f>
        <v>27.919752297861926</v>
      </c>
      <c r="BA161" s="249">
        <f>IFERROR((TableWRTERank[[#This Row],[FPS]]-INDEX(TableWRTERank[FPS],MATCH(WRTEVORPCalc,TableWRTERank[RK],0)))/INDEX(TableWRTERank[FPS],MATCH(WRTEVORPCalc,TableWRTERank[RK],0)),"")</f>
        <v>-0.76488660569848832</v>
      </c>
      <c r="BC161" s="124" t="s">
        <v>358</v>
      </c>
      <c r="BD161" s="124">
        <v>160</v>
      </c>
      <c r="BE161" s="262">
        <f>RANK(TableWRTEMaster[[#This Row],[VORP]],TableWRTEMaster[VORP])+COUNTIF($BJ$2:BJ161,BJ161)-1</f>
        <v>227</v>
      </c>
      <c r="BF161" s="263" t="str">
        <f>IFERROR(INDEX(TableWRVORP[WIDE RECEIVER],MATCH(TableWRTEMaster[[#This Row],[RK]],TableWRVORP[RK],0)),"")</f>
        <v>Antoine Wesley</v>
      </c>
      <c r="BG161" s="263" t="str">
        <f>_xlfn.CONCAT(TableWRTEMaster[[#This Row],[POS]],TableWRTEMaster[[#This Row],[RK]])</f>
        <v>WR160</v>
      </c>
      <c r="BH161" s="263">
        <f>IFERROR(INDEX(TableWRVORP[BYE],MATCH(TableWRTEMaster[[#This Row],[RK]],TableWRVORP[RK],0)),"")</f>
        <v>13</v>
      </c>
      <c r="BI161" s="264">
        <f>IFERROR(INDEX(TableWRVORP[FPS],MATCH(TableWRTEMaster[[#This Row],[RK]],TableWRVORP[RK],0)),"")</f>
        <v>12.486852153852277</v>
      </c>
      <c r="BJ161" s="254">
        <f>IFERROR(INDEX(TableWRVORP[VORP],MATCH(TableWRTEMaster[[#This Row],[RK]],TableWRVORP[RK],0)),"")</f>
        <v>-0.88541280610386452</v>
      </c>
    </row>
    <row r="162" spans="8:62" x14ac:dyDescent="0.3">
      <c r="H162" s="246">
        <v>161</v>
      </c>
      <c r="I162" s="247" t="str">
        <f>IFERROR(INDEX(TableRBCalcPts[PLAYER],MATCH(TableRBVORP[[#This Row],[RK]],TableRBCalcPts[RK],0)),"")</f>
        <v/>
      </c>
      <c r="J162" s="247" t="str">
        <f>IFERROR(INDEX(TableRBCalcPts[TM],MATCH(TableRBVORP[[#This Row],[RK]],TableRBCalcPts[RK],0)),"")</f>
        <v/>
      </c>
      <c r="K162" s="247" t="str">
        <f>IFERROR(INDEX(TableRBCalcPts[BYE],MATCH(TableRBVORP[[#This Row],[RK]],TableRBCalcPts[RK],0)),"")</f>
        <v/>
      </c>
      <c r="L162" s="248" t="str">
        <f>IFERROR(INDEX(TableRBCalcPts[Custom],MATCH(TableRBVORP[[#This Row],[RK]],TableRBCalcPts[RK],0)),"")</f>
        <v/>
      </c>
      <c r="M162" s="249" t="str">
        <f>IFERROR((TableRBVORP[[#This Row],[FPS]]-INDEX(TableRBVORP[FPS],MATCH(RBVORPCalc,TableRBVORP[RK],0)))/INDEX(TableRBVORP[FPS],MATCH(RBVORPCalc,TableRBVORP[RK],0)),"")</f>
        <v/>
      </c>
      <c r="N162" s="246"/>
      <c r="O162" s="246">
        <v>161</v>
      </c>
      <c r="P162" s="247" t="str">
        <f>IFERROR(INDEX(TableWRCalcPts[PLAYER],MATCH(TableWRVORP[[#This Row],[RK]],TableWRCalcPts[RK],0)),"")</f>
        <v>Dazz Newsome</v>
      </c>
      <c r="Q162" s="247" t="str">
        <f>IFERROR(INDEX(TableWRCalcPts[TM],MATCH(TableWRVORP[[#This Row],[RK]],TableWRCalcPts[RK],0)),"")</f>
        <v>CHI</v>
      </c>
      <c r="R162" s="247">
        <f>IFERROR(INDEX(TableWRCalcPts[BYE],MATCH(TableWRVORP[[#This Row],[RK]],TableWRCalcPts[RK],0)),"")</f>
        <v>14</v>
      </c>
      <c r="S162" s="248">
        <f>IFERROR(INDEX(TableWRCalcPts[Custom],MATCH(TableWRVORP[[#This Row],[RK]],TableWRCalcPts[RK],0)),"")</f>
        <v>12.174862018266934</v>
      </c>
      <c r="T162" s="249">
        <f>IFERROR((TableWRVORP[[#This Row],[FPS]]-INDEX(TableWRVORP[FPS],MATCH(WRVORPCalc,TableWRVORP[RK],0)))/INDEX(TableWRVORP[FPS],MATCH(WRVORPCalc,TableWRVORP[RK],0)),"")</f>
        <v>-0.88827582343757816</v>
      </c>
      <c r="U162" s="246"/>
      <c r="V162" s="246"/>
      <c r="AB162" s="246"/>
      <c r="AC162" s="250"/>
      <c r="AD162" s="250"/>
      <c r="AE162" s="250"/>
      <c r="AF162" s="250" t="s">
        <v>358</v>
      </c>
      <c r="AG162" s="250">
        <v>21</v>
      </c>
      <c r="AH162" s="251">
        <f>RANK(TableOverallMaster[[#This Row],[VORP]],TableOverallMaster[VORP])+COUNTIF($AM$2:AM162,AM162)-1</f>
        <v>62</v>
      </c>
      <c r="AI162" s="252" t="str">
        <f>IFERROR(INDEX(TableWRVORP[WIDE RECEIVER],MATCH(TableOverallMaster[[#This Row],[RK]],TableWRVORP[RK],0)),"")</f>
        <v>Jaylen Waddle</v>
      </c>
      <c r="AJ162" s="252" t="str">
        <f t="shared" si="2"/>
        <v>WR21</v>
      </c>
      <c r="AK162" s="252">
        <f>IFERROR(INDEX(TableWRVORP[BYE],MATCH(TableOverallMaster[[#This Row],[RK]],TableWRVORP[RK],0)),"")</f>
        <v>11</v>
      </c>
      <c r="AL162" s="253">
        <f>IFERROR(INDEX(TableWRVORP[FPS],MATCH(TableOverallMaster[[#This Row],[RK]],TableWRVORP[RK],0)),"")</f>
        <v>147.75272085722844</v>
      </c>
      <c r="AM162" s="254">
        <f>IFERROR(INDEX(TableWRVORP[VORP],MATCH(TableOverallMaster[[#This Row],[RK]],TableWRVORP[RK],0)),"")</f>
        <v>0.35587171730271677</v>
      </c>
      <c r="AN162" s="250"/>
      <c r="AO162" s="250">
        <v>161</v>
      </c>
      <c r="AP162" s="255" t="str">
        <f>IFERROR(INDEX(TableOverallMaster[OVERALL PLAYER],MATCH(TableOverallRank[[#This Row],[RK]],TableOverallMaster[OVR RK],0)),"")</f>
        <v>J.D. McKissic</v>
      </c>
      <c r="AQ162" s="256" t="str">
        <f>IFERROR(INDEX(TableOverallMaster[POS RK],MATCH(TableOverallRank[[#This Row],[OVERALL PLAYER]],TableOverallMaster[OVERALL PLAYER],0)),"")</f>
        <v>RB55</v>
      </c>
      <c r="AR162" s="257">
        <f>IFERROR(INDEX(TableOverallMaster[BYE],MATCH(TableOverallRank[[#This Row],[OVERALL PLAYER]],TableOverallMaster[OVERALL PLAYER],0)),"")</f>
        <v>14</v>
      </c>
      <c r="AS162" s="258">
        <f>IFERROR(INDEX(TableOverallMaster[Custom],MATCH(TableOverallRank[[#This Row],[OVERALL PLAYER]],TableOverallMaster[OVERALL PLAYER],0)),"")</f>
        <v>87.400718156019607</v>
      </c>
      <c r="AT162" s="259">
        <f>IFERROR(INDEX(TableOverallMaster[VORP],MATCH(TableOverallRank[[#This Row],[OVERALL PLAYER]],TableOverallMaster[OVERALL PLAYER],0)),"")</f>
        <v>-0.13737234522822447</v>
      </c>
      <c r="AU162" s="250"/>
      <c r="AV162" s="246">
        <v>161</v>
      </c>
      <c r="AW162" s="260" t="str">
        <f>IFERROR(INDEX(TableWRTECalcPts[PLAYER],MATCH(TableWRTERank[[#This Row],[RK]],TableWRTECalcPts[RK],0)),"")</f>
        <v>Kylen Granson</v>
      </c>
      <c r="AX162" s="260" t="str">
        <f>IFERROR(INDEX(TableWRTECalcPts[POS RK],MATCH(TableWRTERank[[#This Row],[WR and TE COMBINED]],TableWRTECalcPts[PLAYER],0)),"")</f>
        <v>TE46</v>
      </c>
      <c r="AY162" s="260">
        <f>IFERROR(INDEX(TableWRTECalcPts[BYE],MATCH(TableWRTERank[[#This Row],[RK]],TableWRTECalcPts[RK],0)),"")</f>
        <v>14</v>
      </c>
      <c r="AZ162" s="261">
        <f>IFERROR(INDEX(TableWRTECalcPts[Custom],MATCH(TableWRTERank[[#This Row],[RK]],TableWRTECalcPts[RK],0)),"")</f>
        <v>27.433862445722774</v>
      </c>
      <c r="BA162" s="249">
        <f>IFERROR((TableWRTERank[[#This Row],[FPS]]-INDEX(TableWRTERank[FPS],MATCH(WRTEVORPCalc,TableWRTERank[RK],0)))/INDEX(TableWRTERank[FPS],MATCH(WRTEVORPCalc,TableWRTERank[RK],0)),"")</f>
        <v>-0.76897830433443359</v>
      </c>
      <c r="BC162" s="124" t="s">
        <v>358</v>
      </c>
      <c r="BD162" s="124">
        <v>161</v>
      </c>
      <c r="BE162" s="262">
        <f>RANK(TableWRTEMaster[[#This Row],[VORP]],TableWRTEMaster[VORP])+COUNTIF($BJ$2:BJ162,BJ162)-1</f>
        <v>229</v>
      </c>
      <c r="BF162" s="263" t="str">
        <f>IFERROR(INDEX(TableWRVORP[WIDE RECEIVER],MATCH(TableWRTEMaster[[#This Row],[RK]],TableWRVORP[RK],0)),"")</f>
        <v>Dazz Newsome</v>
      </c>
      <c r="BG162" s="263" t="str">
        <f>_xlfn.CONCAT(TableWRTEMaster[[#This Row],[POS]],TableWRTEMaster[[#This Row],[RK]])</f>
        <v>WR161</v>
      </c>
      <c r="BH162" s="263">
        <f>IFERROR(INDEX(TableWRVORP[BYE],MATCH(TableWRTEMaster[[#This Row],[RK]],TableWRVORP[RK],0)),"")</f>
        <v>14</v>
      </c>
      <c r="BI162" s="264">
        <f>IFERROR(INDEX(TableWRVORP[FPS],MATCH(TableWRTEMaster[[#This Row],[RK]],TableWRVORP[RK],0)),"")</f>
        <v>12.174862018266934</v>
      </c>
      <c r="BJ162" s="254">
        <f>IFERROR(INDEX(TableWRVORP[VORP],MATCH(TableWRTEMaster[[#This Row],[RK]],TableWRVORP[RK],0)),"")</f>
        <v>-0.88827582343757816</v>
      </c>
    </row>
    <row r="163" spans="8:62" x14ac:dyDescent="0.3">
      <c r="H163" s="246">
        <v>162</v>
      </c>
      <c r="I163" s="247" t="str">
        <f>IFERROR(INDEX(TableRBCalcPts[PLAYER],MATCH(TableRBVORP[[#This Row],[RK]],TableRBCalcPts[RK],0)),"")</f>
        <v/>
      </c>
      <c r="J163" s="247" t="str">
        <f>IFERROR(INDEX(TableRBCalcPts[TM],MATCH(TableRBVORP[[#This Row],[RK]],TableRBCalcPts[RK],0)),"")</f>
        <v/>
      </c>
      <c r="K163" s="247" t="str">
        <f>IFERROR(INDEX(TableRBCalcPts[BYE],MATCH(TableRBVORP[[#This Row],[RK]],TableRBCalcPts[RK],0)),"")</f>
        <v/>
      </c>
      <c r="L163" s="248" t="str">
        <f>IFERROR(INDEX(TableRBCalcPts[Custom],MATCH(TableRBVORP[[#This Row],[RK]],TableRBCalcPts[RK],0)),"")</f>
        <v/>
      </c>
      <c r="M163" s="249" t="str">
        <f>IFERROR((TableRBVORP[[#This Row],[FPS]]-INDEX(TableRBVORP[FPS],MATCH(RBVORPCalc,TableRBVORP[RK],0)))/INDEX(TableRBVORP[FPS],MATCH(RBVORPCalc,TableRBVORP[RK],0)),"")</f>
        <v/>
      </c>
      <c r="N163" s="246"/>
      <c r="O163" s="246">
        <v>162</v>
      </c>
      <c r="P163" s="247" t="str">
        <f>IFERROR(INDEX(TableWRCalcPts[PLAYER],MATCH(TableWRVORP[[#This Row],[RK]],TableWRCalcPts[RK],0)),"")</f>
        <v>Greg Ward</v>
      </c>
      <c r="Q163" s="247" t="str">
        <f>IFERROR(INDEX(TableWRCalcPts[TM],MATCH(TableWRVORP[[#This Row],[RK]],TableWRCalcPts[RK],0)),"")</f>
        <v>PHI</v>
      </c>
      <c r="R163" s="247">
        <f>IFERROR(INDEX(TableWRCalcPts[BYE],MATCH(TableWRVORP[[#This Row],[RK]],TableWRCalcPts[RK],0)),"")</f>
        <v>7</v>
      </c>
      <c r="S163" s="248">
        <f>IFERROR(INDEX(TableWRCalcPts[Custom],MATCH(TableWRVORP[[#This Row],[RK]],TableWRCalcPts[RK],0)),"")</f>
        <v>11.852095478256167</v>
      </c>
      <c r="T163" s="249">
        <f>IFERROR((TableWRVORP[[#This Row],[FPS]]-INDEX(TableWRVORP[FPS],MATCH(WRVORPCalc,TableWRVORP[RK],0)))/INDEX(TableWRVORP[FPS],MATCH(WRVORPCalc,TableWRVORP[RK],0)),"")</f>
        <v>-0.89123773182311072</v>
      </c>
      <c r="U163" s="246"/>
      <c r="V163" s="246"/>
      <c r="AB163" s="246"/>
      <c r="AC163" s="250"/>
      <c r="AD163" s="250"/>
      <c r="AE163" s="250"/>
      <c r="AF163" s="250" t="s">
        <v>358</v>
      </c>
      <c r="AG163" s="250">
        <v>22</v>
      </c>
      <c r="AH163" s="251">
        <f>RANK(TableOverallMaster[[#This Row],[VORP]],TableOverallMaster[VORP])+COUNTIF($AM$2:AM163,AM163)-1</f>
        <v>66</v>
      </c>
      <c r="AI163" s="252" t="str">
        <f>IFERROR(INDEX(TableWRVORP[WIDE RECEIVER],MATCH(TableOverallMaster[[#This Row],[RK]],TableWRVORP[RK],0)),"")</f>
        <v>DJ Moore</v>
      </c>
      <c r="AJ163" s="252" t="str">
        <f t="shared" si="2"/>
        <v>WR22</v>
      </c>
      <c r="AK163" s="252">
        <f>IFERROR(INDEX(TableWRVORP[BYE],MATCH(TableOverallMaster[[#This Row],[RK]],TableWRVORP[RK],0)),"")</f>
        <v>13</v>
      </c>
      <c r="AL163" s="253">
        <f>IFERROR(INDEX(TableWRVORP[FPS],MATCH(TableOverallMaster[[#This Row],[RK]],TableWRVORP[RK],0)),"")</f>
        <v>145.62594698031444</v>
      </c>
      <c r="AM163" s="254">
        <f>IFERROR(INDEX(TableWRVORP[VORP],MATCH(TableOverallMaster[[#This Row],[RK]],TableWRVORP[RK],0)),"")</f>
        <v>0.33635510514102024</v>
      </c>
      <c r="AN163" s="250"/>
      <c r="AO163" s="250">
        <v>162</v>
      </c>
      <c r="AP163" s="255" t="str">
        <f>IFERROR(INDEX(TableOverallMaster[OVERALL PLAYER],MATCH(TableOverallRank[[#This Row],[RK]],TableOverallMaster[OVR RK],0)),"")</f>
        <v>Brevin Jordan</v>
      </c>
      <c r="AQ163" s="256" t="str">
        <f>IFERROR(INDEX(TableOverallMaster[POS RK],MATCH(TableOverallRank[[#This Row],[OVERALL PLAYER]],TableOverallMaster[OVERALL PLAYER],0)),"")</f>
        <v>TE17</v>
      </c>
      <c r="AR163" s="257">
        <f>IFERROR(INDEX(TableOverallMaster[BYE],MATCH(TableOverallRank[[#This Row],[OVERALL PLAYER]],TableOverallMaster[OVERALL PLAYER],0)),"")</f>
        <v>6</v>
      </c>
      <c r="AS163" s="258">
        <f>IFERROR(INDEX(TableOverallMaster[Custom],MATCH(TableOverallRank[[#This Row],[OVERALL PLAYER]],TableOverallMaster[OVERALL PLAYER],0)),"")</f>
        <v>87.480985240276397</v>
      </c>
      <c r="AT163" s="259">
        <f>IFERROR(INDEX(TableOverallMaster[VORP],MATCH(TableOverallRank[[#This Row],[OVERALL PLAYER]],TableOverallMaster[OVERALL PLAYER],0)),"")</f>
        <v>-0.14613038705671394</v>
      </c>
      <c r="AU163" s="250"/>
      <c r="AV163" s="246">
        <v>162</v>
      </c>
      <c r="AW163" s="260" t="str">
        <f>IFERROR(INDEX(TableWRTECalcPts[PLAYER],MATCH(TableWRTERank[[#This Row],[RK]],TableWRTECalcPts[RK],0)),"")</f>
        <v>Damiere Byrd</v>
      </c>
      <c r="AX163" s="260" t="str">
        <f>IFERROR(INDEX(TableWRTECalcPts[POS RK],MATCH(TableWRTERank[[#This Row],[WR and TE COMBINED]],TableWRTECalcPts[PLAYER],0)),"")</f>
        <v>WR116</v>
      </c>
      <c r="AY163" s="260">
        <f>IFERROR(INDEX(TableWRTECalcPts[BYE],MATCH(TableWRTERank[[#This Row],[RK]],TableWRTECalcPts[RK],0)),"")</f>
        <v>14</v>
      </c>
      <c r="AZ163" s="261">
        <f>IFERROR(INDEX(TableWRTECalcPts[Custom],MATCH(TableWRTERank[[#This Row],[RK]],TableWRTECalcPts[RK],0)),"")</f>
        <v>26.381639591041044</v>
      </c>
      <c r="BA163" s="249">
        <f>IFERROR((TableWRTERank[[#This Row],[FPS]]-INDEX(TableWRTERank[FPS],MATCH(WRTEVORPCalc,TableWRTERank[RK],0)))/INDEX(TableWRTERank[FPS],MATCH(WRTEVORPCalc,TableWRTERank[RK],0)),"")</f>
        <v>-0.77783911671867501</v>
      </c>
      <c r="BC163" s="124" t="s">
        <v>358</v>
      </c>
      <c r="BD163" s="124">
        <v>162</v>
      </c>
      <c r="BE163" s="262">
        <f>RANK(TableWRTEMaster[[#This Row],[VORP]],TableWRTEMaster[VORP])+COUNTIF($BJ$2:BJ163,BJ163)-1</f>
        <v>231</v>
      </c>
      <c r="BF163" s="263" t="str">
        <f>IFERROR(INDEX(TableWRVORP[WIDE RECEIVER],MATCH(TableWRTEMaster[[#This Row],[RK]],TableWRVORP[RK],0)),"")</f>
        <v>Greg Ward</v>
      </c>
      <c r="BG163" s="263" t="str">
        <f>_xlfn.CONCAT(TableWRTEMaster[[#This Row],[POS]],TableWRTEMaster[[#This Row],[RK]])</f>
        <v>WR162</v>
      </c>
      <c r="BH163" s="263">
        <f>IFERROR(INDEX(TableWRVORP[BYE],MATCH(TableWRTEMaster[[#This Row],[RK]],TableWRVORP[RK],0)),"")</f>
        <v>7</v>
      </c>
      <c r="BI163" s="264">
        <f>IFERROR(INDEX(TableWRVORP[FPS],MATCH(TableWRTEMaster[[#This Row],[RK]],TableWRVORP[RK],0)),"")</f>
        <v>11.852095478256167</v>
      </c>
      <c r="BJ163" s="254">
        <f>IFERROR(INDEX(TableWRVORP[VORP],MATCH(TableWRTEMaster[[#This Row],[RK]],TableWRVORP[RK],0)),"")</f>
        <v>-0.89123773182311072</v>
      </c>
    </row>
    <row r="164" spans="8:62" x14ac:dyDescent="0.3">
      <c r="H164" s="246">
        <v>163</v>
      </c>
      <c r="I164" s="247" t="str">
        <f>IFERROR(INDEX(TableRBCalcPts[PLAYER],MATCH(TableRBVORP[[#This Row],[RK]],TableRBCalcPts[RK],0)),"")</f>
        <v/>
      </c>
      <c r="J164" s="247" t="str">
        <f>IFERROR(INDEX(TableRBCalcPts[TM],MATCH(TableRBVORP[[#This Row],[RK]],TableRBCalcPts[RK],0)),"")</f>
        <v/>
      </c>
      <c r="K164" s="247" t="str">
        <f>IFERROR(INDEX(TableRBCalcPts[BYE],MATCH(TableRBVORP[[#This Row],[RK]],TableRBCalcPts[RK],0)),"")</f>
        <v/>
      </c>
      <c r="L164" s="248" t="str">
        <f>IFERROR(INDEX(TableRBCalcPts[Custom],MATCH(TableRBVORP[[#This Row],[RK]],TableRBCalcPts[RK],0)),"")</f>
        <v/>
      </c>
      <c r="M164" s="249" t="str">
        <f>IFERROR((TableRBVORP[[#This Row],[FPS]]-INDEX(TableRBVORP[FPS],MATCH(RBVORPCalc,TableRBVORP[RK],0)))/INDEX(TableRBVORP[FPS],MATCH(RBVORPCalc,TableRBVORP[RK],0)),"")</f>
        <v/>
      </c>
      <c r="N164" s="246"/>
      <c r="O164" s="246">
        <v>163</v>
      </c>
      <c r="P164" s="247" t="str">
        <f>IFERROR(INDEX(TableWRCalcPts[PLAYER],MATCH(TableWRVORP[[#This Row],[RK]],TableWRCalcPts[RK],0)),"")</f>
        <v>Denzel Mims</v>
      </c>
      <c r="Q164" s="247" t="str">
        <f>IFERROR(INDEX(TableWRCalcPts[TM],MATCH(TableWRVORP[[#This Row],[RK]],TableWRCalcPts[RK],0)),"")</f>
        <v>NYJ</v>
      </c>
      <c r="R164" s="247">
        <f>IFERROR(INDEX(TableWRCalcPts[BYE],MATCH(TableWRVORP[[#This Row],[RK]],TableWRCalcPts[RK],0)),"")</f>
        <v>10</v>
      </c>
      <c r="S164" s="248">
        <f>IFERROR(INDEX(TableWRCalcPts[Custom],MATCH(TableWRVORP[[#This Row],[RK]],TableWRCalcPts[RK],0)),"")</f>
        <v>11.477164181856821</v>
      </c>
      <c r="T164" s="249">
        <f>IFERROR((TableWRVORP[[#This Row],[FPS]]-INDEX(TableWRVORP[FPS],MATCH(WRVORPCalc,TableWRVORP[RK],0)))/INDEX(TableWRVORP[FPS],MATCH(WRVORPCalc,TableWRVORP[RK],0)),"")</f>
        <v>-0.8946783367593184</v>
      </c>
      <c r="U164" s="246"/>
      <c r="V164" s="246"/>
      <c r="AB164" s="246"/>
      <c r="AC164" s="250"/>
      <c r="AD164" s="250"/>
      <c r="AE164" s="250"/>
      <c r="AF164" s="250" t="s">
        <v>358</v>
      </c>
      <c r="AG164" s="250">
        <v>23</v>
      </c>
      <c r="AH164" s="251">
        <f>RANK(TableOverallMaster[[#This Row],[VORP]],TableOverallMaster[VORP])+COUNTIF($AM$2:AM164,AM164)-1</f>
        <v>68</v>
      </c>
      <c r="AI164" s="252" t="str">
        <f>IFERROR(INDEX(TableWRVORP[WIDE RECEIVER],MATCH(TableOverallMaster[[#This Row],[RK]],TableWRVORP[RK],0)),"")</f>
        <v>Terry McLaurin</v>
      </c>
      <c r="AJ164" s="252" t="str">
        <f t="shared" si="2"/>
        <v>WR23</v>
      </c>
      <c r="AK164" s="252">
        <f>IFERROR(INDEX(TableWRVORP[BYE],MATCH(TableOverallMaster[[#This Row],[RK]],TableWRVORP[RK],0)),"")</f>
        <v>14</v>
      </c>
      <c r="AL164" s="253">
        <f>IFERROR(INDEX(TableWRVORP[FPS],MATCH(TableOverallMaster[[#This Row],[RK]],TableWRVORP[RK],0)),"")</f>
        <v>144.79369367514585</v>
      </c>
      <c r="AM164" s="254">
        <f>IFERROR(INDEX(TableWRVORP[VORP],MATCH(TableOverallMaster[[#This Row],[RK]],TableWRVORP[RK],0)),"")</f>
        <v>0.32871782637171626</v>
      </c>
      <c r="AN164" s="250"/>
      <c r="AO164" s="250">
        <v>163</v>
      </c>
      <c r="AP164" s="255" t="str">
        <f>IFERROR(INDEX(TableOverallMaster[OVERALL PLAYER],MATCH(TableOverallRank[[#This Row],[RK]],TableOverallMaster[OVR RK],0)),"")</f>
        <v>Rondale Moore</v>
      </c>
      <c r="AQ164" s="256" t="str">
        <f>IFERROR(INDEX(TableOverallMaster[POS RK],MATCH(TableOverallRank[[#This Row],[OVERALL PLAYER]],TableOverallMaster[OVERALL PLAYER],0)),"")</f>
        <v>WR65</v>
      </c>
      <c r="AR164" s="257">
        <f>IFERROR(INDEX(TableOverallMaster[BYE],MATCH(TableOverallRank[[#This Row],[OVERALL PLAYER]],TableOverallMaster[OVERALL PLAYER],0)),"")</f>
        <v>13</v>
      </c>
      <c r="AS164" s="258">
        <f>IFERROR(INDEX(TableOverallMaster[Custom],MATCH(TableOverallRank[[#This Row],[OVERALL PLAYER]],TableOverallMaster[OVERALL PLAYER],0)),"")</f>
        <v>92.583937690627096</v>
      </c>
      <c r="AT164" s="259">
        <f>IFERROR(INDEX(TableOverallMaster[VORP],MATCH(TableOverallRank[[#This Row],[OVERALL PLAYER]],TableOverallMaster[OVERALL PLAYER],0)),"")</f>
        <v>-0.15039166884420224</v>
      </c>
      <c r="AU164" s="250"/>
      <c r="AV164" s="246">
        <v>163</v>
      </c>
      <c r="AW164" s="260" t="str">
        <f>IFERROR(INDEX(TableWRTECalcPts[PLAYER],MATCH(TableWRTERank[[#This Row],[RK]],TableWRTECalcPts[RK],0)),"")</f>
        <v>Freddie Swain</v>
      </c>
      <c r="AX164" s="260" t="str">
        <f>IFERROR(INDEX(TableWRTECalcPts[POS RK],MATCH(TableWRTERank[[#This Row],[WR and TE COMBINED]],TableWRTECalcPts[PLAYER],0)),"")</f>
        <v>WR117</v>
      </c>
      <c r="AY164" s="260">
        <f>IFERROR(INDEX(TableWRTECalcPts[BYE],MATCH(TableWRTERank[[#This Row],[RK]],TableWRTECalcPts[RK],0)),"")</f>
        <v>11</v>
      </c>
      <c r="AZ164" s="261">
        <f>IFERROR(INDEX(TableWRTECalcPts[Custom],MATCH(TableWRTERank[[#This Row],[RK]],TableWRTECalcPts[RK],0)),"")</f>
        <v>25.723306522259342</v>
      </c>
      <c r="BA164" s="249">
        <f>IFERROR((TableWRTERank[[#This Row],[FPS]]-INDEX(TableWRTERank[FPS],MATCH(WRTEVORPCalc,TableWRTERank[RK],0)))/INDEX(TableWRTERank[FPS],MATCH(WRTEVORPCalc,TableWRTERank[RK],0)),"")</f>
        <v>-0.78338296684781994</v>
      </c>
      <c r="BC164" s="124" t="s">
        <v>358</v>
      </c>
      <c r="BD164" s="124">
        <v>163</v>
      </c>
      <c r="BE164" s="262">
        <f>RANK(TableWRTEMaster[[#This Row],[VORP]],TableWRTEMaster[VORP])+COUNTIF($BJ$2:BJ164,BJ164)-1</f>
        <v>233</v>
      </c>
      <c r="BF164" s="263" t="str">
        <f>IFERROR(INDEX(TableWRVORP[WIDE RECEIVER],MATCH(TableWRTEMaster[[#This Row],[RK]],TableWRVORP[RK],0)),"")</f>
        <v>Denzel Mims</v>
      </c>
      <c r="BG164" s="263" t="str">
        <f>_xlfn.CONCAT(TableWRTEMaster[[#This Row],[POS]],TableWRTEMaster[[#This Row],[RK]])</f>
        <v>WR163</v>
      </c>
      <c r="BH164" s="263">
        <f>IFERROR(INDEX(TableWRVORP[BYE],MATCH(TableWRTEMaster[[#This Row],[RK]],TableWRVORP[RK],0)),"")</f>
        <v>10</v>
      </c>
      <c r="BI164" s="264">
        <f>IFERROR(INDEX(TableWRVORP[FPS],MATCH(TableWRTEMaster[[#This Row],[RK]],TableWRVORP[RK],0)),"")</f>
        <v>11.477164181856821</v>
      </c>
      <c r="BJ164" s="254">
        <f>IFERROR(INDEX(TableWRVORP[VORP],MATCH(TableWRTEMaster[[#This Row],[RK]],TableWRVORP[RK],0)),"")</f>
        <v>-0.8946783367593184</v>
      </c>
    </row>
    <row r="165" spans="8:62" x14ac:dyDescent="0.3">
      <c r="H165" s="246">
        <v>164</v>
      </c>
      <c r="I165" s="247" t="str">
        <f>IFERROR(INDEX(TableRBCalcPts[PLAYER],MATCH(TableRBVORP[[#This Row],[RK]],TableRBCalcPts[RK],0)),"")</f>
        <v/>
      </c>
      <c r="J165" s="247" t="str">
        <f>IFERROR(INDEX(TableRBCalcPts[TM],MATCH(TableRBVORP[[#This Row],[RK]],TableRBCalcPts[RK],0)),"")</f>
        <v/>
      </c>
      <c r="K165" s="247" t="str">
        <f>IFERROR(INDEX(TableRBCalcPts[BYE],MATCH(TableRBVORP[[#This Row],[RK]],TableRBCalcPts[RK],0)),"")</f>
        <v/>
      </c>
      <c r="L165" s="248" t="str">
        <f>IFERROR(INDEX(TableRBCalcPts[Custom],MATCH(TableRBVORP[[#This Row],[RK]],TableRBCalcPts[RK],0)),"")</f>
        <v/>
      </c>
      <c r="M165" s="249" t="str">
        <f>IFERROR((TableRBVORP[[#This Row],[FPS]]-INDEX(TableRBVORP[FPS],MATCH(RBVORPCalc,TableRBVORP[RK],0)))/INDEX(TableRBVORP[FPS],MATCH(RBVORPCalc,TableRBVORP[RK],0)),"")</f>
        <v/>
      </c>
      <c r="N165" s="246"/>
      <c r="O165" s="246">
        <v>164</v>
      </c>
      <c r="P165" s="247" t="str">
        <f>IFERROR(INDEX(TableWRCalcPts[PLAYER],MATCH(TableWRVORP[[#This Row],[RK]],TableWRCalcPts[RK],0)),"")</f>
        <v>Trent Sherfield</v>
      </c>
      <c r="Q165" s="247" t="str">
        <f>IFERROR(INDEX(TableWRCalcPts[TM],MATCH(TableWRVORP[[#This Row],[RK]],TableWRCalcPts[RK],0)),"")</f>
        <v>MIA</v>
      </c>
      <c r="R165" s="247">
        <f>IFERROR(INDEX(TableWRCalcPts[BYE],MATCH(TableWRVORP[[#This Row],[RK]],TableWRCalcPts[RK],0)),"")</f>
        <v>11</v>
      </c>
      <c r="S165" s="248">
        <f>IFERROR(INDEX(TableWRCalcPts[Custom],MATCH(TableWRVORP[[#This Row],[RK]],TableWRCalcPts[RK],0)),"")</f>
        <v>11.073930520196011</v>
      </c>
      <c r="T165" s="249">
        <f>IFERROR((TableWRVORP[[#This Row],[FPS]]-INDEX(TableWRVORP[FPS],MATCH(WRVORPCalc,TableWRVORP[RK],0)))/INDEX(TableWRVORP[FPS],MATCH(WRVORPCalc,TableWRVORP[RK],0)),"")</f>
        <v>-0.89837866196577332</v>
      </c>
      <c r="U165" s="246"/>
      <c r="V165" s="246"/>
      <c r="AB165" s="246"/>
      <c r="AC165" s="250"/>
      <c r="AD165" s="250"/>
      <c r="AE165" s="250"/>
      <c r="AF165" s="250" t="s">
        <v>358</v>
      </c>
      <c r="AG165" s="250">
        <v>24</v>
      </c>
      <c r="AH165" s="251">
        <f>RANK(TableOverallMaster[[#This Row],[VORP]],TableOverallMaster[VORP])+COUNTIF($AM$2:AM165,AM165)-1</f>
        <v>69</v>
      </c>
      <c r="AI165" s="252" t="str">
        <f>IFERROR(INDEX(TableWRVORP[WIDE RECEIVER],MATCH(TableOverallMaster[[#This Row],[RK]],TableWRVORP[RK],0)),"")</f>
        <v>Brandin Cooks</v>
      </c>
      <c r="AJ165" s="252" t="str">
        <f t="shared" si="2"/>
        <v>WR24</v>
      </c>
      <c r="AK165" s="252">
        <f>IFERROR(INDEX(TableWRVORP[BYE],MATCH(TableOverallMaster[[#This Row],[RK]],TableWRVORP[RK],0)),"")</f>
        <v>6</v>
      </c>
      <c r="AL165" s="253">
        <f>IFERROR(INDEX(TableWRVORP[FPS],MATCH(TableOverallMaster[[#This Row],[RK]],TableWRVORP[RK],0)),"")</f>
        <v>143.01669018608655</v>
      </c>
      <c r="AM165" s="254">
        <f>IFERROR(INDEX(TableWRVORP[VORP],MATCH(TableOverallMaster[[#This Row],[RK]],TableWRVORP[RK],0)),"")</f>
        <v>0.31241092685484101</v>
      </c>
      <c r="AN165" s="250"/>
      <c r="AO165" s="250">
        <v>164</v>
      </c>
      <c r="AP165" s="255" t="str">
        <f>IFERROR(INDEX(TableOverallMaster[OVERALL PLAYER],MATCH(TableOverallRank[[#This Row],[RK]],TableOverallMaster[OVR RK],0)),"")</f>
        <v>Gerald Everett</v>
      </c>
      <c r="AQ165" s="256" t="str">
        <f>IFERROR(INDEX(TableOverallMaster[POS RK],MATCH(TableOverallRank[[#This Row],[OVERALL PLAYER]],TableOverallMaster[OVERALL PLAYER],0)),"")</f>
        <v>TE18</v>
      </c>
      <c r="AR165" s="257">
        <f>IFERROR(INDEX(TableOverallMaster[BYE],MATCH(TableOverallRank[[#This Row],[OVERALL PLAYER]],TableOverallMaster[OVERALL PLAYER],0)),"")</f>
        <v>8</v>
      </c>
      <c r="AS165" s="258">
        <f>IFERROR(INDEX(TableOverallMaster[Custom],MATCH(TableOverallRank[[#This Row],[OVERALL PLAYER]],TableOverallMaster[OVERALL PLAYER],0)),"")</f>
        <v>86.501515712526853</v>
      </c>
      <c r="AT165" s="259">
        <f>IFERROR(INDEX(TableOverallMaster[VORP],MATCH(TableOverallRank[[#This Row],[OVERALL PLAYER]],TableOverallMaster[OVERALL PLAYER],0)),"")</f>
        <v>-0.15569062765359504</v>
      </c>
      <c r="AU165" s="250"/>
      <c r="AV165" s="246">
        <v>164</v>
      </c>
      <c r="AW165" s="260" t="str">
        <f>IFERROR(INDEX(TableWRTECalcPts[PLAYER],MATCH(TableWRTERank[[#This Row],[RK]],TableWRTECalcPts[RK],0)),"")</f>
        <v>Jalen Reagor</v>
      </c>
      <c r="AX165" s="260" t="str">
        <f>IFERROR(INDEX(TableWRTECalcPts[POS RK],MATCH(TableWRTERank[[#This Row],[WR and TE COMBINED]],TableWRTECalcPts[PLAYER],0)),"")</f>
        <v>WR118</v>
      </c>
      <c r="AY165" s="260">
        <f>IFERROR(INDEX(TableWRTECalcPts[BYE],MATCH(TableWRTERank[[#This Row],[RK]],TableWRTECalcPts[RK],0)),"")</f>
        <v>7</v>
      </c>
      <c r="AZ165" s="261">
        <f>IFERROR(INDEX(TableWRTECalcPts[Custom],MATCH(TableWRTERank[[#This Row],[RK]],TableWRTECalcPts[RK],0)),"")</f>
        <v>25.418517557427606</v>
      </c>
      <c r="BA165" s="249">
        <f>IFERROR((TableWRTERank[[#This Row],[FPS]]-INDEX(TableWRTERank[FPS],MATCH(WRTEVORPCalc,TableWRTERank[RK],0)))/INDEX(TableWRTERank[FPS],MATCH(WRTEVORPCalc,TableWRTERank[RK],0)),"")</f>
        <v>-0.78594960738612885</v>
      </c>
      <c r="BC165" s="124" t="s">
        <v>358</v>
      </c>
      <c r="BD165" s="124">
        <v>164</v>
      </c>
      <c r="BE165" s="262">
        <f>RANK(TableWRTEMaster[[#This Row],[VORP]],TableWRTEMaster[VORP])+COUNTIF($BJ$2:BJ165,BJ165)-1</f>
        <v>234</v>
      </c>
      <c r="BF165" s="263" t="str">
        <f>IFERROR(INDEX(TableWRVORP[WIDE RECEIVER],MATCH(TableWRTEMaster[[#This Row],[RK]],TableWRVORP[RK],0)),"")</f>
        <v>Trent Sherfield</v>
      </c>
      <c r="BG165" s="263" t="str">
        <f>_xlfn.CONCAT(TableWRTEMaster[[#This Row],[POS]],TableWRTEMaster[[#This Row],[RK]])</f>
        <v>WR164</v>
      </c>
      <c r="BH165" s="263">
        <f>IFERROR(INDEX(TableWRVORP[BYE],MATCH(TableWRTEMaster[[#This Row],[RK]],TableWRVORP[RK],0)),"")</f>
        <v>11</v>
      </c>
      <c r="BI165" s="264">
        <f>IFERROR(INDEX(TableWRVORP[FPS],MATCH(TableWRTEMaster[[#This Row],[RK]],TableWRVORP[RK],0)),"")</f>
        <v>11.073930520196011</v>
      </c>
      <c r="BJ165" s="254">
        <f>IFERROR(INDEX(TableWRVORP[VORP],MATCH(TableWRTEMaster[[#This Row],[RK]],TableWRVORP[RK],0)),"")</f>
        <v>-0.89837866196577332</v>
      </c>
    </row>
    <row r="166" spans="8:62" x14ac:dyDescent="0.3">
      <c r="H166" s="246">
        <v>165</v>
      </c>
      <c r="I166" s="247" t="str">
        <f>IFERROR(INDEX(TableRBCalcPts[PLAYER],MATCH(TableRBVORP[[#This Row],[RK]],TableRBCalcPts[RK],0)),"")</f>
        <v/>
      </c>
      <c r="J166" s="247" t="str">
        <f>IFERROR(INDEX(TableRBCalcPts[TM],MATCH(TableRBVORP[[#This Row],[RK]],TableRBCalcPts[RK],0)),"")</f>
        <v/>
      </c>
      <c r="K166" s="247" t="str">
        <f>IFERROR(INDEX(TableRBCalcPts[BYE],MATCH(TableRBVORP[[#This Row],[RK]],TableRBCalcPts[RK],0)),"")</f>
        <v/>
      </c>
      <c r="L166" s="248" t="str">
        <f>IFERROR(INDEX(TableRBCalcPts[Custom],MATCH(TableRBVORP[[#This Row],[RK]],TableRBCalcPts[RK],0)),"")</f>
        <v/>
      </c>
      <c r="M166" s="249" t="str">
        <f>IFERROR((TableRBVORP[[#This Row],[FPS]]-INDEX(TableRBVORP[FPS],MATCH(RBVORPCalc,TableRBVORP[RK],0)))/INDEX(TableRBVORP[FPS],MATCH(RBVORPCalc,TableRBVORP[RK],0)),"")</f>
        <v/>
      </c>
      <c r="N166" s="246"/>
      <c r="O166" s="246">
        <v>165</v>
      </c>
      <c r="P166" s="247" t="str">
        <f>IFERROR(INDEX(TableWRCalcPts[PLAYER],MATCH(TableWRVORP[[#This Row],[RK]],TableWRCalcPts[RK],0)),"")</f>
        <v>Simi Fehoko</v>
      </c>
      <c r="Q166" s="247" t="str">
        <f>IFERROR(INDEX(TableWRCalcPts[TM],MATCH(TableWRVORP[[#This Row],[RK]],TableWRCalcPts[RK],0)),"")</f>
        <v>DAL</v>
      </c>
      <c r="R166" s="247">
        <f>IFERROR(INDEX(TableWRCalcPts[BYE],MATCH(TableWRVORP[[#This Row],[RK]],TableWRCalcPts[RK],0)),"")</f>
        <v>9</v>
      </c>
      <c r="S166" s="248">
        <f>IFERROR(INDEX(TableWRCalcPts[Custom],MATCH(TableWRVORP[[#This Row],[RK]],TableWRCalcPts[RK],0)),"")</f>
        <v>10.99121037383858</v>
      </c>
      <c r="T166" s="249">
        <f>IFERROR((TableWRVORP[[#This Row],[FPS]]-INDEX(TableWRVORP[FPS],MATCH(WRVORPCalc,TableWRVORP[RK],0)))/INDEX(TableWRVORP[FPS],MATCH(WRVORPCalc,TableWRVORP[RK],0)),"")</f>
        <v>-0.89913775395573114</v>
      </c>
      <c r="U166" s="246"/>
      <c r="AB166" s="246"/>
      <c r="AC166" s="250"/>
      <c r="AD166" s="250"/>
      <c r="AE166" s="250"/>
      <c r="AF166" s="250" t="s">
        <v>358</v>
      </c>
      <c r="AG166" s="250">
        <v>25</v>
      </c>
      <c r="AH166" s="251">
        <f>RANK(TableOverallMaster[[#This Row],[VORP]],TableOverallMaster[VORP])+COUNTIF($AM$2:AM166,AM166)-1</f>
        <v>70</v>
      </c>
      <c r="AI166" s="252" t="str">
        <f>IFERROR(INDEX(TableWRVORP[WIDE RECEIVER],MATCH(TableOverallMaster[[#This Row],[RK]],TableWRVORP[RK],0)),"")</f>
        <v>DeVonta Smith</v>
      </c>
      <c r="AJ166" s="252" t="str">
        <f t="shared" si="2"/>
        <v>WR25</v>
      </c>
      <c r="AK166" s="252">
        <f>IFERROR(INDEX(TableWRVORP[BYE],MATCH(TableOverallMaster[[#This Row],[RK]],TableWRVORP[RK],0)),"")</f>
        <v>7</v>
      </c>
      <c r="AL166" s="253">
        <f>IFERROR(INDEX(TableWRVORP[FPS],MATCH(TableOverallMaster[[#This Row],[RK]],TableWRVORP[RK],0)),"")</f>
        <v>141.82410304289172</v>
      </c>
      <c r="AM166" s="254">
        <f>IFERROR(INDEX(TableWRVORP[VORP],MATCH(TableOverallMaster[[#This Row],[RK]],TableWRVORP[RK],0)),"")</f>
        <v>0.30146699859081127</v>
      </c>
      <c r="AN166" s="250"/>
      <c r="AO166" s="250">
        <v>165</v>
      </c>
      <c r="AP166" s="255" t="str">
        <f>IFERROR(INDEX(TableOverallMaster[OVERALL PLAYER],MATCH(TableOverallRank[[#This Row],[RK]],TableOverallMaster[OVR RK],0)),"")</f>
        <v>Rachaad White</v>
      </c>
      <c r="AQ166" s="256" t="str">
        <f>IFERROR(INDEX(TableOverallMaster[POS RK],MATCH(TableOverallRank[[#This Row],[OVERALL PLAYER]],TableOverallMaster[OVERALL PLAYER],0)),"")</f>
        <v>RB56</v>
      </c>
      <c r="AR166" s="257">
        <f>IFERROR(INDEX(TableOverallMaster[BYE],MATCH(TableOverallRank[[#This Row],[OVERALL PLAYER]],TableOverallMaster[OVERALL PLAYER],0)),"")</f>
        <v>11</v>
      </c>
      <c r="AS166" s="258">
        <f>IFERROR(INDEX(TableOverallMaster[Custom],MATCH(TableOverallRank[[#This Row],[OVERALL PLAYER]],TableOverallMaster[OVERALL PLAYER],0)),"")</f>
        <v>85.06673198999485</v>
      </c>
      <c r="AT166" s="259">
        <f>IFERROR(INDEX(TableOverallMaster[VORP],MATCH(TableOverallRank[[#This Row],[OVERALL PLAYER]],TableOverallMaster[OVERALL PLAYER],0)),"")</f>
        <v>-0.16040832313716616</v>
      </c>
      <c r="AU166" s="250"/>
      <c r="AV166" s="246">
        <v>165</v>
      </c>
      <c r="AW166" s="260" t="str">
        <f>IFERROR(INDEX(TableWRTECalcPts[PLAYER],MATCH(TableWRTERank[[#This Row],[RK]],TableWRTECalcPts[RK],0)),"")</f>
        <v>Darius Slayton</v>
      </c>
      <c r="AX166" s="260" t="str">
        <f>IFERROR(INDEX(TableWRTECalcPts[POS RK],MATCH(TableWRTERank[[#This Row],[WR and TE COMBINED]],TableWRTECalcPts[PLAYER],0)),"")</f>
        <v>WR119</v>
      </c>
      <c r="AY166" s="260">
        <f>IFERROR(INDEX(TableWRTECalcPts[BYE],MATCH(TableWRTERank[[#This Row],[RK]],TableWRTECalcPts[RK],0)),"")</f>
        <v>9</v>
      </c>
      <c r="AZ166" s="261">
        <f>IFERROR(INDEX(TableWRTECalcPts[Custom],MATCH(TableWRTERank[[#This Row],[RK]],TableWRTECalcPts[RK],0)),"")</f>
        <v>25.280290759337788</v>
      </c>
      <c r="BA166" s="249">
        <f>IFERROR((TableWRTERank[[#This Row],[FPS]]-INDEX(TableWRTERank[FPS],MATCH(WRTEVORPCalc,TableWRTERank[RK],0)))/INDEX(TableWRTERank[FPS],MATCH(WRTEVORPCalc,TableWRTERank[RK],0)),"")</f>
        <v>-0.78711362099683757</v>
      </c>
      <c r="BC166" s="124" t="s">
        <v>358</v>
      </c>
      <c r="BD166" s="124">
        <v>165</v>
      </c>
      <c r="BE166" s="262">
        <f>RANK(TableWRTEMaster[[#This Row],[VORP]],TableWRTEMaster[VORP])+COUNTIF($BJ$2:BJ166,BJ166)-1</f>
        <v>235</v>
      </c>
      <c r="BF166" s="263" t="str">
        <f>IFERROR(INDEX(TableWRVORP[WIDE RECEIVER],MATCH(TableWRTEMaster[[#This Row],[RK]],TableWRVORP[RK],0)),"")</f>
        <v>Simi Fehoko</v>
      </c>
      <c r="BG166" s="263" t="str">
        <f>_xlfn.CONCAT(TableWRTEMaster[[#This Row],[POS]],TableWRTEMaster[[#This Row],[RK]])</f>
        <v>WR165</v>
      </c>
      <c r="BH166" s="263">
        <f>IFERROR(INDEX(TableWRVORP[BYE],MATCH(TableWRTEMaster[[#This Row],[RK]],TableWRVORP[RK],0)),"")</f>
        <v>9</v>
      </c>
      <c r="BI166" s="264">
        <f>IFERROR(INDEX(TableWRVORP[FPS],MATCH(TableWRTEMaster[[#This Row],[RK]],TableWRVORP[RK],0)),"")</f>
        <v>10.99121037383858</v>
      </c>
      <c r="BJ166" s="254">
        <f>IFERROR(INDEX(TableWRVORP[VORP],MATCH(TableWRTEMaster[[#This Row],[RK]],TableWRVORP[RK],0)),"")</f>
        <v>-0.89913775395573114</v>
      </c>
    </row>
    <row r="167" spans="8:62" x14ac:dyDescent="0.3">
      <c r="H167" s="246">
        <v>166</v>
      </c>
      <c r="I167" s="247" t="str">
        <f>IFERROR(INDEX(TableRBCalcPts[PLAYER],MATCH(TableRBVORP[[#This Row],[RK]],TableRBCalcPts[RK],0)),"")</f>
        <v/>
      </c>
      <c r="J167" s="247" t="str">
        <f>IFERROR(INDEX(TableRBCalcPts[TM],MATCH(TableRBVORP[[#This Row],[RK]],TableRBCalcPts[RK],0)),"")</f>
        <v/>
      </c>
      <c r="K167" s="247" t="str">
        <f>IFERROR(INDEX(TableRBCalcPts[BYE],MATCH(TableRBVORP[[#This Row],[RK]],TableRBCalcPts[RK],0)),"")</f>
        <v/>
      </c>
      <c r="L167" s="248" t="str">
        <f>IFERROR(INDEX(TableRBCalcPts[Custom],MATCH(TableRBVORP[[#This Row],[RK]],TableRBCalcPts[RK],0)),"")</f>
        <v/>
      </c>
      <c r="M167" s="249" t="str">
        <f>IFERROR((TableRBVORP[[#This Row],[FPS]]-INDEX(TableRBVORP[FPS],MATCH(RBVORPCalc,TableRBVORP[RK],0)))/INDEX(TableRBVORP[FPS],MATCH(RBVORPCalc,TableRBVORP[RK],0)),"")</f>
        <v/>
      </c>
      <c r="N167" s="246"/>
      <c r="O167" s="246">
        <v>166</v>
      </c>
      <c r="P167" s="247" t="str">
        <f>IFERROR(INDEX(TableWRCalcPts[PLAYER],MATCH(TableWRVORP[[#This Row],[RK]],TableWRCalcPts[RK],0)),"")</f>
        <v>Jamal Agnew</v>
      </c>
      <c r="Q167" s="247" t="str">
        <f>IFERROR(INDEX(TableWRCalcPts[TM],MATCH(TableWRVORP[[#This Row],[RK]],TableWRCalcPts[RK],0)),"")</f>
        <v>JAX</v>
      </c>
      <c r="R167" s="247">
        <f>IFERROR(INDEX(TableWRCalcPts[BYE],MATCH(TableWRVORP[[#This Row],[RK]],TableWRCalcPts[RK],0)),"")</f>
        <v>11</v>
      </c>
      <c r="S167" s="248">
        <f>IFERROR(INDEX(TableWRCalcPts[Custom],MATCH(TableWRVORP[[#This Row],[RK]],TableWRCalcPts[RK],0)),"")</f>
        <v>10.768144786225456</v>
      </c>
      <c r="T167" s="249">
        <f>IFERROR((TableWRVORP[[#This Row],[FPS]]-INDEX(TableWRVORP[FPS],MATCH(WRVORPCalc,TableWRVORP[RK],0)))/INDEX(TableWRVORP[FPS],MATCH(WRVORPCalc,TableWRVORP[RK],0)),"")</f>
        <v>-0.90118474381550084</v>
      </c>
      <c r="U167" s="246"/>
      <c r="AB167" s="246"/>
      <c r="AC167" s="250"/>
      <c r="AD167" s="250"/>
      <c r="AE167" s="250"/>
      <c r="AF167" s="250" t="s">
        <v>358</v>
      </c>
      <c r="AG167" s="250">
        <v>26</v>
      </c>
      <c r="AH167" s="251">
        <f>RANK(TableOverallMaster[[#This Row],[VORP]],TableOverallMaster[VORP])+COUNTIF($AM$2:AM167,AM167)-1</f>
        <v>71</v>
      </c>
      <c r="AI167" s="252" t="str">
        <f>IFERROR(INDEX(TableWRVORP[WIDE RECEIVER],MATCH(TableOverallMaster[[#This Row],[RK]],TableWRVORP[RK],0)),"")</f>
        <v>JuJu Smith-Schuster</v>
      </c>
      <c r="AJ167" s="252" t="str">
        <f t="shared" si="2"/>
        <v>WR26</v>
      </c>
      <c r="AK167" s="252">
        <f>IFERROR(INDEX(TableWRVORP[BYE],MATCH(TableOverallMaster[[#This Row],[RK]],TableWRVORP[RK],0)),"")</f>
        <v>8</v>
      </c>
      <c r="AL167" s="253">
        <f>IFERROR(INDEX(TableWRVORP[FPS],MATCH(TableOverallMaster[[#This Row],[RK]],TableWRVORP[RK],0)),"")</f>
        <v>141.77739977868507</v>
      </c>
      <c r="AM167" s="254">
        <f>IFERROR(INDEX(TableWRVORP[VORP],MATCH(TableOverallMaster[[#This Row],[RK]],TableWRVORP[RK],0)),"")</f>
        <v>0.30103842012081</v>
      </c>
      <c r="AN167" s="250"/>
      <c r="AO167" s="250">
        <v>166</v>
      </c>
      <c r="AP167" s="255" t="str">
        <f>IFERROR(INDEX(TableOverallMaster[OVERALL PLAYER],MATCH(TableOverallRank[[#This Row],[RK]],TableOverallMaster[OVR RK],0)),"")</f>
        <v>Mike Gesicki</v>
      </c>
      <c r="AQ167" s="256" t="str">
        <f>IFERROR(INDEX(TableOverallMaster[POS RK],MATCH(TableOverallRank[[#This Row],[OVERALL PLAYER]],TableOverallMaster[OVERALL PLAYER],0)),"")</f>
        <v>TE19</v>
      </c>
      <c r="AR167" s="257">
        <f>IFERROR(INDEX(TableOverallMaster[BYE],MATCH(TableOverallRank[[#This Row],[OVERALL PLAYER]],TableOverallMaster[OVERALL PLAYER],0)),"")</f>
        <v>11</v>
      </c>
      <c r="AS167" s="258">
        <f>IFERROR(INDEX(TableOverallMaster[Custom],MATCH(TableOverallRank[[#This Row],[OVERALL PLAYER]],TableOverallMaster[OVERALL PLAYER],0)),"")</f>
        <v>85.63439943178301</v>
      </c>
      <c r="AT167" s="259">
        <f>IFERROR(INDEX(TableOverallMaster[VORP],MATCH(TableOverallRank[[#This Row],[OVERALL PLAYER]],TableOverallMaster[OVERALL PLAYER],0)),"")</f>
        <v>-0.16415422966930121</v>
      </c>
      <c r="AU167" s="250"/>
      <c r="AV167" s="246">
        <v>166</v>
      </c>
      <c r="AW167" s="260" t="str">
        <f>IFERROR(INDEX(TableWRTECalcPts[PLAYER],MATCH(TableWRTERank[[#This Row],[RK]],TableWRTECalcPts[RK],0)),"")</f>
        <v>Ian Thomas</v>
      </c>
      <c r="AX167" s="260" t="str">
        <f>IFERROR(INDEX(TableWRTECalcPts[POS RK],MATCH(TableWRTERank[[#This Row],[WR and TE COMBINED]],TableWRTECalcPts[PLAYER],0)),"")</f>
        <v>TE47</v>
      </c>
      <c r="AY167" s="260">
        <f>IFERROR(INDEX(TableWRTECalcPts[BYE],MATCH(TableWRTERank[[#This Row],[RK]],TableWRTECalcPts[RK],0)),"")</f>
        <v>13</v>
      </c>
      <c r="AZ167" s="261">
        <f>IFERROR(INDEX(TableWRTECalcPts[Custom],MATCH(TableWRTERank[[#This Row],[RK]],TableWRTECalcPts[RK],0)),"")</f>
        <v>25.113022945980973</v>
      </c>
      <c r="BA167" s="249">
        <f>IFERROR((TableWRTERank[[#This Row],[FPS]]-INDEX(TableWRTERank[FPS],MATCH(WRTEVORPCalc,TableWRTERank[RK],0)))/INDEX(TableWRTERank[FPS],MATCH(WRTEVORPCalc,TableWRTERank[RK],0)),"")</f>
        <v>-0.78852219020390479</v>
      </c>
      <c r="BC167" s="124" t="s">
        <v>358</v>
      </c>
      <c r="BD167" s="124">
        <v>166</v>
      </c>
      <c r="BE167" s="262">
        <f>RANK(TableWRTEMaster[[#This Row],[VORP]],TableWRTEMaster[VORP])+COUNTIF($BJ$2:BJ167,BJ167)-1</f>
        <v>238</v>
      </c>
      <c r="BF167" s="263" t="str">
        <f>IFERROR(INDEX(TableWRVORP[WIDE RECEIVER],MATCH(TableWRTEMaster[[#This Row],[RK]],TableWRVORP[RK],0)),"")</f>
        <v>Jamal Agnew</v>
      </c>
      <c r="BG167" s="263" t="str">
        <f>_xlfn.CONCAT(TableWRTEMaster[[#This Row],[POS]],TableWRTEMaster[[#This Row],[RK]])</f>
        <v>WR166</v>
      </c>
      <c r="BH167" s="263">
        <f>IFERROR(INDEX(TableWRVORP[BYE],MATCH(TableWRTEMaster[[#This Row],[RK]],TableWRVORP[RK],0)),"")</f>
        <v>11</v>
      </c>
      <c r="BI167" s="264">
        <f>IFERROR(INDEX(TableWRVORP[FPS],MATCH(TableWRTEMaster[[#This Row],[RK]],TableWRVORP[RK],0)),"")</f>
        <v>10.768144786225456</v>
      </c>
      <c r="BJ167" s="254">
        <f>IFERROR(INDEX(TableWRVORP[VORP],MATCH(TableWRTEMaster[[#This Row],[RK]],TableWRVORP[RK],0)),"")</f>
        <v>-0.90118474381550084</v>
      </c>
    </row>
    <row r="168" spans="8:62" x14ac:dyDescent="0.3">
      <c r="H168" s="246">
        <v>167</v>
      </c>
      <c r="I168" s="247" t="str">
        <f>IFERROR(INDEX(TableRBCalcPts[PLAYER],MATCH(TableRBVORP[[#This Row],[RK]],TableRBCalcPts[RK],0)),"")</f>
        <v/>
      </c>
      <c r="J168" s="247" t="str">
        <f>IFERROR(INDEX(TableRBCalcPts[TM],MATCH(TableRBVORP[[#This Row],[RK]],TableRBCalcPts[RK],0)),"")</f>
        <v/>
      </c>
      <c r="K168" s="247" t="str">
        <f>IFERROR(INDEX(TableRBCalcPts[BYE],MATCH(TableRBVORP[[#This Row],[RK]],TableRBCalcPts[RK],0)),"")</f>
        <v/>
      </c>
      <c r="L168" s="248" t="str">
        <f>IFERROR(INDEX(TableRBCalcPts[Custom],MATCH(TableRBVORP[[#This Row],[RK]],TableRBCalcPts[RK],0)),"")</f>
        <v/>
      </c>
      <c r="M168" s="249" t="str">
        <f>IFERROR((TableRBVORP[[#This Row],[FPS]]-INDEX(TableRBVORP[FPS],MATCH(RBVORPCalc,TableRBVORP[RK],0)))/INDEX(TableRBVORP[FPS],MATCH(RBVORPCalc,TableRBVORP[RK],0)),"")</f>
        <v/>
      </c>
      <c r="N168" s="246"/>
      <c r="O168" s="246">
        <v>167</v>
      </c>
      <c r="P168" s="247" t="str">
        <f>IFERROR(INDEX(TableWRCalcPts[PLAYER],MATCH(TableWRVORP[[#This Row],[RK]],TableWRCalcPts[RK],0)),"")</f>
        <v>Josh Gordon</v>
      </c>
      <c r="Q168" s="247" t="str">
        <f>IFERROR(INDEX(TableWRCalcPts[TM],MATCH(TableWRVORP[[#This Row],[RK]],TableWRCalcPts[RK],0)),"")</f>
        <v>KC</v>
      </c>
      <c r="R168" s="247">
        <f>IFERROR(INDEX(TableWRCalcPts[BYE],MATCH(TableWRVORP[[#This Row],[RK]],TableWRCalcPts[RK],0)),"")</f>
        <v>8</v>
      </c>
      <c r="S168" s="248">
        <f>IFERROR(INDEX(TableWRCalcPts[Custom],MATCH(TableWRVORP[[#This Row],[RK]],TableWRCalcPts[RK],0)),"")</f>
        <v>10.218172388167712</v>
      </c>
      <c r="T168" s="249">
        <f>IFERROR((TableWRVORP[[#This Row],[FPS]]-INDEX(TableWRVORP[FPS],MATCH(WRVORPCalc,TableWRVORP[RK],0)))/INDEX(TableWRVORP[FPS],MATCH(WRVORPCalc,TableWRVORP[RK],0)),"")</f>
        <v>-0.90623163578132937</v>
      </c>
      <c r="U168" s="246"/>
      <c r="AB168" s="246"/>
      <c r="AC168" s="250"/>
      <c r="AD168" s="250"/>
      <c r="AE168" s="250"/>
      <c r="AF168" s="250" t="s">
        <v>358</v>
      </c>
      <c r="AG168" s="250">
        <v>27</v>
      </c>
      <c r="AH168" s="251">
        <f>RANK(TableOverallMaster[[#This Row],[VORP]],TableOverallMaster[VORP])+COUNTIF($AM$2:AM168,AM168)-1</f>
        <v>72</v>
      </c>
      <c r="AI168" s="252" t="str">
        <f>IFERROR(INDEX(TableWRVORP[WIDE RECEIVER],MATCH(TableOverallMaster[[#This Row],[RK]],TableWRVORP[RK],0)),"")</f>
        <v>Elijah Moore</v>
      </c>
      <c r="AJ168" s="252" t="str">
        <f t="shared" si="2"/>
        <v>WR27</v>
      </c>
      <c r="AK168" s="252">
        <f>IFERROR(INDEX(TableWRVORP[BYE],MATCH(TableOverallMaster[[#This Row],[RK]],TableWRVORP[RK],0)),"")</f>
        <v>10</v>
      </c>
      <c r="AL168" s="253">
        <f>IFERROR(INDEX(TableWRVORP[FPS],MATCH(TableOverallMaster[[#This Row],[RK]],TableWRVORP[RK],0)),"")</f>
        <v>140.30061800932492</v>
      </c>
      <c r="AM168" s="254">
        <f>IFERROR(INDEX(TableWRVORP[VORP],MATCH(TableOverallMaster[[#This Row],[RK]],TableWRVORP[RK],0)),"")</f>
        <v>0.28748654356593756</v>
      </c>
      <c r="AN168" s="250"/>
      <c r="AO168" s="250">
        <v>167</v>
      </c>
      <c r="AP168" s="255" t="str">
        <f>IFERROR(INDEX(TableOverallMaster[OVERALL PLAYER],MATCH(TableOverallRank[[#This Row],[RK]],TableOverallMaster[OVR RK],0)),"")</f>
        <v>Jakobi Meyers</v>
      </c>
      <c r="AQ168" s="256" t="str">
        <f>IFERROR(INDEX(TableOverallMaster[POS RK],MATCH(TableOverallRank[[#This Row],[OVERALL PLAYER]],TableOverallMaster[OVERALL PLAYER],0)),"")</f>
        <v>WR66</v>
      </c>
      <c r="AR168" s="257">
        <f>IFERROR(INDEX(TableOverallMaster[BYE],MATCH(TableOverallRank[[#This Row],[OVERALL PLAYER]],TableOverallMaster[OVERALL PLAYER],0)),"")</f>
        <v>10</v>
      </c>
      <c r="AS168" s="258">
        <f>IFERROR(INDEX(TableOverallMaster[Custom],MATCH(TableOverallRank[[#This Row],[OVERALL PLAYER]],TableOverallMaster[OVERALL PLAYER],0)),"")</f>
        <v>90.896112461128411</v>
      </c>
      <c r="AT168" s="259">
        <f>IFERROR(INDEX(TableOverallMaster[VORP],MATCH(TableOverallRank[[#This Row],[OVERALL PLAYER]],TableOverallMaster[OVERALL PLAYER],0)),"")</f>
        <v>-0.1658802126703329</v>
      </c>
      <c r="AU168" s="250"/>
      <c r="AV168" s="246">
        <v>167</v>
      </c>
      <c r="AW168" s="260" t="str">
        <f>IFERROR(INDEX(TableWRTECalcPts[PLAYER],MATCH(TableWRTERank[[#This Row],[RK]],TableWRTECalcPts[RK],0)),"")</f>
        <v>Will Dissly</v>
      </c>
      <c r="AX168" s="260" t="str">
        <f>IFERROR(INDEX(TableWRTECalcPts[POS RK],MATCH(TableWRTERank[[#This Row],[WR and TE COMBINED]],TableWRTECalcPts[PLAYER],0)),"")</f>
        <v>TE48</v>
      </c>
      <c r="AY168" s="260">
        <f>IFERROR(INDEX(TableWRTECalcPts[BYE],MATCH(TableWRTERank[[#This Row],[RK]],TableWRTECalcPts[RK],0)),"")</f>
        <v>11</v>
      </c>
      <c r="AZ168" s="261">
        <f>IFERROR(INDEX(TableWRTECalcPts[Custom],MATCH(TableWRTERank[[#This Row],[RK]],TableWRTECalcPts[RK],0)),"")</f>
        <v>24.755236021338916</v>
      </c>
      <c r="BA168" s="249">
        <f>IFERROR((TableWRTERank[[#This Row],[FPS]]-INDEX(TableWRTERank[FPS],MATCH(WRTEVORPCalc,TableWRTERank[RK],0)))/INDEX(TableWRTERank[FPS],MATCH(WRTEVORPCalc,TableWRTERank[RK],0)),"")</f>
        <v>-0.79153512876409882</v>
      </c>
      <c r="BC168" s="124" t="s">
        <v>358</v>
      </c>
      <c r="BD168" s="124">
        <v>167</v>
      </c>
      <c r="BE168" s="262">
        <f>RANK(TableWRTEMaster[[#This Row],[VORP]],TableWRTEMaster[VORP])+COUNTIF($BJ$2:BJ168,BJ168)-1</f>
        <v>241</v>
      </c>
      <c r="BF168" s="263" t="str">
        <f>IFERROR(INDEX(TableWRVORP[WIDE RECEIVER],MATCH(TableWRTEMaster[[#This Row],[RK]],TableWRVORP[RK],0)),"")</f>
        <v>Josh Gordon</v>
      </c>
      <c r="BG168" s="263" t="str">
        <f>_xlfn.CONCAT(TableWRTEMaster[[#This Row],[POS]],TableWRTEMaster[[#This Row],[RK]])</f>
        <v>WR167</v>
      </c>
      <c r="BH168" s="263">
        <f>IFERROR(INDEX(TableWRVORP[BYE],MATCH(TableWRTEMaster[[#This Row],[RK]],TableWRVORP[RK],0)),"")</f>
        <v>8</v>
      </c>
      <c r="BI168" s="264">
        <f>IFERROR(INDEX(TableWRVORP[FPS],MATCH(TableWRTEMaster[[#This Row],[RK]],TableWRVORP[RK],0)),"")</f>
        <v>10.218172388167712</v>
      </c>
      <c r="BJ168" s="254">
        <f>IFERROR(INDEX(TableWRVORP[VORP],MATCH(TableWRTEMaster[[#This Row],[RK]],TableWRVORP[RK],0)),"")</f>
        <v>-0.90623163578132937</v>
      </c>
    </row>
    <row r="169" spans="8:62" x14ac:dyDescent="0.3">
      <c r="H169" s="246">
        <v>168</v>
      </c>
      <c r="I169" s="247" t="str">
        <f>IFERROR(INDEX(TableRBCalcPts[PLAYER],MATCH(TableRBVORP[[#This Row],[RK]],TableRBCalcPts[RK],0)),"")</f>
        <v/>
      </c>
      <c r="J169" s="247" t="str">
        <f>IFERROR(INDEX(TableRBCalcPts[TM],MATCH(TableRBVORP[[#This Row],[RK]],TableRBCalcPts[RK],0)),"")</f>
        <v/>
      </c>
      <c r="K169" s="247" t="str">
        <f>IFERROR(INDEX(TableRBCalcPts[BYE],MATCH(TableRBVORP[[#This Row],[RK]],TableRBCalcPts[RK],0)),"")</f>
        <v/>
      </c>
      <c r="L169" s="248" t="str">
        <f>IFERROR(INDEX(TableRBCalcPts[Custom],MATCH(TableRBVORP[[#This Row],[RK]],TableRBCalcPts[RK],0)),"")</f>
        <v/>
      </c>
      <c r="M169" s="249" t="str">
        <f>IFERROR((TableRBVORP[[#This Row],[FPS]]-INDEX(TableRBVORP[FPS],MATCH(RBVORPCalc,TableRBVORP[RK],0)))/INDEX(TableRBVORP[FPS],MATCH(RBVORPCalc,TableRBVORP[RK],0)),"")</f>
        <v/>
      </c>
      <c r="N169" s="246"/>
      <c r="O169" s="246">
        <v>168</v>
      </c>
      <c r="P169" s="247" t="str">
        <f>IFERROR(INDEX(TableWRCalcPts[PLAYER],MATCH(TableWRVORP[[#This Row],[RK]],TableWRCalcPts[RK],0)),"")</f>
        <v>Kendall Hinton</v>
      </c>
      <c r="Q169" s="247" t="str">
        <f>IFERROR(INDEX(TableWRCalcPts[TM],MATCH(TableWRVORP[[#This Row],[RK]],TableWRCalcPts[RK],0)),"")</f>
        <v>DEN</v>
      </c>
      <c r="R169" s="247">
        <f>IFERROR(INDEX(TableWRCalcPts[BYE],MATCH(TableWRVORP[[#This Row],[RK]],TableWRCalcPts[RK],0)),"")</f>
        <v>9</v>
      </c>
      <c r="S169" s="248">
        <f>IFERROR(INDEX(TableWRCalcPts[Custom],MATCH(TableWRVORP[[#This Row],[RK]],TableWRCalcPts[RK],0)),"")</f>
        <v>10.133565759007617</v>
      </c>
      <c r="T169" s="249">
        <f>IFERROR((TableWRVORP[[#This Row],[FPS]]-INDEX(TableWRVORP[FPS],MATCH(WRVORPCalc,TableWRVORP[RK],0)))/INDEX(TableWRVORP[FPS],MATCH(WRVORPCalc,TableWRVORP[RK],0)),"")</f>
        <v>-0.90700803932171059</v>
      </c>
      <c r="U169" s="246"/>
      <c r="AB169" s="246"/>
      <c r="AC169" s="250"/>
      <c r="AD169" s="250"/>
      <c r="AE169" s="250"/>
      <c r="AF169" s="250" t="s">
        <v>358</v>
      </c>
      <c r="AG169" s="250">
        <v>28</v>
      </c>
      <c r="AH169" s="251">
        <f>RANK(TableOverallMaster[[#This Row],[VORP]],TableOverallMaster[VORP])+COUNTIF($AM$2:AM169,AM169)-1</f>
        <v>77</v>
      </c>
      <c r="AI169" s="252" t="str">
        <f>IFERROR(INDEX(TableWRVORP[WIDE RECEIVER],MATCH(TableOverallMaster[[#This Row],[RK]],TableWRVORP[RK],0)),"")</f>
        <v>Courtland Sutton</v>
      </c>
      <c r="AJ169" s="252" t="str">
        <f t="shared" si="2"/>
        <v>WR28</v>
      </c>
      <c r="AK169" s="252">
        <f>IFERROR(INDEX(TableWRVORP[BYE],MATCH(TableOverallMaster[[#This Row],[RK]],TableWRVORP[RK],0)),"")</f>
        <v>9</v>
      </c>
      <c r="AL169" s="253">
        <f>IFERROR(INDEX(TableWRVORP[FPS],MATCH(TableOverallMaster[[#This Row],[RK]],TableWRVORP[RK],0)),"")</f>
        <v>138.39974689846576</v>
      </c>
      <c r="AM169" s="254">
        <f>IFERROR(INDEX(TableWRVORP[VORP],MATCH(TableOverallMaster[[#This Row],[RK]],TableWRVORP[RK],0)),"")</f>
        <v>0.27004295699441055</v>
      </c>
      <c r="AN169" s="250"/>
      <c r="AO169" s="250">
        <v>168</v>
      </c>
      <c r="AP169" s="255" t="str">
        <f>IFERROR(INDEX(TableOverallMaster[OVERALL PLAYER],MATCH(TableOverallRank[[#This Row],[RK]],TableOverallMaster[OVR RK],0)),"")</f>
        <v>Albert Okwuegbunam</v>
      </c>
      <c r="AQ169" s="256" t="str">
        <f>IFERROR(INDEX(TableOverallMaster[POS RK],MATCH(TableOverallRank[[#This Row],[OVERALL PLAYER]],TableOverallMaster[OVERALL PLAYER],0)),"")</f>
        <v>TE20</v>
      </c>
      <c r="AR169" s="257">
        <f>IFERROR(INDEX(TableOverallMaster[BYE],MATCH(TableOverallRank[[#This Row],[OVERALL PLAYER]],TableOverallMaster[OVERALL PLAYER],0)),"")</f>
        <v>9</v>
      </c>
      <c r="AS169" s="258">
        <f>IFERROR(INDEX(TableOverallMaster[Custom],MATCH(TableOverallRank[[#This Row],[OVERALL PLAYER]],TableOverallMaster[OVERALL PLAYER],0)),"")</f>
        <v>85.353394830706264</v>
      </c>
      <c r="AT169" s="259">
        <f>IFERROR(INDEX(TableOverallMaster[VORP],MATCH(TableOverallRank[[#This Row],[OVERALL PLAYER]],TableOverallMaster[OVERALL PLAYER],0)),"")</f>
        <v>-0.16689701187845968</v>
      </c>
      <c r="AU169" s="250"/>
      <c r="AV169" s="246">
        <v>168</v>
      </c>
      <c r="AW169" s="260" t="str">
        <f>IFERROR(INDEX(TableWRTECalcPts[PLAYER],MATCH(TableWRTERank[[#This Row],[RK]],TableWRTECalcPts[RK],0)),"")</f>
        <v>Ashton Dulin</v>
      </c>
      <c r="AX169" s="260" t="str">
        <f>IFERROR(INDEX(TableWRTECalcPts[POS RK],MATCH(TableWRTERank[[#This Row],[WR and TE COMBINED]],TableWRTECalcPts[PLAYER],0)),"")</f>
        <v>WR120</v>
      </c>
      <c r="AY169" s="260">
        <f>IFERROR(INDEX(TableWRTECalcPts[BYE],MATCH(TableWRTERank[[#This Row],[RK]],TableWRTECalcPts[RK],0)),"")</f>
        <v>14</v>
      </c>
      <c r="AZ169" s="261">
        <f>IFERROR(INDEX(TableWRTECalcPts[Custom],MATCH(TableWRTERank[[#This Row],[RK]],TableWRTECalcPts[RK],0)),"")</f>
        <v>24.755205531254589</v>
      </c>
      <c r="BA169" s="249">
        <f>IFERROR((TableWRTERank[[#This Row],[FPS]]-INDEX(TableWRTERank[FPS],MATCH(WRTEVORPCalc,TableWRTERank[RK],0)))/INDEX(TableWRTERank[FPS],MATCH(WRTEVORPCalc,TableWRTERank[RK],0)),"")</f>
        <v>-0.79153538552236591</v>
      </c>
      <c r="BC169" s="124" t="s">
        <v>358</v>
      </c>
      <c r="BD169" s="124">
        <v>168</v>
      </c>
      <c r="BE169" s="262">
        <f>RANK(TableWRTEMaster[[#This Row],[VORP]],TableWRTEMaster[VORP])+COUNTIF($BJ$2:BJ169,BJ169)-1</f>
        <v>242</v>
      </c>
      <c r="BF169" s="263" t="str">
        <f>IFERROR(INDEX(TableWRVORP[WIDE RECEIVER],MATCH(TableWRTEMaster[[#This Row],[RK]],TableWRVORP[RK],0)),"")</f>
        <v>Kendall Hinton</v>
      </c>
      <c r="BG169" s="263" t="str">
        <f>_xlfn.CONCAT(TableWRTEMaster[[#This Row],[POS]],TableWRTEMaster[[#This Row],[RK]])</f>
        <v>WR168</v>
      </c>
      <c r="BH169" s="263">
        <f>IFERROR(INDEX(TableWRVORP[BYE],MATCH(TableWRTEMaster[[#This Row],[RK]],TableWRVORP[RK],0)),"")</f>
        <v>9</v>
      </c>
      <c r="BI169" s="264">
        <f>IFERROR(INDEX(TableWRVORP[FPS],MATCH(TableWRTEMaster[[#This Row],[RK]],TableWRVORP[RK],0)),"")</f>
        <v>10.133565759007617</v>
      </c>
      <c r="BJ169" s="254">
        <f>IFERROR(INDEX(TableWRVORP[VORP],MATCH(TableWRTEMaster[[#This Row],[RK]],TableWRVORP[RK],0)),"")</f>
        <v>-0.90700803932171059</v>
      </c>
    </row>
    <row r="170" spans="8:62" x14ac:dyDescent="0.3">
      <c r="H170" s="246">
        <v>169</v>
      </c>
      <c r="I170" s="247" t="str">
        <f>IFERROR(INDEX(TableRBCalcPts[PLAYER],MATCH(TableRBVORP[[#This Row],[RK]],TableRBCalcPts[RK],0)),"")</f>
        <v/>
      </c>
      <c r="J170" s="247" t="str">
        <f>IFERROR(INDEX(TableRBCalcPts[TM],MATCH(TableRBVORP[[#This Row],[RK]],TableRBCalcPts[RK],0)),"")</f>
        <v/>
      </c>
      <c r="K170" s="247" t="str">
        <f>IFERROR(INDEX(TableRBCalcPts[BYE],MATCH(TableRBVORP[[#This Row],[RK]],TableRBCalcPts[RK],0)),"")</f>
        <v/>
      </c>
      <c r="L170" s="248" t="str">
        <f>IFERROR(INDEX(TableRBCalcPts[Custom],MATCH(TableRBVORP[[#This Row],[RK]],TableRBCalcPts[RK],0)),"")</f>
        <v/>
      </c>
      <c r="M170" s="249" t="str">
        <f>IFERROR((TableRBVORP[[#This Row],[FPS]]-INDEX(TableRBVORP[FPS],MATCH(RBVORPCalc,TableRBVORP[RK],0)))/INDEX(TableRBVORP[FPS],MATCH(RBVORPCalc,TableRBVORP[RK],0)),"")</f>
        <v/>
      </c>
      <c r="N170" s="246"/>
      <c r="O170" s="246">
        <v>169</v>
      </c>
      <c r="P170" s="247" t="str">
        <f>IFERROR(INDEX(TableWRCalcPts[PLAYER],MATCH(TableWRVORP[[#This Row],[RK]],TableWRCalcPts[RK],0)),"")</f>
        <v>Juwann Winfree</v>
      </c>
      <c r="Q170" s="247" t="str">
        <f>IFERROR(INDEX(TableWRCalcPts[TM],MATCH(TableWRVORP[[#This Row],[RK]],TableWRCalcPts[RK],0)),"")</f>
        <v>GB</v>
      </c>
      <c r="R170" s="247">
        <f>IFERROR(INDEX(TableWRCalcPts[BYE],MATCH(TableWRVORP[[#This Row],[RK]],TableWRCalcPts[RK],0)),"")</f>
        <v>14</v>
      </c>
      <c r="S170" s="248">
        <f>IFERROR(INDEX(TableWRCalcPts[Custom],MATCH(TableWRVORP[[#This Row],[RK]],TableWRCalcPts[RK],0)),"")</f>
        <v>9.826918098366809</v>
      </c>
      <c r="T170" s="249">
        <f>IFERROR((TableWRVORP[[#This Row],[FPS]]-INDEX(TableWRVORP[FPS],MATCH(WRVORPCalc,TableWRVORP[RK],0)))/INDEX(TableWRVORP[FPS],MATCH(WRVORPCalc,TableWRVORP[RK],0)),"")</f>
        <v>-0.9098220307516327</v>
      </c>
      <c r="U170" s="246"/>
      <c r="AB170" s="246"/>
      <c r="AC170" s="250"/>
      <c r="AD170" s="250"/>
      <c r="AE170" s="250"/>
      <c r="AF170" s="250" t="s">
        <v>358</v>
      </c>
      <c r="AG170" s="250">
        <v>29</v>
      </c>
      <c r="AH170" s="251">
        <f>RANK(TableOverallMaster[[#This Row],[VORP]],TableOverallMaster[VORP])+COUNTIF($AM$2:AM170,AM170)-1</f>
        <v>80</v>
      </c>
      <c r="AI170" s="252" t="str">
        <f>IFERROR(INDEX(TableWRVORP[WIDE RECEIVER],MATCH(TableOverallMaster[[#This Row],[RK]],TableWRVORP[RK],0)),"")</f>
        <v>Tyler Lockett</v>
      </c>
      <c r="AJ170" s="252" t="str">
        <f t="shared" si="2"/>
        <v>WR29</v>
      </c>
      <c r="AK170" s="252">
        <f>IFERROR(INDEX(TableWRVORP[BYE],MATCH(TableOverallMaster[[#This Row],[RK]],TableWRVORP[RK],0)),"")</f>
        <v>11</v>
      </c>
      <c r="AL170" s="253">
        <f>IFERROR(INDEX(TableWRVORP[FPS],MATCH(TableOverallMaster[[#This Row],[RK]],TableWRVORP[RK],0)),"")</f>
        <v>135.85216520741739</v>
      </c>
      <c r="AM170" s="254">
        <f>IFERROR(INDEX(TableWRVORP[VORP],MATCH(TableOverallMaster[[#This Row],[RK]],TableWRVORP[RK],0)),"")</f>
        <v>0.2466647481711127</v>
      </c>
      <c r="AN170" s="250"/>
      <c r="AO170" s="250">
        <v>169</v>
      </c>
      <c r="AP170" s="255" t="str">
        <f>IFERROR(INDEX(TableOverallMaster[OVERALL PLAYER],MATCH(TableOverallRank[[#This Row],[RK]],TableOverallMaster[OVR RK],0)),"")</f>
        <v>Darrel Williams</v>
      </c>
      <c r="AQ170" s="256" t="str">
        <f>IFERROR(INDEX(TableOverallMaster[POS RK],MATCH(TableOverallRank[[#This Row],[OVERALL PLAYER]],TableOverallMaster[OVERALL PLAYER],0)),"")</f>
        <v>RB57</v>
      </c>
      <c r="AR170" s="257">
        <f>IFERROR(INDEX(TableOverallMaster[BYE],MATCH(TableOverallRank[[#This Row],[OVERALL PLAYER]],TableOverallMaster[OVERALL PLAYER],0)),"")</f>
        <v>13</v>
      </c>
      <c r="AS170" s="258">
        <f>IFERROR(INDEX(TableOverallMaster[Custom],MATCH(TableOverallRank[[#This Row],[OVERALL PLAYER]],TableOverallMaster[OVERALL PLAYER],0)),"")</f>
        <v>84.070806040109474</v>
      </c>
      <c r="AT170" s="259">
        <f>IFERROR(INDEX(TableOverallMaster[VORP],MATCH(TableOverallRank[[#This Row],[OVERALL PLAYER]],TableOverallMaster[OVERALL PLAYER],0)),"")</f>
        <v>-0.17023791360966509</v>
      </c>
      <c r="AU170" s="250"/>
      <c r="AV170" s="246">
        <v>169</v>
      </c>
      <c r="AW170" s="260" t="str">
        <f>IFERROR(INDEX(TableWRTECalcPts[PLAYER],MATCH(TableWRTERank[[#This Row],[RK]],TableWRTECalcPts[RK],0)),"")</f>
        <v>Breshad Perriman</v>
      </c>
      <c r="AX170" s="260" t="str">
        <f>IFERROR(INDEX(TableWRTECalcPts[POS RK],MATCH(TableWRTERank[[#This Row],[WR and TE COMBINED]],TableWRTECalcPts[PLAYER],0)),"")</f>
        <v>WR121</v>
      </c>
      <c r="AY170" s="260">
        <f>IFERROR(INDEX(TableWRTECalcPts[BYE],MATCH(TableWRTERank[[#This Row],[RK]],TableWRTECalcPts[RK],0)),"")</f>
        <v>11</v>
      </c>
      <c r="AZ170" s="261">
        <f>IFERROR(INDEX(TableWRTECalcPts[Custom],MATCH(TableWRTERank[[#This Row],[RK]],TableWRTECalcPts[RK],0)),"")</f>
        <v>24.455010693231443</v>
      </c>
      <c r="BA170" s="249">
        <f>IFERROR((TableWRTERank[[#This Row],[FPS]]-INDEX(TableWRTERank[FPS],MATCH(WRTEVORPCalc,TableWRTERank[RK],0)))/INDEX(TableWRTERank[FPS],MATCH(WRTEVORPCalc,TableWRTERank[RK],0)),"")</f>
        <v>-0.79406333872791135</v>
      </c>
      <c r="BC170" s="124" t="s">
        <v>358</v>
      </c>
      <c r="BD170" s="124">
        <v>169</v>
      </c>
      <c r="BE170" s="262">
        <f>RANK(TableWRTEMaster[[#This Row],[VORP]],TableWRTEMaster[VORP])+COUNTIF($BJ$2:BJ170,BJ170)-1</f>
        <v>243</v>
      </c>
      <c r="BF170" s="263" t="str">
        <f>IFERROR(INDEX(TableWRVORP[WIDE RECEIVER],MATCH(TableWRTEMaster[[#This Row],[RK]],TableWRVORP[RK],0)),"")</f>
        <v>Juwann Winfree</v>
      </c>
      <c r="BG170" s="263" t="str">
        <f>_xlfn.CONCAT(TableWRTEMaster[[#This Row],[POS]],TableWRTEMaster[[#This Row],[RK]])</f>
        <v>WR169</v>
      </c>
      <c r="BH170" s="263">
        <f>IFERROR(INDEX(TableWRVORP[BYE],MATCH(TableWRTEMaster[[#This Row],[RK]],TableWRVORP[RK],0)),"")</f>
        <v>14</v>
      </c>
      <c r="BI170" s="264">
        <f>IFERROR(INDEX(TableWRVORP[FPS],MATCH(TableWRTEMaster[[#This Row],[RK]],TableWRVORP[RK],0)),"")</f>
        <v>9.826918098366809</v>
      </c>
      <c r="BJ170" s="254">
        <f>IFERROR(INDEX(TableWRVORP[VORP],MATCH(TableWRTEMaster[[#This Row],[RK]],TableWRVORP[RK],0)),"")</f>
        <v>-0.9098220307516327</v>
      </c>
    </row>
    <row r="171" spans="8:62" x14ac:dyDescent="0.3">
      <c r="H171" s="246">
        <v>170</v>
      </c>
      <c r="I171" s="247" t="str">
        <f>IFERROR(INDEX(TableRBCalcPts[PLAYER],MATCH(TableRBVORP[[#This Row],[RK]],TableRBCalcPts[RK],0)),"")</f>
        <v/>
      </c>
      <c r="J171" s="247" t="str">
        <f>IFERROR(INDEX(TableRBCalcPts[TM],MATCH(TableRBVORP[[#This Row],[RK]],TableRBCalcPts[RK],0)),"")</f>
        <v/>
      </c>
      <c r="K171" s="247" t="str">
        <f>IFERROR(INDEX(TableRBCalcPts[BYE],MATCH(TableRBVORP[[#This Row],[RK]],TableRBCalcPts[RK],0)),"")</f>
        <v/>
      </c>
      <c r="L171" s="248" t="str">
        <f>IFERROR(INDEX(TableRBCalcPts[Custom],MATCH(TableRBVORP[[#This Row],[RK]],TableRBCalcPts[RK],0)),"")</f>
        <v/>
      </c>
      <c r="M171" s="249" t="str">
        <f>IFERROR((TableRBVORP[[#This Row],[FPS]]-INDEX(TableRBVORP[FPS],MATCH(RBVORPCalc,TableRBVORP[RK],0)))/INDEX(TableRBVORP[FPS],MATCH(RBVORPCalc,TableRBVORP[RK],0)),"")</f>
        <v/>
      </c>
      <c r="N171" s="246"/>
      <c r="O171" s="246">
        <v>170</v>
      </c>
      <c r="P171" s="247" t="str">
        <f>IFERROR(INDEX(TableWRCalcPts[PLAYER],MATCH(TableWRVORP[[#This Row],[RK]],TableWRCalcPts[RK],0)),"")</f>
        <v>Kalif Raymond</v>
      </c>
      <c r="Q171" s="247" t="str">
        <f>IFERROR(INDEX(TableWRCalcPts[TM],MATCH(TableWRVORP[[#This Row],[RK]],TableWRCalcPts[RK],0)),"")</f>
        <v>DET</v>
      </c>
      <c r="R171" s="247">
        <f>IFERROR(INDEX(TableWRCalcPts[BYE],MATCH(TableWRVORP[[#This Row],[RK]],TableWRCalcPts[RK],0)),"")</f>
        <v>6</v>
      </c>
      <c r="S171" s="248">
        <f>IFERROR(INDEX(TableWRCalcPts[Custom],MATCH(TableWRVORP[[#This Row],[RK]],TableWRCalcPts[RK],0)),"")</f>
        <v>9.502644359990926</v>
      </c>
      <c r="T171" s="249">
        <f>IFERROR((TableWRVORP[[#This Row],[FPS]]-INDEX(TableWRVORP[FPS],MATCH(WRVORPCalc,TableWRVORP[RK],0)))/INDEX(TableWRVORP[FPS],MATCH(WRVORPCalc,TableWRVORP[RK],0)),"")</f>
        <v>-0.91279777013549634</v>
      </c>
      <c r="U171" s="246"/>
      <c r="AB171" s="246"/>
      <c r="AC171" s="250"/>
      <c r="AD171" s="250"/>
      <c r="AE171" s="250"/>
      <c r="AF171" s="250" t="s">
        <v>358</v>
      </c>
      <c r="AG171" s="250">
        <v>30</v>
      </c>
      <c r="AH171" s="251">
        <f>RANK(TableOverallMaster[[#This Row],[VORP]],TableOverallMaster[VORP])+COUNTIF($AM$2:AM171,AM171)-1</f>
        <v>81</v>
      </c>
      <c r="AI171" s="252" t="str">
        <f>IFERROR(INDEX(TableWRVORP[WIDE RECEIVER],MATCH(TableOverallMaster[[#This Row],[RK]],TableWRVORP[RK],0)),"")</f>
        <v>Jerry Jeudy</v>
      </c>
      <c r="AJ171" s="252" t="str">
        <f t="shared" si="2"/>
        <v>WR30</v>
      </c>
      <c r="AK171" s="252">
        <f>IFERROR(INDEX(TableWRVORP[BYE],MATCH(TableOverallMaster[[#This Row],[RK]],TableWRVORP[RK],0)),"")</f>
        <v>9</v>
      </c>
      <c r="AL171" s="253">
        <f>IFERROR(INDEX(TableWRVORP[FPS],MATCH(TableOverallMaster[[#This Row],[RK]],TableWRVORP[RK],0)),"")</f>
        <v>135.36511278671432</v>
      </c>
      <c r="AM171" s="254">
        <f>IFERROR(INDEX(TableWRVORP[VORP],MATCH(TableOverallMaster[[#This Row],[RK]],TableWRVORP[RK],0)),"")</f>
        <v>0.2421952494150578</v>
      </c>
      <c r="AN171" s="250"/>
      <c r="AO171" s="250">
        <v>170</v>
      </c>
      <c r="AP171" s="255" t="str">
        <f>IFERROR(INDEX(TableOverallMaster[OVERALL PLAYER],MATCH(TableOverallRank[[#This Row],[RK]],TableOverallMaster[OVR RK],0)),"")</f>
        <v>Noah Fant</v>
      </c>
      <c r="AQ171" s="256" t="str">
        <f>IFERROR(INDEX(TableOverallMaster[POS RK],MATCH(TableOverallRank[[#This Row],[OVERALL PLAYER]],TableOverallMaster[OVERALL PLAYER],0)),"")</f>
        <v>TE21</v>
      </c>
      <c r="AR171" s="257">
        <f>IFERROR(INDEX(TableOverallMaster[BYE],MATCH(TableOverallRank[[#This Row],[OVERALL PLAYER]],TableOverallMaster[OVERALL PLAYER],0)),"")</f>
        <v>11</v>
      </c>
      <c r="AS171" s="258">
        <f>IFERROR(INDEX(TableOverallMaster[Custom],MATCH(TableOverallRank[[#This Row],[OVERALL PLAYER]],TableOverallMaster[OVERALL PLAYER],0)),"")</f>
        <v>84.555063158015798</v>
      </c>
      <c r="AT171" s="259">
        <f>IFERROR(INDEX(TableOverallMaster[VORP],MATCH(TableOverallRank[[#This Row],[OVERALL PLAYER]],TableOverallMaster[OVERALL PLAYER],0)),"")</f>
        <v>-0.17468923271923195</v>
      </c>
      <c r="AU171" s="250"/>
      <c r="AV171" s="246">
        <v>170</v>
      </c>
      <c r="AW171" s="260" t="str">
        <f>IFERROR(INDEX(TableWRTECalcPts[PLAYER],MATCH(TableWRTERank[[#This Row],[RK]],TableWRTECalcPts[RK],0)),"")</f>
        <v>Zach Pascal</v>
      </c>
      <c r="AX171" s="260" t="str">
        <f>IFERROR(INDEX(TableWRTECalcPts[POS RK],MATCH(TableWRTERank[[#This Row],[WR and TE COMBINED]],TableWRTECalcPts[PLAYER],0)),"")</f>
        <v>WR122</v>
      </c>
      <c r="AY171" s="260">
        <f>IFERROR(INDEX(TableWRTECalcPts[BYE],MATCH(TableWRTERank[[#This Row],[RK]],TableWRTECalcPts[RK],0)),"")</f>
        <v>7</v>
      </c>
      <c r="AZ171" s="261">
        <f>IFERROR(INDEX(TableWRTECalcPts[Custom],MATCH(TableWRTERank[[#This Row],[RK]],TableWRTECalcPts[RK],0)),"")</f>
        <v>23.786128114823704</v>
      </c>
      <c r="BA171" s="249">
        <f>IFERROR((TableWRTERank[[#This Row],[FPS]]-INDEX(TableWRTERank[FPS],MATCH(WRTEVORPCalc,TableWRTERank[RK],0)))/INDEX(TableWRTERank[FPS],MATCH(WRTEVORPCalc,TableWRTERank[RK],0)),"")</f>
        <v>-0.79969602671600049</v>
      </c>
      <c r="BC171" s="124" t="s">
        <v>358</v>
      </c>
      <c r="BD171" s="124">
        <v>170</v>
      </c>
      <c r="BE171" s="262">
        <f>RANK(TableWRTEMaster[[#This Row],[VORP]],TableWRTEMaster[VORP])+COUNTIF($BJ$2:BJ171,BJ171)-1</f>
        <v>244</v>
      </c>
      <c r="BF171" s="263" t="str">
        <f>IFERROR(INDEX(TableWRVORP[WIDE RECEIVER],MATCH(TableWRTEMaster[[#This Row],[RK]],TableWRVORP[RK],0)),"")</f>
        <v>Kalif Raymond</v>
      </c>
      <c r="BG171" s="263" t="str">
        <f>_xlfn.CONCAT(TableWRTEMaster[[#This Row],[POS]],TableWRTEMaster[[#This Row],[RK]])</f>
        <v>WR170</v>
      </c>
      <c r="BH171" s="263">
        <f>IFERROR(INDEX(TableWRVORP[BYE],MATCH(TableWRTEMaster[[#This Row],[RK]],TableWRVORP[RK],0)),"")</f>
        <v>6</v>
      </c>
      <c r="BI171" s="264">
        <f>IFERROR(INDEX(TableWRVORP[FPS],MATCH(TableWRTEMaster[[#This Row],[RK]],TableWRVORP[RK],0)),"")</f>
        <v>9.502644359990926</v>
      </c>
      <c r="BJ171" s="254">
        <f>IFERROR(INDEX(TableWRVORP[VORP],MATCH(TableWRTEMaster[[#This Row],[RK]],TableWRVORP[RK],0)),"")</f>
        <v>-0.91279777013549634</v>
      </c>
    </row>
    <row r="172" spans="8:62" x14ac:dyDescent="0.3">
      <c r="H172" s="246">
        <v>171</v>
      </c>
      <c r="I172" s="247" t="str">
        <f>IFERROR(INDEX(TableRBCalcPts[PLAYER],MATCH(TableRBVORP[[#This Row],[RK]],TableRBCalcPts[RK],0)),"")</f>
        <v/>
      </c>
      <c r="J172" s="247" t="str">
        <f>IFERROR(INDEX(TableRBCalcPts[TM],MATCH(TableRBVORP[[#This Row],[RK]],TableRBCalcPts[RK],0)),"")</f>
        <v/>
      </c>
      <c r="K172" s="247" t="str">
        <f>IFERROR(INDEX(TableRBCalcPts[BYE],MATCH(TableRBVORP[[#This Row],[RK]],TableRBCalcPts[RK],0)),"")</f>
        <v/>
      </c>
      <c r="L172" s="248" t="str">
        <f>IFERROR(INDEX(TableRBCalcPts[Custom],MATCH(TableRBVORP[[#This Row],[RK]],TableRBCalcPts[RK],0)),"")</f>
        <v/>
      </c>
      <c r="M172" s="249" t="str">
        <f>IFERROR((TableRBVORP[[#This Row],[FPS]]-INDEX(TableRBVORP[FPS],MATCH(RBVORPCalc,TableRBVORP[RK],0)))/INDEX(TableRBVORP[FPS],MATCH(RBVORPCalc,TableRBVORP[RK],0)),"")</f>
        <v/>
      </c>
      <c r="N172" s="246"/>
      <c r="O172" s="246">
        <v>171</v>
      </c>
      <c r="P172" s="247" t="str">
        <f>IFERROR(INDEX(TableWRCalcPts[PLAYER],MATCH(TableWRVORP[[#This Row],[RK]],TableWRCalcPts[RK],0)),"")</f>
        <v>Mike Strachan</v>
      </c>
      <c r="Q172" s="247" t="str">
        <f>IFERROR(INDEX(TableWRCalcPts[TM],MATCH(TableWRVORP[[#This Row],[RK]],TableWRCalcPts[RK],0)),"")</f>
        <v>IND</v>
      </c>
      <c r="R172" s="247">
        <f>IFERROR(INDEX(TableWRCalcPts[BYE],MATCH(TableWRVORP[[#This Row],[RK]],TableWRCalcPts[RK],0)),"")</f>
        <v>14</v>
      </c>
      <c r="S172" s="248">
        <f>IFERROR(INDEX(TableWRCalcPts[Custom],MATCH(TableWRVORP[[#This Row],[RK]],TableWRCalcPts[RK],0)),"")</f>
        <v>9.4845967772622615</v>
      </c>
      <c r="T172" s="249">
        <f>IFERROR((TableWRVORP[[#This Row],[FPS]]-INDEX(TableWRVORP[FPS],MATCH(WRVORPCalc,TableWRVORP[RK],0)))/INDEX(TableWRVORP[FPS],MATCH(WRVORPCalc,TableWRVORP[RK],0)),"")</f>
        <v>-0.91296338608385597</v>
      </c>
      <c r="U172" s="246"/>
      <c r="AB172" s="246"/>
      <c r="AC172" s="250"/>
      <c r="AD172" s="250"/>
      <c r="AE172" s="250"/>
      <c r="AF172" s="250" t="s">
        <v>358</v>
      </c>
      <c r="AG172" s="250">
        <v>31</v>
      </c>
      <c r="AH172" s="251">
        <f>RANK(TableOverallMaster[[#This Row],[VORP]],TableOverallMaster[VORP])+COUNTIF($AM$2:AM172,AM172)-1</f>
        <v>82</v>
      </c>
      <c r="AI172" s="252" t="str">
        <f>IFERROR(INDEX(TableWRVORP[WIDE RECEIVER],MATCH(TableOverallMaster[[#This Row],[RK]],TableWRVORP[RK],0)),"")</f>
        <v>Allen Lazard</v>
      </c>
      <c r="AJ172" s="252" t="str">
        <f t="shared" si="2"/>
        <v>WR31</v>
      </c>
      <c r="AK172" s="252">
        <f>IFERROR(INDEX(TableWRVORP[BYE],MATCH(TableOverallMaster[[#This Row],[RK]],TableWRVORP[RK],0)),"")</f>
        <v>14</v>
      </c>
      <c r="AL172" s="253">
        <f>IFERROR(INDEX(TableWRVORP[FPS],MATCH(TableOverallMaster[[#This Row],[RK]],TableWRVORP[RK],0)),"")</f>
        <v>134.96304503309676</v>
      </c>
      <c r="AM172" s="254">
        <f>IFERROR(INDEX(TableWRVORP[VORP],MATCH(TableOverallMaster[[#This Row],[RK]],TableWRVORP[RK],0)),"")</f>
        <v>0.23850562331269817</v>
      </c>
      <c r="AN172" s="250"/>
      <c r="AO172" s="250">
        <v>171</v>
      </c>
      <c r="AP172" s="255" t="str">
        <f>IFERROR(INDEX(TableOverallMaster[OVERALL PLAYER],MATCH(TableOverallRank[[#This Row],[RK]],TableOverallMaster[OVR RK],0)),"")</f>
        <v>John Metchie</v>
      </c>
      <c r="AQ172" s="256" t="str">
        <f>IFERROR(INDEX(TableOverallMaster[POS RK],MATCH(TableOverallRank[[#This Row],[OVERALL PLAYER]],TableOverallMaster[OVERALL PLAYER],0)),"")</f>
        <v>WR67</v>
      </c>
      <c r="AR172" s="257">
        <f>IFERROR(INDEX(TableOverallMaster[BYE],MATCH(TableOverallRank[[#This Row],[OVERALL PLAYER]],TableOverallMaster[OVERALL PLAYER],0)),"")</f>
        <v>6</v>
      </c>
      <c r="AS172" s="258">
        <f>IFERROR(INDEX(TableOverallMaster[Custom],MATCH(TableOverallRank[[#This Row],[OVERALL PLAYER]],TableOverallMaster[OVERALL PLAYER],0)),"")</f>
        <v>89.873250374261502</v>
      </c>
      <c r="AT172" s="259">
        <f>IFERROR(INDEX(TableOverallMaster[VORP],MATCH(TableOverallRank[[#This Row],[OVERALL PLAYER]],TableOverallMaster[OVERALL PLAYER],0)),"")</f>
        <v>-0.17526663727380393</v>
      </c>
      <c r="AU172" s="250"/>
      <c r="AV172" s="246">
        <v>171</v>
      </c>
      <c r="AW172" s="260" t="str">
        <f>IFERROR(INDEX(TableWRTECalcPts[PLAYER],MATCH(TableWRTERank[[#This Row],[RK]],TableWRTECalcPts[RK],0)),"")</f>
        <v>Jaylon Moore</v>
      </c>
      <c r="AX172" s="260" t="str">
        <f>IFERROR(INDEX(TableWRTECalcPts[POS RK],MATCH(TableWRTERank[[#This Row],[WR and TE COMBINED]],TableWRTECalcPts[PLAYER],0)),"")</f>
        <v>WR123</v>
      </c>
      <c r="AY172" s="260">
        <f>IFERROR(INDEX(TableWRTECalcPts[BYE],MATCH(TableWRTERank[[#This Row],[RK]],TableWRTECalcPts[RK],0)),"")</f>
        <v>10</v>
      </c>
      <c r="AZ172" s="261">
        <f>IFERROR(INDEX(TableWRTECalcPts[Custom],MATCH(TableWRTERank[[#This Row],[RK]],TableWRTECalcPts[RK],0)),"")</f>
        <v>23.760689221327276</v>
      </c>
      <c r="BA172" s="249">
        <f>IFERROR((TableWRTERank[[#This Row],[FPS]]-INDEX(TableWRTERank[FPS],MATCH(WRTEVORPCalc,TableWRTERank[RK],0)))/INDEX(TableWRTERank[FPS],MATCH(WRTEVORPCalc,TableWRTERank[RK],0)),"")</f>
        <v>-0.7999102486952433</v>
      </c>
      <c r="BC172" s="124" t="s">
        <v>358</v>
      </c>
      <c r="BD172" s="124">
        <v>171</v>
      </c>
      <c r="BE172" s="262">
        <f>RANK(TableWRTEMaster[[#This Row],[VORP]],TableWRTEMaster[VORP])+COUNTIF($BJ$2:BJ172,BJ172)-1</f>
        <v>245</v>
      </c>
      <c r="BF172" s="263" t="str">
        <f>IFERROR(INDEX(TableWRVORP[WIDE RECEIVER],MATCH(TableWRTEMaster[[#This Row],[RK]],TableWRVORP[RK],0)),"")</f>
        <v>Mike Strachan</v>
      </c>
      <c r="BG172" s="263" t="str">
        <f>_xlfn.CONCAT(TableWRTEMaster[[#This Row],[POS]],TableWRTEMaster[[#This Row],[RK]])</f>
        <v>WR171</v>
      </c>
      <c r="BH172" s="263">
        <f>IFERROR(INDEX(TableWRVORP[BYE],MATCH(TableWRTEMaster[[#This Row],[RK]],TableWRVORP[RK],0)),"")</f>
        <v>14</v>
      </c>
      <c r="BI172" s="264">
        <f>IFERROR(INDEX(TableWRVORP[FPS],MATCH(TableWRTEMaster[[#This Row],[RK]],TableWRVORP[RK],0)),"")</f>
        <v>9.4845967772622615</v>
      </c>
      <c r="BJ172" s="254">
        <f>IFERROR(INDEX(TableWRVORP[VORP],MATCH(TableWRTEMaster[[#This Row],[RK]],TableWRVORP[RK],0)),"")</f>
        <v>-0.91296338608385597</v>
      </c>
    </row>
    <row r="173" spans="8:62" x14ac:dyDescent="0.3">
      <c r="H173" s="246">
        <v>172</v>
      </c>
      <c r="I173" s="247" t="str">
        <f>IFERROR(INDEX(TableRBCalcPts[PLAYER],MATCH(TableRBVORP[[#This Row],[RK]],TableRBCalcPts[RK],0)),"")</f>
        <v/>
      </c>
      <c r="J173" s="247" t="str">
        <f>IFERROR(INDEX(TableRBCalcPts[TM],MATCH(TableRBVORP[[#This Row],[RK]],TableRBCalcPts[RK],0)),"")</f>
        <v/>
      </c>
      <c r="K173" s="247" t="str">
        <f>IFERROR(INDEX(TableRBCalcPts[BYE],MATCH(TableRBVORP[[#This Row],[RK]],TableRBCalcPts[RK],0)),"")</f>
        <v/>
      </c>
      <c r="L173" s="248" t="str">
        <f>IFERROR(INDEX(TableRBCalcPts[Custom],MATCH(TableRBVORP[[#This Row],[RK]],TableRBCalcPts[RK],0)),"")</f>
        <v/>
      </c>
      <c r="M173" s="249" t="str">
        <f>IFERROR((TableRBVORP[[#This Row],[FPS]]-INDEX(TableRBVORP[FPS],MATCH(RBVORPCalc,TableRBVORP[RK],0)))/INDEX(TableRBVORP[FPS],MATCH(RBVORPCalc,TableRBVORP[RK],0)),"")</f>
        <v/>
      </c>
      <c r="N173" s="246"/>
      <c r="O173" s="246">
        <v>172</v>
      </c>
      <c r="P173" s="247" t="str">
        <f>IFERROR(INDEX(TableWRCalcPts[PLAYER],MATCH(TableWRVORP[[#This Row],[RK]],TableWRCalcPts[RK],0)),"")</f>
        <v>Erik Ezukanma</v>
      </c>
      <c r="Q173" s="247" t="str">
        <f>IFERROR(INDEX(TableWRCalcPts[TM],MATCH(TableWRVORP[[#This Row],[RK]],TableWRCalcPts[RK],0)),"")</f>
        <v>MIA</v>
      </c>
      <c r="R173" s="247">
        <f>IFERROR(INDEX(TableWRCalcPts[BYE],MATCH(TableWRVORP[[#This Row],[RK]],TableWRCalcPts[RK],0)),"")</f>
        <v>11</v>
      </c>
      <c r="S173" s="248">
        <f>IFERROR(INDEX(TableWRCalcPts[Custom],MATCH(TableWRVORP[[#This Row],[RK]],TableWRCalcPts[RK],0)),"")</f>
        <v>9.3489125569533069</v>
      </c>
      <c r="T173" s="249">
        <f>IFERROR((TableWRVORP[[#This Row],[FPS]]-INDEX(TableWRVORP[FPS],MATCH(WRVORPCalc,TableWRVORP[RK],0)))/INDEX(TableWRVORP[FPS],MATCH(WRVORPCalc,TableWRVORP[RK],0)),"")</f>
        <v>-0.91420850966421252</v>
      </c>
      <c r="U173" s="246"/>
      <c r="AB173" s="246"/>
      <c r="AC173" s="250"/>
      <c r="AD173" s="250"/>
      <c r="AE173" s="250"/>
      <c r="AF173" s="250" t="s">
        <v>358</v>
      </c>
      <c r="AG173" s="250">
        <v>32</v>
      </c>
      <c r="AH173" s="251">
        <f>RANK(TableOverallMaster[[#This Row],[VORP]],TableOverallMaster[VORP])+COUNTIF($AM$2:AM173,AM173)-1</f>
        <v>84</v>
      </c>
      <c r="AI173" s="252" t="str">
        <f>IFERROR(INDEX(TableWRVORP[WIDE RECEIVER],MATCH(TableOverallMaster[[#This Row],[RK]],TableWRVORP[RK],0)),"")</f>
        <v>Darnell Mooney</v>
      </c>
      <c r="AJ173" s="252" t="str">
        <f t="shared" si="2"/>
        <v>WR32</v>
      </c>
      <c r="AK173" s="252">
        <f>IFERROR(INDEX(TableWRVORP[BYE],MATCH(TableOverallMaster[[#This Row],[RK]],TableWRVORP[RK],0)),"")</f>
        <v>14</v>
      </c>
      <c r="AL173" s="253">
        <f>IFERROR(INDEX(TableWRVORP[FPS],MATCH(TableOverallMaster[[#This Row],[RK]],TableWRVORP[RK],0)),"")</f>
        <v>134.25338130240169</v>
      </c>
      <c r="AM173" s="254">
        <f>IFERROR(INDEX(TableWRVORP[VORP],MATCH(TableOverallMaster[[#This Row],[RK]],TableWRVORP[RK],0)),"")</f>
        <v>0.23199330343349439</v>
      </c>
      <c r="AN173" s="250"/>
      <c r="AO173" s="250">
        <v>172</v>
      </c>
      <c r="AP173" s="255" t="str">
        <f>IFERROR(INDEX(TableOverallMaster[OVERALL PLAYER],MATCH(TableOverallRank[[#This Row],[RK]],TableOverallMaster[OVR RK],0)),"")</f>
        <v>Logan Thomas</v>
      </c>
      <c r="AQ173" s="256" t="str">
        <f>IFERROR(INDEX(TableOverallMaster[POS RK],MATCH(TableOverallRank[[#This Row],[OVERALL PLAYER]],TableOverallMaster[OVERALL PLAYER],0)),"")</f>
        <v>TE22</v>
      </c>
      <c r="AR173" s="257">
        <f>IFERROR(INDEX(TableOverallMaster[BYE],MATCH(TableOverallRank[[#This Row],[OVERALL PLAYER]],TableOverallMaster[OVERALL PLAYER],0)),"")</f>
        <v>14</v>
      </c>
      <c r="AS173" s="258">
        <f>IFERROR(INDEX(TableOverallMaster[Custom],MATCH(TableOverallRank[[#This Row],[OVERALL PLAYER]],TableOverallMaster[OVERALL PLAYER],0)),"")</f>
        <v>84.483769417527256</v>
      </c>
      <c r="AT173" s="259">
        <f>IFERROR(INDEX(TableOverallMaster[VORP],MATCH(TableOverallRank[[#This Row],[OVERALL PLAYER]],TableOverallMaster[OVERALL PLAYER],0)),"")</f>
        <v>-0.17538510460989515</v>
      </c>
      <c r="AU173" s="250"/>
      <c r="AV173" s="246">
        <v>172</v>
      </c>
      <c r="AW173" s="260" t="str">
        <f>IFERROR(INDEX(TableWRTECalcPts[PLAYER],MATCH(TableWRTERank[[#This Row],[RK]],TableWRTECalcPts[RK],0)),"")</f>
        <v>Dyami Brown</v>
      </c>
      <c r="AX173" s="260" t="str">
        <f>IFERROR(INDEX(TableWRTECalcPts[POS RK],MATCH(TableWRTERank[[#This Row],[WR and TE COMBINED]],TableWRTECalcPts[PLAYER],0)),"")</f>
        <v>WR124</v>
      </c>
      <c r="AY173" s="260">
        <f>IFERROR(INDEX(TableWRTECalcPts[BYE],MATCH(TableWRTERank[[#This Row],[RK]],TableWRTECalcPts[RK],0)),"")</f>
        <v>14</v>
      </c>
      <c r="AZ173" s="261">
        <f>IFERROR(INDEX(TableWRTECalcPts[Custom],MATCH(TableWRTERank[[#This Row],[RK]],TableWRTECalcPts[RK],0)),"")</f>
        <v>23.658623331692777</v>
      </c>
      <c r="BA173" s="249">
        <f>IFERROR((TableWRTERank[[#This Row],[FPS]]-INDEX(TableWRTERank[FPS],MATCH(WRTEVORPCalc,TableWRTERank[RK],0)))/INDEX(TableWRTERank[FPS],MATCH(WRTEVORPCalc,TableWRTERank[RK],0)),"")</f>
        <v>-0.8007697497931886</v>
      </c>
      <c r="BC173" s="124" t="s">
        <v>358</v>
      </c>
      <c r="BD173" s="124">
        <v>172</v>
      </c>
      <c r="BE173" s="262">
        <f>RANK(TableWRTEMaster[[#This Row],[VORP]],TableWRTEMaster[VORP])+COUNTIF($BJ$2:BJ173,BJ173)-1</f>
        <v>246</v>
      </c>
      <c r="BF173" s="263" t="str">
        <f>IFERROR(INDEX(TableWRVORP[WIDE RECEIVER],MATCH(TableWRTEMaster[[#This Row],[RK]],TableWRVORP[RK],0)),"")</f>
        <v>Erik Ezukanma</v>
      </c>
      <c r="BG173" s="263" t="str">
        <f>_xlfn.CONCAT(TableWRTEMaster[[#This Row],[POS]],TableWRTEMaster[[#This Row],[RK]])</f>
        <v>WR172</v>
      </c>
      <c r="BH173" s="263">
        <f>IFERROR(INDEX(TableWRVORP[BYE],MATCH(TableWRTEMaster[[#This Row],[RK]],TableWRVORP[RK],0)),"")</f>
        <v>11</v>
      </c>
      <c r="BI173" s="264">
        <f>IFERROR(INDEX(TableWRVORP[FPS],MATCH(TableWRTEMaster[[#This Row],[RK]],TableWRVORP[RK],0)),"")</f>
        <v>9.3489125569533069</v>
      </c>
      <c r="BJ173" s="254">
        <f>IFERROR(INDEX(TableWRVORP[VORP],MATCH(TableWRTEMaster[[#This Row],[RK]],TableWRVORP[RK],0)),"")</f>
        <v>-0.91420850966421252</v>
      </c>
    </row>
    <row r="174" spans="8:62" x14ac:dyDescent="0.3">
      <c r="H174" s="246">
        <v>173</v>
      </c>
      <c r="I174" s="247" t="str">
        <f>IFERROR(INDEX(TableRBCalcPts[PLAYER],MATCH(TableRBVORP[[#This Row],[RK]],TableRBCalcPts[RK],0)),"")</f>
        <v/>
      </c>
      <c r="J174" s="247" t="str">
        <f>IFERROR(INDEX(TableRBCalcPts[TM],MATCH(TableRBVORP[[#This Row],[RK]],TableRBCalcPts[RK],0)),"")</f>
        <v/>
      </c>
      <c r="K174" s="247" t="str">
        <f>IFERROR(INDEX(TableRBCalcPts[BYE],MATCH(TableRBVORP[[#This Row],[RK]],TableRBCalcPts[RK],0)),"")</f>
        <v/>
      </c>
      <c r="L174" s="248" t="str">
        <f>IFERROR(INDEX(TableRBCalcPts[Custom],MATCH(TableRBVORP[[#This Row],[RK]],TableRBCalcPts[RK],0)),"")</f>
        <v/>
      </c>
      <c r="M174" s="249" t="str">
        <f>IFERROR((TableRBVORP[[#This Row],[FPS]]-INDEX(TableRBVORP[FPS],MATCH(RBVORPCalc,TableRBVORP[RK],0)))/INDEX(TableRBVORP[FPS],MATCH(RBVORPCalc,TableRBVORP[RK],0)),"")</f>
        <v/>
      </c>
      <c r="N174" s="246"/>
      <c r="O174" s="246">
        <v>173</v>
      </c>
      <c r="P174" s="247" t="str">
        <f>IFERROR(INDEX(TableWRCalcPts[PLAYER],MATCH(TableWRVORP[[#This Row],[RK]],TableWRCalcPts[RK],0)),"")</f>
        <v>Jason Moore</v>
      </c>
      <c r="Q174" s="247" t="str">
        <f>IFERROR(INDEX(TableWRCalcPts[TM],MATCH(TableWRVORP[[#This Row],[RK]],TableWRCalcPts[RK],0)),"")</f>
        <v>LAC</v>
      </c>
      <c r="R174" s="247">
        <f>IFERROR(INDEX(TableWRCalcPts[BYE],MATCH(TableWRVORP[[#This Row],[RK]],TableWRCalcPts[RK],0)),"")</f>
        <v>8</v>
      </c>
      <c r="S174" s="248">
        <f>IFERROR(INDEX(TableWRCalcPts[Custom],MATCH(TableWRVORP[[#This Row],[RK]],TableWRCalcPts[RK],0)),"")</f>
        <v>8.9314553250464517</v>
      </c>
      <c r="T174" s="249">
        <f>IFERROR((TableWRVORP[[#This Row],[FPS]]-INDEX(TableWRVORP[FPS],MATCH(WRVORPCalc,TableWRVORP[RK],0)))/INDEX(TableWRVORP[FPS],MATCH(WRVORPCalc,TableWRVORP[RK],0)),"")</f>
        <v>-0.91803935927998992</v>
      </c>
      <c r="U174" s="246"/>
      <c r="AB174" s="246"/>
      <c r="AC174" s="250"/>
      <c r="AD174" s="250"/>
      <c r="AE174" s="250"/>
      <c r="AF174" s="250" t="s">
        <v>358</v>
      </c>
      <c r="AG174" s="250">
        <v>33</v>
      </c>
      <c r="AH174" s="251">
        <f>RANK(TableOverallMaster[[#This Row],[VORP]],TableOverallMaster[VORP])+COUNTIF($AM$2:AM174,AM174)-1</f>
        <v>86</v>
      </c>
      <c r="AI174" s="252" t="str">
        <f>IFERROR(INDEX(TableWRVORP[WIDE RECEIVER],MATCH(TableOverallMaster[[#This Row],[RK]],TableWRVORP[RK],0)),"")</f>
        <v>Drake London</v>
      </c>
      <c r="AJ174" s="252" t="str">
        <f t="shared" si="2"/>
        <v>WR33</v>
      </c>
      <c r="AK174" s="252">
        <f>IFERROR(INDEX(TableWRVORP[BYE],MATCH(TableOverallMaster[[#This Row],[RK]],TableWRVORP[RK],0)),"")</f>
        <v>14</v>
      </c>
      <c r="AL174" s="253">
        <f>IFERROR(INDEX(TableWRVORP[FPS],MATCH(TableOverallMaster[[#This Row],[RK]],TableWRVORP[RK],0)),"")</f>
        <v>133.93393650127959</v>
      </c>
      <c r="AM174" s="254">
        <f>IFERROR(INDEX(TableWRVORP[VORP],MATCH(TableOverallMaster[[#This Row],[RK]],TableWRVORP[RK],0)),"")</f>
        <v>0.22906187740920225</v>
      </c>
      <c r="AN174" s="250"/>
      <c r="AO174" s="250">
        <v>173</v>
      </c>
      <c r="AP174" s="255" t="str">
        <f>IFERROR(INDEX(TableOverallMaster[OVERALL PLAYER],MATCH(TableOverallRank[[#This Row],[RK]],TableOverallMaster[OVR RK],0)),"")</f>
        <v>DeVante Parker</v>
      </c>
      <c r="AQ174" s="256" t="str">
        <f>IFERROR(INDEX(TableOverallMaster[POS RK],MATCH(TableOverallRank[[#This Row],[OVERALL PLAYER]],TableOverallMaster[OVERALL PLAYER],0)),"")</f>
        <v>WR68</v>
      </c>
      <c r="AR174" s="257">
        <f>IFERROR(INDEX(TableOverallMaster[BYE],MATCH(TableOverallRank[[#This Row],[OVERALL PLAYER]],TableOverallMaster[OVERALL PLAYER],0)),"")</f>
        <v>10</v>
      </c>
      <c r="AS174" s="258">
        <f>IFERROR(INDEX(TableOverallMaster[Custom],MATCH(TableOverallRank[[#This Row],[OVERALL PLAYER]],TableOverallMaster[OVERALL PLAYER],0)),"")</f>
        <v>87.406039713146185</v>
      </c>
      <c r="AT174" s="259">
        <f>IFERROR(INDEX(TableOverallMaster[VORP],MATCH(TableOverallRank[[#This Row],[OVERALL PLAYER]],TableOverallMaster[OVERALL PLAYER],0)),"")</f>
        <v>-0.19790731107409518</v>
      </c>
      <c r="AU174" s="250"/>
      <c r="AV174" s="246">
        <v>173</v>
      </c>
      <c r="AW174" s="260" t="str">
        <f>IFERROR(INDEX(TableWRTECalcPts[PLAYER],MATCH(TableWRTERank[[#This Row],[RK]],TableWRTECalcPts[RK],0)),"")</f>
        <v>Rashard Higgins</v>
      </c>
      <c r="AX174" s="260" t="str">
        <f>IFERROR(INDEX(TableWRTECalcPts[POS RK],MATCH(TableWRTERank[[#This Row],[WR and TE COMBINED]],TableWRTECalcPts[PLAYER],0)),"")</f>
        <v>WR125</v>
      </c>
      <c r="AY174" s="260">
        <f>IFERROR(INDEX(TableWRTECalcPts[BYE],MATCH(TableWRTERank[[#This Row],[RK]],TableWRTECalcPts[RK],0)),"")</f>
        <v>13</v>
      </c>
      <c r="AZ174" s="261">
        <f>IFERROR(INDEX(TableWRTECalcPts[Custom],MATCH(TableWRTERank[[#This Row],[RK]],TableWRTECalcPts[RK],0)),"")</f>
        <v>23.388939153604547</v>
      </c>
      <c r="BA174" s="249">
        <f>IFERROR((TableWRTERank[[#This Row],[FPS]]-INDEX(TableWRTERank[FPS],MATCH(WRTEVORPCalc,TableWRTERank[RK],0)))/INDEX(TableWRTERank[FPS],MATCH(WRTEVORPCalc,TableWRTERank[RK],0)),"")</f>
        <v>-0.80304077146355601</v>
      </c>
      <c r="BC174" s="124" t="s">
        <v>358</v>
      </c>
      <c r="BD174" s="124">
        <v>173</v>
      </c>
      <c r="BE174" s="262">
        <f>RANK(TableWRTEMaster[[#This Row],[VORP]],TableWRTEMaster[VORP])+COUNTIF($BJ$2:BJ174,BJ174)-1</f>
        <v>247</v>
      </c>
      <c r="BF174" s="263" t="str">
        <f>IFERROR(INDEX(TableWRVORP[WIDE RECEIVER],MATCH(TableWRTEMaster[[#This Row],[RK]],TableWRVORP[RK],0)),"")</f>
        <v>Jason Moore</v>
      </c>
      <c r="BG174" s="263" t="str">
        <f>_xlfn.CONCAT(TableWRTEMaster[[#This Row],[POS]],TableWRTEMaster[[#This Row],[RK]])</f>
        <v>WR173</v>
      </c>
      <c r="BH174" s="263">
        <f>IFERROR(INDEX(TableWRVORP[BYE],MATCH(TableWRTEMaster[[#This Row],[RK]],TableWRVORP[RK],0)),"")</f>
        <v>8</v>
      </c>
      <c r="BI174" s="264">
        <f>IFERROR(INDEX(TableWRVORP[FPS],MATCH(TableWRTEMaster[[#This Row],[RK]],TableWRVORP[RK],0)),"")</f>
        <v>8.9314553250464517</v>
      </c>
      <c r="BJ174" s="254">
        <f>IFERROR(INDEX(TableWRVORP[VORP],MATCH(TableWRTEMaster[[#This Row],[RK]],TableWRVORP[RK],0)),"")</f>
        <v>-0.91803935927998992</v>
      </c>
    </row>
    <row r="175" spans="8:62" x14ac:dyDescent="0.3">
      <c r="H175" s="246">
        <v>174</v>
      </c>
      <c r="I175" s="247" t="str">
        <f>IFERROR(INDEX(TableRBCalcPts[PLAYER],MATCH(TableRBVORP[[#This Row],[RK]],TableRBCalcPts[RK],0)),"")</f>
        <v/>
      </c>
      <c r="J175" s="247" t="str">
        <f>IFERROR(INDEX(TableRBCalcPts[TM],MATCH(TableRBVORP[[#This Row],[RK]],TableRBCalcPts[RK],0)),"")</f>
        <v/>
      </c>
      <c r="K175" s="247" t="str">
        <f>IFERROR(INDEX(TableRBCalcPts[BYE],MATCH(TableRBVORP[[#This Row],[RK]],TableRBCalcPts[RK],0)),"")</f>
        <v/>
      </c>
      <c r="L175" s="248" t="str">
        <f>IFERROR(INDEX(TableRBCalcPts[Custom],MATCH(TableRBVORP[[#This Row],[RK]],TableRBCalcPts[RK],0)),"")</f>
        <v/>
      </c>
      <c r="M175" s="249" t="str">
        <f>IFERROR((TableRBVORP[[#This Row],[FPS]]-INDEX(TableRBVORP[FPS],MATCH(RBVORPCalc,TableRBVORP[RK],0)))/INDEX(TableRBVORP[FPS],MATCH(RBVORPCalc,TableRBVORP[RK],0)),"")</f>
        <v/>
      </c>
      <c r="N175" s="246"/>
      <c r="O175" s="246">
        <v>174</v>
      </c>
      <c r="P175" s="247" t="str">
        <f>IFERROR(INDEX(TableWRCalcPts[PLAYER],MATCH(TableWRVORP[[#This Row],[RK]],TableWRCalcPts[RK],0)),"")</f>
        <v>Jalen Nailor</v>
      </c>
      <c r="Q175" s="247" t="str">
        <f>IFERROR(INDEX(TableWRCalcPts[TM],MATCH(TableWRVORP[[#This Row],[RK]],TableWRCalcPts[RK],0)),"")</f>
        <v>MIN</v>
      </c>
      <c r="R175" s="247">
        <f>IFERROR(INDEX(TableWRCalcPts[BYE],MATCH(TableWRVORP[[#This Row],[RK]],TableWRCalcPts[RK],0)),"")</f>
        <v>7</v>
      </c>
      <c r="S175" s="248">
        <f>IFERROR(INDEX(TableWRCalcPts[Custom],MATCH(TableWRVORP[[#This Row],[RK]],TableWRCalcPts[RK],0)),"")</f>
        <v>8.6483568154288335</v>
      </c>
      <c r="T175" s="249">
        <f>IFERROR((TableWRVORP[[#This Row],[FPS]]-INDEX(TableWRVORP[FPS],MATCH(WRVORPCalc,TableWRVORP[RK],0)))/INDEX(TableWRVORP[FPS],MATCH(WRVORPCalc,TableWRVORP[RK],0)),"")</f>
        <v>-0.9206372489173118</v>
      </c>
      <c r="U175" s="246"/>
      <c r="AB175" s="246"/>
      <c r="AC175" s="250"/>
      <c r="AD175" s="250"/>
      <c r="AE175" s="250"/>
      <c r="AF175" s="250" t="s">
        <v>358</v>
      </c>
      <c r="AG175" s="250">
        <v>34</v>
      </c>
      <c r="AH175" s="251">
        <f>RANK(TableOverallMaster[[#This Row],[VORP]],TableOverallMaster[VORP])+COUNTIF($AM$2:AM175,AM175)-1</f>
        <v>89</v>
      </c>
      <c r="AI175" s="252" t="str">
        <f>IFERROR(INDEX(TableWRVORP[WIDE RECEIVER],MATCH(TableOverallMaster[[#This Row],[RK]],TableWRVORP[RK],0)),"")</f>
        <v>Chris Godwin</v>
      </c>
      <c r="AJ175" s="252" t="str">
        <f t="shared" si="2"/>
        <v>WR34</v>
      </c>
      <c r="AK175" s="252">
        <f>IFERROR(INDEX(TableWRVORP[BYE],MATCH(TableOverallMaster[[#This Row],[RK]],TableWRVORP[RK],0)),"")</f>
        <v>11</v>
      </c>
      <c r="AL175" s="253">
        <f>IFERROR(INDEX(TableWRVORP[FPS],MATCH(TableOverallMaster[[#This Row],[RK]],TableWRVORP[RK],0)),"")</f>
        <v>132.66088916790426</v>
      </c>
      <c r="AM175" s="254">
        <f>IFERROR(INDEX(TableWRVORP[VORP],MATCH(TableOverallMaster[[#This Row],[RK]],TableWRVORP[RK],0)),"")</f>
        <v>0.2173795959317657</v>
      </c>
      <c r="AN175" s="250"/>
      <c r="AO175" s="250">
        <v>174</v>
      </c>
      <c r="AP175" s="255" t="str">
        <f>IFERROR(INDEX(TableOverallMaster[OVERALL PLAYER],MATCH(TableOverallRank[[#This Row],[RK]],TableOverallMaster[OVR RK],0)),"")</f>
        <v>Davis Mills</v>
      </c>
      <c r="AQ175" s="256" t="str">
        <f>IFERROR(INDEX(TableOverallMaster[POS RK],MATCH(TableOverallRank[[#This Row],[OVERALL PLAYER]],TableOverallMaster[OVERALL PLAYER],0)),"")</f>
        <v>QB27</v>
      </c>
      <c r="AR175" s="257">
        <f>IFERROR(INDEX(TableOverallMaster[BYE],MATCH(TableOverallRank[[#This Row],[OVERALL PLAYER]],TableOverallMaster[OVERALL PLAYER],0)),"")</f>
        <v>6</v>
      </c>
      <c r="AS175" s="258">
        <f>IFERROR(INDEX(TableOverallMaster[Custom],MATCH(TableOverallRank[[#This Row],[OVERALL PLAYER]],TableOverallMaster[OVERALL PLAYER],0)),"")</f>
        <v>238.21543876703646</v>
      </c>
      <c r="AT175" s="259">
        <f>IFERROR(INDEX(TableOverallMaster[VORP],MATCH(TableOverallRank[[#This Row],[OVERALL PLAYER]],TableOverallMaster[OVERALL PLAYER],0)),"")</f>
        <v>-0.19898588994089006</v>
      </c>
      <c r="AU175" s="250"/>
      <c r="AV175" s="246">
        <v>174</v>
      </c>
      <c r="AW175" s="260" t="str">
        <f>IFERROR(INDEX(TableWRTECalcPts[PLAYER],MATCH(TableWRTERank[[#This Row],[RK]],TableWRTECalcPts[RK],0)),"")</f>
        <v>Auden Tate</v>
      </c>
      <c r="AX175" s="260" t="str">
        <f>IFERROR(INDEX(TableWRTECalcPts[POS RK],MATCH(TableWRTERank[[#This Row],[WR and TE COMBINED]],TableWRTECalcPts[PLAYER],0)),"")</f>
        <v>WR126</v>
      </c>
      <c r="AY175" s="260">
        <f>IFERROR(INDEX(TableWRTECalcPts[BYE],MATCH(TableWRTERank[[#This Row],[RK]],TableWRTECalcPts[RK],0)),"")</f>
        <v>14</v>
      </c>
      <c r="AZ175" s="261">
        <f>IFERROR(INDEX(TableWRTECalcPts[Custom],MATCH(TableWRTERank[[#This Row],[RK]],TableWRTECalcPts[RK],0)),"")</f>
        <v>22.711400034276718</v>
      </c>
      <c r="BA175" s="249">
        <f>IFERROR((TableWRTERank[[#This Row],[FPS]]-INDEX(TableWRTERank[FPS],MATCH(WRTEVORPCalc,TableWRTERank[RK],0)))/INDEX(TableWRTERank[FPS],MATCH(WRTEVORPCalc,TableWRTERank[RK],0)),"")</f>
        <v>-0.80874635654245453</v>
      </c>
      <c r="BC175" s="124" t="s">
        <v>358</v>
      </c>
      <c r="BD175" s="124">
        <v>174</v>
      </c>
      <c r="BE175" s="262">
        <f>RANK(TableWRTEMaster[[#This Row],[VORP]],TableWRTEMaster[VORP])+COUNTIF($BJ$2:BJ175,BJ175)-1</f>
        <v>249</v>
      </c>
      <c r="BF175" s="263" t="str">
        <f>IFERROR(INDEX(TableWRVORP[WIDE RECEIVER],MATCH(TableWRTEMaster[[#This Row],[RK]],TableWRVORP[RK],0)),"")</f>
        <v>Jalen Nailor</v>
      </c>
      <c r="BG175" s="263" t="str">
        <f>_xlfn.CONCAT(TableWRTEMaster[[#This Row],[POS]],TableWRTEMaster[[#This Row],[RK]])</f>
        <v>WR174</v>
      </c>
      <c r="BH175" s="263">
        <f>IFERROR(INDEX(TableWRVORP[BYE],MATCH(TableWRTEMaster[[#This Row],[RK]],TableWRVORP[RK],0)),"")</f>
        <v>7</v>
      </c>
      <c r="BI175" s="264">
        <f>IFERROR(INDEX(TableWRVORP[FPS],MATCH(TableWRTEMaster[[#This Row],[RK]],TableWRVORP[RK],0)),"")</f>
        <v>8.6483568154288335</v>
      </c>
      <c r="BJ175" s="254">
        <f>IFERROR(INDEX(TableWRVORP[VORP],MATCH(TableWRTEMaster[[#This Row],[RK]],TableWRVORP[RK],0)),"")</f>
        <v>-0.9206372489173118</v>
      </c>
    </row>
    <row r="176" spans="8:62" x14ac:dyDescent="0.3">
      <c r="H176" s="246">
        <v>175</v>
      </c>
      <c r="I176" s="247" t="str">
        <f>IFERROR(INDEX(TableRBCalcPts[PLAYER],MATCH(TableRBVORP[[#This Row],[RK]],TableRBCalcPts[RK],0)),"")</f>
        <v/>
      </c>
      <c r="J176" s="247" t="str">
        <f>IFERROR(INDEX(TableRBCalcPts[TM],MATCH(TableRBVORP[[#This Row],[RK]],TableRBCalcPts[RK],0)),"")</f>
        <v/>
      </c>
      <c r="K176" s="247" t="str">
        <f>IFERROR(INDEX(TableRBCalcPts[BYE],MATCH(TableRBVORP[[#This Row],[RK]],TableRBCalcPts[RK],0)),"")</f>
        <v/>
      </c>
      <c r="L176" s="248" t="str">
        <f>IFERROR(INDEX(TableRBCalcPts[Custom],MATCH(TableRBVORP[[#This Row],[RK]],TableRBCalcPts[RK],0)),"")</f>
        <v/>
      </c>
      <c r="M176" s="249" t="str">
        <f>IFERROR((TableRBVORP[[#This Row],[FPS]]-INDEX(TableRBVORP[FPS],MATCH(RBVORPCalc,TableRBVORP[RK],0)))/INDEX(TableRBVORP[FPS],MATCH(RBVORPCalc,TableRBVORP[RK],0)),"")</f>
        <v/>
      </c>
      <c r="N176" s="246"/>
      <c r="O176" s="246">
        <v>175</v>
      </c>
      <c r="P176" s="247" t="str">
        <f>IFERROR(INDEX(TableWRCalcPts[PLAYER],MATCH(TableWRVORP[[#This Row],[RK]],TableWRCalcPts[RK],0)),"")</f>
        <v>Chris Moore</v>
      </c>
      <c r="Q176" s="247" t="str">
        <f>IFERROR(INDEX(TableWRCalcPts[TM],MATCH(TableWRVORP[[#This Row],[RK]],TableWRCalcPts[RK],0)),"")</f>
        <v>HOU</v>
      </c>
      <c r="R176" s="247">
        <f>IFERROR(INDEX(TableWRCalcPts[BYE],MATCH(TableWRVORP[[#This Row],[RK]],TableWRCalcPts[RK],0)),"")</f>
        <v>6</v>
      </c>
      <c r="S176" s="248">
        <f>IFERROR(INDEX(TableWRCalcPts[Custom],MATCH(TableWRVORP[[#This Row],[RK]],TableWRCalcPts[RK],0)),"")</f>
        <v>8.5909616939617983</v>
      </c>
      <c r="T176" s="249">
        <f>IFERROR((TableWRVORP[[#This Row],[FPS]]-INDEX(TableWRVORP[FPS],MATCH(WRVORPCalc,TableWRVORP[RK],0)))/INDEX(TableWRVORP[FPS],MATCH(WRVORPCalc,TableWRVORP[RK],0)),"")</f>
        <v>-0.92116394258127132</v>
      </c>
      <c r="U176" s="246"/>
      <c r="AB176" s="246"/>
      <c r="AC176" s="250"/>
      <c r="AD176" s="250"/>
      <c r="AE176" s="250"/>
      <c r="AF176" s="250" t="s">
        <v>358</v>
      </c>
      <c r="AG176" s="250">
        <v>35</v>
      </c>
      <c r="AH176" s="251">
        <f>RANK(TableOverallMaster[[#This Row],[VORP]],TableOverallMaster[VORP])+COUNTIF($AM$2:AM176,AM176)-1</f>
        <v>90</v>
      </c>
      <c r="AI176" s="252" t="str">
        <f>IFERROR(INDEX(TableWRVORP[WIDE RECEIVER],MATCH(TableOverallMaster[[#This Row],[RK]],TableWRVORP[RK],0)),"")</f>
        <v>Hunter Renfrow</v>
      </c>
      <c r="AJ176" s="252" t="str">
        <f t="shared" si="2"/>
        <v>WR35</v>
      </c>
      <c r="AK176" s="252">
        <f>IFERROR(INDEX(TableWRVORP[BYE],MATCH(TableOverallMaster[[#This Row],[RK]],TableWRVORP[RK],0)),"")</f>
        <v>6</v>
      </c>
      <c r="AL176" s="253">
        <f>IFERROR(INDEX(TableWRVORP[FPS],MATCH(TableOverallMaster[[#This Row],[RK]],TableWRVORP[RK],0)),"")</f>
        <v>132.55605237294674</v>
      </c>
      <c r="AM176" s="254">
        <f>IFERROR(INDEX(TableWRVORP[VORP],MATCH(TableOverallMaster[[#This Row],[RK]],TableWRVORP[RK],0)),"")</f>
        <v>0.21641754769068511</v>
      </c>
      <c r="AN176" s="250"/>
      <c r="AO176" s="250">
        <v>175</v>
      </c>
      <c r="AP176" s="255" t="str">
        <f>IFERROR(INDEX(TableOverallMaster[OVERALL PLAYER],MATCH(TableOverallRank[[#This Row],[RK]],TableOverallMaster[OVR RK],0)),"")</f>
        <v>Curtis Samuel</v>
      </c>
      <c r="AQ176" s="256" t="str">
        <f>IFERROR(INDEX(TableOverallMaster[POS RK],MATCH(TableOverallRank[[#This Row],[OVERALL PLAYER]],TableOverallMaster[OVERALL PLAYER],0)),"")</f>
        <v>WR69</v>
      </c>
      <c r="AR176" s="257">
        <f>IFERROR(INDEX(TableOverallMaster[BYE],MATCH(TableOverallRank[[#This Row],[OVERALL PLAYER]],TableOverallMaster[OVERALL PLAYER],0)),"")</f>
        <v>14</v>
      </c>
      <c r="AS176" s="258">
        <f>IFERROR(INDEX(TableOverallMaster[Custom],MATCH(TableOverallRank[[#This Row],[OVERALL PLAYER]],TableOverallMaster[OVERALL PLAYER],0)),"")</f>
        <v>87.266912262059535</v>
      </c>
      <c r="AT176" s="259">
        <f>IFERROR(INDEX(TableOverallMaster[VORP],MATCH(TableOverallRank[[#This Row],[OVERALL PLAYER]],TableOverallMaster[OVERALL PLAYER],0)),"")</f>
        <v>-0.19918403190153147</v>
      </c>
      <c r="AU176" s="250"/>
      <c r="AV176" s="246">
        <v>175</v>
      </c>
      <c r="AW176" s="260" t="str">
        <f>IFERROR(INDEX(TableWRTECalcPts[PLAYER],MATCH(TableWRTERank[[#This Row],[RK]],TableWRTECalcPts[RK],0)),"")</f>
        <v>Greg Dulcich</v>
      </c>
      <c r="AX176" s="260" t="str">
        <f>IFERROR(INDEX(TableWRTECalcPts[POS RK],MATCH(TableWRTERank[[#This Row],[WR and TE COMBINED]],TableWRTECalcPts[PLAYER],0)),"")</f>
        <v>TE49</v>
      </c>
      <c r="AY176" s="260">
        <f>IFERROR(INDEX(TableWRTECalcPts[BYE],MATCH(TableWRTERank[[#This Row],[RK]],TableWRTECalcPts[RK],0)),"")</f>
        <v>9</v>
      </c>
      <c r="AZ176" s="261">
        <f>IFERROR(INDEX(TableWRTECalcPts[Custom],MATCH(TableWRTERank[[#This Row],[RK]],TableWRTECalcPts[RK],0)),"")</f>
        <v>22.454485484473569</v>
      </c>
      <c r="BA176" s="249">
        <f>IFERROR((TableWRTERank[[#This Row],[FPS]]-INDEX(TableWRTERank[FPS],MATCH(WRTEVORPCalc,TableWRTERank[RK],0)))/INDEX(TableWRTERank[FPS],MATCH(WRTEVORPCalc,TableWRTERank[RK],0)),"")</f>
        <v>-0.81090984464239335</v>
      </c>
      <c r="BC176" s="124" t="s">
        <v>358</v>
      </c>
      <c r="BD176" s="124">
        <v>175</v>
      </c>
      <c r="BE176" s="262">
        <f>RANK(TableWRTEMaster[[#This Row],[VORP]],TableWRTEMaster[VORP])+COUNTIF($BJ$2:BJ176,BJ176)-1</f>
        <v>250</v>
      </c>
      <c r="BF176" s="263" t="str">
        <f>IFERROR(INDEX(TableWRVORP[WIDE RECEIVER],MATCH(TableWRTEMaster[[#This Row],[RK]],TableWRVORP[RK],0)),"")</f>
        <v>Chris Moore</v>
      </c>
      <c r="BG176" s="263" t="str">
        <f>_xlfn.CONCAT(TableWRTEMaster[[#This Row],[POS]],TableWRTEMaster[[#This Row],[RK]])</f>
        <v>WR175</v>
      </c>
      <c r="BH176" s="263">
        <f>IFERROR(INDEX(TableWRVORP[BYE],MATCH(TableWRTEMaster[[#This Row],[RK]],TableWRVORP[RK],0)),"")</f>
        <v>6</v>
      </c>
      <c r="BI176" s="264">
        <f>IFERROR(INDEX(TableWRVORP[FPS],MATCH(TableWRTEMaster[[#This Row],[RK]],TableWRVORP[RK],0)),"")</f>
        <v>8.5909616939617983</v>
      </c>
      <c r="BJ176" s="254">
        <f>IFERROR(INDEX(TableWRVORP[VORP],MATCH(TableWRTEMaster[[#This Row],[RK]],TableWRVORP[RK],0)),"")</f>
        <v>-0.92116394258127132</v>
      </c>
    </row>
    <row r="177" spans="14:62" x14ac:dyDescent="0.3">
      <c r="N177" s="246"/>
      <c r="O177" s="246">
        <v>176</v>
      </c>
      <c r="P177" s="247" t="str">
        <f>IFERROR(INDEX(TableWRCalcPts[PLAYER],MATCH(TableWRVORP[[#This Row],[RK]],TableWRCalcPts[RK],0)),"")</f>
        <v>Marquez Stevenson</v>
      </c>
      <c r="Q177" s="247" t="str">
        <f>IFERROR(INDEX(TableWRCalcPts[TM],MATCH(TableWRVORP[[#This Row],[RK]],TableWRCalcPts[RK],0)),"")</f>
        <v>BUF</v>
      </c>
      <c r="R177" s="247">
        <f>IFERROR(INDEX(TableWRCalcPts[BYE],MATCH(TableWRVORP[[#This Row],[RK]],TableWRCalcPts[RK],0)),"")</f>
        <v>7</v>
      </c>
      <c r="S177" s="248">
        <f>IFERROR(INDEX(TableWRCalcPts[Custom],MATCH(TableWRVORP[[#This Row],[RK]],TableWRCalcPts[RK],0)),"")</f>
        <v>8.566595854902161</v>
      </c>
      <c r="T177" s="249">
        <f>IFERROR((TableWRVORP[[#This Row],[FPS]]-INDEX(TableWRVORP[FPS],MATCH(WRVORPCalc,TableWRVORP[RK],0)))/INDEX(TableWRVORP[FPS],MATCH(WRVORPCalc,TableWRVORP[RK],0)),"")</f>
        <v>-0.92138753881596436</v>
      </c>
      <c r="U177" s="246"/>
      <c r="AB177" s="246"/>
      <c r="AC177" s="250"/>
      <c r="AD177" s="250"/>
      <c r="AE177" s="250"/>
      <c r="AF177" s="250" t="s">
        <v>358</v>
      </c>
      <c r="AG177" s="250">
        <v>36</v>
      </c>
      <c r="AH177" s="251">
        <f>RANK(TableOverallMaster[[#This Row],[VORP]],TableOverallMaster[VORP])+COUNTIF($AM$2:AM177,AM177)-1</f>
        <v>91</v>
      </c>
      <c r="AI177" s="252" t="str">
        <f>IFERROR(INDEX(TableWRVORP[WIDE RECEIVER],MATCH(TableOverallMaster[[#This Row],[RK]],TableWRVORP[RK],0)),"")</f>
        <v>Amon-Ra St. Brown</v>
      </c>
      <c r="AJ177" s="252" t="str">
        <f t="shared" si="2"/>
        <v>WR36</v>
      </c>
      <c r="AK177" s="252">
        <f>IFERROR(INDEX(TableWRVORP[BYE],MATCH(TableOverallMaster[[#This Row],[RK]],TableWRVORP[RK],0)),"")</f>
        <v>6</v>
      </c>
      <c r="AL177" s="253">
        <f>IFERROR(INDEX(TableWRVORP[FPS],MATCH(TableOverallMaster[[#This Row],[RK]],TableWRVORP[RK],0)),"")</f>
        <v>132.52196259296818</v>
      </c>
      <c r="AM177" s="254">
        <f>IFERROR(INDEX(TableWRVORP[VORP],MATCH(TableOverallMaster[[#This Row],[RK]],TableWRVORP[RK],0)),"")</f>
        <v>0.21610471846998561</v>
      </c>
      <c r="AN177" s="250"/>
      <c r="AO177" s="250">
        <v>176</v>
      </c>
      <c r="AP177" s="255" t="str">
        <f>IFERROR(INDEX(TableOverallMaster[OVERALL PLAYER],MATCH(TableOverallRank[[#This Row],[RK]],TableOverallMaster[OVR RK],0)),"")</f>
        <v>Byron Pringle</v>
      </c>
      <c r="AQ177" s="256" t="str">
        <f>IFERROR(INDEX(TableOverallMaster[POS RK],MATCH(TableOverallRank[[#This Row],[OVERALL PLAYER]],TableOverallMaster[OVERALL PLAYER],0)),"")</f>
        <v>WR70</v>
      </c>
      <c r="AR177" s="257">
        <f>IFERROR(INDEX(TableOverallMaster[BYE],MATCH(TableOverallRank[[#This Row],[OVERALL PLAYER]],TableOverallMaster[OVERALL PLAYER],0)),"")</f>
        <v>14</v>
      </c>
      <c r="AS177" s="258">
        <f>IFERROR(INDEX(TableOverallMaster[Custom],MATCH(TableOverallRank[[#This Row],[OVERALL PLAYER]],TableOverallMaster[OVERALL PLAYER],0)),"")</f>
        <v>86.965222387666444</v>
      </c>
      <c r="AT177" s="259">
        <f>IFERROR(INDEX(TableOverallMaster[VORP],MATCH(TableOverallRank[[#This Row],[OVERALL PLAYER]],TableOverallMaster[OVERALL PLAYER],0)),"")</f>
        <v>-0.20195252757262958</v>
      </c>
      <c r="AU177" s="250"/>
      <c r="AV177" s="246">
        <v>176</v>
      </c>
      <c r="AW177" s="260" t="str">
        <f>IFERROR(INDEX(TableWRTECalcPts[PLAYER],MATCH(TableWRTERank[[#This Row],[RK]],TableWRTECalcPts[RK],0)),"")</f>
        <v>Noah Brown</v>
      </c>
      <c r="AX177" s="260" t="str">
        <f>IFERROR(INDEX(TableWRTECalcPts[POS RK],MATCH(TableWRTERank[[#This Row],[WR and TE COMBINED]],TableWRTECalcPts[PLAYER],0)),"")</f>
        <v>WR127</v>
      </c>
      <c r="AY177" s="260">
        <f>IFERROR(INDEX(TableWRTECalcPts[BYE],MATCH(TableWRTERank[[#This Row],[RK]],TableWRTECalcPts[RK],0)),"")</f>
        <v>9</v>
      </c>
      <c r="AZ177" s="261">
        <f>IFERROR(INDEX(TableWRTECalcPts[Custom],MATCH(TableWRTERank[[#This Row],[RK]],TableWRTECalcPts[RK],0)),"")</f>
        <v>22.327059721988597</v>
      </c>
      <c r="BA177" s="249">
        <f>IFERROR((TableWRTERank[[#This Row],[FPS]]-INDEX(TableWRTERank[FPS],MATCH(WRTEVORPCalc,TableWRTERank[RK],0)))/INDEX(TableWRTERank[FPS],MATCH(WRTEVORPCalc,TableWRTERank[RK],0)),"")</f>
        <v>-0.81198290228343817</v>
      </c>
      <c r="BC177" s="124" t="s">
        <v>358</v>
      </c>
      <c r="BD177" s="124">
        <v>176</v>
      </c>
      <c r="BE177" s="262">
        <f>RANK(TableWRTEMaster[[#This Row],[VORP]],TableWRTEMaster[VORP])+COUNTIF($BJ$2:BJ177,BJ177)-1</f>
        <v>252</v>
      </c>
      <c r="BF177" s="263" t="str">
        <f>IFERROR(INDEX(TableWRVORP[WIDE RECEIVER],MATCH(TableWRTEMaster[[#This Row],[RK]],TableWRVORP[RK],0)),"")</f>
        <v>Marquez Stevenson</v>
      </c>
      <c r="BG177" s="263" t="str">
        <f>_xlfn.CONCAT(TableWRTEMaster[[#This Row],[POS]],TableWRTEMaster[[#This Row],[RK]])</f>
        <v>WR176</v>
      </c>
      <c r="BH177" s="263">
        <f>IFERROR(INDEX(TableWRVORP[BYE],MATCH(TableWRTEMaster[[#This Row],[RK]],TableWRVORP[RK],0)),"")</f>
        <v>7</v>
      </c>
      <c r="BI177" s="264">
        <f>IFERROR(INDEX(TableWRVORP[FPS],MATCH(TableWRTEMaster[[#This Row],[RK]],TableWRVORP[RK],0)),"")</f>
        <v>8.566595854902161</v>
      </c>
      <c r="BJ177" s="254">
        <f>IFERROR(INDEX(TableWRVORP[VORP],MATCH(TableWRTEMaster[[#This Row],[RK]],TableWRVORP[RK],0)),"")</f>
        <v>-0.92138753881596436</v>
      </c>
    </row>
    <row r="178" spans="14:62" x14ac:dyDescent="0.3">
      <c r="N178" s="246"/>
      <c r="O178" s="246">
        <v>177</v>
      </c>
      <c r="P178" s="247" t="str">
        <f>IFERROR(INDEX(TableWRCalcPts[PLAYER],MATCH(TableWRVORP[[#This Row],[RK]],TableWRCalcPts[RK],0)),"")</f>
        <v>Stanley Morgan</v>
      </c>
      <c r="Q178" s="247" t="str">
        <f>IFERROR(INDEX(TableWRCalcPts[TM],MATCH(TableWRVORP[[#This Row],[RK]],TableWRCalcPts[RK],0)),"")</f>
        <v>CIN</v>
      </c>
      <c r="R178" s="247">
        <f>IFERROR(INDEX(TableWRCalcPts[BYE],MATCH(TableWRVORP[[#This Row],[RK]],TableWRCalcPts[RK],0)),"")</f>
        <v>10</v>
      </c>
      <c r="S178" s="248">
        <f>IFERROR(INDEX(TableWRCalcPts[Custom],MATCH(TableWRVORP[[#This Row],[RK]],TableWRCalcPts[RK],0)),"")</f>
        <v>7.4273755350731978</v>
      </c>
      <c r="T178" s="249">
        <f>IFERROR((TableWRVORP[[#This Row],[FPS]]-INDEX(TableWRVORP[FPS],MATCH(WRVORPCalc,TableWRVORP[RK],0)))/INDEX(TableWRVORP[FPS],MATCH(WRVORPCalc,TableWRVORP[RK],0)),"")</f>
        <v>-0.93184173960814609</v>
      </c>
      <c r="U178" s="246"/>
      <c r="AB178" s="246"/>
      <c r="AC178" s="250"/>
      <c r="AD178" s="250"/>
      <c r="AE178" s="250"/>
      <c r="AF178" s="250" t="s">
        <v>358</v>
      </c>
      <c r="AG178" s="250">
        <v>37</v>
      </c>
      <c r="AH178" s="251">
        <f>RANK(TableOverallMaster[[#This Row],[VORP]],TableOverallMaster[VORP])+COUNTIF($AM$2:AM178,AM178)-1</f>
        <v>93</v>
      </c>
      <c r="AI178" s="252" t="str">
        <f>IFERROR(INDEX(TableWRVORP[WIDE RECEIVER],MATCH(TableOverallMaster[[#This Row],[RK]],TableWRVORP[RK],0)),"")</f>
        <v>Marquise Brown</v>
      </c>
      <c r="AJ178" s="252" t="str">
        <f t="shared" si="2"/>
        <v>WR37</v>
      </c>
      <c r="AK178" s="252">
        <f>IFERROR(INDEX(TableWRVORP[BYE],MATCH(TableOverallMaster[[#This Row],[RK]],TableWRVORP[RK],0)),"")</f>
        <v>13</v>
      </c>
      <c r="AL178" s="253">
        <f>IFERROR(INDEX(TableWRVORP[FPS],MATCH(TableOverallMaster[[#This Row],[RK]],TableWRVORP[RK],0)),"")</f>
        <v>131.59638525679199</v>
      </c>
      <c r="AM178" s="254">
        <f>IFERROR(INDEX(TableWRVORP[VORP],MATCH(TableOverallMaster[[#This Row],[RK]],TableWRVORP[RK],0)),"")</f>
        <v>0.20761103980866105</v>
      </c>
      <c r="AN178" s="250"/>
      <c r="AO178" s="250">
        <v>177</v>
      </c>
      <c r="AP178" s="255" t="str">
        <f>IFERROR(INDEX(TableOverallMaster[OVERALL PLAYER],MATCH(TableOverallRank[[#This Row],[RK]],TableOverallMaster[OVR RK],0)),"")</f>
        <v>Robert Tonyan</v>
      </c>
      <c r="AQ178" s="256" t="str">
        <f>IFERROR(INDEX(TableOverallMaster[POS RK],MATCH(TableOverallRank[[#This Row],[OVERALL PLAYER]],TableOverallMaster[OVERALL PLAYER],0)),"")</f>
        <v>TE23</v>
      </c>
      <c r="AR178" s="257">
        <f>IFERROR(INDEX(TableOverallMaster[BYE],MATCH(TableOverallRank[[#This Row],[OVERALL PLAYER]],TableOverallMaster[OVERALL PLAYER],0)),"")</f>
        <v>14</v>
      </c>
      <c r="AS178" s="258">
        <f>IFERROR(INDEX(TableOverallMaster[Custom],MATCH(TableOverallRank[[#This Row],[OVERALL PLAYER]],TableOverallMaster[OVERALL PLAYER],0)),"")</f>
        <v>81.128898794421957</v>
      </c>
      <c r="AT178" s="259">
        <f>IFERROR(INDEX(TableOverallMaster[VORP],MATCH(TableOverallRank[[#This Row],[OVERALL PLAYER]],TableOverallMaster[OVERALL PLAYER],0)),"")</f>
        <v>-0.2081307586804079</v>
      </c>
      <c r="AU178" s="250"/>
      <c r="AV178" s="246">
        <v>177</v>
      </c>
      <c r="AW178" s="260" t="str">
        <f>IFERROR(INDEX(TableWRTECalcPts[PLAYER],MATCH(TableWRTERank[[#This Row],[RK]],TableWRTECalcPts[RK],0)),"")</f>
        <v>KhaDarel Hodge</v>
      </c>
      <c r="AX178" s="260" t="str">
        <f>IFERROR(INDEX(TableWRTECalcPts[POS RK],MATCH(TableWRTERank[[#This Row],[WR and TE COMBINED]],TableWRTECalcPts[PLAYER],0)),"")</f>
        <v>WR128</v>
      </c>
      <c r="AY178" s="260">
        <f>IFERROR(INDEX(TableWRTECalcPts[BYE],MATCH(TableWRTERank[[#This Row],[RK]],TableWRTECalcPts[RK],0)),"")</f>
        <v>14</v>
      </c>
      <c r="AZ178" s="261">
        <f>IFERROR(INDEX(TableWRTECalcPts[Custom],MATCH(TableWRTERank[[#This Row],[RK]],TableWRTECalcPts[RK],0)),"")</f>
        <v>22.265489269749821</v>
      </c>
      <c r="BA178" s="249">
        <f>IFERROR((TableWRTERank[[#This Row],[FPS]]-INDEX(TableWRTERank[FPS],MATCH(WRTEVORPCalc,TableWRTERank[RK],0)))/INDEX(TableWRTERank[FPS],MATCH(WRTEVORPCalc,TableWRTERank[RK],0)),"")</f>
        <v>-0.81250138962029206</v>
      </c>
      <c r="BC178" s="124" t="s">
        <v>358</v>
      </c>
      <c r="BD178" s="124">
        <v>177</v>
      </c>
      <c r="BE178" s="262">
        <f>RANK(TableWRTEMaster[[#This Row],[VORP]],TableWRTEMaster[VORP])+COUNTIF($BJ$2:BJ178,BJ178)-1</f>
        <v>257</v>
      </c>
      <c r="BF178" s="263" t="str">
        <f>IFERROR(INDEX(TableWRVORP[WIDE RECEIVER],MATCH(TableWRTEMaster[[#This Row],[RK]],TableWRVORP[RK],0)),"")</f>
        <v>Stanley Morgan</v>
      </c>
      <c r="BG178" s="263" t="str">
        <f>_xlfn.CONCAT(TableWRTEMaster[[#This Row],[POS]],TableWRTEMaster[[#This Row],[RK]])</f>
        <v>WR177</v>
      </c>
      <c r="BH178" s="263">
        <f>IFERROR(INDEX(TableWRVORP[BYE],MATCH(TableWRTEMaster[[#This Row],[RK]],TableWRVORP[RK],0)),"")</f>
        <v>10</v>
      </c>
      <c r="BI178" s="264">
        <f>IFERROR(INDEX(TableWRVORP[FPS],MATCH(TableWRTEMaster[[#This Row],[RK]],TableWRVORP[RK],0)),"")</f>
        <v>7.4273755350731978</v>
      </c>
      <c r="BJ178" s="254">
        <f>IFERROR(INDEX(TableWRVORP[VORP],MATCH(TableWRTEMaster[[#This Row],[RK]],TableWRVORP[RK],0)),"")</f>
        <v>-0.93184173960814609</v>
      </c>
    </row>
    <row r="179" spans="14:62" x14ac:dyDescent="0.3">
      <c r="N179" s="246"/>
      <c r="O179" s="246">
        <v>178</v>
      </c>
      <c r="P179" s="247" t="str">
        <f>IFERROR(INDEX(TableWRCalcPts[PLAYER],MATCH(TableWRVORP[[#This Row],[RK]],TableWRCalcPts[RK],0)),"")</f>
        <v>Dezmon Patmon</v>
      </c>
      <c r="Q179" s="247" t="str">
        <f>IFERROR(INDEX(TableWRCalcPts[TM],MATCH(TableWRVORP[[#This Row],[RK]],TableWRCalcPts[RK],0)),"")</f>
        <v>IND</v>
      </c>
      <c r="R179" s="247">
        <f>IFERROR(INDEX(TableWRCalcPts[BYE],MATCH(TableWRVORP[[#This Row],[RK]],TableWRCalcPts[RK],0)),"")</f>
        <v>14</v>
      </c>
      <c r="S179" s="248">
        <f>IFERROR(INDEX(TableWRCalcPts[Custom],MATCH(TableWRVORP[[#This Row],[RK]],TableWRCalcPts[RK],0)),"")</f>
        <v>7.2893610559642825</v>
      </c>
      <c r="T179" s="249">
        <f>IFERROR((TableWRVORP[[#This Row],[FPS]]-INDEX(TableWRVORP[FPS],MATCH(WRVORPCalc,TableWRVORP[RK],0)))/INDEX(TableWRVORP[FPS],MATCH(WRVORPCalc,TableWRVORP[RK],0)),"")</f>
        <v>-0.93310824710605456</v>
      </c>
      <c r="U179" s="246"/>
      <c r="AB179" s="246"/>
      <c r="AC179" s="250"/>
      <c r="AD179" s="250"/>
      <c r="AE179" s="250"/>
      <c r="AF179" s="250" t="s">
        <v>358</v>
      </c>
      <c r="AG179" s="250">
        <v>38</v>
      </c>
      <c r="AH179" s="251">
        <f>RANK(TableOverallMaster[[#This Row],[VORP]],TableOverallMaster[VORP])+COUNTIF($AM$2:AM179,AM179)-1</f>
        <v>100</v>
      </c>
      <c r="AI179" s="252" t="str">
        <f>IFERROR(INDEX(TableWRVORP[WIDE RECEIVER],MATCH(TableOverallMaster[[#This Row],[RK]],TableWRVORP[RK],0)),"")</f>
        <v>Christian Kirk</v>
      </c>
      <c r="AJ179" s="252" t="str">
        <f t="shared" si="2"/>
        <v>WR38</v>
      </c>
      <c r="AK179" s="252">
        <f>IFERROR(INDEX(TableWRVORP[BYE],MATCH(TableOverallMaster[[#This Row],[RK]],TableWRVORP[RK],0)),"")</f>
        <v>11</v>
      </c>
      <c r="AL179" s="253">
        <f>IFERROR(INDEX(TableWRVORP[FPS],MATCH(TableOverallMaster[[#This Row],[RK]],TableWRVORP[RK],0)),"")</f>
        <v>124.06080172234979</v>
      </c>
      <c r="AM179" s="254">
        <f>IFERROR(INDEX(TableWRVORP[VORP],MATCH(TableOverallMaster[[#This Row],[RK]],TableWRVORP[RK],0)),"")</f>
        <v>0.13845979488779731</v>
      </c>
      <c r="AN179" s="250"/>
      <c r="AO179" s="250">
        <v>178</v>
      </c>
      <c r="AP179" s="255" t="str">
        <f>IFERROR(INDEX(TableOverallMaster[OVERALL PLAYER],MATCH(TableOverallRank[[#This Row],[RK]],TableOverallMaster[OVR RK],0)),"")</f>
        <v>Joshua Palmer</v>
      </c>
      <c r="AQ179" s="256" t="str">
        <f>IFERROR(INDEX(TableOverallMaster[POS RK],MATCH(TableOverallRank[[#This Row],[OVERALL PLAYER]],TableOverallMaster[OVERALL PLAYER],0)),"")</f>
        <v>WR71</v>
      </c>
      <c r="AR179" s="257">
        <f>IFERROR(INDEX(TableOverallMaster[BYE],MATCH(TableOverallRank[[#This Row],[OVERALL PLAYER]],TableOverallMaster[OVERALL PLAYER],0)),"")</f>
        <v>8</v>
      </c>
      <c r="AS179" s="258">
        <f>IFERROR(INDEX(TableOverallMaster[Custom],MATCH(TableOverallRank[[#This Row],[OVERALL PLAYER]],TableOverallMaster[OVERALL PLAYER],0)),"")</f>
        <v>86.180512483488769</v>
      </c>
      <c r="AT179" s="259">
        <f>IFERROR(INDEX(TableOverallMaster[VORP],MATCH(TableOverallRank[[#This Row],[OVERALL PLAYER]],TableOverallMaster[OVERALL PLAYER],0)),"")</f>
        <v>-0.20915351824940992</v>
      </c>
      <c r="AU179" s="250"/>
      <c r="AV179" s="246">
        <v>178</v>
      </c>
      <c r="AW179" s="260" t="str">
        <f>IFERROR(INDEX(TableWRTECalcPts[PLAYER],MATCH(TableWRTERank[[#This Row],[RK]],TableWRTECalcPts[RK],0)),"")</f>
        <v>Ben Skowronek</v>
      </c>
      <c r="AX179" s="260" t="str">
        <f>IFERROR(INDEX(TableWRTECalcPts[POS RK],MATCH(TableWRTERank[[#This Row],[WR and TE COMBINED]],TableWRTECalcPts[PLAYER],0)),"")</f>
        <v>WR129</v>
      </c>
      <c r="AY179" s="260">
        <f>IFERROR(INDEX(TableWRTECalcPts[BYE],MATCH(TableWRTERank[[#This Row],[RK]],TableWRTECalcPts[RK],0)),"")</f>
        <v>7</v>
      </c>
      <c r="AZ179" s="261">
        <f>IFERROR(INDEX(TableWRTECalcPts[Custom],MATCH(TableWRTERank[[#This Row],[RK]],TableWRTECalcPts[RK],0)),"")</f>
        <v>22.067779718861189</v>
      </c>
      <c r="BA179" s="249">
        <f>IFERROR((TableWRTERank[[#This Row],[FPS]]-INDEX(TableWRTERank[FPS],MATCH(WRTEVORPCalc,TableWRTERank[RK],0)))/INDEX(TableWRTERank[FPS],MATCH(WRTEVORPCalc,TableWRTERank[RK],0)),"")</f>
        <v>-0.81416630996411665</v>
      </c>
      <c r="BC179" s="124" t="s">
        <v>358</v>
      </c>
      <c r="BD179" s="124">
        <v>178</v>
      </c>
      <c r="BE179" s="262">
        <f>RANK(TableWRTEMaster[[#This Row],[VORP]],TableWRTEMaster[VORP])+COUNTIF($BJ$2:BJ179,BJ179)-1</f>
        <v>258</v>
      </c>
      <c r="BF179" s="263" t="str">
        <f>IFERROR(INDEX(TableWRVORP[WIDE RECEIVER],MATCH(TableWRTEMaster[[#This Row],[RK]],TableWRVORP[RK],0)),"")</f>
        <v>Dezmon Patmon</v>
      </c>
      <c r="BG179" s="263" t="str">
        <f>_xlfn.CONCAT(TableWRTEMaster[[#This Row],[POS]],TableWRTEMaster[[#This Row],[RK]])</f>
        <v>WR178</v>
      </c>
      <c r="BH179" s="263">
        <f>IFERROR(INDEX(TableWRVORP[BYE],MATCH(TableWRTEMaster[[#This Row],[RK]],TableWRVORP[RK],0)),"")</f>
        <v>14</v>
      </c>
      <c r="BI179" s="264">
        <f>IFERROR(INDEX(TableWRVORP[FPS],MATCH(TableWRTEMaster[[#This Row],[RK]],TableWRVORP[RK],0)),"")</f>
        <v>7.2893610559642825</v>
      </c>
      <c r="BJ179" s="254">
        <f>IFERROR(INDEX(TableWRVORP[VORP],MATCH(TableWRTEMaster[[#This Row],[RK]],TableWRVORP[RK],0)),"")</f>
        <v>-0.93310824710605456</v>
      </c>
    </row>
    <row r="180" spans="14:62" x14ac:dyDescent="0.3">
      <c r="N180" s="246"/>
      <c r="O180" s="246">
        <v>179</v>
      </c>
      <c r="P180" s="247" t="str">
        <f>IFERROR(INDEX(TableWRCalcPts[PLAYER],MATCH(TableWRVORP[[#This Row],[RK]],TableWRCalcPts[RK],0)),"")</f>
        <v>Jaelon Darden</v>
      </c>
      <c r="Q180" s="247" t="str">
        <f>IFERROR(INDEX(TableWRCalcPts[TM],MATCH(TableWRVORP[[#This Row],[RK]],TableWRCalcPts[RK],0)),"")</f>
        <v>TB</v>
      </c>
      <c r="R180" s="247">
        <f>IFERROR(INDEX(TableWRCalcPts[BYE],MATCH(TableWRVORP[[#This Row],[RK]],TableWRCalcPts[RK],0)),"")</f>
        <v>11</v>
      </c>
      <c r="S180" s="248">
        <f>IFERROR(INDEX(TableWRCalcPts[Custom],MATCH(TableWRVORP[[#This Row],[RK]],TableWRCalcPts[RK],0)),"")</f>
        <v>7.2374689311343037</v>
      </c>
      <c r="T180" s="249">
        <f>IFERROR((TableWRVORP[[#This Row],[FPS]]-INDEX(TableWRVORP[FPS],MATCH(WRVORPCalc,TableWRVORP[RK],0)))/INDEX(TableWRVORP[FPS],MATCH(WRVORPCalc,TableWRVORP[RK],0)),"")</f>
        <v>-0.93358444181840561</v>
      </c>
      <c r="U180" s="246"/>
      <c r="AB180" s="246"/>
      <c r="AC180" s="250"/>
      <c r="AD180" s="250"/>
      <c r="AE180" s="250"/>
      <c r="AF180" s="250" t="s">
        <v>358</v>
      </c>
      <c r="AG180" s="250">
        <v>39</v>
      </c>
      <c r="AH180" s="251">
        <f>RANK(TableOverallMaster[[#This Row],[VORP]],TableOverallMaster[VORP])+COUNTIF($AM$2:AM180,AM180)-1</f>
        <v>101</v>
      </c>
      <c r="AI180" s="252" t="str">
        <f>IFERROR(INDEX(TableWRVORP[WIDE RECEIVER],MATCH(TableOverallMaster[[#This Row],[RK]],TableWRVORP[RK],0)),"")</f>
        <v>Adam Thielen</v>
      </c>
      <c r="AJ180" s="252" t="str">
        <f t="shared" si="2"/>
        <v>WR39</v>
      </c>
      <c r="AK180" s="252">
        <f>IFERROR(INDEX(TableWRVORP[BYE],MATCH(TableOverallMaster[[#This Row],[RK]],TableWRVORP[RK],0)),"")</f>
        <v>7</v>
      </c>
      <c r="AL180" s="253">
        <f>IFERROR(INDEX(TableWRVORP[FPS],MATCH(TableOverallMaster[[#This Row],[RK]],TableWRVORP[RK],0)),"")</f>
        <v>123.40827254262244</v>
      </c>
      <c r="AM180" s="254">
        <f>IFERROR(INDEX(TableWRVORP[VORP],MATCH(TableOverallMaster[[#This Row],[RK]],TableWRVORP[RK],0)),"")</f>
        <v>0.13247177751408021</v>
      </c>
      <c r="AN180" s="250"/>
      <c r="AO180" s="250">
        <v>179</v>
      </c>
      <c r="AP180" s="255" t="str">
        <f>IFERROR(INDEX(TableOverallMaster[OVERALL PLAYER],MATCH(TableOverallRank[[#This Row],[RK]],TableOverallMaster[OVR RK],0)),"")</f>
        <v>Marquez Valdes-Scantling</v>
      </c>
      <c r="AQ180" s="256" t="str">
        <f>IFERROR(INDEX(TableOverallMaster[POS RK],MATCH(TableOverallRank[[#This Row],[OVERALL PLAYER]],TableOverallMaster[OVERALL PLAYER],0)),"")</f>
        <v>WR72</v>
      </c>
      <c r="AR180" s="257">
        <f>IFERROR(INDEX(TableOverallMaster[BYE],MATCH(TableOverallRank[[#This Row],[OVERALL PLAYER]],TableOverallMaster[OVERALL PLAYER],0)),"")</f>
        <v>8</v>
      </c>
      <c r="AS180" s="258">
        <f>IFERROR(INDEX(TableOverallMaster[Custom],MATCH(TableOverallRank[[#This Row],[OVERALL PLAYER]],TableOverallMaster[OVERALL PLAYER],0)),"")</f>
        <v>85.989633923707842</v>
      </c>
      <c r="AT180" s="259">
        <f>IFERROR(INDEX(TableOverallMaster[VORP],MATCH(TableOverallRank[[#This Row],[OVERALL PLAYER]],TableOverallMaster[OVERALL PLAYER],0)),"")</f>
        <v>-0.21090513973661432</v>
      </c>
      <c r="AU180" s="250"/>
      <c r="AV180" s="246">
        <v>179</v>
      </c>
      <c r="AW180" s="260" t="str">
        <f>IFERROR(INDEX(TableWRTECalcPts[PLAYER],MATCH(TableWRTERank[[#This Row],[RK]],TableWRTECalcPts[RK],0)),"")</f>
        <v>Trey McBride</v>
      </c>
      <c r="AX180" s="260" t="str">
        <f>IFERROR(INDEX(TableWRTECalcPts[POS RK],MATCH(TableWRTERank[[#This Row],[WR and TE COMBINED]],TableWRTECalcPts[PLAYER],0)),"")</f>
        <v>TE50</v>
      </c>
      <c r="AY180" s="260">
        <f>IFERROR(INDEX(TableWRTECalcPts[BYE],MATCH(TableWRTERank[[#This Row],[RK]],TableWRTECalcPts[RK],0)),"")</f>
        <v>13</v>
      </c>
      <c r="AZ180" s="261">
        <f>IFERROR(INDEX(TableWRTECalcPts[Custom],MATCH(TableWRTERank[[#This Row],[RK]],TableWRTECalcPts[RK],0)),"")</f>
        <v>22.020922347162873</v>
      </c>
      <c r="BA180" s="249">
        <f>IFERROR((TableWRTERank[[#This Row],[FPS]]-INDEX(TableWRTERank[FPS],MATCH(WRTEVORPCalc,TableWRTERank[RK],0)))/INDEX(TableWRTERank[FPS],MATCH(WRTEVORPCalc,TableWRTERank[RK],0)),"")</f>
        <v>-0.8145608978383394</v>
      </c>
      <c r="BC180" s="124" t="s">
        <v>358</v>
      </c>
      <c r="BD180" s="124">
        <v>179</v>
      </c>
      <c r="BE180" s="262">
        <f>RANK(TableWRTEMaster[[#This Row],[VORP]],TableWRTEMaster[VORP])+COUNTIF($BJ$2:BJ180,BJ180)-1</f>
        <v>259</v>
      </c>
      <c r="BF180" s="263" t="str">
        <f>IFERROR(INDEX(TableWRVORP[WIDE RECEIVER],MATCH(TableWRTEMaster[[#This Row],[RK]],TableWRVORP[RK],0)),"")</f>
        <v>Jaelon Darden</v>
      </c>
      <c r="BG180" s="263" t="str">
        <f>_xlfn.CONCAT(TableWRTEMaster[[#This Row],[POS]],TableWRTEMaster[[#This Row],[RK]])</f>
        <v>WR179</v>
      </c>
      <c r="BH180" s="263">
        <f>IFERROR(INDEX(TableWRVORP[BYE],MATCH(TableWRTEMaster[[#This Row],[RK]],TableWRVORP[RK],0)),"")</f>
        <v>11</v>
      </c>
      <c r="BI180" s="264">
        <f>IFERROR(INDEX(TableWRVORP[FPS],MATCH(TableWRTEMaster[[#This Row],[RK]],TableWRVORP[RK],0)),"")</f>
        <v>7.2374689311343037</v>
      </c>
      <c r="BJ180" s="254">
        <f>IFERROR(INDEX(TableWRVORP[VORP],MATCH(TableWRTEMaster[[#This Row],[RK]],TableWRVORP[RK],0)),"")</f>
        <v>-0.93358444181840561</v>
      </c>
    </row>
    <row r="181" spans="14:62" x14ac:dyDescent="0.3">
      <c r="N181" s="246"/>
      <c r="O181" s="246">
        <v>180</v>
      </c>
      <c r="P181" s="247" t="str">
        <f>IFERROR(INDEX(TableWRCalcPts[PLAYER],MATCH(TableWRVORP[[#This Row],[RK]],TableWRCalcPts[RK],0)),"")</f>
        <v>Tylan Wallace</v>
      </c>
      <c r="Q181" s="247" t="str">
        <f>IFERROR(INDEX(TableWRCalcPts[TM],MATCH(TableWRVORP[[#This Row],[RK]],TableWRCalcPts[RK],0)),"")</f>
        <v>BAL</v>
      </c>
      <c r="R181" s="247">
        <f>IFERROR(INDEX(TableWRCalcPts[BYE],MATCH(TableWRVORP[[#This Row],[RK]],TableWRCalcPts[RK],0)),"")</f>
        <v>10</v>
      </c>
      <c r="S181" s="248">
        <f>IFERROR(INDEX(TableWRCalcPts[Custom],MATCH(TableWRVORP[[#This Row],[RK]],TableWRCalcPts[RK],0)),"")</f>
        <v>7.1753802088779821</v>
      </c>
      <c r="T181" s="249">
        <f>IFERROR((TableWRVORP[[#This Row],[FPS]]-INDEX(TableWRVORP[FPS],MATCH(WRVORPCalc,TableWRVORP[RK],0)))/INDEX(TableWRVORP[FPS],MATCH(WRVORPCalc,TableWRVORP[RK],0)),"")</f>
        <v>-0.93415420690958229</v>
      </c>
      <c r="U181" s="246"/>
      <c r="AB181" s="246"/>
      <c r="AC181" s="250"/>
      <c r="AD181" s="250"/>
      <c r="AE181" s="250"/>
      <c r="AF181" s="250" t="s">
        <v>358</v>
      </c>
      <c r="AG181" s="250">
        <v>40</v>
      </c>
      <c r="AH181" s="251">
        <f>RANK(TableOverallMaster[[#This Row],[VORP]],TableOverallMaster[VORP])+COUNTIF($AM$2:AM181,AM181)-1</f>
        <v>102</v>
      </c>
      <c r="AI181" s="252" t="str">
        <f>IFERROR(INDEX(TableWRVORP[WIDE RECEIVER],MATCH(TableOverallMaster[[#This Row],[RK]],TableWRVORP[RK],0)),"")</f>
        <v>Michael Gallup</v>
      </c>
      <c r="AJ181" s="252" t="str">
        <f t="shared" si="2"/>
        <v>WR40</v>
      </c>
      <c r="AK181" s="252">
        <f>IFERROR(INDEX(TableWRVORP[BYE],MATCH(TableOverallMaster[[#This Row],[RK]],TableWRVORP[RK],0)),"")</f>
        <v>9</v>
      </c>
      <c r="AL181" s="253">
        <f>IFERROR(INDEX(TableWRVORP[FPS],MATCH(TableOverallMaster[[#This Row],[RK]],TableWRVORP[RK],0)),"")</f>
        <v>123.27371421730166</v>
      </c>
      <c r="AM181" s="254">
        <f>IFERROR(INDEX(TableWRVORP[VORP],MATCH(TableOverallMaster[[#This Row],[RK]],TableWRVORP[RK],0)),"")</f>
        <v>0.13123698585290761</v>
      </c>
      <c r="AN181" s="250"/>
      <c r="AO181" s="250">
        <v>180</v>
      </c>
      <c r="AP181" s="255" t="str">
        <f>IFERROR(INDEX(TableOverallMaster[OVERALL PLAYER],MATCH(TableOverallRank[[#This Row],[RK]],TableOverallMaster[OVR RK],0)),"")</f>
        <v>Donovan Peoples-Jones</v>
      </c>
      <c r="AQ181" s="256" t="str">
        <f>IFERROR(INDEX(TableOverallMaster[POS RK],MATCH(TableOverallRank[[#This Row],[OVERALL PLAYER]],TableOverallMaster[OVERALL PLAYER],0)),"")</f>
        <v>WR73</v>
      </c>
      <c r="AR181" s="257">
        <f>IFERROR(INDEX(TableOverallMaster[BYE],MATCH(TableOverallRank[[#This Row],[OVERALL PLAYER]],TableOverallMaster[OVERALL PLAYER],0)),"")</f>
        <v>9</v>
      </c>
      <c r="AS181" s="258">
        <f>IFERROR(INDEX(TableOverallMaster[Custom],MATCH(TableOverallRank[[#This Row],[OVERALL PLAYER]],TableOverallMaster[OVERALL PLAYER],0)),"")</f>
        <v>85.670822503733376</v>
      </c>
      <c r="AT181" s="259">
        <f>IFERROR(INDEX(TableOverallMaster[VORP],MATCH(TableOverallRank[[#This Row],[OVERALL PLAYER]],TableOverallMaster[OVERALL PLAYER],0)),"")</f>
        <v>-0.21383075345789523</v>
      </c>
      <c r="AU181" s="250"/>
      <c r="AV181" s="246">
        <v>180</v>
      </c>
      <c r="AW181" s="260" t="str">
        <f>IFERROR(INDEX(TableWRTECalcPts[PLAYER],MATCH(TableWRTERank[[#This Row],[RK]],TableWRTECalcPts[RK],0)),"")</f>
        <v>Malik Turner</v>
      </c>
      <c r="AX181" s="260" t="str">
        <f>IFERROR(INDEX(TableWRTECalcPts[POS RK],MATCH(TableWRTERank[[#This Row],[WR and TE COMBINED]],TableWRTECalcPts[PLAYER],0)),"")</f>
        <v>WR130</v>
      </c>
      <c r="AY181" s="260">
        <f>IFERROR(INDEX(TableWRTECalcPts[BYE],MATCH(TableWRTERank[[#This Row],[RK]],TableWRTECalcPts[RK],0)),"")</f>
        <v>9</v>
      </c>
      <c r="AZ181" s="261">
        <f>IFERROR(INDEX(TableWRTECalcPts[Custom],MATCH(TableWRTERank[[#This Row],[RK]],TableWRTECalcPts[RK],0)),"")</f>
        <v>21.770513630880117</v>
      </c>
      <c r="BA181" s="249">
        <f>IFERROR((TableWRTERank[[#This Row],[FPS]]-INDEX(TableWRTERank[FPS],MATCH(WRTEVORPCalc,TableWRTERank[RK],0)))/INDEX(TableWRTERank[FPS],MATCH(WRTEVORPCalc,TableWRTERank[RK],0)),"")</f>
        <v>-0.81666960004385403</v>
      </c>
      <c r="BC181" s="124" t="s">
        <v>358</v>
      </c>
      <c r="BD181" s="124">
        <v>180</v>
      </c>
      <c r="BE181" s="262">
        <f>RANK(TableWRTEMaster[[#This Row],[VORP]],TableWRTEMaster[VORP])+COUNTIF($BJ$2:BJ181,BJ181)-1</f>
        <v>260</v>
      </c>
      <c r="BF181" s="263" t="str">
        <f>IFERROR(INDEX(TableWRVORP[WIDE RECEIVER],MATCH(TableWRTEMaster[[#This Row],[RK]],TableWRVORP[RK],0)),"")</f>
        <v>Tylan Wallace</v>
      </c>
      <c r="BG181" s="263" t="str">
        <f>_xlfn.CONCAT(TableWRTEMaster[[#This Row],[POS]],TableWRTEMaster[[#This Row],[RK]])</f>
        <v>WR180</v>
      </c>
      <c r="BH181" s="263">
        <f>IFERROR(INDEX(TableWRVORP[BYE],MATCH(TableWRTEMaster[[#This Row],[RK]],TableWRVORP[RK],0)),"")</f>
        <v>10</v>
      </c>
      <c r="BI181" s="264">
        <f>IFERROR(INDEX(TableWRVORP[FPS],MATCH(TableWRTEMaster[[#This Row],[RK]],TableWRVORP[RK],0)),"")</f>
        <v>7.1753802088779821</v>
      </c>
      <c r="BJ181" s="254">
        <f>IFERROR(INDEX(TableWRVORP[VORP],MATCH(TableWRTEMaster[[#This Row],[RK]],TableWRVORP[RK],0)),"")</f>
        <v>-0.93415420690958229</v>
      </c>
    </row>
    <row r="182" spans="14:62" x14ac:dyDescent="0.3">
      <c r="N182" s="246"/>
      <c r="O182" s="246">
        <v>181</v>
      </c>
      <c r="P182" s="247" t="str">
        <f>IFERROR(INDEX(TableWRCalcPts[PLAYER],MATCH(TableWRVORP[[#This Row],[RK]],TableWRCalcPts[RK],0)),"")</f>
        <v>Penny Hart</v>
      </c>
      <c r="Q182" s="247" t="str">
        <f>IFERROR(INDEX(TableWRCalcPts[TM],MATCH(TableWRVORP[[#This Row],[RK]],TableWRCalcPts[RK],0)),"")</f>
        <v>SEA</v>
      </c>
      <c r="R182" s="247">
        <f>IFERROR(INDEX(TableWRCalcPts[BYE],MATCH(TableWRVORP[[#This Row],[RK]],TableWRCalcPts[RK],0)),"")</f>
        <v>11</v>
      </c>
      <c r="S182" s="248">
        <f>IFERROR(INDEX(TableWRCalcPts[Custom],MATCH(TableWRVORP[[#This Row],[RK]],TableWRCalcPts[RK],0)),"")</f>
        <v>7.1095588047201934</v>
      </c>
      <c r="T182" s="249">
        <f>IFERROR((TableWRVORP[[#This Row],[FPS]]-INDEX(TableWRVORP[FPS],MATCH(WRVORPCalc,TableWRVORP[RK],0)))/INDEX(TableWRVORP[FPS],MATCH(WRVORPCalc,TableWRVORP[RK],0)),"")</f>
        <v>-0.93475822543305109</v>
      </c>
      <c r="U182" s="246"/>
      <c r="AB182" s="246"/>
      <c r="AC182" s="250"/>
      <c r="AD182" s="250"/>
      <c r="AE182" s="250"/>
      <c r="AF182" s="250" t="s">
        <v>358</v>
      </c>
      <c r="AG182" s="250">
        <v>41</v>
      </c>
      <c r="AH182" s="251">
        <f>RANK(TableOverallMaster[[#This Row],[VORP]],TableOverallMaster[VORP])+COUNTIF($AM$2:AM182,AM182)-1</f>
        <v>104</v>
      </c>
      <c r="AI182" s="252" t="str">
        <f>IFERROR(INDEX(TableWRVORP[WIDE RECEIVER],MATCH(TableOverallMaster[[#This Row],[RK]],TableWRVORP[RK],0)),"")</f>
        <v>Robert Woods</v>
      </c>
      <c r="AJ182" s="252" t="str">
        <f t="shared" si="2"/>
        <v>WR41</v>
      </c>
      <c r="AK182" s="252">
        <f>IFERROR(INDEX(TableWRVORP[BYE],MATCH(TableOverallMaster[[#This Row],[RK]],TableWRVORP[RK],0)),"")</f>
        <v>6</v>
      </c>
      <c r="AL182" s="253">
        <f>IFERROR(INDEX(TableWRVORP[FPS],MATCH(TableOverallMaster[[#This Row],[RK]],TableWRVORP[RK],0)),"")</f>
        <v>121.23371183487117</v>
      </c>
      <c r="AM182" s="254">
        <f>IFERROR(INDEX(TableWRVORP[VORP],MATCH(TableOverallMaster[[#This Row],[RK]],TableWRVORP[RK],0)),"")</f>
        <v>0.1125166433947786</v>
      </c>
      <c r="AN182" s="250"/>
      <c r="AO182" s="250">
        <v>181</v>
      </c>
      <c r="AP182" s="255" t="str">
        <f>IFERROR(INDEX(TableOverallMaster[OVERALL PLAYER],MATCH(TableOverallRank[[#This Row],[RK]],TableOverallMaster[OVR RK],0)),"")</f>
        <v>Mo Alie-Cox</v>
      </c>
      <c r="AQ182" s="256" t="str">
        <f>IFERROR(INDEX(TableOverallMaster[POS RK],MATCH(TableOverallRank[[#This Row],[OVERALL PLAYER]],TableOverallMaster[OVERALL PLAYER],0)),"")</f>
        <v>TE24</v>
      </c>
      <c r="AR182" s="257">
        <f>IFERROR(INDEX(TableOverallMaster[BYE],MATCH(TableOverallRank[[#This Row],[OVERALL PLAYER]],TableOverallMaster[OVERALL PLAYER],0)),"")</f>
        <v>14</v>
      </c>
      <c r="AS182" s="258">
        <f>IFERROR(INDEX(TableOverallMaster[Custom],MATCH(TableOverallRank[[#This Row],[OVERALL PLAYER]],TableOverallMaster[OVERALL PLAYER],0)),"")</f>
        <v>80.481520247403466</v>
      </c>
      <c r="AT182" s="259">
        <f>IFERROR(INDEX(TableOverallMaster[VORP],MATCH(TableOverallRank[[#This Row],[OVERALL PLAYER]],TableOverallMaster[OVERALL PLAYER],0)),"")</f>
        <v>-0.21444958176924489</v>
      </c>
      <c r="AU182" s="250"/>
      <c r="AV182" s="246">
        <v>181</v>
      </c>
      <c r="AW182" s="260" t="str">
        <f>IFERROR(INDEX(TableWRTECalcPts[PLAYER],MATCH(TableWRTERank[[#This Row],[RK]],TableWRTECalcPts[RK],0)),"")</f>
        <v>Daniel Bellinger</v>
      </c>
      <c r="AX182" s="260" t="str">
        <f>IFERROR(INDEX(TableWRTECalcPts[POS RK],MATCH(TableWRTERank[[#This Row],[WR and TE COMBINED]],TableWRTECalcPts[PLAYER],0)),"")</f>
        <v>TE51</v>
      </c>
      <c r="AY182" s="260">
        <f>IFERROR(INDEX(TableWRTECalcPts[BYE],MATCH(TableWRTERank[[#This Row],[RK]],TableWRTECalcPts[RK],0)),"")</f>
        <v>9</v>
      </c>
      <c r="AZ182" s="261">
        <f>IFERROR(INDEX(TableWRTECalcPts[Custom],MATCH(TableWRTERank[[#This Row],[RK]],TableWRTECalcPts[RK],0)),"")</f>
        <v>21.689387265231311</v>
      </c>
      <c r="BA182" s="249">
        <f>IFERROR((TableWRTERank[[#This Row],[FPS]]-INDEX(TableWRTERank[FPS],MATCH(WRTEVORPCalc,TableWRTERank[RK],0)))/INDEX(TableWRTERank[FPS],MATCH(WRTEVORPCalc,TableWRTERank[RK],0)),"")</f>
        <v>-0.8173527685401768</v>
      </c>
      <c r="BC182" s="124" t="s">
        <v>358</v>
      </c>
      <c r="BD182" s="124">
        <v>181</v>
      </c>
      <c r="BE182" s="262">
        <f>RANK(TableWRTEMaster[[#This Row],[VORP]],TableWRTEMaster[VORP])+COUNTIF($BJ$2:BJ182,BJ182)-1</f>
        <v>261</v>
      </c>
      <c r="BF182" s="263" t="str">
        <f>IFERROR(INDEX(TableWRVORP[WIDE RECEIVER],MATCH(TableWRTEMaster[[#This Row],[RK]],TableWRVORP[RK],0)),"")</f>
        <v>Penny Hart</v>
      </c>
      <c r="BG182" s="263" t="str">
        <f>_xlfn.CONCAT(TableWRTEMaster[[#This Row],[POS]],TableWRTEMaster[[#This Row],[RK]])</f>
        <v>WR181</v>
      </c>
      <c r="BH182" s="263">
        <f>IFERROR(INDEX(TableWRVORP[BYE],MATCH(TableWRTEMaster[[#This Row],[RK]],TableWRVORP[RK],0)),"")</f>
        <v>11</v>
      </c>
      <c r="BI182" s="264">
        <f>IFERROR(INDEX(TableWRVORP[FPS],MATCH(TableWRTEMaster[[#This Row],[RK]],TableWRVORP[RK],0)),"")</f>
        <v>7.1095588047201934</v>
      </c>
      <c r="BJ182" s="254">
        <f>IFERROR(INDEX(TableWRVORP[VORP],MATCH(TableWRTEMaster[[#This Row],[RK]],TableWRVORP[RK],0)),"")</f>
        <v>-0.93475822543305109</v>
      </c>
    </row>
    <row r="183" spans="14:62" x14ac:dyDescent="0.3">
      <c r="N183" s="246"/>
      <c r="O183" s="246">
        <v>182</v>
      </c>
      <c r="P183" s="247" t="str">
        <f>IFERROR(INDEX(TableWRCalcPts[PLAYER],MATCH(TableWRVORP[[#This Row],[RK]],TableWRCalcPts[RK],0)),"")</f>
        <v>Dax Milne</v>
      </c>
      <c r="Q183" s="247" t="str">
        <f>IFERROR(INDEX(TableWRCalcPts[TM],MATCH(TableWRVORP[[#This Row],[RK]],TableWRCalcPts[RK],0)),"")</f>
        <v>WSH</v>
      </c>
      <c r="R183" s="247">
        <f>IFERROR(INDEX(TableWRCalcPts[BYE],MATCH(TableWRVORP[[#This Row],[RK]],TableWRCalcPts[RK],0)),"")</f>
        <v>14</v>
      </c>
      <c r="S183" s="248">
        <f>IFERROR(INDEX(TableWRCalcPts[Custom],MATCH(TableWRVORP[[#This Row],[RK]],TableWRCalcPts[RK],0)),"")</f>
        <v>6.5362698121605209</v>
      </c>
      <c r="T183" s="249">
        <f>IFERROR((TableWRVORP[[#This Row],[FPS]]-INDEX(TableWRVORP[FPS],MATCH(WRVORPCalc,TableWRVORP[RK],0)))/INDEX(TableWRVORP[FPS],MATCH(WRVORPCalc,TableWRVORP[RK],0)),"")</f>
        <v>-0.94001908510685517</v>
      </c>
      <c r="U183" s="246"/>
      <c r="AB183" s="246"/>
      <c r="AC183" s="250"/>
      <c r="AD183" s="250"/>
      <c r="AE183" s="250"/>
      <c r="AF183" s="250" t="s">
        <v>358</v>
      </c>
      <c r="AG183" s="250">
        <v>42</v>
      </c>
      <c r="AH183" s="251">
        <f>RANK(TableOverallMaster[[#This Row],[VORP]],TableOverallMaster[VORP])+COUNTIF($AM$2:AM183,AM183)-1</f>
        <v>106</v>
      </c>
      <c r="AI183" s="252" t="str">
        <f>IFERROR(INDEX(TableWRVORP[WIDE RECEIVER],MATCH(TableOverallMaster[[#This Row],[RK]],TableWRVORP[RK],0)),"")</f>
        <v>Russell Gage</v>
      </c>
      <c r="AJ183" s="252" t="str">
        <f t="shared" si="2"/>
        <v>WR42</v>
      </c>
      <c r="AK183" s="252">
        <f>IFERROR(INDEX(TableWRVORP[BYE],MATCH(TableOverallMaster[[#This Row],[RK]],TableWRVORP[RK],0)),"")</f>
        <v>11</v>
      </c>
      <c r="AL183" s="253">
        <f>IFERROR(INDEX(TableWRVORP[FPS],MATCH(TableOverallMaster[[#This Row],[RK]],TableWRVORP[RK],0)),"")</f>
        <v>119.91450420586676</v>
      </c>
      <c r="AM183" s="254">
        <f>IFERROR(INDEX(TableWRVORP[VORP],MATCH(TableOverallMaster[[#This Row],[RK]],TableWRVORP[RK],0)),"")</f>
        <v>0.10041076606785324</v>
      </c>
      <c r="AN183" s="250"/>
      <c r="AO183" s="250">
        <v>182</v>
      </c>
      <c r="AP183" s="255" t="str">
        <f>IFERROR(INDEX(TableOverallMaster[OVERALL PLAYER],MATCH(TableOverallRank[[#This Row],[RK]],TableOverallMaster[OVR RK],0)),"")</f>
        <v>Hayden Hurst</v>
      </c>
      <c r="AQ183" s="256" t="str">
        <f>IFERROR(INDEX(TableOverallMaster[POS RK],MATCH(TableOverallRank[[#This Row],[OVERALL PLAYER]],TableOverallMaster[OVERALL PLAYER],0)),"")</f>
        <v>TE25</v>
      </c>
      <c r="AR183" s="257">
        <f>IFERROR(INDEX(TableOverallMaster[BYE],MATCH(TableOverallRank[[#This Row],[OVERALL PLAYER]],TableOverallMaster[OVERALL PLAYER],0)),"")</f>
        <v>10</v>
      </c>
      <c r="AS183" s="258">
        <f>IFERROR(INDEX(TableOverallMaster[Custom],MATCH(TableOverallRank[[#This Row],[OVERALL PLAYER]],TableOverallMaster[OVERALL PLAYER],0)),"")</f>
        <v>79.091408704172068</v>
      </c>
      <c r="AT183" s="259">
        <f>IFERROR(INDEX(TableOverallMaster[VORP],MATCH(TableOverallRank[[#This Row],[OVERALL PLAYER]],TableOverallMaster[OVERALL PLAYER],0)),"")</f>
        <v>-0.22801794753589499</v>
      </c>
      <c r="AU183" s="250"/>
      <c r="AV183" s="246">
        <v>182</v>
      </c>
      <c r="AW183" s="260" t="str">
        <f>IFERROR(INDEX(TableWRTECalcPts[PLAYER],MATCH(TableWRTERank[[#This Row],[RK]],TableWRTECalcPts[RK],0)),"")</f>
        <v>Nick Boyle</v>
      </c>
      <c r="AX183" s="260" t="str">
        <f>IFERROR(INDEX(TableWRTECalcPts[POS RK],MATCH(TableWRTERank[[#This Row],[WR and TE COMBINED]],TableWRTECalcPts[PLAYER],0)),"")</f>
        <v>TE52</v>
      </c>
      <c r="AY183" s="260">
        <f>IFERROR(INDEX(TableWRTECalcPts[BYE],MATCH(TableWRTERank[[#This Row],[RK]],TableWRTECalcPts[RK],0)),"")</f>
        <v>10</v>
      </c>
      <c r="AZ183" s="261">
        <f>IFERROR(INDEX(TableWRTECalcPts[Custom],MATCH(TableWRTERank[[#This Row],[RK]],TableWRTECalcPts[RK],0)),"")</f>
        <v>21.097558218881776</v>
      </c>
      <c r="BA183" s="249">
        <f>IFERROR((TableWRTERank[[#This Row],[FPS]]-INDEX(TableWRTERank[FPS],MATCH(WRTEVORPCalc,TableWRTERank[RK],0)))/INDEX(TableWRTERank[FPS],MATCH(WRTEVORPCalc,TableWRTERank[RK],0)),"")</f>
        <v>-0.8223365855328556</v>
      </c>
      <c r="BC183" s="124" t="s">
        <v>358</v>
      </c>
      <c r="BD183" s="124">
        <v>182</v>
      </c>
      <c r="BE183" s="262">
        <f>RANK(TableWRTEMaster[[#This Row],[VORP]],TableWRTEMaster[VORP])+COUNTIF($BJ$2:BJ183,BJ183)-1</f>
        <v>262</v>
      </c>
      <c r="BF183" s="263" t="str">
        <f>IFERROR(INDEX(TableWRVORP[WIDE RECEIVER],MATCH(TableWRTEMaster[[#This Row],[RK]],TableWRVORP[RK],0)),"")</f>
        <v>Dax Milne</v>
      </c>
      <c r="BG183" s="263" t="str">
        <f>_xlfn.CONCAT(TableWRTEMaster[[#This Row],[POS]],TableWRTEMaster[[#This Row],[RK]])</f>
        <v>WR182</v>
      </c>
      <c r="BH183" s="263">
        <f>IFERROR(INDEX(TableWRVORP[BYE],MATCH(TableWRTEMaster[[#This Row],[RK]],TableWRVORP[RK],0)),"")</f>
        <v>14</v>
      </c>
      <c r="BI183" s="264">
        <f>IFERROR(INDEX(TableWRVORP[FPS],MATCH(TableWRTEMaster[[#This Row],[RK]],TableWRVORP[RK],0)),"")</f>
        <v>6.5362698121605209</v>
      </c>
      <c r="BJ183" s="254">
        <f>IFERROR(INDEX(TableWRVORP[VORP],MATCH(TableWRTEMaster[[#This Row],[RK]],TableWRVORP[RK],0)),"")</f>
        <v>-0.94001908510685517</v>
      </c>
    </row>
    <row r="184" spans="14:62" x14ac:dyDescent="0.3">
      <c r="N184" s="246"/>
      <c r="O184" s="246">
        <v>183</v>
      </c>
      <c r="P184" s="247" t="str">
        <f>IFERROR(INDEX(TableWRCalcPts[PLAYER],MATCH(TableWRVORP[[#This Row],[RK]],TableWRCalcPts[RK],0)),"")</f>
        <v>Montrell Washington</v>
      </c>
      <c r="Q184" s="247" t="str">
        <f>IFERROR(INDEX(TableWRCalcPts[TM],MATCH(TableWRVORP[[#This Row],[RK]],TableWRCalcPts[RK],0)),"")</f>
        <v>DEN</v>
      </c>
      <c r="R184" s="247">
        <f>IFERROR(INDEX(TableWRCalcPts[BYE],MATCH(TableWRVORP[[#This Row],[RK]],TableWRCalcPts[RK],0)),"")</f>
        <v>9</v>
      </c>
      <c r="S184" s="248">
        <f>IFERROR(INDEX(TableWRCalcPts[Custom],MATCH(TableWRVORP[[#This Row],[RK]],TableWRCalcPts[RK],0)),"")</f>
        <v>4.7618894716676774</v>
      </c>
      <c r="T184" s="249">
        <f>IFERROR((TableWRVORP[[#This Row],[FPS]]-INDEX(TableWRVORP[FPS],MATCH(WRVORPCalc,TableWRVORP[RK],0)))/INDEX(TableWRVORP[FPS],MATCH(WRVORPCalc,TableWRVORP[RK],0)),"")</f>
        <v>-0.95630191296582201</v>
      </c>
      <c r="U184" s="246"/>
      <c r="AB184" s="246"/>
      <c r="AC184" s="250"/>
      <c r="AD184" s="250"/>
      <c r="AE184" s="250"/>
      <c r="AF184" s="250" t="s">
        <v>358</v>
      </c>
      <c r="AG184" s="250">
        <v>43</v>
      </c>
      <c r="AH184" s="251">
        <f>RANK(TableOverallMaster[[#This Row],[VORP]],TableOverallMaster[VORP])+COUNTIF($AM$2:AM184,AM184)-1</f>
        <v>107</v>
      </c>
      <c r="AI184" s="252" t="str">
        <f>IFERROR(INDEX(TableWRVORP[WIDE RECEIVER],MATCH(TableOverallMaster[[#This Row],[RK]],TableWRVORP[RK],0)),"")</f>
        <v>Garrett Wilson</v>
      </c>
      <c r="AJ184" s="252" t="str">
        <f t="shared" si="2"/>
        <v>WR43</v>
      </c>
      <c r="AK184" s="252">
        <f>IFERROR(INDEX(TableWRVORP[BYE],MATCH(TableOverallMaster[[#This Row],[RK]],TableWRVORP[RK],0)),"")</f>
        <v>10</v>
      </c>
      <c r="AL184" s="253">
        <f>IFERROR(INDEX(TableWRVORP[FPS],MATCH(TableOverallMaster[[#This Row],[RK]],TableWRVORP[RK],0)),"")</f>
        <v>118.75015619934166</v>
      </c>
      <c r="AM184" s="254">
        <f>IFERROR(INDEX(TableWRVORP[VORP],MATCH(TableOverallMaster[[#This Row],[RK]],TableWRVORP[RK],0)),"")</f>
        <v>8.9725977848821581E-2</v>
      </c>
      <c r="AN184" s="250"/>
      <c r="AO184" s="250">
        <v>183</v>
      </c>
      <c r="AP184" s="255" t="str">
        <f>IFERROR(INDEX(TableOverallMaster[OVERALL PLAYER],MATCH(TableOverallRank[[#This Row],[RK]],TableOverallMaster[OVR RK],0)),"")</f>
        <v>Evan Engram</v>
      </c>
      <c r="AQ184" s="256" t="str">
        <f>IFERROR(INDEX(TableOverallMaster[POS RK],MATCH(TableOverallRank[[#This Row],[OVERALL PLAYER]],TableOverallMaster[OVERALL PLAYER],0)),"")</f>
        <v>TE26</v>
      </c>
      <c r="AR184" s="257">
        <f>IFERROR(INDEX(TableOverallMaster[BYE],MATCH(TableOverallRank[[#This Row],[OVERALL PLAYER]],TableOverallMaster[OVERALL PLAYER],0)),"")</f>
        <v>11</v>
      </c>
      <c r="AS184" s="258">
        <f>IFERROR(INDEX(TableOverallMaster[Custom],MATCH(TableOverallRank[[#This Row],[OVERALL PLAYER]],TableOverallMaster[OVERALL PLAYER],0)),"")</f>
        <v>79.044237431345721</v>
      </c>
      <c r="AT184" s="259">
        <f>IFERROR(INDEX(TableOverallMaster[VORP],MATCH(TableOverallRank[[#This Row],[OVERALL PLAYER]],TableOverallMaster[OVERALL PLAYER],0)),"")</f>
        <v>-0.22847836892186413</v>
      </c>
      <c r="AU184" s="250"/>
      <c r="AV184" s="246">
        <v>183</v>
      </c>
      <c r="AW184" s="260" t="str">
        <f>IFERROR(INDEX(TableWRTECalcPts[PLAYER],MATCH(TableWRTERank[[#This Row],[RK]],TableWRTECalcPts[RK],0)),"")</f>
        <v>Equanimeous St. Brown</v>
      </c>
      <c r="AX184" s="260" t="str">
        <f>IFERROR(INDEX(TableWRTECalcPts[POS RK],MATCH(TableWRTERank[[#This Row],[WR and TE COMBINED]],TableWRTECalcPts[PLAYER],0)),"")</f>
        <v>WR131</v>
      </c>
      <c r="AY184" s="260">
        <f>IFERROR(INDEX(TableWRTECalcPts[BYE],MATCH(TableWRTERank[[#This Row],[RK]],TableWRTECalcPts[RK],0)),"")</f>
        <v>14</v>
      </c>
      <c r="AZ184" s="261">
        <f>IFERROR(INDEX(TableWRTECalcPts[Custom],MATCH(TableWRTERank[[#This Row],[RK]],TableWRTECalcPts[RK],0)),"")</f>
        <v>21.07897725115906</v>
      </c>
      <c r="BA184" s="249">
        <f>IFERROR((TableWRTERank[[#This Row],[FPS]]-INDEX(TableWRTERank[FPS],MATCH(WRTEVORPCalc,TableWRTERank[RK],0)))/INDEX(TableWRTERank[FPS],MATCH(WRTEVORPCalc,TableWRTERank[RK],0)),"")</f>
        <v>-0.82249305663417793</v>
      </c>
      <c r="BC184" s="124" t="s">
        <v>358</v>
      </c>
      <c r="BD184" s="124">
        <v>183</v>
      </c>
      <c r="BE184" s="262">
        <f>RANK(TableWRTEMaster[[#This Row],[VORP]],TableWRTEMaster[VORP])+COUNTIF($BJ$2:BJ184,BJ184)-1</f>
        <v>263</v>
      </c>
      <c r="BF184" s="263" t="str">
        <f>IFERROR(INDEX(TableWRVORP[WIDE RECEIVER],MATCH(TableWRTEMaster[[#This Row],[RK]],TableWRVORP[RK],0)),"")</f>
        <v>Montrell Washington</v>
      </c>
      <c r="BG184" s="263" t="str">
        <f>_xlfn.CONCAT(TableWRTEMaster[[#This Row],[POS]],TableWRTEMaster[[#This Row],[RK]])</f>
        <v>WR183</v>
      </c>
      <c r="BH184" s="263">
        <f>IFERROR(INDEX(TableWRVORP[BYE],MATCH(TableWRTEMaster[[#This Row],[RK]],TableWRVORP[RK],0)),"")</f>
        <v>9</v>
      </c>
      <c r="BI184" s="264">
        <f>IFERROR(INDEX(TableWRVORP[FPS],MATCH(TableWRTEMaster[[#This Row],[RK]],TableWRVORP[RK],0)),"")</f>
        <v>4.7618894716676774</v>
      </c>
      <c r="BJ184" s="254">
        <f>IFERROR(INDEX(TableWRVORP[VORP],MATCH(TableWRTEMaster[[#This Row],[RK]],TableWRVORP[RK],0)),"")</f>
        <v>-0.95630191296582201</v>
      </c>
    </row>
    <row r="185" spans="14:62" x14ac:dyDescent="0.3">
      <c r="N185" s="246"/>
      <c r="O185" s="246">
        <v>184</v>
      </c>
      <c r="P185" s="247" t="str">
        <f>IFERROR(INDEX(TableWRCalcPts[PLAYER],MATCH(TableWRVORP[[#This Row],[RK]],TableWRCalcPts[RK],0)),"")</f>
        <v>Jeff Smith</v>
      </c>
      <c r="Q185" s="247" t="str">
        <f>IFERROR(INDEX(TableWRCalcPts[TM],MATCH(TableWRVORP[[#This Row],[RK]],TableWRCalcPts[RK],0)),"")</f>
        <v>NYJ</v>
      </c>
      <c r="R185" s="247">
        <f>IFERROR(INDEX(TableWRCalcPts[BYE],MATCH(TableWRVORP[[#This Row],[RK]],TableWRCalcPts[RK],0)),"")</f>
        <v>10</v>
      </c>
      <c r="S185" s="248">
        <f>IFERROR(INDEX(TableWRCalcPts[Custom],MATCH(TableWRVORP[[#This Row],[RK]],TableWRCalcPts[RK],0)),"")</f>
        <v>3.9204597587547814</v>
      </c>
      <c r="T185" s="249">
        <f>IFERROR((TableWRVORP[[#This Row],[FPS]]-INDEX(TableWRVORP[FPS],MATCH(WRVORPCalc,TableWRVORP[RK],0)))/INDEX(TableWRVORP[FPS],MATCH(WRVORPCalc,TableWRVORP[RK],0)),"")</f>
        <v>-0.96402340021301214</v>
      </c>
      <c r="U185" s="246"/>
      <c r="AB185" s="246"/>
      <c r="AC185" s="250"/>
      <c r="AD185" s="250"/>
      <c r="AE185" s="250"/>
      <c r="AF185" s="250" t="s">
        <v>358</v>
      </c>
      <c r="AG185" s="250">
        <v>44</v>
      </c>
      <c r="AH185" s="251">
        <f>RANK(TableOverallMaster[[#This Row],[VORP]],TableOverallMaster[VORP])+COUNTIF($AM$2:AM185,AM185)-1</f>
        <v>108</v>
      </c>
      <c r="AI185" s="252" t="str">
        <f>IFERROR(INDEX(TableWRVORP[WIDE RECEIVER],MATCH(TableOverallMaster[[#This Row],[RK]],TableWRVORP[RK],0)),"")</f>
        <v>Brandon Aiyuk</v>
      </c>
      <c r="AJ185" s="252" t="str">
        <f t="shared" si="2"/>
        <v>WR44</v>
      </c>
      <c r="AK185" s="252">
        <f>IFERROR(INDEX(TableWRVORP[BYE],MATCH(TableOverallMaster[[#This Row],[RK]],TableWRVORP[RK],0)),"")</f>
        <v>9</v>
      </c>
      <c r="AL185" s="253">
        <f>IFERROR(INDEX(TableWRVORP[FPS],MATCH(TableOverallMaster[[#This Row],[RK]],TableWRVORP[RK],0)),"")</f>
        <v>118.29153042188688</v>
      </c>
      <c r="AM185" s="254">
        <f>IFERROR(INDEX(TableWRVORP[VORP],MATCH(TableOverallMaster[[#This Row],[RK]],TableWRVORP[RK],0)),"")</f>
        <v>8.5517339815835466E-2</v>
      </c>
      <c r="AN185" s="250"/>
      <c r="AO185" s="250">
        <v>184</v>
      </c>
      <c r="AP185" s="255" t="str">
        <f>IFERROR(INDEX(TableOverallMaster[OVERALL PLAYER],MATCH(TableOverallRank[[#This Row],[RK]],TableOverallMaster[OVR RK],0)),"")</f>
        <v>Cedrick Wilson</v>
      </c>
      <c r="AQ185" s="256" t="str">
        <f>IFERROR(INDEX(TableOverallMaster[POS RK],MATCH(TableOverallRank[[#This Row],[OVERALL PLAYER]],TableOverallMaster[OVERALL PLAYER],0)),"")</f>
        <v>WR74</v>
      </c>
      <c r="AR185" s="257">
        <f>IFERROR(INDEX(TableOverallMaster[BYE],MATCH(TableOverallRank[[#This Row],[OVERALL PLAYER]],TableOverallMaster[OVERALL PLAYER],0)),"")</f>
        <v>11</v>
      </c>
      <c r="AS185" s="258">
        <f>IFERROR(INDEX(TableOverallMaster[Custom],MATCH(TableOverallRank[[#This Row],[OVERALL PLAYER]],TableOverallMaster[OVERALL PLAYER],0)),"")</f>
        <v>83.805271165984095</v>
      </c>
      <c r="AT185" s="259">
        <f>IFERROR(INDEX(TableOverallMaster[VORP],MATCH(TableOverallRank[[#This Row],[OVERALL PLAYER]],TableOverallMaster[OVERALL PLAYER],0)),"")</f>
        <v>-0.23095022361963036</v>
      </c>
      <c r="AU185" s="250"/>
      <c r="AV185" s="246">
        <v>184</v>
      </c>
      <c r="AW185" s="260" t="str">
        <f>IFERROR(INDEX(TableWRTECalcPts[PLAYER],MATCH(TableWRTERank[[#This Row],[RK]],TableWRTECalcPts[RK],0)),"")</f>
        <v>Tre'Quan Smith</v>
      </c>
      <c r="AX185" s="260" t="str">
        <f>IFERROR(INDEX(TableWRTECalcPts[POS RK],MATCH(TableWRTERank[[#This Row],[WR and TE COMBINED]],TableWRTECalcPts[PLAYER],0)),"")</f>
        <v>WR132</v>
      </c>
      <c r="AY185" s="260">
        <f>IFERROR(INDEX(TableWRTECalcPts[BYE],MATCH(TableWRTERank[[#This Row],[RK]],TableWRTECalcPts[RK],0)),"")</f>
        <v>14</v>
      </c>
      <c r="AZ185" s="261">
        <f>IFERROR(INDEX(TableWRTECalcPts[Custom],MATCH(TableWRTERank[[#This Row],[RK]],TableWRTECalcPts[RK],0)),"")</f>
        <v>20.717203124655729</v>
      </c>
      <c r="BA185" s="249">
        <f>IFERROR((TableWRTERank[[#This Row],[FPS]]-INDEX(TableWRTERank[FPS],MATCH(WRTEVORPCalc,TableWRTERank[RK],0)))/INDEX(TableWRTERank[FPS],MATCH(WRTEVORPCalc,TableWRTERank[RK],0)),"")</f>
        <v>-0.82553957158693336</v>
      </c>
      <c r="BC185" s="124" t="s">
        <v>358</v>
      </c>
      <c r="BD185" s="124">
        <v>184</v>
      </c>
      <c r="BE185" s="262">
        <f>RANK(TableWRTEMaster[[#This Row],[VORP]],TableWRTEMaster[VORP])+COUNTIF($BJ$2:BJ185,BJ185)-1</f>
        <v>264</v>
      </c>
      <c r="BF185" s="263" t="str">
        <f>IFERROR(INDEX(TableWRVORP[WIDE RECEIVER],MATCH(TableWRTEMaster[[#This Row],[RK]],TableWRVORP[RK],0)),"")</f>
        <v>Jeff Smith</v>
      </c>
      <c r="BG185" s="263" t="str">
        <f>_xlfn.CONCAT(TableWRTEMaster[[#This Row],[POS]],TableWRTEMaster[[#This Row],[RK]])</f>
        <v>WR184</v>
      </c>
      <c r="BH185" s="263">
        <f>IFERROR(INDEX(TableWRVORP[BYE],MATCH(TableWRTEMaster[[#This Row],[RK]],TableWRVORP[RK],0)),"")</f>
        <v>10</v>
      </c>
      <c r="BI185" s="264">
        <f>IFERROR(INDEX(TableWRVORP[FPS],MATCH(TableWRTEMaster[[#This Row],[RK]],TableWRVORP[RK],0)),"")</f>
        <v>3.9204597587547814</v>
      </c>
      <c r="BJ185" s="254">
        <f>IFERROR(INDEX(TableWRVORP[VORP],MATCH(TableWRTEMaster[[#This Row],[RK]],TableWRVORP[RK],0)),"")</f>
        <v>-0.96402340021301214</v>
      </c>
    </row>
    <row r="186" spans="14:62" x14ac:dyDescent="0.3">
      <c r="N186" s="246"/>
      <c r="O186" s="246">
        <v>185</v>
      </c>
      <c r="P186" s="247" t="str">
        <f>IFERROR(INDEX(TableWRCalcPts[PLAYER],MATCH(TableWRVORP[[#This Row],[RK]],TableWRCalcPts[RK],0)),"")</f>
        <v>Makai Polk</v>
      </c>
      <c r="Q186" s="247" t="str">
        <f>IFERROR(INDEX(TableWRCalcPts[TM],MATCH(TableWRVORP[[#This Row],[RK]],TableWRCalcPts[RK],0)),"")</f>
        <v>BAL</v>
      </c>
      <c r="R186" s="247">
        <f>IFERROR(INDEX(TableWRCalcPts[BYE],MATCH(TableWRVORP[[#This Row],[RK]],TableWRCalcPts[RK],0)),"")</f>
        <v>10</v>
      </c>
      <c r="S186" s="248">
        <f>IFERROR(INDEX(TableWRCalcPts[Custom],MATCH(TableWRVORP[[#This Row],[RK]],TableWRCalcPts[RK],0)),"")</f>
        <v>1.6672180579530638</v>
      </c>
      <c r="T186" s="249">
        <f>IFERROR((TableWRVORP[[#This Row],[FPS]]-INDEX(TableWRVORP[FPS],MATCH(WRVORPCalc,TableWRVORP[RK],0)))/INDEX(TableWRVORP[FPS],MATCH(WRVORPCalc,TableWRVORP[RK],0)),"")</f>
        <v>-0.98470056051597687</v>
      </c>
      <c r="U186" s="246"/>
      <c r="AB186" s="246"/>
      <c r="AC186" s="250"/>
      <c r="AD186" s="250"/>
      <c r="AE186" s="250"/>
      <c r="AF186" s="250" t="s">
        <v>358</v>
      </c>
      <c r="AG186" s="250">
        <v>45</v>
      </c>
      <c r="AH186" s="251">
        <f>RANK(TableOverallMaster[[#This Row],[VORP]],TableOverallMaster[VORP])+COUNTIF($AM$2:AM186,AM186)-1</f>
        <v>111</v>
      </c>
      <c r="AI186" s="252" t="str">
        <f>IFERROR(INDEX(TableWRVORP[WIDE RECEIVER],MATCH(TableOverallMaster[[#This Row],[RK]],TableWRVORP[RK],0)),"")</f>
        <v>Tyler Boyd</v>
      </c>
      <c r="AJ186" s="252" t="str">
        <f t="shared" si="2"/>
        <v>WR45</v>
      </c>
      <c r="AK186" s="252">
        <f>IFERROR(INDEX(TableWRVORP[BYE],MATCH(TableOverallMaster[[#This Row],[RK]],TableWRVORP[RK],0)),"")</f>
        <v>10</v>
      </c>
      <c r="AL186" s="253">
        <f>IFERROR(INDEX(TableWRVORP[FPS],MATCH(TableOverallMaster[[#This Row],[RK]],TableWRVORP[RK],0)),"")</f>
        <v>115.93168781692657</v>
      </c>
      <c r="AM186" s="254">
        <f>IFERROR(INDEX(TableWRVORP[VORP],MATCH(TableOverallMaster[[#This Row],[RK]],TableWRVORP[RK],0)),"")</f>
        <v>6.3861942698354143E-2</v>
      </c>
      <c r="AN186" s="250"/>
      <c r="AO186" s="250">
        <v>185</v>
      </c>
      <c r="AP186" s="255" t="str">
        <f>IFERROR(INDEX(TableOverallMaster[OVERALL PLAYER],MATCH(TableOverallRank[[#This Row],[RK]],TableOverallMaster[OVR RK],0)),"")</f>
        <v>Tyler Higbee</v>
      </c>
      <c r="AQ186" s="256" t="str">
        <f>IFERROR(INDEX(TableOverallMaster[POS RK],MATCH(TableOverallRank[[#This Row],[OVERALL PLAYER]],TableOverallMaster[OVERALL PLAYER],0)),"")</f>
        <v>TE27</v>
      </c>
      <c r="AR186" s="257">
        <f>IFERROR(INDEX(TableOverallMaster[BYE],MATCH(TableOverallRank[[#This Row],[OVERALL PLAYER]],TableOverallMaster[OVERALL PLAYER],0)),"")</f>
        <v>7</v>
      </c>
      <c r="AS186" s="258">
        <f>IFERROR(INDEX(TableOverallMaster[Custom],MATCH(TableOverallRank[[#This Row],[OVERALL PLAYER]],TableOverallMaster[OVERALL PLAYER],0)),"")</f>
        <v>77.95767368469582</v>
      </c>
      <c r="AT186" s="259">
        <f>IFERROR(INDEX(TableOverallMaster[VORP],MATCH(TableOverallRank[[#This Row],[OVERALL PLAYER]],TableOverallMaster[OVERALL PLAYER],0)),"")</f>
        <v>-0.23908391666737586</v>
      </c>
      <c r="AU186" s="250"/>
      <c r="AV186" s="246">
        <v>185</v>
      </c>
      <c r="AW186" s="260" t="str">
        <f>IFERROR(INDEX(TableWRTECalcPts[PLAYER],MATCH(TableWRTERank[[#This Row],[RK]],TableWRTECalcPts[RK],0)),"")</f>
        <v>Josiah Deguara</v>
      </c>
      <c r="AX186" s="260" t="str">
        <f>IFERROR(INDEX(TableWRTECalcPts[POS RK],MATCH(TableWRTERank[[#This Row],[WR and TE COMBINED]],TableWRTECalcPts[PLAYER],0)),"")</f>
        <v>TE53</v>
      </c>
      <c r="AY186" s="260">
        <f>IFERROR(INDEX(TableWRTECalcPts[BYE],MATCH(TableWRTERank[[#This Row],[RK]],TableWRTECalcPts[RK],0)),"")</f>
        <v>14</v>
      </c>
      <c r="AZ186" s="261">
        <f>IFERROR(INDEX(TableWRTECalcPts[Custom],MATCH(TableWRTERank[[#This Row],[RK]],TableWRTECalcPts[RK],0)),"")</f>
        <v>20.352829325983684</v>
      </c>
      <c r="BA186" s="249">
        <f>IFERROR((TableWRTERank[[#This Row],[FPS]]-INDEX(TableWRTERank[FPS],MATCH(WRTEVORPCalc,TableWRTERank[RK],0)))/INDEX(TableWRTERank[FPS],MATCH(WRTEVORPCalc,TableWRTERank[RK],0)),"")</f>
        <v>-0.82860797848705037</v>
      </c>
      <c r="BC186" s="124" t="s">
        <v>358</v>
      </c>
      <c r="BD186" s="124">
        <v>185</v>
      </c>
      <c r="BE186" s="262">
        <f>RANK(TableWRTEMaster[[#This Row],[VORP]],TableWRTEMaster[VORP])+COUNTIF($BJ$2:BJ186,BJ186)-1</f>
        <v>265</v>
      </c>
      <c r="BF186" s="263" t="str">
        <f>IFERROR(INDEX(TableWRVORP[WIDE RECEIVER],MATCH(TableWRTEMaster[[#This Row],[RK]],TableWRVORP[RK],0)),"")</f>
        <v>Makai Polk</v>
      </c>
      <c r="BG186" s="263" t="str">
        <f>_xlfn.CONCAT(TableWRTEMaster[[#This Row],[POS]],TableWRTEMaster[[#This Row],[RK]])</f>
        <v>WR185</v>
      </c>
      <c r="BH186" s="263">
        <f>IFERROR(INDEX(TableWRVORP[BYE],MATCH(TableWRTEMaster[[#This Row],[RK]],TableWRVORP[RK],0)),"")</f>
        <v>10</v>
      </c>
      <c r="BI186" s="264">
        <f>IFERROR(INDEX(TableWRVORP[FPS],MATCH(TableWRTEMaster[[#This Row],[RK]],TableWRVORP[RK],0)),"")</f>
        <v>1.6672180579530638</v>
      </c>
      <c r="BJ186" s="254">
        <f>IFERROR(INDEX(TableWRVORP[VORP],MATCH(TableWRTEMaster[[#This Row],[RK]],TableWRVORP[RK],0)),"")</f>
        <v>-0.98470056051597687</v>
      </c>
    </row>
    <row r="187" spans="14:62" x14ac:dyDescent="0.3">
      <c r="N187" s="246"/>
      <c r="O187" s="246">
        <v>186</v>
      </c>
      <c r="P187" s="247" t="str">
        <f>IFERROR(INDEX(TableWRCalcPts[PLAYER],MATCH(TableWRVORP[[#This Row],[RK]],TableWRCalcPts[RK],0)),"")</f>
        <v/>
      </c>
      <c r="Q187" s="247" t="str">
        <f>IFERROR(INDEX(TableWRCalcPts[TM],MATCH(TableWRVORP[[#This Row],[RK]],TableWRCalcPts[RK],0)),"")</f>
        <v/>
      </c>
      <c r="R187" s="247" t="str">
        <f>IFERROR(INDEX(TableWRCalcPts[BYE],MATCH(TableWRVORP[[#This Row],[RK]],TableWRCalcPts[RK],0)),"")</f>
        <v/>
      </c>
      <c r="S187" s="248" t="str">
        <f>IFERROR(INDEX(TableWRCalcPts[Custom],MATCH(TableWRVORP[[#This Row],[RK]],TableWRCalcPts[RK],0)),"")</f>
        <v/>
      </c>
      <c r="T187" s="249" t="str">
        <f>IFERROR((TableWRVORP[[#This Row],[FPS]]-INDEX(TableWRVORP[FPS],MATCH(WRVORPCalc,TableWRVORP[RK],0)))/INDEX(TableWRVORP[FPS],MATCH(WRVORPCalc,TableWRVORP[RK],0)),"")</f>
        <v/>
      </c>
      <c r="U187" s="246"/>
      <c r="AB187" s="246"/>
      <c r="AC187" s="250"/>
      <c r="AD187" s="250"/>
      <c r="AE187" s="250"/>
      <c r="AF187" s="250" t="s">
        <v>358</v>
      </c>
      <c r="AG187" s="250">
        <v>46</v>
      </c>
      <c r="AH187" s="251">
        <f>RANK(TableOverallMaster[[#This Row],[VORP]],TableOverallMaster[VORP])+COUNTIF($AM$2:AM187,AM187)-1</f>
        <v>112</v>
      </c>
      <c r="AI187" s="252" t="str">
        <f>IFERROR(INDEX(TableWRVORP[WIDE RECEIVER],MATCH(TableOverallMaster[[#This Row],[RK]],TableWRVORP[RK],0)),"")</f>
        <v>Treylon Burks</v>
      </c>
      <c r="AJ187" s="252" t="str">
        <f t="shared" si="2"/>
        <v>WR46</v>
      </c>
      <c r="AK187" s="252">
        <f>IFERROR(INDEX(TableWRVORP[BYE],MATCH(TableOverallMaster[[#This Row],[RK]],TableWRVORP[RK],0)),"")</f>
        <v>6</v>
      </c>
      <c r="AL187" s="253">
        <f>IFERROR(INDEX(TableWRVORP[FPS],MATCH(TableOverallMaster[[#This Row],[RK]],TableWRVORP[RK],0)),"")</f>
        <v>113.28738996373363</v>
      </c>
      <c r="AM187" s="254">
        <f>IFERROR(INDEX(TableWRVORP[VORP],MATCH(TableOverallMaster[[#This Row],[RK]],TableWRVORP[RK],0)),"")</f>
        <v>3.9596205658336769E-2</v>
      </c>
      <c r="AN187" s="250"/>
      <c r="AO187" s="250">
        <v>186</v>
      </c>
      <c r="AP187" s="255" t="str">
        <f>IFERROR(INDEX(TableOverallMaster[OVERALL PLAYER],MATCH(TableOverallRank[[#This Row],[RK]],TableOverallMaster[OVR RK],0)),"")</f>
        <v>James White</v>
      </c>
      <c r="AQ187" s="256" t="str">
        <f>IFERROR(INDEX(TableOverallMaster[POS RK],MATCH(TableOverallRank[[#This Row],[OVERALL PLAYER]],TableOverallMaster[OVERALL PLAYER],0)),"")</f>
        <v>RB58</v>
      </c>
      <c r="AR187" s="257">
        <f>IFERROR(INDEX(TableOverallMaster[BYE],MATCH(TableOverallRank[[#This Row],[OVERALL PLAYER]],TableOverallMaster[OVERALL PLAYER],0)),"")</f>
        <v>10</v>
      </c>
      <c r="AS187" s="258">
        <f>IFERROR(INDEX(TableOverallMaster[Custom],MATCH(TableOverallRank[[#This Row],[OVERALL PLAYER]],TableOverallMaster[OVERALL PLAYER],0)),"")</f>
        <v>77.080335669558565</v>
      </c>
      <c r="AT187" s="259">
        <f>IFERROR(INDEX(TableOverallMaster[VORP],MATCH(TableOverallRank[[#This Row],[OVERALL PLAYER]],TableOverallMaster[OVERALL PLAYER],0)),"")</f>
        <v>-0.23923246180931962</v>
      </c>
      <c r="AU187" s="250"/>
      <c r="AV187" s="246">
        <v>186</v>
      </c>
      <c r="AW187" s="260" t="str">
        <f>IFERROR(INDEX(TableWRTECalcPts[PLAYER],MATCH(TableWRTERank[[#This Row],[RK]],TableWRTECalcPts[RK],0)),"")</f>
        <v>Miles Boykin</v>
      </c>
      <c r="AX187" s="260" t="str">
        <f>IFERROR(INDEX(TableWRTECalcPts[POS RK],MATCH(TableWRTERank[[#This Row],[WR and TE COMBINED]],TableWRTECalcPts[PLAYER],0)),"")</f>
        <v>WR133</v>
      </c>
      <c r="AY187" s="260">
        <f>IFERROR(INDEX(TableWRTECalcPts[BYE],MATCH(TableWRTERank[[#This Row],[RK]],TableWRTECalcPts[RK],0)),"")</f>
        <v>9</v>
      </c>
      <c r="AZ187" s="261">
        <f>IFERROR(INDEX(TableWRTECalcPts[Custom],MATCH(TableWRTERank[[#This Row],[RK]],TableWRTECalcPts[RK],0)),"")</f>
        <v>20.349802281807243</v>
      </c>
      <c r="BA187" s="249">
        <f>IFERROR((TableWRTERank[[#This Row],[FPS]]-INDEX(TableWRTERank[FPS],MATCH(WRTEVORPCalc,TableWRTERank[RK],0)))/INDEX(TableWRTERank[FPS],MATCH(WRTEVORPCalc,TableWRTERank[RK],0)),"")</f>
        <v>-0.82863346935184867</v>
      </c>
      <c r="BC187" s="124" t="s">
        <v>358</v>
      </c>
      <c r="BD187" s="124">
        <v>186</v>
      </c>
      <c r="BE187" s="262" t="e">
        <f>RANK(TableWRTEMaster[[#This Row],[VORP]],TableWRTEMaster[VORP])+COUNTIF($BJ$2:BJ187,BJ187)-1</f>
        <v>#VALUE!</v>
      </c>
      <c r="BF187" s="263" t="str">
        <f>IFERROR(INDEX(TableWRVORP[WIDE RECEIVER],MATCH(TableWRTEMaster[[#This Row],[RK]],TableWRVORP[RK],0)),"")</f>
        <v/>
      </c>
      <c r="BG187" s="263" t="str">
        <f>_xlfn.CONCAT(TableWRTEMaster[[#This Row],[POS]],TableWRTEMaster[[#This Row],[RK]])</f>
        <v>WR186</v>
      </c>
      <c r="BH187" s="263" t="str">
        <f>IFERROR(INDEX(TableWRVORP[BYE],MATCH(TableWRTEMaster[[#This Row],[RK]],TableWRVORP[RK],0)),"")</f>
        <v/>
      </c>
      <c r="BI187" s="264" t="str">
        <f>IFERROR(INDEX(TableWRVORP[FPS],MATCH(TableWRTEMaster[[#This Row],[RK]],TableWRVORP[RK],0)),"")</f>
        <v/>
      </c>
      <c r="BJ187" s="254" t="str">
        <f>IFERROR(INDEX(TableWRVORP[VORP],MATCH(TableWRTEMaster[[#This Row],[RK]],TableWRVORP[RK],0)),"")</f>
        <v/>
      </c>
    </row>
    <row r="188" spans="14:62" x14ac:dyDescent="0.3">
      <c r="N188" s="246"/>
      <c r="O188" s="246">
        <v>187</v>
      </c>
      <c r="P188" s="247" t="str">
        <f>IFERROR(INDEX(TableWRCalcPts[PLAYER],MATCH(TableWRVORP[[#This Row],[RK]],TableWRCalcPts[RK],0)),"")</f>
        <v/>
      </c>
      <c r="Q188" s="247" t="str">
        <f>IFERROR(INDEX(TableWRCalcPts[TM],MATCH(TableWRVORP[[#This Row],[RK]],TableWRCalcPts[RK],0)),"")</f>
        <v/>
      </c>
      <c r="R188" s="247" t="str">
        <f>IFERROR(INDEX(TableWRCalcPts[BYE],MATCH(TableWRVORP[[#This Row],[RK]],TableWRCalcPts[RK],0)),"")</f>
        <v/>
      </c>
      <c r="S188" s="248" t="str">
        <f>IFERROR(INDEX(TableWRCalcPts[Custom],MATCH(TableWRVORP[[#This Row],[RK]],TableWRCalcPts[RK],0)),"")</f>
        <v/>
      </c>
      <c r="T188" s="249" t="str">
        <f>IFERROR((TableWRVORP[[#This Row],[FPS]]-INDEX(TableWRVORP[FPS],MATCH(WRVORPCalc,TableWRVORP[RK],0)))/INDEX(TableWRVORP[FPS],MATCH(WRVORPCalc,TableWRVORP[RK],0)),"")</f>
        <v/>
      </c>
      <c r="U188" s="246"/>
      <c r="AB188" s="246"/>
      <c r="AC188" s="250"/>
      <c r="AD188" s="250"/>
      <c r="AE188" s="250"/>
      <c r="AF188" s="250" t="s">
        <v>358</v>
      </c>
      <c r="AG188" s="250">
        <v>47</v>
      </c>
      <c r="AH188" s="251">
        <f>RANK(TableOverallMaster[[#This Row],[VORP]],TableOverallMaster[VORP])+COUNTIF($AM$2:AM188,AM188)-1</f>
        <v>117</v>
      </c>
      <c r="AI188" s="252" t="str">
        <f>IFERROR(INDEX(TableWRVORP[WIDE RECEIVER],MATCH(TableOverallMaster[[#This Row],[RK]],TableWRVORP[RK],0)),"")</f>
        <v>Tim Patrick</v>
      </c>
      <c r="AJ188" s="252" t="str">
        <f t="shared" si="2"/>
        <v>WR47</v>
      </c>
      <c r="AK188" s="252">
        <f>IFERROR(INDEX(TableWRVORP[BYE],MATCH(TableOverallMaster[[#This Row],[RK]],TableWRVORP[RK],0)),"")</f>
        <v>9</v>
      </c>
      <c r="AL188" s="253">
        <f>IFERROR(INDEX(TableWRVORP[FPS],MATCH(TableOverallMaster[[#This Row],[RK]],TableWRVORP[RK],0)),"")</f>
        <v>110.0027840268209</v>
      </c>
      <c r="AM188" s="254">
        <f>IFERROR(INDEX(TableWRVORP[VORP],MATCH(TableOverallMaster[[#This Row],[RK]],TableWRVORP[RK],0)),"")</f>
        <v>9.4545996932735524E-3</v>
      </c>
      <c r="AN188" s="250"/>
      <c r="AO188" s="250">
        <v>187</v>
      </c>
      <c r="AP188" s="255" t="str">
        <f>IFERROR(INDEX(TableOverallMaster[OVERALL PLAYER],MATCH(TableOverallRank[[#This Row],[RK]],TableOverallMaster[OVR RK],0)),"")</f>
        <v>Rex Burkhead</v>
      </c>
      <c r="AQ188" s="256" t="str">
        <f>IFERROR(INDEX(TableOverallMaster[POS RK],MATCH(TableOverallRank[[#This Row],[OVERALL PLAYER]],TableOverallMaster[OVERALL PLAYER],0)),"")</f>
        <v>RB59</v>
      </c>
      <c r="AR188" s="257">
        <f>IFERROR(INDEX(TableOverallMaster[BYE],MATCH(TableOverallRank[[#This Row],[OVERALL PLAYER]],TableOverallMaster[OVERALL PLAYER],0)),"")</f>
        <v>6</v>
      </c>
      <c r="AS188" s="258">
        <f>IFERROR(INDEX(TableOverallMaster[Custom],MATCH(TableOverallRank[[#This Row],[OVERALL PLAYER]],TableOverallMaster[OVERALL PLAYER],0)),"")</f>
        <v>75.952347937216942</v>
      </c>
      <c r="AT188" s="259">
        <f>IFERROR(INDEX(TableOverallMaster[VORP],MATCH(TableOverallRank[[#This Row],[OVERALL PLAYER]],TableOverallMaster[OVERALL PLAYER],0)),"")</f>
        <v>-0.25036547573289192</v>
      </c>
      <c r="AU188" s="250"/>
      <c r="AV188" s="246">
        <v>187</v>
      </c>
      <c r="AW188" s="260" t="str">
        <f>IFERROR(INDEX(TableWRTECalcPts[PLAYER],MATCH(TableWRTERank[[#This Row],[RK]],TableWRTECalcPts[RK],0)),"")</f>
        <v>James O'Shaughnessy</v>
      </c>
      <c r="AX188" s="260" t="str">
        <f>IFERROR(INDEX(TableWRTECalcPts[POS RK],MATCH(TableWRTERank[[#This Row],[WR and TE COMBINED]],TableWRTECalcPts[PLAYER],0)),"")</f>
        <v>TE54</v>
      </c>
      <c r="AY188" s="260">
        <f>IFERROR(INDEX(TableWRTECalcPts[BYE],MATCH(TableWRTERank[[#This Row],[RK]],TableWRTECalcPts[RK],0)),"")</f>
        <v>14</v>
      </c>
      <c r="AZ188" s="261">
        <f>IFERROR(INDEX(TableWRTECalcPts[Custom],MATCH(TableWRTERank[[#This Row],[RK]],TableWRTECalcPts[RK],0)),"")</f>
        <v>19.853140492818323</v>
      </c>
      <c r="BA188" s="249">
        <f>IFERROR((TableWRTERank[[#This Row],[FPS]]-INDEX(TableWRTERank[FPS],MATCH(WRTEVORPCalc,TableWRTERank[RK],0)))/INDEX(TableWRTERank[FPS],MATCH(WRTEVORPCalc,TableWRTERank[RK],0)),"")</f>
        <v>-0.83281587891563225</v>
      </c>
      <c r="BC188" s="124" t="s">
        <v>358</v>
      </c>
      <c r="BD188" s="124">
        <v>187</v>
      </c>
      <c r="BE188" s="262" t="e">
        <f>RANK(TableWRTEMaster[[#This Row],[VORP]],TableWRTEMaster[VORP])+COUNTIF($BJ$2:BJ188,BJ188)-1</f>
        <v>#VALUE!</v>
      </c>
      <c r="BF188" s="263" t="str">
        <f>IFERROR(INDEX(TableWRVORP[WIDE RECEIVER],MATCH(TableWRTEMaster[[#This Row],[RK]],TableWRVORP[RK],0)),"")</f>
        <v/>
      </c>
      <c r="BG188" s="263" t="str">
        <f>_xlfn.CONCAT(TableWRTEMaster[[#This Row],[POS]],TableWRTEMaster[[#This Row],[RK]])</f>
        <v>WR187</v>
      </c>
      <c r="BH188" s="263" t="str">
        <f>IFERROR(INDEX(TableWRVORP[BYE],MATCH(TableWRTEMaster[[#This Row],[RK]],TableWRVORP[RK],0)),"")</f>
        <v/>
      </c>
      <c r="BI188" s="264" t="str">
        <f>IFERROR(INDEX(TableWRVORP[FPS],MATCH(TableWRTEMaster[[#This Row],[RK]],TableWRVORP[RK],0)),"")</f>
        <v/>
      </c>
      <c r="BJ188" s="254" t="str">
        <f>IFERROR(INDEX(TableWRVORP[VORP],MATCH(TableWRTEMaster[[#This Row],[RK]],TableWRVORP[RK],0)),"")</f>
        <v/>
      </c>
    </row>
    <row r="189" spans="14:62" x14ac:dyDescent="0.3">
      <c r="N189" s="246"/>
      <c r="O189" s="246">
        <v>188</v>
      </c>
      <c r="P189" s="247" t="str">
        <f>IFERROR(INDEX(TableWRCalcPts[PLAYER],MATCH(TableWRVORP[[#This Row],[RK]],TableWRCalcPts[RK],0)),"")</f>
        <v/>
      </c>
      <c r="Q189" s="247" t="str">
        <f>IFERROR(INDEX(TableWRCalcPts[TM],MATCH(TableWRVORP[[#This Row],[RK]],TableWRCalcPts[RK],0)),"")</f>
        <v/>
      </c>
      <c r="R189" s="247" t="str">
        <f>IFERROR(INDEX(TableWRCalcPts[BYE],MATCH(TableWRVORP[[#This Row],[RK]],TableWRCalcPts[RK],0)),"")</f>
        <v/>
      </c>
      <c r="S189" s="248" t="str">
        <f>IFERROR(INDEX(TableWRCalcPts[Custom],MATCH(TableWRVORP[[#This Row],[RK]],TableWRCalcPts[RK],0)),"")</f>
        <v/>
      </c>
      <c r="T189" s="249" t="str">
        <f>IFERROR((TableWRVORP[[#This Row],[FPS]]-INDEX(TableWRVORP[FPS],MATCH(WRVORPCalc,TableWRVORP[RK],0)))/INDEX(TableWRVORP[FPS],MATCH(WRVORPCalc,TableWRVORP[RK],0)),"")</f>
        <v/>
      </c>
      <c r="U189" s="246"/>
      <c r="AB189" s="246"/>
      <c r="AC189" s="250"/>
      <c r="AD189" s="250"/>
      <c r="AE189" s="250"/>
      <c r="AF189" s="250" t="s">
        <v>358</v>
      </c>
      <c r="AG189" s="250">
        <v>48</v>
      </c>
      <c r="AH189" s="251">
        <f>RANK(TableOverallMaster[[#This Row],[VORP]],TableOverallMaster[VORP])+COUNTIF($AM$2:AM189,AM189)-1</f>
        <v>118</v>
      </c>
      <c r="AI189" s="252" t="str">
        <f>IFERROR(INDEX(TableWRVORP[WIDE RECEIVER],MATCH(TableOverallMaster[[#This Row],[RK]],TableWRVORP[RK],0)),"")</f>
        <v>Jameson Williams</v>
      </c>
      <c r="AJ189" s="252" t="str">
        <f t="shared" si="2"/>
        <v>WR48</v>
      </c>
      <c r="AK189" s="252">
        <f>IFERROR(INDEX(TableWRVORP[BYE],MATCH(TableOverallMaster[[#This Row],[RK]],TableWRVORP[RK],0)),"")</f>
        <v>6</v>
      </c>
      <c r="AL189" s="253">
        <f>IFERROR(INDEX(TableWRVORP[FPS],MATCH(TableOverallMaster[[#This Row],[RK]],TableWRVORP[RK],0)),"")</f>
        <v>109.96837220993626</v>
      </c>
      <c r="AM189" s="254">
        <f>IFERROR(INDEX(TableWRVORP[VORP],MATCH(TableOverallMaster[[#This Row],[RK]],TableWRVORP[RK],0)),"")</f>
        <v>9.1388152597674417E-3</v>
      </c>
      <c r="AN189" s="250"/>
      <c r="AO189" s="250">
        <v>188</v>
      </c>
      <c r="AP189" s="255" t="str">
        <f>IFERROR(INDEX(TableOverallMaster[OVERALL PLAYER],MATCH(TableOverallRank[[#This Row],[RK]],TableOverallMaster[OVR RK],0)),"")</f>
        <v>Damien Williams</v>
      </c>
      <c r="AQ189" s="256" t="str">
        <f>IFERROR(INDEX(TableOverallMaster[POS RK],MATCH(TableOverallRank[[#This Row],[OVERALL PLAYER]],TableOverallMaster[OVERALL PLAYER],0)),"")</f>
        <v>RB60</v>
      </c>
      <c r="AR189" s="257">
        <f>IFERROR(INDEX(TableOverallMaster[BYE],MATCH(TableOverallRank[[#This Row],[OVERALL PLAYER]],TableOverallMaster[OVERALL PLAYER],0)),"")</f>
        <v>14</v>
      </c>
      <c r="AS189" s="258">
        <f>IFERROR(INDEX(TableOverallMaster[Custom],MATCH(TableOverallRank[[#This Row],[OVERALL PLAYER]],TableOverallMaster[OVERALL PLAYER],0)),"")</f>
        <v>75.751015049197633</v>
      </c>
      <c r="AT189" s="259">
        <f>IFERROR(INDEX(TableOverallMaster[VORP],MATCH(TableOverallRank[[#This Row],[OVERALL PLAYER]],TableOverallMaster[OVERALL PLAYER],0)),"")</f>
        <v>-0.25235259117867692</v>
      </c>
      <c r="AU189" s="250"/>
      <c r="AV189" s="246">
        <v>188</v>
      </c>
      <c r="AW189" s="260" t="str">
        <f>IFERROR(INDEX(TableWRTECalcPts[PLAYER],MATCH(TableWRTERank[[#This Row],[RK]],TableWRTECalcPts[RK],0)),"")</f>
        <v>Brock Wright</v>
      </c>
      <c r="AX189" s="260" t="str">
        <f>IFERROR(INDEX(TableWRTECalcPts[POS RK],MATCH(TableWRTERank[[#This Row],[WR and TE COMBINED]],TableWRTECalcPts[PLAYER],0)),"")</f>
        <v>TE55</v>
      </c>
      <c r="AY189" s="260">
        <f>IFERROR(INDEX(TableWRTECalcPts[BYE],MATCH(TableWRTERank[[#This Row],[RK]],TableWRTECalcPts[RK],0)),"")</f>
        <v>6</v>
      </c>
      <c r="AZ189" s="261">
        <f>IFERROR(INDEX(TableWRTECalcPts[Custom],MATCH(TableWRTERank[[#This Row],[RK]],TableWRTECalcPts[RK],0)),"")</f>
        <v>19.603513944914454</v>
      </c>
      <c r="BA189" s="249">
        <f>IFERROR((TableWRTERank[[#This Row],[FPS]]-INDEX(TableWRTERank[FPS],MATCH(WRTEVORPCalc,TableWRTERank[RK],0)))/INDEX(TableWRTERank[FPS],MATCH(WRTEVORPCalc,TableWRTERank[RK],0)),"")</f>
        <v>-0.83491799444872539</v>
      </c>
      <c r="BC189" s="124" t="s">
        <v>358</v>
      </c>
      <c r="BD189" s="124">
        <v>188</v>
      </c>
      <c r="BE189" s="262" t="e">
        <f>RANK(TableWRTEMaster[[#This Row],[VORP]],TableWRTEMaster[VORP])+COUNTIF($BJ$2:BJ189,BJ189)-1</f>
        <v>#VALUE!</v>
      </c>
      <c r="BF189" s="263" t="str">
        <f>IFERROR(INDEX(TableWRVORP[WIDE RECEIVER],MATCH(TableWRTEMaster[[#This Row],[RK]],TableWRVORP[RK],0)),"")</f>
        <v/>
      </c>
      <c r="BG189" s="263" t="str">
        <f>_xlfn.CONCAT(TableWRTEMaster[[#This Row],[POS]],TableWRTEMaster[[#This Row],[RK]])</f>
        <v>WR188</v>
      </c>
      <c r="BH189" s="263" t="str">
        <f>IFERROR(INDEX(TableWRVORP[BYE],MATCH(TableWRTEMaster[[#This Row],[RK]],TableWRVORP[RK],0)),"")</f>
        <v/>
      </c>
      <c r="BI189" s="264" t="str">
        <f>IFERROR(INDEX(TableWRVORP[FPS],MATCH(TableWRTEMaster[[#This Row],[RK]],TableWRVORP[RK],0)),"")</f>
        <v/>
      </c>
      <c r="BJ189" s="254" t="str">
        <f>IFERROR(INDEX(TableWRVORP[VORP],MATCH(TableWRTEMaster[[#This Row],[RK]],TableWRVORP[RK],0)),"")</f>
        <v/>
      </c>
    </row>
    <row r="190" spans="14:62" x14ac:dyDescent="0.3">
      <c r="N190" s="246"/>
      <c r="O190" s="246">
        <v>189</v>
      </c>
      <c r="P190" s="247" t="str">
        <f>IFERROR(INDEX(TableWRCalcPts[PLAYER],MATCH(TableWRVORP[[#This Row],[RK]],TableWRCalcPts[RK],0)),"")</f>
        <v/>
      </c>
      <c r="Q190" s="247" t="str">
        <f>IFERROR(INDEX(TableWRCalcPts[TM],MATCH(TableWRVORP[[#This Row],[RK]],TableWRCalcPts[RK],0)),"")</f>
        <v/>
      </c>
      <c r="R190" s="247" t="str">
        <f>IFERROR(INDEX(TableWRCalcPts[BYE],MATCH(TableWRVORP[[#This Row],[RK]],TableWRCalcPts[RK],0)),"")</f>
        <v/>
      </c>
      <c r="S190" s="248" t="str">
        <f>IFERROR(INDEX(TableWRCalcPts[Custom],MATCH(TableWRVORP[[#This Row],[RK]],TableWRCalcPts[RK],0)),"")</f>
        <v/>
      </c>
      <c r="T190" s="249" t="str">
        <f>IFERROR((TableWRVORP[[#This Row],[FPS]]-INDEX(TableWRVORP[FPS],MATCH(WRVORPCalc,TableWRVORP[RK],0)))/INDEX(TableWRVORP[FPS],MATCH(WRVORPCalc,TableWRVORP[RK],0)),"")</f>
        <v/>
      </c>
      <c r="U190" s="246"/>
      <c r="AB190" s="246"/>
      <c r="AC190" s="250"/>
      <c r="AD190" s="250"/>
      <c r="AE190" s="250"/>
      <c r="AF190" s="250" t="s">
        <v>358</v>
      </c>
      <c r="AG190" s="250">
        <v>49</v>
      </c>
      <c r="AH190" s="251">
        <f>RANK(TableOverallMaster[[#This Row],[VORP]],TableOverallMaster[VORP])+COUNTIF($AM$2:AM190,AM190)-1</f>
        <v>119</v>
      </c>
      <c r="AI190" s="252" t="str">
        <f>IFERROR(INDEX(TableWRVORP[WIDE RECEIVER],MATCH(TableOverallMaster[[#This Row],[RK]],TableWRVORP[RK],0)),"")</f>
        <v>Michael Thomas</v>
      </c>
      <c r="AJ190" s="252" t="str">
        <f t="shared" si="2"/>
        <v>WR49</v>
      </c>
      <c r="AK190" s="252">
        <f>IFERROR(INDEX(TableWRVORP[BYE],MATCH(TableOverallMaster[[#This Row],[RK]],TableWRVORP[RK],0)),"")</f>
        <v>14</v>
      </c>
      <c r="AL190" s="253">
        <f>IFERROR(INDEX(TableWRVORP[FPS],MATCH(TableOverallMaster[[#This Row],[RK]],TableWRVORP[RK],0)),"")</f>
        <v>109.96520155385335</v>
      </c>
      <c r="AM190" s="254">
        <f>IFERROR(INDEX(TableWRVORP[VORP],MATCH(TableOverallMaster[[#This Row],[RK]],TableWRVORP[RK],0)),"")</f>
        <v>9.1097193291938706E-3</v>
      </c>
      <c r="AN190" s="250"/>
      <c r="AO190" s="250">
        <v>189</v>
      </c>
      <c r="AP190" s="255" t="str">
        <f>IFERROR(INDEX(TableOverallMaster[OVERALL PLAYER],MATCH(TableOverallRank[[#This Row],[RK]],TableOverallMaster[OVR RK],0)),"")</f>
        <v>K.J. Osborn</v>
      </c>
      <c r="AQ190" s="256" t="str">
        <f>IFERROR(INDEX(TableOverallMaster[POS RK],MATCH(TableOverallRank[[#This Row],[OVERALL PLAYER]],TableOverallMaster[OVERALL PLAYER],0)),"")</f>
        <v>WR75</v>
      </c>
      <c r="AR190" s="257">
        <f>IFERROR(INDEX(TableOverallMaster[BYE],MATCH(TableOverallRank[[#This Row],[OVERALL PLAYER]],TableOverallMaster[OVERALL PLAYER],0)),"")</f>
        <v>7</v>
      </c>
      <c r="AS190" s="258">
        <f>IFERROR(INDEX(TableOverallMaster[Custom],MATCH(TableOverallRank[[#This Row],[OVERALL PLAYER]],TableOverallMaster[OVERALL PLAYER],0)),"")</f>
        <v>80.302367519801066</v>
      </c>
      <c r="AT190" s="259">
        <f>IFERROR(INDEX(TableOverallMaster[VORP],MATCH(TableOverallRank[[#This Row],[OVERALL PLAYER]],TableOverallMaster[OVERALL PLAYER],0)),"")</f>
        <v>-0.26309506639978802</v>
      </c>
      <c r="AU190" s="250"/>
      <c r="AV190" s="246">
        <v>189</v>
      </c>
      <c r="AW190" s="260" t="str">
        <f>IFERROR(INDEX(TableWRTECalcPts[PLAYER],MATCH(TableWRTERank[[#This Row],[RK]],TableWRTECalcPts[RK],0)),"")</f>
        <v>Keelan Cole</v>
      </c>
      <c r="AX190" s="260" t="str">
        <f>IFERROR(INDEX(TableWRTECalcPts[POS RK],MATCH(TableWRTERank[[#This Row],[WR and TE COMBINED]],TableWRTECalcPts[PLAYER],0)),"")</f>
        <v>WR134</v>
      </c>
      <c r="AY190" s="260">
        <f>IFERROR(INDEX(TableWRTECalcPts[BYE],MATCH(TableWRTERank[[#This Row],[RK]],TableWRTECalcPts[RK],0)),"")</f>
        <v>6</v>
      </c>
      <c r="AZ190" s="261">
        <f>IFERROR(INDEX(TableWRTECalcPts[Custom],MATCH(TableWRTERank[[#This Row],[RK]],TableWRTECalcPts[RK],0)),"")</f>
        <v>19.428639238758887</v>
      </c>
      <c r="BA190" s="249">
        <f>IFERROR((TableWRTERank[[#This Row],[FPS]]-INDEX(TableWRTERank[FPS],MATCH(WRTEVORPCalc,TableWRTERank[RK],0)))/INDEX(TableWRTERank[FPS],MATCH(WRTEVORPCalc,TableWRTERank[RK],0)),"")</f>
        <v>-0.83639062161615407</v>
      </c>
      <c r="BC190" s="124" t="s">
        <v>358</v>
      </c>
      <c r="BD190" s="124">
        <v>189</v>
      </c>
      <c r="BE190" s="262" t="e">
        <f>RANK(TableWRTEMaster[[#This Row],[VORP]],TableWRTEMaster[VORP])+COUNTIF($BJ$2:BJ190,BJ190)-1</f>
        <v>#VALUE!</v>
      </c>
      <c r="BF190" s="263" t="str">
        <f>IFERROR(INDEX(TableWRVORP[WIDE RECEIVER],MATCH(TableWRTEMaster[[#This Row],[RK]],TableWRVORP[RK],0)),"")</f>
        <v/>
      </c>
      <c r="BG190" s="263" t="str">
        <f>_xlfn.CONCAT(TableWRTEMaster[[#This Row],[POS]],TableWRTEMaster[[#This Row],[RK]])</f>
        <v>WR189</v>
      </c>
      <c r="BH190" s="263" t="str">
        <f>IFERROR(INDEX(TableWRVORP[BYE],MATCH(TableWRTEMaster[[#This Row],[RK]],TableWRVORP[RK],0)),"")</f>
        <v/>
      </c>
      <c r="BI190" s="264" t="str">
        <f>IFERROR(INDEX(TableWRVORP[FPS],MATCH(TableWRTEMaster[[#This Row],[RK]],TableWRVORP[RK],0)),"")</f>
        <v/>
      </c>
      <c r="BJ190" s="254" t="str">
        <f>IFERROR(INDEX(TableWRVORP[VORP],MATCH(TableWRTEMaster[[#This Row],[RK]],TableWRVORP[RK],0)),"")</f>
        <v/>
      </c>
    </row>
    <row r="191" spans="14:62" x14ac:dyDescent="0.3">
      <c r="N191" s="246"/>
      <c r="O191" s="246">
        <v>190</v>
      </c>
      <c r="P191" s="247" t="str">
        <f>IFERROR(INDEX(TableWRCalcPts[PLAYER],MATCH(TableWRVORP[[#This Row],[RK]],TableWRCalcPts[RK],0)),"")</f>
        <v/>
      </c>
      <c r="Q191" s="247" t="str">
        <f>IFERROR(INDEX(TableWRCalcPts[TM],MATCH(TableWRVORP[[#This Row],[RK]],TableWRCalcPts[RK],0)),"")</f>
        <v/>
      </c>
      <c r="R191" s="247" t="str">
        <f>IFERROR(INDEX(TableWRCalcPts[BYE],MATCH(TableWRVORP[[#This Row],[RK]],TableWRCalcPts[RK],0)),"")</f>
        <v/>
      </c>
      <c r="S191" s="248" t="str">
        <f>IFERROR(INDEX(TableWRCalcPts[Custom],MATCH(TableWRVORP[[#This Row],[RK]],TableWRCalcPts[RK],0)),"")</f>
        <v/>
      </c>
      <c r="T191" s="249" t="str">
        <f>IFERROR((TableWRVORP[[#This Row],[FPS]]-INDEX(TableWRVORP[FPS],MATCH(WRVORPCalc,TableWRVORP[RK],0)))/INDEX(TableWRVORP[FPS],MATCH(WRVORPCalc,TableWRVORP[RK],0)),"")</f>
        <v/>
      </c>
      <c r="U191" s="246"/>
      <c r="AB191" s="246"/>
      <c r="AC191" s="250"/>
      <c r="AD191" s="250"/>
      <c r="AE191" s="250"/>
      <c r="AF191" s="250" t="s">
        <v>358</v>
      </c>
      <c r="AG191" s="250">
        <v>50</v>
      </c>
      <c r="AH191" s="251">
        <f>RANK(TableOverallMaster[[#This Row],[VORP]],TableOverallMaster[VORP])+COUNTIF($AM$2:AM191,AM191)-1</f>
        <v>122</v>
      </c>
      <c r="AI191" s="252" t="str">
        <f>IFERROR(INDEX(TableWRVORP[WIDE RECEIVER],MATCH(TableOverallMaster[[#This Row],[RK]],TableWRVORP[RK],0)),"")</f>
        <v>Chris Olave</v>
      </c>
      <c r="AJ191" s="252" t="str">
        <f t="shared" si="2"/>
        <v>WR50</v>
      </c>
      <c r="AK191" s="252">
        <f>IFERROR(INDEX(TableWRVORP[BYE],MATCH(TableOverallMaster[[#This Row],[RK]],TableWRVORP[RK],0)),"")</f>
        <v>14</v>
      </c>
      <c r="AL191" s="253">
        <f>IFERROR(INDEX(TableWRVORP[FPS],MATCH(TableOverallMaster[[#This Row],[RK]],TableWRVORP[RK],0)),"")</f>
        <v>108.97249273047609</v>
      </c>
      <c r="AM191" s="254">
        <f>IFERROR(INDEX(TableWRVORP[VORP],MATCH(TableOverallMaster[[#This Row],[RK]],TableWRVORP[RK],0)),"")</f>
        <v>0</v>
      </c>
      <c r="AN191" s="250"/>
      <c r="AO191" s="250">
        <v>190</v>
      </c>
      <c r="AP191" s="255" t="str">
        <f>IFERROR(INDEX(TableOverallMaster[OVERALL PLAYER],MATCH(TableOverallRank[[#This Row],[RK]],TableOverallMaster[OVR RK],0)),"")</f>
        <v>Kenny Pickett</v>
      </c>
      <c r="AQ191" s="256" t="str">
        <f>IFERROR(INDEX(TableOverallMaster[POS RK],MATCH(TableOverallRank[[#This Row],[OVERALL PLAYER]],TableOverallMaster[OVERALL PLAYER],0)),"")</f>
        <v>QB28</v>
      </c>
      <c r="AR191" s="257">
        <f>IFERROR(INDEX(TableOverallMaster[BYE],MATCH(TableOverallRank[[#This Row],[OVERALL PLAYER]],TableOverallMaster[OVERALL PLAYER],0)),"")</f>
        <v>9</v>
      </c>
      <c r="AS191" s="258">
        <f>IFERROR(INDEX(TableOverallMaster[Custom],MATCH(TableOverallRank[[#This Row],[OVERALL PLAYER]],TableOverallMaster[OVERALL PLAYER],0)),"")</f>
        <v>217.71824887120525</v>
      </c>
      <c r="AT191" s="259">
        <f>IFERROR(INDEX(TableOverallMaster[VORP],MATCH(TableOverallRank[[#This Row],[OVERALL PLAYER]],TableOverallMaster[OVERALL PLAYER],0)),"")</f>
        <v>-0.26557534226313184</v>
      </c>
      <c r="AU191" s="250"/>
      <c r="AV191" s="246">
        <v>190</v>
      </c>
      <c r="AW191" s="260" t="str">
        <f>IFERROR(INDEX(TableWRTECalcPts[PLAYER],MATCH(TableWRTERank[[#This Row],[RK]],TableWRTECalcPts[RK],0)),"")</f>
        <v>Nelson Agholor</v>
      </c>
      <c r="AX191" s="260" t="str">
        <f>IFERROR(INDEX(TableWRTECalcPts[POS RK],MATCH(TableWRTERank[[#This Row],[WR and TE COMBINED]],TableWRTECalcPts[PLAYER],0)),"")</f>
        <v>WR135</v>
      </c>
      <c r="AY191" s="260">
        <f>IFERROR(INDEX(TableWRTECalcPts[BYE],MATCH(TableWRTERank[[#This Row],[RK]],TableWRTECalcPts[RK],0)),"")</f>
        <v>10</v>
      </c>
      <c r="AZ191" s="261">
        <f>IFERROR(INDEX(TableWRTECalcPts[Custom],MATCH(TableWRTERank[[#This Row],[RK]],TableWRTECalcPts[RK],0)),"")</f>
        <v>19.29962773583124</v>
      </c>
      <c r="BA191" s="249">
        <f>IFERROR((TableWRTERank[[#This Row],[FPS]]-INDEX(TableWRTERank[FPS],MATCH(WRTEVORPCalc,TableWRTERank[RK],0)))/INDEX(TableWRTERank[FPS],MATCH(WRTEVORPCalc,TableWRTERank[RK],0)),"")</f>
        <v>-0.83747703284336195</v>
      </c>
      <c r="BC191" s="124" t="s">
        <v>358</v>
      </c>
      <c r="BD191" s="124">
        <v>190</v>
      </c>
      <c r="BE191" s="262" t="e">
        <f>RANK(TableWRTEMaster[[#This Row],[VORP]],TableWRTEMaster[VORP])+COUNTIF($BJ$2:BJ191,BJ191)-1</f>
        <v>#VALUE!</v>
      </c>
      <c r="BF191" s="263" t="str">
        <f>IFERROR(INDEX(TableWRVORP[WIDE RECEIVER],MATCH(TableWRTEMaster[[#This Row],[RK]],TableWRVORP[RK],0)),"")</f>
        <v/>
      </c>
      <c r="BG191" s="263" t="str">
        <f>_xlfn.CONCAT(TableWRTEMaster[[#This Row],[POS]],TableWRTEMaster[[#This Row],[RK]])</f>
        <v>WR190</v>
      </c>
      <c r="BH191" s="263" t="str">
        <f>IFERROR(INDEX(TableWRVORP[BYE],MATCH(TableWRTEMaster[[#This Row],[RK]],TableWRVORP[RK],0)),"")</f>
        <v/>
      </c>
      <c r="BI191" s="264" t="str">
        <f>IFERROR(INDEX(TableWRVORP[FPS],MATCH(TableWRTEMaster[[#This Row],[RK]],TableWRVORP[RK],0)),"")</f>
        <v/>
      </c>
      <c r="BJ191" s="254" t="str">
        <f>IFERROR(INDEX(TableWRVORP[VORP],MATCH(TableWRTEMaster[[#This Row],[RK]],TableWRVORP[RK],0)),"")</f>
        <v/>
      </c>
    </row>
    <row r="192" spans="14:62" x14ac:dyDescent="0.3">
      <c r="N192" s="246"/>
      <c r="O192" s="246">
        <v>191</v>
      </c>
      <c r="P192" s="247" t="str">
        <f>IFERROR(INDEX(TableWRCalcPts[PLAYER],MATCH(TableWRVORP[[#This Row],[RK]],TableWRCalcPts[RK],0)),"")</f>
        <v/>
      </c>
      <c r="Q192" s="247" t="str">
        <f>IFERROR(INDEX(TableWRCalcPts[TM],MATCH(TableWRVORP[[#This Row],[RK]],TableWRCalcPts[RK],0)),"")</f>
        <v/>
      </c>
      <c r="R192" s="247" t="str">
        <f>IFERROR(INDEX(TableWRCalcPts[BYE],MATCH(TableWRVORP[[#This Row],[RK]],TableWRCalcPts[RK],0)),"")</f>
        <v/>
      </c>
      <c r="S192" s="248" t="str">
        <f>IFERROR(INDEX(TableWRCalcPts[Custom],MATCH(TableWRVORP[[#This Row],[RK]],TableWRCalcPts[RK],0)),"")</f>
        <v/>
      </c>
      <c r="T192" s="249" t="str">
        <f>IFERROR((TableWRVORP[[#This Row],[FPS]]-INDEX(TableWRVORP[FPS],MATCH(WRVORPCalc,TableWRVORP[RK],0)))/INDEX(TableWRVORP[FPS],MATCH(WRVORPCalc,TableWRVORP[RK],0)),"")</f>
        <v/>
      </c>
      <c r="U192" s="246"/>
      <c r="AB192" s="246"/>
      <c r="AC192" s="250"/>
      <c r="AD192" s="250"/>
      <c r="AE192" s="250"/>
      <c r="AF192" s="250" t="s">
        <v>358</v>
      </c>
      <c r="AG192" s="250">
        <v>51</v>
      </c>
      <c r="AH192" s="251">
        <f>RANK(TableOverallMaster[[#This Row],[VORP]],TableOverallMaster[VORP])+COUNTIF($AM$2:AM192,AM192)-1</f>
        <v>126</v>
      </c>
      <c r="AI192" s="252" t="str">
        <f>IFERROR(INDEX(TableWRVORP[WIDE RECEIVER],MATCH(TableOverallMaster[[#This Row],[RK]],TableWRVORP[RK],0)),"")</f>
        <v>Chase Claypool</v>
      </c>
      <c r="AJ192" s="252" t="str">
        <f t="shared" si="2"/>
        <v>WR51</v>
      </c>
      <c r="AK192" s="252">
        <f>IFERROR(INDEX(TableWRVORP[BYE],MATCH(TableOverallMaster[[#This Row],[RK]],TableWRVORP[RK],0)),"")</f>
        <v>9</v>
      </c>
      <c r="AL192" s="253">
        <f>IFERROR(INDEX(TableWRVORP[FPS],MATCH(TableOverallMaster[[#This Row],[RK]],TableWRVORP[RK],0)),"")</f>
        <v>106.93345533928145</v>
      </c>
      <c r="AM192" s="254">
        <f>IFERROR(INDEX(TableWRVORP[VORP],MATCH(TableOverallMaster[[#This Row],[RK]],TableWRVORP[RK],0)),"")</f>
        <v>-1.8711487092782513E-2</v>
      </c>
      <c r="AN192" s="250"/>
      <c r="AO192" s="250">
        <v>191</v>
      </c>
      <c r="AP192" s="255" t="str">
        <f>IFERROR(INDEX(TableOverallMaster[OVERALL PLAYER],MATCH(TableOverallRank[[#This Row],[RK]],TableOverallMaster[OVR RK],0)),"")</f>
        <v>Austin Hooper</v>
      </c>
      <c r="AQ192" s="256" t="str">
        <f>IFERROR(INDEX(TableOverallMaster[POS RK],MATCH(TableOverallRank[[#This Row],[OVERALL PLAYER]],TableOverallMaster[OVERALL PLAYER],0)),"")</f>
        <v>TE28</v>
      </c>
      <c r="AR192" s="257">
        <f>IFERROR(INDEX(TableOverallMaster[BYE],MATCH(TableOverallRank[[#This Row],[OVERALL PLAYER]],TableOverallMaster[OVERALL PLAYER],0)),"")</f>
        <v>6</v>
      </c>
      <c r="AS192" s="258">
        <f>IFERROR(INDEX(TableOverallMaster[Custom],MATCH(TableOverallRank[[#This Row],[OVERALL PLAYER]],TableOverallMaster[OVERALL PLAYER],0)),"")</f>
        <v>74.609358572769963</v>
      </c>
      <c r="AT192" s="259">
        <f>IFERROR(INDEX(TableOverallMaster[VORP],MATCH(TableOverallRank[[#This Row],[OVERALL PLAYER]],TableOverallMaster[OVERALL PLAYER],0)),"")</f>
        <v>-0.27176558481251223</v>
      </c>
      <c r="AU192" s="250"/>
      <c r="AV192" s="246">
        <v>191</v>
      </c>
      <c r="AW192" s="260" t="str">
        <f>IFERROR(INDEX(TableWRTECalcPts[PLAYER],MATCH(TableWRTERank[[#This Row],[RK]],TableWRTECalcPts[RK],0)),"")</f>
        <v>Hunter Long</v>
      </c>
      <c r="AX192" s="260" t="str">
        <f>IFERROR(INDEX(TableWRTECalcPts[POS RK],MATCH(TableWRTERank[[#This Row],[WR and TE COMBINED]],TableWRTECalcPts[PLAYER],0)),"")</f>
        <v>TE56</v>
      </c>
      <c r="AY192" s="260">
        <f>IFERROR(INDEX(TableWRTECalcPts[BYE],MATCH(TableWRTERank[[#This Row],[RK]],TableWRTECalcPts[RK],0)),"")</f>
        <v>11</v>
      </c>
      <c r="AZ192" s="261">
        <f>IFERROR(INDEX(TableWRTECalcPts[Custom],MATCH(TableWRTERank[[#This Row],[RK]],TableWRTECalcPts[RK],0)),"")</f>
        <v>19.12708902696637</v>
      </c>
      <c r="BA192" s="249">
        <f>IFERROR((TableWRTERank[[#This Row],[FPS]]-INDEX(TableWRTERank[FPS],MATCH(WRTEVORPCalc,TableWRTERank[RK],0)))/INDEX(TableWRTERank[FPS],MATCH(WRTEVORPCalc,TableWRTERank[RK],0)),"")</f>
        <v>-0.83892998848053379</v>
      </c>
      <c r="BC192" s="124" t="s">
        <v>358</v>
      </c>
      <c r="BD192" s="124">
        <v>191</v>
      </c>
      <c r="BE192" s="262" t="e">
        <f>RANK(TableWRTEMaster[[#This Row],[VORP]],TableWRTEMaster[VORP])+COUNTIF($BJ$2:BJ192,BJ192)-1</f>
        <v>#VALUE!</v>
      </c>
      <c r="BF192" s="263" t="str">
        <f>IFERROR(INDEX(TableWRVORP[WIDE RECEIVER],MATCH(TableWRTEMaster[[#This Row],[RK]],TableWRVORP[RK],0)),"")</f>
        <v/>
      </c>
      <c r="BG192" s="263" t="str">
        <f>_xlfn.CONCAT(TableWRTEMaster[[#This Row],[POS]],TableWRTEMaster[[#This Row],[RK]])</f>
        <v>WR191</v>
      </c>
      <c r="BH192" s="263" t="str">
        <f>IFERROR(INDEX(TableWRVORP[BYE],MATCH(TableWRTEMaster[[#This Row],[RK]],TableWRVORP[RK],0)),"")</f>
        <v/>
      </c>
      <c r="BI192" s="264" t="str">
        <f>IFERROR(INDEX(TableWRVORP[FPS],MATCH(TableWRTEMaster[[#This Row],[RK]],TableWRVORP[RK],0)),"")</f>
        <v/>
      </c>
      <c r="BJ192" s="254" t="str">
        <f>IFERROR(INDEX(TableWRVORP[VORP],MATCH(TableWRTEMaster[[#This Row],[RK]],TableWRVORP[RK],0)),"")</f>
        <v/>
      </c>
    </row>
    <row r="193" spans="14:62" x14ac:dyDescent="0.3">
      <c r="N193" s="246"/>
      <c r="O193" s="246">
        <v>192</v>
      </c>
      <c r="P193" s="247" t="str">
        <f>IFERROR(INDEX(TableWRCalcPts[PLAYER],MATCH(TableWRVORP[[#This Row],[RK]],TableWRCalcPts[RK],0)),"")</f>
        <v/>
      </c>
      <c r="Q193" s="247" t="str">
        <f>IFERROR(INDEX(TableWRCalcPts[TM],MATCH(TableWRVORP[[#This Row],[RK]],TableWRCalcPts[RK],0)),"")</f>
        <v/>
      </c>
      <c r="R193" s="247" t="str">
        <f>IFERROR(INDEX(TableWRCalcPts[BYE],MATCH(TableWRVORP[[#This Row],[RK]],TableWRCalcPts[RK],0)),"")</f>
        <v/>
      </c>
      <c r="S193" s="248" t="str">
        <f>IFERROR(INDEX(TableWRCalcPts[Custom],MATCH(TableWRVORP[[#This Row],[RK]],TableWRCalcPts[RK],0)),"")</f>
        <v/>
      </c>
      <c r="T193" s="249" t="str">
        <f>IFERROR((TableWRVORP[[#This Row],[FPS]]-INDEX(TableWRVORP[FPS],MATCH(WRVORPCalc,TableWRVORP[RK],0)))/INDEX(TableWRVORP[FPS],MATCH(WRVORPCalc,TableWRVORP[RK],0)),"")</f>
        <v/>
      </c>
      <c r="U193" s="246"/>
      <c r="AB193" s="246"/>
      <c r="AC193" s="250"/>
      <c r="AD193" s="250"/>
      <c r="AE193" s="250"/>
      <c r="AF193" s="250" t="s">
        <v>358</v>
      </c>
      <c r="AG193" s="250">
        <v>52</v>
      </c>
      <c r="AH193" s="251">
        <f>RANK(TableOverallMaster[[#This Row],[VORP]],TableOverallMaster[VORP])+COUNTIF($AM$2:AM193,AM193)-1</f>
        <v>127</v>
      </c>
      <c r="AI193" s="252" t="str">
        <f>IFERROR(INDEX(TableWRVORP[WIDE RECEIVER],MATCH(TableOverallMaster[[#This Row],[RK]],TableWRVORP[RK],0)),"")</f>
        <v>Van Jefferson</v>
      </c>
      <c r="AJ193" s="252" t="str">
        <f t="shared" si="2"/>
        <v>WR52</v>
      </c>
      <c r="AK193" s="252">
        <f>IFERROR(INDEX(TableWRVORP[BYE],MATCH(TableOverallMaster[[#This Row],[RK]],TableWRVORP[RK],0)),"")</f>
        <v>7</v>
      </c>
      <c r="AL193" s="253">
        <f>IFERROR(INDEX(TableWRVORP[FPS],MATCH(TableOverallMaster[[#This Row],[RK]],TableWRVORP[RK],0)),"")</f>
        <v>106.76394680560256</v>
      </c>
      <c r="AM193" s="254">
        <f>IFERROR(INDEX(TableWRVORP[VORP],MATCH(TableOverallMaster[[#This Row],[RK]],TableWRVORP[RK],0)),"")</f>
        <v>-2.0267003805593174E-2</v>
      </c>
      <c r="AN193" s="250"/>
      <c r="AO193" s="250">
        <v>192</v>
      </c>
      <c r="AP193" s="255" t="str">
        <f>IFERROR(INDEX(TableOverallMaster[OVERALL PLAYER],MATCH(TableOverallRank[[#This Row],[RK]],TableOverallMaster[OVR RK],0)),"")</f>
        <v>Jalen Tolbert</v>
      </c>
      <c r="AQ193" s="256" t="str">
        <f>IFERROR(INDEX(TableOverallMaster[POS RK],MATCH(TableOverallRank[[#This Row],[OVERALL PLAYER]],TableOverallMaster[OVERALL PLAYER],0)),"")</f>
        <v>WR76</v>
      </c>
      <c r="AR193" s="257">
        <f>IFERROR(INDEX(TableOverallMaster[BYE],MATCH(TableOverallRank[[#This Row],[OVERALL PLAYER]],TableOverallMaster[OVERALL PLAYER],0)),"")</f>
        <v>9</v>
      </c>
      <c r="AS193" s="258">
        <f>IFERROR(INDEX(TableOverallMaster[Custom],MATCH(TableOverallRank[[#This Row],[OVERALL PLAYER]],TableOverallMaster[OVERALL PLAYER],0)),"")</f>
        <v>77.913830424519318</v>
      </c>
      <c r="AT193" s="259">
        <f>IFERROR(INDEX(TableOverallMaster[VORP],MATCH(TableOverallRank[[#This Row],[OVERALL PLAYER]],TableOverallMaster[OVERALL PLAYER],0)),"")</f>
        <v>-0.28501378217322054</v>
      </c>
      <c r="AU193" s="250"/>
      <c r="AV193" s="246">
        <v>192</v>
      </c>
      <c r="AW193" s="260" t="str">
        <f>IFERROR(INDEX(TableWRTECalcPts[PLAYER],MATCH(TableWRTERank[[#This Row],[RK]],TableWRTECalcPts[RK],0)),"")</f>
        <v>Mack Hollins</v>
      </c>
      <c r="AX193" s="260" t="str">
        <f>IFERROR(INDEX(TableWRTECalcPts[POS RK],MATCH(TableWRTERank[[#This Row],[WR and TE COMBINED]],TableWRTECalcPts[PLAYER],0)),"")</f>
        <v>WR136</v>
      </c>
      <c r="AY193" s="260">
        <f>IFERROR(INDEX(TableWRTECalcPts[BYE],MATCH(TableWRTERank[[#This Row],[RK]],TableWRTECalcPts[RK],0)),"")</f>
        <v>6</v>
      </c>
      <c r="AZ193" s="261">
        <f>IFERROR(INDEX(TableWRTECalcPts[Custom],MATCH(TableWRTERank[[#This Row],[RK]],TableWRTECalcPts[RK],0)),"")</f>
        <v>18.867715638529205</v>
      </c>
      <c r="BA193" s="249">
        <f>IFERROR((TableWRTERank[[#This Row],[FPS]]-INDEX(TableWRTERank[FPS],MATCH(WRTEVORPCalc,TableWRTERank[RK],0)))/INDEX(TableWRTERank[FPS],MATCH(WRTEVORPCalc,TableWRTERank[RK],0)),"")</f>
        <v>-0.84111418256278636</v>
      </c>
      <c r="BC193" s="124" t="s">
        <v>358</v>
      </c>
      <c r="BD193" s="124">
        <v>192</v>
      </c>
      <c r="BE193" s="262" t="e">
        <f>RANK(TableWRTEMaster[[#This Row],[VORP]],TableWRTEMaster[VORP])+COUNTIF($BJ$2:BJ193,BJ193)-1</f>
        <v>#VALUE!</v>
      </c>
      <c r="BF193" s="263" t="str">
        <f>IFERROR(INDEX(TableWRVORP[WIDE RECEIVER],MATCH(TableWRTEMaster[[#This Row],[RK]],TableWRVORP[RK],0)),"")</f>
        <v/>
      </c>
      <c r="BG193" s="263" t="str">
        <f>_xlfn.CONCAT(TableWRTEMaster[[#This Row],[POS]],TableWRTEMaster[[#This Row],[RK]])</f>
        <v>WR192</v>
      </c>
      <c r="BH193" s="263" t="str">
        <f>IFERROR(INDEX(TableWRVORP[BYE],MATCH(TableWRTEMaster[[#This Row],[RK]],TableWRVORP[RK],0)),"")</f>
        <v/>
      </c>
      <c r="BI193" s="264" t="str">
        <f>IFERROR(INDEX(TableWRVORP[FPS],MATCH(TableWRTEMaster[[#This Row],[RK]],TableWRVORP[RK],0)),"")</f>
        <v/>
      </c>
      <c r="BJ193" s="254" t="str">
        <f>IFERROR(INDEX(TableWRVORP[VORP],MATCH(TableWRTEMaster[[#This Row],[RK]],TableWRVORP[RK],0)),"")</f>
        <v/>
      </c>
    </row>
    <row r="194" spans="14:62" x14ac:dyDescent="0.3">
      <c r="N194" s="246"/>
      <c r="O194" s="246">
        <v>193</v>
      </c>
      <c r="P194" s="247" t="str">
        <f>IFERROR(INDEX(TableWRCalcPts[PLAYER],MATCH(TableWRVORP[[#This Row],[RK]],TableWRCalcPts[RK],0)),"")</f>
        <v/>
      </c>
      <c r="Q194" s="247" t="str">
        <f>IFERROR(INDEX(TableWRCalcPts[TM],MATCH(TableWRVORP[[#This Row],[RK]],TableWRCalcPts[RK],0)),"")</f>
        <v/>
      </c>
      <c r="R194" s="247" t="str">
        <f>IFERROR(INDEX(TableWRCalcPts[BYE],MATCH(TableWRVORP[[#This Row],[RK]],TableWRCalcPts[RK],0)),"")</f>
        <v/>
      </c>
      <c r="S194" s="248" t="str">
        <f>IFERROR(INDEX(TableWRCalcPts[Custom],MATCH(TableWRVORP[[#This Row],[RK]],TableWRCalcPts[RK],0)),"")</f>
        <v/>
      </c>
      <c r="T194" s="249" t="str">
        <f>IFERROR((TableWRVORP[[#This Row],[FPS]]-INDEX(TableWRVORP[FPS],MATCH(WRVORPCalc,TableWRVORP[RK],0)))/INDEX(TableWRVORP[FPS],MATCH(WRVORPCalc,TableWRVORP[RK],0)),"")</f>
        <v/>
      </c>
      <c r="U194" s="246"/>
      <c r="AB194" s="246"/>
      <c r="AC194" s="250"/>
      <c r="AD194" s="250"/>
      <c r="AE194" s="250"/>
      <c r="AF194" s="250" t="s">
        <v>358</v>
      </c>
      <c r="AG194" s="250">
        <v>53</v>
      </c>
      <c r="AH194" s="251">
        <f>RANK(TableOverallMaster[[#This Row],[VORP]],TableOverallMaster[VORP])+COUNTIF($AM$2:AM194,AM194)-1</f>
        <v>128</v>
      </c>
      <c r="AI194" s="252" t="str">
        <f>IFERROR(INDEX(TableWRVORP[WIDE RECEIVER],MATCH(TableOverallMaster[[#This Row],[RK]],TableWRVORP[RK],0)),"")</f>
        <v>Mecole Hardman</v>
      </c>
      <c r="AJ194" s="252" t="str">
        <f t="shared" ref="AJ194:AJ257" si="3">CONCATENATE(AF194,AG194)</f>
        <v>WR53</v>
      </c>
      <c r="AK194" s="252">
        <f>IFERROR(INDEX(TableWRVORP[BYE],MATCH(TableOverallMaster[[#This Row],[RK]],TableWRVORP[RK],0)),"")</f>
        <v>8</v>
      </c>
      <c r="AL194" s="253">
        <f>IFERROR(INDEX(TableWRVORP[FPS],MATCH(TableOverallMaster[[#This Row],[RK]],TableWRVORP[RK],0)),"")</f>
        <v>106.4869180452002</v>
      </c>
      <c r="AM194" s="254">
        <f>IFERROR(INDEX(TableWRVORP[VORP],MATCH(TableOverallMaster[[#This Row],[RK]],TableWRVORP[RK],0)),"")</f>
        <v>-2.2809193613873877E-2</v>
      </c>
      <c r="AN194" s="250"/>
      <c r="AO194" s="250">
        <v>193</v>
      </c>
      <c r="AP194" s="255" t="str">
        <f>IFERROR(INDEX(TableOverallMaster[OVERALL PLAYER],MATCH(TableOverallRank[[#This Row],[RK]],TableOverallMaster[OVR RK],0)),"")</f>
        <v>Deshaun Watson</v>
      </c>
      <c r="AQ194" s="256" t="str">
        <f>IFERROR(INDEX(TableOverallMaster[POS RK],MATCH(TableOverallRank[[#This Row],[OVERALL PLAYER]],TableOverallMaster[OVERALL PLAYER],0)),"")</f>
        <v>QB29</v>
      </c>
      <c r="AR194" s="257">
        <f>IFERROR(INDEX(TableOverallMaster[BYE],MATCH(TableOverallRank[[#This Row],[OVERALL PLAYER]],TableOverallMaster[OVERALL PLAYER],0)),"")</f>
        <v>9</v>
      </c>
      <c r="AS194" s="258">
        <f>IFERROR(INDEX(TableOverallMaster[Custom],MATCH(TableOverallRank[[#This Row],[OVERALL PLAYER]],TableOverallMaster[OVERALL PLAYER],0)),"")</f>
        <v>211.65472751779441</v>
      </c>
      <c r="AT194" s="259">
        <f>IFERROR(INDEX(TableOverallMaster[VORP],MATCH(TableOverallRank[[#This Row],[OVERALL PLAYER]],TableOverallMaster[OVERALL PLAYER],0)),"")</f>
        <v>-0.28855126471842585</v>
      </c>
      <c r="AU194" s="250"/>
      <c r="AV194" s="246">
        <v>193</v>
      </c>
      <c r="AW194" s="260" t="str">
        <f>IFERROR(INDEX(TableWRTECalcPts[PLAYER],MATCH(TableWRTERank[[#This Row],[RK]],TableWRTECalcPts[RK],0)),"")</f>
        <v>Romeo Doubs</v>
      </c>
      <c r="AX194" s="260" t="str">
        <f>IFERROR(INDEX(TableWRTECalcPts[POS RK],MATCH(TableWRTERank[[#This Row],[WR and TE COMBINED]],TableWRTECalcPts[PLAYER],0)),"")</f>
        <v>WR137</v>
      </c>
      <c r="AY194" s="260">
        <f>IFERROR(INDEX(TableWRTECalcPts[BYE],MATCH(TableWRTERank[[#This Row],[RK]],TableWRTECalcPts[RK],0)),"")</f>
        <v>14</v>
      </c>
      <c r="AZ194" s="261">
        <f>IFERROR(INDEX(TableWRTECalcPts[Custom],MATCH(TableWRTERank[[#This Row],[RK]],TableWRTECalcPts[RK],0)),"")</f>
        <v>18.432043108152239</v>
      </c>
      <c r="BA194" s="249">
        <f>IFERROR((TableWRTERank[[#This Row],[FPS]]-INDEX(TableWRTERank[FPS],MATCH(WRTEVORPCalc,TableWRTERank[RK],0)))/INDEX(TableWRTERank[FPS],MATCH(WRTEVORPCalc,TableWRTERank[RK],0)),"")</f>
        <v>-0.84478299904539889</v>
      </c>
      <c r="BC194" s="124" t="s">
        <v>358</v>
      </c>
      <c r="BD194" s="124">
        <v>193</v>
      </c>
      <c r="BE194" s="262" t="e">
        <f>RANK(TableWRTEMaster[[#This Row],[VORP]],TableWRTEMaster[VORP])+COUNTIF($BJ$2:BJ194,BJ194)-1</f>
        <v>#VALUE!</v>
      </c>
      <c r="BF194" s="263" t="str">
        <f>IFERROR(INDEX(TableWRVORP[WIDE RECEIVER],MATCH(TableWRTEMaster[[#This Row],[RK]],TableWRVORP[RK],0)),"")</f>
        <v/>
      </c>
      <c r="BG194" s="263" t="str">
        <f>_xlfn.CONCAT(TableWRTEMaster[[#This Row],[POS]],TableWRTEMaster[[#This Row],[RK]])</f>
        <v>WR193</v>
      </c>
      <c r="BH194" s="263" t="str">
        <f>IFERROR(INDEX(TableWRVORP[BYE],MATCH(TableWRTEMaster[[#This Row],[RK]],TableWRVORP[RK],0)),"")</f>
        <v/>
      </c>
      <c r="BI194" s="264" t="str">
        <f>IFERROR(INDEX(TableWRVORP[FPS],MATCH(TableWRTEMaster[[#This Row],[RK]],TableWRVORP[RK],0)),"")</f>
        <v/>
      </c>
      <c r="BJ194" s="254" t="str">
        <f>IFERROR(INDEX(TableWRVORP[VORP],MATCH(TableWRTEMaster[[#This Row],[RK]],TableWRVORP[RK],0)),"")</f>
        <v/>
      </c>
    </row>
    <row r="195" spans="14:62" x14ac:dyDescent="0.3">
      <c r="N195" s="246"/>
      <c r="O195" s="246">
        <v>194</v>
      </c>
      <c r="P195" s="247" t="str">
        <f>IFERROR(INDEX(TableWRCalcPts[PLAYER],MATCH(TableWRVORP[[#This Row],[RK]],TableWRCalcPts[RK],0)),"")</f>
        <v/>
      </c>
      <c r="Q195" s="247" t="str">
        <f>IFERROR(INDEX(TableWRCalcPts[TM],MATCH(TableWRVORP[[#This Row],[RK]],TableWRCalcPts[RK],0)),"")</f>
        <v/>
      </c>
      <c r="R195" s="247" t="str">
        <f>IFERROR(INDEX(TableWRCalcPts[BYE],MATCH(TableWRVORP[[#This Row],[RK]],TableWRCalcPts[RK],0)),"")</f>
        <v/>
      </c>
      <c r="S195" s="248" t="str">
        <f>IFERROR(INDEX(TableWRCalcPts[Custom],MATCH(TableWRVORP[[#This Row],[RK]],TableWRCalcPts[RK],0)),"")</f>
        <v/>
      </c>
      <c r="T195" s="249" t="str">
        <f>IFERROR((TableWRVORP[[#This Row],[FPS]]-INDEX(TableWRVORP[FPS],MATCH(WRVORPCalc,TableWRVORP[RK],0)))/INDEX(TableWRVORP[FPS],MATCH(WRVORPCalc,TableWRVORP[RK],0)),"")</f>
        <v/>
      </c>
      <c r="U195" s="246"/>
      <c r="AB195" s="246"/>
      <c r="AC195" s="250"/>
      <c r="AD195" s="250"/>
      <c r="AE195" s="250"/>
      <c r="AF195" s="250" t="s">
        <v>358</v>
      </c>
      <c r="AG195" s="250">
        <v>54</v>
      </c>
      <c r="AH195" s="251">
        <f>RANK(TableOverallMaster[[#This Row],[VORP]],TableOverallMaster[VORP])+COUNTIF($AM$2:AM195,AM195)-1</f>
        <v>130</v>
      </c>
      <c r="AI195" s="252" t="str">
        <f>IFERROR(INDEX(TableWRVORP[WIDE RECEIVER],MATCH(TableOverallMaster[[#This Row],[RK]],TableWRVORP[RK],0)),"")</f>
        <v>Marvin Jones</v>
      </c>
      <c r="AJ195" s="252" t="str">
        <f t="shared" si="3"/>
        <v>WR54</v>
      </c>
      <c r="AK195" s="252">
        <f>IFERROR(INDEX(TableWRVORP[BYE],MATCH(TableOverallMaster[[#This Row],[RK]],TableWRVORP[RK],0)),"")</f>
        <v>11</v>
      </c>
      <c r="AL195" s="253">
        <f>IFERROR(INDEX(TableWRVORP[FPS],MATCH(TableOverallMaster[[#This Row],[RK]],TableWRVORP[RK],0)),"")</f>
        <v>105.82007116870886</v>
      </c>
      <c r="AM195" s="254">
        <f>IFERROR(INDEX(TableWRVORP[VORP],MATCH(TableOverallMaster[[#This Row],[RK]],TableWRVORP[RK],0)),"")</f>
        <v>-2.8928599160929318E-2</v>
      </c>
      <c r="AN195" s="250"/>
      <c r="AO195" s="250">
        <v>194</v>
      </c>
      <c r="AP195" s="255" t="str">
        <f>IFERROR(INDEX(TableOverallMaster[OVERALL PLAYER],MATCH(TableOverallRank[[#This Row],[RK]],TableOverallMaster[OVR RK],0)),"")</f>
        <v>DJ Chark</v>
      </c>
      <c r="AQ195" s="256" t="str">
        <f>IFERROR(INDEX(TableOverallMaster[POS RK],MATCH(TableOverallRank[[#This Row],[OVERALL PLAYER]],TableOverallMaster[OVERALL PLAYER],0)),"")</f>
        <v>WR77</v>
      </c>
      <c r="AR195" s="257">
        <f>IFERROR(INDEX(TableOverallMaster[BYE],MATCH(TableOverallRank[[#This Row],[OVERALL PLAYER]],TableOverallMaster[OVERALL PLAYER],0)),"")</f>
        <v>6</v>
      </c>
      <c r="AS195" s="258">
        <f>IFERROR(INDEX(TableOverallMaster[Custom],MATCH(TableOverallRank[[#This Row],[OVERALL PLAYER]],TableOverallMaster[OVERALL PLAYER],0)),"")</f>
        <v>76.972782029526599</v>
      </c>
      <c r="AT195" s="259">
        <f>IFERROR(INDEX(TableOverallMaster[VORP],MATCH(TableOverallRank[[#This Row],[OVERALL PLAYER]],TableOverallMaster[OVERALL PLAYER],0)),"")</f>
        <v>-0.2936494329820924</v>
      </c>
      <c r="AU195" s="250"/>
      <c r="AV195" s="246">
        <v>194</v>
      </c>
      <c r="AW195" s="260" t="str">
        <f>IFERROR(INDEX(TableWRTECalcPts[PLAYER],MATCH(TableWRTERank[[#This Row],[RK]],TableWRTECalcPts[RK],0)),"")</f>
        <v>Richie James</v>
      </c>
      <c r="AX195" s="260" t="str">
        <f>IFERROR(INDEX(TableWRTECalcPts[POS RK],MATCH(TableWRTERank[[#This Row],[WR and TE COMBINED]],TableWRTECalcPts[PLAYER],0)),"")</f>
        <v>WR138</v>
      </c>
      <c r="AY195" s="260">
        <f>IFERROR(INDEX(TableWRTECalcPts[BYE],MATCH(TableWRTERank[[#This Row],[RK]],TableWRTECalcPts[RK],0)),"")</f>
        <v>9</v>
      </c>
      <c r="AZ195" s="261">
        <f>IFERROR(INDEX(TableWRTECalcPts[Custom],MATCH(TableWRTERank[[#This Row],[RK]],TableWRTECalcPts[RK],0)),"")</f>
        <v>18.325436797417154</v>
      </c>
      <c r="BA195" s="249">
        <f>IFERROR((TableWRTERank[[#This Row],[FPS]]-INDEX(TableWRTERank[FPS],MATCH(WRTEVORPCalc,TableWRTERank[RK],0)))/INDEX(TableWRTERank[FPS],MATCH(WRTEVORPCalc,TableWRTERank[RK],0)),"")</f>
        <v>-0.84568073521810871</v>
      </c>
      <c r="BC195" s="124" t="s">
        <v>358</v>
      </c>
      <c r="BD195" s="124">
        <v>194</v>
      </c>
      <c r="BE195" s="262" t="e">
        <f>RANK(TableWRTEMaster[[#This Row],[VORP]],TableWRTEMaster[VORP])+COUNTIF($BJ$2:BJ195,BJ195)-1</f>
        <v>#VALUE!</v>
      </c>
      <c r="BF195" s="263" t="str">
        <f>IFERROR(INDEX(TableWRVORP[WIDE RECEIVER],MATCH(TableWRTEMaster[[#This Row],[RK]],TableWRVORP[RK],0)),"")</f>
        <v/>
      </c>
      <c r="BG195" s="263" t="str">
        <f>_xlfn.CONCAT(TableWRTEMaster[[#This Row],[POS]],TableWRTEMaster[[#This Row],[RK]])</f>
        <v>WR194</v>
      </c>
      <c r="BH195" s="263" t="str">
        <f>IFERROR(INDEX(TableWRVORP[BYE],MATCH(TableWRTEMaster[[#This Row],[RK]],TableWRVORP[RK],0)),"")</f>
        <v/>
      </c>
      <c r="BI195" s="264" t="str">
        <f>IFERROR(INDEX(TableWRVORP[FPS],MATCH(TableWRTEMaster[[#This Row],[RK]],TableWRVORP[RK],0)),"")</f>
        <v/>
      </c>
      <c r="BJ195" s="254" t="str">
        <f>IFERROR(INDEX(TableWRVORP[VORP],MATCH(TableWRTEMaster[[#This Row],[RK]],TableWRVORP[RK],0)),"")</f>
        <v/>
      </c>
    </row>
    <row r="196" spans="14:62" x14ac:dyDescent="0.3">
      <c r="N196" s="246"/>
      <c r="O196" s="246">
        <v>195</v>
      </c>
      <c r="P196" s="247" t="str">
        <f>IFERROR(INDEX(TableWRCalcPts[PLAYER],MATCH(TableWRVORP[[#This Row],[RK]],TableWRCalcPts[RK],0)),"")</f>
        <v/>
      </c>
      <c r="Q196" s="247" t="str">
        <f>IFERROR(INDEX(TableWRCalcPts[TM],MATCH(TableWRVORP[[#This Row],[RK]],TableWRCalcPts[RK],0)),"")</f>
        <v/>
      </c>
      <c r="R196" s="247" t="str">
        <f>IFERROR(INDEX(TableWRCalcPts[BYE],MATCH(TableWRVORP[[#This Row],[RK]],TableWRCalcPts[RK],0)),"")</f>
        <v/>
      </c>
      <c r="S196" s="248" t="str">
        <f>IFERROR(INDEX(TableWRCalcPts[Custom],MATCH(TableWRVORP[[#This Row],[RK]],TableWRCalcPts[RK],0)),"")</f>
        <v/>
      </c>
      <c r="T196" s="249" t="str">
        <f>IFERROR((TableWRVORP[[#This Row],[FPS]]-INDEX(TableWRVORP[FPS],MATCH(WRVORPCalc,TableWRVORP[RK],0)))/INDEX(TableWRVORP[FPS],MATCH(WRVORPCalc,TableWRVORP[RK],0)),"")</f>
        <v/>
      </c>
      <c r="U196" s="246"/>
      <c r="AB196" s="246"/>
      <c r="AC196" s="250"/>
      <c r="AD196" s="250"/>
      <c r="AE196" s="250"/>
      <c r="AF196" s="250" t="s">
        <v>358</v>
      </c>
      <c r="AG196" s="250">
        <v>55</v>
      </c>
      <c r="AH196" s="251">
        <f>RANK(TableOverallMaster[[#This Row],[VORP]],TableOverallMaster[VORP])+COUNTIF($AM$2:AM196,AM196)-1</f>
        <v>135</v>
      </c>
      <c r="AI196" s="252" t="str">
        <f>IFERROR(INDEX(TableWRVORP[WIDE RECEIVER],MATCH(TableOverallMaster[[#This Row],[RK]],TableWRVORP[RK],0)),"")</f>
        <v>Kenny Golladay</v>
      </c>
      <c r="AJ196" s="252" t="str">
        <f t="shared" si="3"/>
        <v>WR55</v>
      </c>
      <c r="AK196" s="252">
        <f>IFERROR(INDEX(TableWRVORP[BYE],MATCH(TableOverallMaster[[#This Row],[RK]],TableWRVORP[RK],0)),"")</f>
        <v>9</v>
      </c>
      <c r="AL196" s="253">
        <f>IFERROR(INDEX(TableWRVORP[FPS],MATCH(TableOverallMaster[[#This Row],[RK]],TableWRVORP[RK],0)),"")</f>
        <v>104.4107223692055</v>
      </c>
      <c r="AM196" s="254">
        <f>IFERROR(INDEX(TableWRVORP[VORP],MATCH(TableOverallMaster[[#This Row],[RK]],TableWRVORP[RK],0)),"")</f>
        <v>-4.1861668453829999E-2</v>
      </c>
      <c r="AN196" s="250"/>
      <c r="AO196" s="250">
        <v>195</v>
      </c>
      <c r="AP196" s="255" t="str">
        <f>IFERROR(INDEX(TableOverallMaster[OVERALL PLAYER],MATCH(TableOverallRank[[#This Row],[RK]],TableOverallMaster[OVR RK],0)),"")</f>
        <v>Marcus Mariota</v>
      </c>
      <c r="AQ196" s="256" t="str">
        <f>IFERROR(INDEX(TableOverallMaster[POS RK],MATCH(TableOverallRank[[#This Row],[OVERALL PLAYER]],TableOverallMaster[OVERALL PLAYER],0)),"")</f>
        <v>QB30</v>
      </c>
      <c r="AR196" s="257">
        <f>IFERROR(INDEX(TableOverallMaster[BYE],MATCH(TableOverallRank[[#This Row],[OVERALL PLAYER]],TableOverallMaster[OVERALL PLAYER],0)),"")</f>
        <v>14</v>
      </c>
      <c r="AS196" s="258">
        <f>IFERROR(INDEX(TableOverallMaster[Custom],MATCH(TableOverallRank[[#This Row],[OVERALL PLAYER]],TableOverallMaster[OVERALL PLAYER],0)),"")</f>
        <v>209.13869454613715</v>
      </c>
      <c r="AT196" s="259">
        <f>IFERROR(INDEX(TableOverallMaster[VORP],MATCH(TableOverallRank[[#This Row],[OVERALL PLAYER]],TableOverallMaster[OVERALL PLAYER],0)),"")</f>
        <v>-0.30239221359908852</v>
      </c>
      <c r="AU196" s="250"/>
      <c r="AV196" s="246">
        <v>195</v>
      </c>
      <c r="AW196" s="260" t="str">
        <f>IFERROR(INDEX(TableWRTECalcPts[PLAYER],MATCH(TableWRTERank[[#This Row],[RK]],TableWRTECalcPts[RK],0)),"")</f>
        <v>Drew Sample</v>
      </c>
      <c r="AX196" s="260" t="str">
        <f>IFERROR(INDEX(TableWRTECalcPts[POS RK],MATCH(TableWRTERank[[#This Row],[WR and TE COMBINED]],TableWRTECalcPts[PLAYER],0)),"")</f>
        <v>TE57</v>
      </c>
      <c r="AY196" s="260">
        <f>IFERROR(INDEX(TableWRTECalcPts[BYE],MATCH(TableWRTERank[[#This Row],[RK]],TableWRTECalcPts[RK],0)),"")</f>
        <v>10</v>
      </c>
      <c r="AZ196" s="261">
        <f>IFERROR(INDEX(TableWRTECalcPts[Custom],MATCH(TableWRTERank[[#This Row],[RK]],TableWRTECalcPts[RK],0)),"")</f>
        <v>18.28922772536642</v>
      </c>
      <c r="BA196" s="249">
        <f>IFERROR((TableWRTERank[[#This Row],[FPS]]-INDEX(TableWRTERank[FPS],MATCH(WRTEVORPCalc,TableWRTERank[RK],0)))/INDEX(TableWRTERank[FPS],MATCH(WRTEVORPCalc,TableWRTERank[RK],0)),"")</f>
        <v>-0.84598565331851072</v>
      </c>
      <c r="BC196" s="124" t="s">
        <v>358</v>
      </c>
      <c r="BD196" s="124">
        <v>195</v>
      </c>
      <c r="BE196" s="262" t="e">
        <f>RANK(TableWRTEMaster[[#This Row],[VORP]],TableWRTEMaster[VORP])+COUNTIF($BJ$2:BJ196,BJ196)-1</f>
        <v>#VALUE!</v>
      </c>
      <c r="BF196" s="263" t="str">
        <f>IFERROR(INDEX(TableWRVORP[WIDE RECEIVER],MATCH(TableWRTEMaster[[#This Row],[RK]],TableWRVORP[RK],0)),"")</f>
        <v/>
      </c>
      <c r="BG196" s="263" t="str">
        <f>_xlfn.CONCAT(TableWRTEMaster[[#This Row],[POS]],TableWRTEMaster[[#This Row],[RK]])</f>
        <v>WR195</v>
      </c>
      <c r="BH196" s="263" t="str">
        <f>IFERROR(INDEX(TableWRVORP[BYE],MATCH(TableWRTEMaster[[#This Row],[RK]],TableWRVORP[RK],0)),"")</f>
        <v/>
      </c>
      <c r="BI196" s="264" t="str">
        <f>IFERROR(INDEX(TableWRVORP[FPS],MATCH(TableWRTEMaster[[#This Row],[RK]],TableWRVORP[RK],0)),"")</f>
        <v/>
      </c>
      <c r="BJ196" s="254" t="str">
        <f>IFERROR(INDEX(TableWRVORP[VORP],MATCH(TableWRTEMaster[[#This Row],[RK]],TableWRVORP[RK],0)),"")</f>
        <v/>
      </c>
    </row>
    <row r="197" spans="14:62" x14ac:dyDescent="0.3">
      <c r="N197" s="246"/>
      <c r="O197" s="246">
        <v>196</v>
      </c>
      <c r="P197" s="247" t="str">
        <f>IFERROR(INDEX(TableWRCalcPts[PLAYER],MATCH(TableWRVORP[[#This Row],[RK]],TableWRCalcPts[RK],0)),"")</f>
        <v/>
      </c>
      <c r="Q197" s="247" t="str">
        <f>IFERROR(INDEX(TableWRCalcPts[TM],MATCH(TableWRVORP[[#This Row],[RK]],TableWRCalcPts[RK],0)),"")</f>
        <v/>
      </c>
      <c r="R197" s="247" t="str">
        <f>IFERROR(INDEX(TableWRCalcPts[BYE],MATCH(TableWRVORP[[#This Row],[RK]],TableWRCalcPts[RK],0)),"")</f>
        <v/>
      </c>
      <c r="S197" s="248" t="str">
        <f>IFERROR(INDEX(TableWRCalcPts[Custom],MATCH(TableWRVORP[[#This Row],[RK]],TableWRCalcPts[RK],0)),"")</f>
        <v/>
      </c>
      <c r="T197" s="249" t="str">
        <f>IFERROR((TableWRVORP[[#This Row],[FPS]]-INDEX(TableWRVORP[FPS],MATCH(WRVORPCalc,TableWRVORP[RK],0)))/INDEX(TableWRVORP[FPS],MATCH(WRVORPCalc,TableWRVORP[RK],0)),"")</f>
        <v/>
      </c>
      <c r="U197" s="246"/>
      <c r="AB197" s="246"/>
      <c r="AC197" s="250"/>
      <c r="AD197" s="250"/>
      <c r="AE197" s="250"/>
      <c r="AF197" s="250" t="s">
        <v>358</v>
      </c>
      <c r="AG197" s="250">
        <v>56</v>
      </c>
      <c r="AH197" s="251">
        <f>RANK(TableOverallMaster[[#This Row],[VORP]],TableOverallMaster[VORP])+COUNTIF($AM$2:AM197,AM197)-1</f>
        <v>143</v>
      </c>
      <c r="AI197" s="252" t="str">
        <f>IFERROR(INDEX(TableWRVORP[WIDE RECEIVER],MATCH(TableOverallMaster[[#This Row],[RK]],TableWRVORP[RK],0)),"")</f>
        <v>DeAndre Hopkins</v>
      </c>
      <c r="AJ197" s="252" t="str">
        <f t="shared" si="3"/>
        <v>WR56</v>
      </c>
      <c r="AK197" s="252">
        <f>IFERROR(INDEX(TableWRVORP[BYE],MATCH(TableOverallMaster[[#This Row],[RK]],TableWRVORP[RK],0)),"")</f>
        <v>13</v>
      </c>
      <c r="AL197" s="253">
        <f>IFERROR(INDEX(TableWRVORP[FPS],MATCH(TableOverallMaster[[#This Row],[RK]],TableWRVORP[RK],0)),"")</f>
        <v>101.49414320839625</v>
      </c>
      <c r="AM197" s="254">
        <f>IFERROR(INDEX(TableWRVORP[VORP],MATCH(TableOverallMaster[[#This Row],[RK]],TableWRVORP[RK],0)),"")</f>
        <v>-6.8626029695183666E-2</v>
      </c>
      <c r="AN197" s="250"/>
      <c r="AO197" s="250">
        <v>196</v>
      </c>
      <c r="AP197" s="255" t="str">
        <f>IFERROR(INDEX(TableOverallMaster[OVERALL PLAYER],MATCH(TableOverallRank[[#This Row],[RK]],TableOverallMaster[OVR RK],0)),"")</f>
        <v>Nick Westbrook-Ikhine</v>
      </c>
      <c r="AQ197" s="256" t="str">
        <f>IFERROR(INDEX(TableOverallMaster[POS RK],MATCH(TableOverallRank[[#This Row],[OVERALL PLAYER]],TableOverallMaster[OVERALL PLAYER],0)),"")</f>
        <v>WR78</v>
      </c>
      <c r="AR197" s="257">
        <f>IFERROR(INDEX(TableOverallMaster[BYE],MATCH(TableOverallRank[[#This Row],[OVERALL PLAYER]],TableOverallMaster[OVERALL PLAYER],0)),"")</f>
        <v>6</v>
      </c>
      <c r="AS197" s="258">
        <f>IFERROR(INDEX(TableOverallMaster[Custom],MATCH(TableOverallRank[[#This Row],[OVERALL PLAYER]],TableOverallMaster[OVERALL PLAYER],0)),"")</f>
        <v>75.820601020051214</v>
      </c>
      <c r="AT197" s="259">
        <f>IFERROR(INDEX(TableOverallMaster[VORP],MATCH(TableOverallRank[[#This Row],[OVERALL PLAYER]],TableOverallMaster[OVERALL PLAYER],0)),"")</f>
        <v>-0.30422256919845025</v>
      </c>
      <c r="AU197" s="250"/>
      <c r="AV197" s="246">
        <v>196</v>
      </c>
      <c r="AW197" s="260" t="str">
        <f>IFERROR(INDEX(TableWRTECalcPts[PLAYER],MATCH(TableWRTERank[[#This Row],[RK]],TableWRTECalcPts[RK],0)),"")</f>
        <v>Ray-Ray McCloud</v>
      </c>
      <c r="AX197" s="260" t="str">
        <f>IFERROR(INDEX(TableWRTECalcPts[POS RK],MATCH(TableWRTERank[[#This Row],[WR and TE COMBINED]],TableWRTECalcPts[PLAYER],0)),"")</f>
        <v>WR139</v>
      </c>
      <c r="AY197" s="260">
        <f>IFERROR(INDEX(TableWRTECalcPts[BYE],MATCH(TableWRTERank[[#This Row],[RK]],TableWRTECalcPts[RK],0)),"")</f>
        <v>9</v>
      </c>
      <c r="AZ197" s="261">
        <f>IFERROR(INDEX(TableWRTECalcPts[Custom],MATCH(TableWRTERank[[#This Row],[RK]],TableWRTECalcPts[RK],0)),"")</f>
        <v>17.59547476515823</v>
      </c>
      <c r="BA197" s="249">
        <f>IFERROR((TableWRTERank[[#This Row],[FPS]]-INDEX(TableWRTERank[FPS],MATCH(WRTEVORPCalc,TableWRTERank[RK],0)))/INDEX(TableWRTERank[FPS],MATCH(WRTEVORPCalc,TableWRTERank[RK],0)),"")</f>
        <v>-0.8518277758252264</v>
      </c>
      <c r="BC197" s="124" t="s">
        <v>358</v>
      </c>
      <c r="BD197" s="124">
        <v>196</v>
      </c>
      <c r="BE197" s="262" t="e">
        <f>RANK(TableWRTEMaster[[#This Row],[VORP]],TableWRTEMaster[VORP])+COUNTIF($BJ$2:BJ197,BJ197)-1</f>
        <v>#VALUE!</v>
      </c>
      <c r="BF197" s="263" t="str">
        <f>IFERROR(INDEX(TableWRVORP[WIDE RECEIVER],MATCH(TableWRTEMaster[[#This Row],[RK]],TableWRVORP[RK],0)),"")</f>
        <v/>
      </c>
      <c r="BG197" s="263" t="str">
        <f>_xlfn.CONCAT(TableWRTEMaster[[#This Row],[POS]],TableWRTEMaster[[#This Row],[RK]])</f>
        <v>WR196</v>
      </c>
      <c r="BH197" s="263" t="str">
        <f>IFERROR(INDEX(TableWRVORP[BYE],MATCH(TableWRTEMaster[[#This Row],[RK]],TableWRVORP[RK],0)),"")</f>
        <v/>
      </c>
      <c r="BI197" s="264" t="str">
        <f>IFERROR(INDEX(TableWRVORP[FPS],MATCH(TableWRTEMaster[[#This Row],[RK]],TableWRVORP[RK],0)),"")</f>
        <v/>
      </c>
      <c r="BJ197" s="254" t="str">
        <f>IFERROR(INDEX(TableWRVORP[VORP],MATCH(TableWRTEMaster[[#This Row],[RK]],TableWRVORP[RK],0)),"")</f>
        <v/>
      </c>
    </row>
    <row r="198" spans="14:62" x14ac:dyDescent="0.3">
      <c r="N198" s="246"/>
      <c r="O198" s="246">
        <v>197</v>
      </c>
      <c r="P198" s="247" t="str">
        <f>IFERROR(INDEX(TableWRCalcPts[PLAYER],MATCH(TableWRVORP[[#This Row],[RK]],TableWRCalcPts[RK],0)),"")</f>
        <v/>
      </c>
      <c r="Q198" s="247" t="str">
        <f>IFERROR(INDEX(TableWRCalcPts[TM],MATCH(TableWRVORP[[#This Row],[RK]],TableWRCalcPts[RK],0)),"")</f>
        <v/>
      </c>
      <c r="R198" s="247" t="str">
        <f>IFERROR(INDEX(TableWRCalcPts[BYE],MATCH(TableWRVORP[[#This Row],[RK]],TableWRCalcPts[RK],0)),"")</f>
        <v/>
      </c>
      <c r="S198" s="248" t="str">
        <f>IFERROR(INDEX(TableWRCalcPts[Custom],MATCH(TableWRVORP[[#This Row],[RK]],TableWRCalcPts[RK],0)),"")</f>
        <v/>
      </c>
      <c r="T198" s="249" t="str">
        <f>IFERROR((TableWRVORP[[#This Row],[FPS]]-INDEX(TableWRVORP[FPS],MATCH(WRVORPCalc,TableWRVORP[RK],0)))/INDEX(TableWRVORP[FPS],MATCH(WRVORPCalc,TableWRVORP[RK],0)),"")</f>
        <v/>
      </c>
      <c r="U198" s="246"/>
      <c r="AB198" s="246"/>
      <c r="AC198" s="250"/>
      <c r="AD198" s="250"/>
      <c r="AE198" s="250"/>
      <c r="AF198" s="250" t="s">
        <v>358</v>
      </c>
      <c r="AG198" s="250">
        <v>57</v>
      </c>
      <c r="AH198" s="251">
        <f>RANK(TableOverallMaster[[#This Row],[VORP]],TableOverallMaster[VORP])+COUNTIF($AM$2:AM198,AM198)-1</f>
        <v>144</v>
      </c>
      <c r="AI198" s="252" t="str">
        <f>IFERROR(INDEX(TableWRVORP[WIDE RECEIVER],MATCH(TableOverallMaster[[#This Row],[RK]],TableWRVORP[RK],0)),"")</f>
        <v>Alec Pierce</v>
      </c>
      <c r="AJ198" s="252" t="str">
        <f t="shared" si="3"/>
        <v>WR57</v>
      </c>
      <c r="AK198" s="252">
        <f>IFERROR(INDEX(TableWRVORP[BYE],MATCH(TableOverallMaster[[#This Row],[RK]],TableWRVORP[RK],0)),"")</f>
        <v>14</v>
      </c>
      <c r="AL198" s="253">
        <f>IFERROR(INDEX(TableWRVORP[FPS],MATCH(TableOverallMaster[[#This Row],[RK]],TableWRVORP[RK],0)),"")</f>
        <v>101.41919743167956</v>
      </c>
      <c r="AM198" s="254">
        <f>IFERROR(INDEX(TableWRVORP[VORP],MATCH(TableOverallMaster[[#This Row],[RK]],TableWRVORP[RK],0)),"")</f>
        <v>-6.9313779189012853E-2</v>
      </c>
      <c r="AN198" s="250"/>
      <c r="AO198" s="250">
        <v>197</v>
      </c>
      <c r="AP198" s="255" t="str">
        <f>IFERROR(INDEX(TableOverallMaster[OVERALL PLAYER],MATCH(TableOverallRank[[#This Row],[RK]],TableOverallMaster[OVR RK],0)),"")</f>
        <v>Devin Duvernay</v>
      </c>
      <c r="AQ198" s="256" t="str">
        <f>IFERROR(INDEX(TableOverallMaster[POS RK],MATCH(TableOverallRank[[#This Row],[OVERALL PLAYER]],TableOverallMaster[OVERALL PLAYER],0)),"")</f>
        <v>WR79</v>
      </c>
      <c r="AR198" s="257">
        <f>IFERROR(INDEX(TableOverallMaster[BYE],MATCH(TableOverallRank[[#This Row],[OVERALL PLAYER]],TableOverallMaster[OVERALL PLAYER],0)),"")</f>
        <v>10</v>
      </c>
      <c r="AS198" s="258">
        <f>IFERROR(INDEX(TableOverallMaster[Custom],MATCH(TableOverallRank[[#This Row],[OVERALL PLAYER]],TableOverallMaster[OVERALL PLAYER],0)),"")</f>
        <v>74.782966884277229</v>
      </c>
      <c r="AT198" s="259">
        <f>IFERROR(INDEX(TableOverallMaster[VORP],MATCH(TableOverallRank[[#This Row],[OVERALL PLAYER]],TableOverallMaster[OVERALL PLAYER],0)),"")</f>
        <v>-0.31374455139574092</v>
      </c>
      <c r="AU198" s="250"/>
      <c r="AV198" s="246">
        <v>197</v>
      </c>
      <c r="AW198" s="260" t="str">
        <f>IFERROR(INDEX(TableWRTECalcPts[PLAYER],MATCH(TableWRTERank[[#This Row],[RK]],TableWRTECalcPts[RK],0)),"")</f>
        <v>Olabisi Johnson</v>
      </c>
      <c r="AX198" s="260" t="str">
        <f>IFERROR(INDEX(TableWRTECalcPts[POS RK],MATCH(TableWRTERank[[#This Row],[WR and TE COMBINED]],TableWRTECalcPts[PLAYER],0)),"")</f>
        <v>WR140</v>
      </c>
      <c r="AY198" s="260">
        <f>IFERROR(INDEX(TableWRTECalcPts[BYE],MATCH(TableWRTERank[[#This Row],[RK]],TableWRTECalcPts[RK],0)),"")</f>
        <v>7</v>
      </c>
      <c r="AZ198" s="261">
        <f>IFERROR(INDEX(TableWRTECalcPts[Custom],MATCH(TableWRTERank[[#This Row],[RK]],TableWRTECalcPts[RK],0)),"")</f>
        <v>17.451560558101846</v>
      </c>
      <c r="BA198" s="249">
        <f>IFERROR((TableWRTERank[[#This Row],[FPS]]-INDEX(TableWRTERank[FPS],MATCH(WRTEVORPCalc,TableWRTERank[RK],0)))/INDEX(TableWRTERank[FPS],MATCH(WRTEVORPCalc,TableWRTERank[RK],0)),"")</f>
        <v>-0.85303968334318203</v>
      </c>
      <c r="BC198" s="124" t="s">
        <v>358</v>
      </c>
      <c r="BD198" s="124">
        <v>197</v>
      </c>
      <c r="BE198" s="262" t="e">
        <f>RANK(TableWRTEMaster[[#This Row],[VORP]],TableWRTEMaster[VORP])+COUNTIF($BJ$2:BJ198,BJ198)-1</f>
        <v>#VALUE!</v>
      </c>
      <c r="BF198" s="263" t="str">
        <f>IFERROR(INDEX(TableWRVORP[WIDE RECEIVER],MATCH(TableWRTEMaster[[#This Row],[RK]],TableWRVORP[RK],0)),"")</f>
        <v/>
      </c>
      <c r="BG198" s="263" t="str">
        <f>_xlfn.CONCAT(TableWRTEMaster[[#This Row],[POS]],TableWRTEMaster[[#This Row],[RK]])</f>
        <v>WR197</v>
      </c>
      <c r="BH198" s="263" t="str">
        <f>IFERROR(INDEX(TableWRVORP[BYE],MATCH(TableWRTEMaster[[#This Row],[RK]],TableWRVORP[RK],0)),"")</f>
        <v/>
      </c>
      <c r="BI198" s="264" t="str">
        <f>IFERROR(INDEX(TableWRVORP[FPS],MATCH(TableWRTEMaster[[#This Row],[RK]],TableWRVORP[RK],0)),"")</f>
        <v/>
      </c>
      <c r="BJ198" s="254" t="str">
        <f>IFERROR(INDEX(TableWRVORP[VORP],MATCH(TableWRTEMaster[[#This Row],[RK]],TableWRVORP[RK],0)),"")</f>
        <v/>
      </c>
    </row>
    <row r="199" spans="14:62" x14ac:dyDescent="0.3">
      <c r="N199" s="246"/>
      <c r="O199" s="246">
        <v>198</v>
      </c>
      <c r="P199" s="247" t="str">
        <f>IFERROR(INDEX(TableWRCalcPts[PLAYER],MATCH(TableWRVORP[[#This Row],[RK]],TableWRCalcPts[RK],0)),"")</f>
        <v/>
      </c>
      <c r="Q199" s="247" t="str">
        <f>IFERROR(INDEX(TableWRCalcPts[TM],MATCH(TableWRVORP[[#This Row],[RK]],TableWRCalcPts[RK],0)),"")</f>
        <v/>
      </c>
      <c r="R199" s="247" t="str">
        <f>IFERROR(INDEX(TableWRCalcPts[BYE],MATCH(TableWRVORP[[#This Row],[RK]],TableWRCalcPts[RK],0)),"")</f>
        <v/>
      </c>
      <c r="S199" s="248" t="str">
        <f>IFERROR(INDEX(TableWRCalcPts[Custom],MATCH(TableWRVORP[[#This Row],[RK]],TableWRCalcPts[RK],0)),"")</f>
        <v/>
      </c>
      <c r="T199" s="249" t="str">
        <f>IFERROR((TableWRVORP[[#This Row],[FPS]]-INDEX(TableWRVORP[FPS],MATCH(WRVORPCalc,TableWRVORP[RK],0)))/INDEX(TableWRVORP[FPS],MATCH(WRVORPCalc,TableWRVORP[RK],0)),"")</f>
        <v/>
      </c>
      <c r="U199" s="246"/>
      <c r="AB199" s="246"/>
      <c r="AC199" s="250"/>
      <c r="AD199" s="250"/>
      <c r="AE199" s="250"/>
      <c r="AF199" s="250" t="s">
        <v>358</v>
      </c>
      <c r="AG199" s="250">
        <v>58</v>
      </c>
      <c r="AH199" s="251">
        <f>RANK(TableOverallMaster[[#This Row],[VORP]],TableOverallMaster[VORP])+COUNTIF($AM$2:AM199,AM199)-1</f>
        <v>147</v>
      </c>
      <c r="AI199" s="252" t="str">
        <f>IFERROR(INDEX(TableWRVORP[WIDE RECEIVER],MATCH(TableOverallMaster[[#This Row],[RK]],TableWRVORP[RK],0)),"")</f>
        <v>Jarvis Landry</v>
      </c>
      <c r="AJ199" s="252" t="str">
        <f t="shared" si="3"/>
        <v>WR58</v>
      </c>
      <c r="AK199" s="252">
        <f>IFERROR(INDEX(TableWRVORP[BYE],MATCH(TableOverallMaster[[#This Row],[RK]],TableWRVORP[RK],0)),"")</f>
        <v>14</v>
      </c>
      <c r="AL199" s="253">
        <f>IFERROR(INDEX(TableWRVORP[FPS],MATCH(TableOverallMaster[[#This Row],[RK]],TableWRVORP[RK],0)),"")</f>
        <v>100.36232784392826</v>
      </c>
      <c r="AM199" s="254">
        <f>IFERROR(INDEX(TableWRVORP[VORP],MATCH(TableOverallMaster[[#This Row],[RK]],TableWRVORP[RK],0)),"")</f>
        <v>-7.9012277968565275E-2</v>
      </c>
      <c r="AN199" s="250"/>
      <c r="AO199" s="250">
        <v>198</v>
      </c>
      <c r="AP199" s="255" t="str">
        <f>IFERROR(INDEX(TableOverallMaster[OVERALL PLAYER],MATCH(TableOverallRank[[#This Row],[RK]],TableOverallMaster[OVR RK],0)),"")</f>
        <v>Randall Cobb</v>
      </c>
      <c r="AQ199" s="256" t="str">
        <f>IFERROR(INDEX(TableOverallMaster[POS RK],MATCH(TableOverallRank[[#This Row],[OVERALL PLAYER]],TableOverallMaster[OVERALL PLAYER],0)),"")</f>
        <v>WR80</v>
      </c>
      <c r="AR199" s="257">
        <f>IFERROR(INDEX(TableOverallMaster[BYE],MATCH(TableOverallRank[[#This Row],[OVERALL PLAYER]],TableOverallMaster[OVERALL PLAYER],0)),"")</f>
        <v>14</v>
      </c>
      <c r="AS199" s="258">
        <f>IFERROR(INDEX(TableOverallMaster[Custom],MATCH(TableOverallRank[[#This Row],[OVERALL PLAYER]],TableOverallMaster[OVERALL PLAYER],0)),"")</f>
        <v>74.517476593494493</v>
      </c>
      <c r="AT199" s="259">
        <f>IFERROR(INDEX(TableOverallMaster[VORP],MATCH(TableOverallRank[[#This Row],[OVERALL PLAYER]],TableOverallMaster[OVERALL PLAYER],0)),"")</f>
        <v>-0.31618085696359999</v>
      </c>
      <c r="AU199" s="250"/>
      <c r="AV199" s="246">
        <v>198</v>
      </c>
      <c r="AW199" s="260" t="str">
        <f>IFERROR(INDEX(TableWRTECalcPts[PLAYER],MATCH(TableWRTERank[[#This Row],[RK]],TableWRTECalcPts[RK],0)),"")</f>
        <v>Tutu Atwell</v>
      </c>
      <c r="AX199" s="260" t="str">
        <f>IFERROR(INDEX(TableWRTECalcPts[POS RK],MATCH(TableWRTERank[[#This Row],[WR and TE COMBINED]],TableWRTECalcPts[PLAYER],0)),"")</f>
        <v>WR141</v>
      </c>
      <c r="AY199" s="260">
        <f>IFERROR(INDEX(TableWRTECalcPts[BYE],MATCH(TableWRTERank[[#This Row],[RK]],TableWRTECalcPts[RK],0)),"")</f>
        <v>7</v>
      </c>
      <c r="AZ199" s="261">
        <f>IFERROR(INDEX(TableWRTECalcPts[Custom],MATCH(TableWRTERank[[#This Row],[RK]],TableWRTECalcPts[RK],0)),"")</f>
        <v>17.411240387793896</v>
      </c>
      <c r="BA199" s="249">
        <f>IFERROR((TableWRTERank[[#This Row],[FPS]]-INDEX(TableWRTERank[FPS],MATCH(WRTEVORPCalc,TableWRTERank[RK],0)))/INDEX(TableWRTERank[FPS],MATCH(WRTEVORPCalc,TableWRTERank[RK],0)),"")</f>
        <v>-0.85337922117284404</v>
      </c>
      <c r="BC199" s="124" t="s">
        <v>358</v>
      </c>
      <c r="BD199" s="124">
        <v>198</v>
      </c>
      <c r="BE199" s="262" t="e">
        <f>RANK(TableWRTEMaster[[#This Row],[VORP]],TableWRTEMaster[VORP])+COUNTIF($BJ$2:BJ199,BJ199)-1</f>
        <v>#VALUE!</v>
      </c>
      <c r="BF199" s="263" t="str">
        <f>IFERROR(INDEX(TableWRVORP[WIDE RECEIVER],MATCH(TableWRTEMaster[[#This Row],[RK]],TableWRVORP[RK],0)),"")</f>
        <v/>
      </c>
      <c r="BG199" s="263" t="str">
        <f>_xlfn.CONCAT(TableWRTEMaster[[#This Row],[POS]],TableWRTEMaster[[#This Row],[RK]])</f>
        <v>WR198</v>
      </c>
      <c r="BH199" s="263" t="str">
        <f>IFERROR(INDEX(TableWRVORP[BYE],MATCH(TableWRTEMaster[[#This Row],[RK]],TableWRVORP[RK],0)),"")</f>
        <v/>
      </c>
      <c r="BI199" s="264" t="str">
        <f>IFERROR(INDEX(TableWRVORP[FPS],MATCH(TableWRTEMaster[[#This Row],[RK]],TableWRVORP[RK],0)),"")</f>
        <v/>
      </c>
      <c r="BJ199" s="254" t="str">
        <f>IFERROR(INDEX(TableWRVORP[VORP],MATCH(TableWRTEMaster[[#This Row],[RK]],TableWRVORP[RK],0)),"")</f>
        <v/>
      </c>
    </row>
    <row r="200" spans="14:62" x14ac:dyDescent="0.3">
      <c r="N200" s="246"/>
      <c r="O200" s="246">
        <v>199</v>
      </c>
      <c r="P200" s="247" t="str">
        <f>IFERROR(INDEX(TableWRCalcPts[PLAYER],MATCH(TableWRVORP[[#This Row],[RK]],TableWRCalcPts[RK],0)),"")</f>
        <v/>
      </c>
      <c r="Q200" s="247" t="str">
        <f>IFERROR(INDEX(TableWRCalcPts[TM],MATCH(TableWRVORP[[#This Row],[RK]],TableWRCalcPts[RK],0)),"")</f>
        <v/>
      </c>
      <c r="R200" s="247" t="str">
        <f>IFERROR(INDEX(TableWRCalcPts[BYE],MATCH(TableWRVORP[[#This Row],[RK]],TableWRCalcPts[RK],0)),"")</f>
        <v/>
      </c>
      <c r="S200" s="248" t="str">
        <f>IFERROR(INDEX(TableWRCalcPts[Custom],MATCH(TableWRVORP[[#This Row],[RK]],TableWRCalcPts[RK],0)),"")</f>
        <v/>
      </c>
      <c r="T200" s="249" t="str">
        <f>IFERROR((TableWRVORP[[#This Row],[FPS]]-INDEX(TableWRVORP[FPS],MATCH(WRVORPCalc,TableWRVORP[RK],0)))/INDEX(TableWRVORP[FPS],MATCH(WRVORPCalc,TableWRVORP[RK],0)),"")</f>
        <v/>
      </c>
      <c r="U200" s="246"/>
      <c r="AB200" s="246"/>
      <c r="AC200" s="250"/>
      <c r="AD200" s="250"/>
      <c r="AE200" s="250"/>
      <c r="AF200" s="250" t="s">
        <v>358</v>
      </c>
      <c r="AG200" s="250">
        <v>59</v>
      </c>
      <c r="AH200" s="251">
        <f>RANK(TableOverallMaster[[#This Row],[VORP]],TableOverallMaster[VORP])+COUNTIF($AM$2:AM200,AM200)-1</f>
        <v>151</v>
      </c>
      <c r="AI200" s="252" t="str">
        <f>IFERROR(INDEX(TableWRVORP[WIDE RECEIVER],MATCH(TableOverallMaster[[#This Row],[RK]],TableWRVORP[RK],0)),"")</f>
        <v>Robbie Anderson</v>
      </c>
      <c r="AJ200" s="252" t="str">
        <f t="shared" si="3"/>
        <v>WR59</v>
      </c>
      <c r="AK200" s="252">
        <f>IFERROR(INDEX(TableWRVORP[BYE],MATCH(TableOverallMaster[[#This Row],[RK]],TableWRVORP[RK],0)),"")</f>
        <v>13</v>
      </c>
      <c r="AL200" s="253">
        <f>IFERROR(INDEX(TableWRVORP[FPS],MATCH(TableOverallMaster[[#This Row],[RK]],TableWRVORP[RK],0)),"")</f>
        <v>99.022998253309396</v>
      </c>
      <c r="AM200" s="254">
        <f>IFERROR(INDEX(TableWRVORP[VORP],MATCH(TableOverallMaster[[#This Row],[RK]],TableWRVORP[RK],0)),"")</f>
        <v>-9.1302807046682727E-2</v>
      </c>
      <c r="AN200" s="250"/>
      <c r="AO200" s="250">
        <v>199</v>
      </c>
      <c r="AP200" s="255" t="str">
        <f>IFERROR(INDEX(TableOverallMaster[OVERALL PLAYER],MATCH(TableOverallRank[[#This Row],[RK]],TableOverallMaster[OVR RK],0)),"")</f>
        <v>Jamison Crowder</v>
      </c>
      <c r="AQ200" s="256" t="str">
        <f>IFERROR(INDEX(TableOverallMaster[POS RK],MATCH(TableOverallRank[[#This Row],[OVERALL PLAYER]],TableOverallMaster[OVERALL PLAYER],0)),"")</f>
        <v>WR81</v>
      </c>
      <c r="AR200" s="257">
        <f>IFERROR(INDEX(TableOverallMaster[BYE],MATCH(TableOverallRank[[#This Row],[OVERALL PLAYER]],TableOverallMaster[OVERALL PLAYER],0)),"")</f>
        <v>7</v>
      </c>
      <c r="AS200" s="258">
        <f>IFERROR(INDEX(TableOverallMaster[Custom],MATCH(TableOverallRank[[#This Row],[OVERALL PLAYER]],TableOverallMaster[OVERALL PLAYER],0)),"")</f>
        <v>74.485484004772331</v>
      </c>
      <c r="AT200" s="259">
        <f>IFERROR(INDEX(TableOverallMaster[VORP],MATCH(TableOverallRank[[#This Row],[OVERALL PLAYER]],TableOverallMaster[OVERALL PLAYER],0)),"")</f>
        <v>-0.31647444104083394</v>
      </c>
      <c r="AU200" s="250"/>
      <c r="AV200" s="246">
        <v>199</v>
      </c>
      <c r="AW200" s="260" t="str">
        <f>IFERROR(INDEX(TableWRTECalcPts[PLAYER],MATCH(TableWRTERank[[#This Row],[RK]],TableWRTECalcPts[RK],0)),"")</f>
        <v>Maxx Williams</v>
      </c>
      <c r="AX200" s="260" t="str">
        <f>IFERROR(INDEX(TableWRTECalcPts[POS RK],MATCH(TableWRTERank[[#This Row],[WR and TE COMBINED]],TableWRTECalcPts[PLAYER],0)),"")</f>
        <v>TE58</v>
      </c>
      <c r="AY200" s="260">
        <f>IFERROR(INDEX(TableWRTECalcPts[BYE],MATCH(TableWRTERank[[#This Row],[RK]],TableWRTECalcPts[RK],0)),"")</f>
        <v>13</v>
      </c>
      <c r="AZ200" s="261">
        <f>IFERROR(INDEX(TableWRTECalcPts[Custom],MATCH(TableWRTERank[[#This Row],[RK]],TableWRTECalcPts[RK],0)),"")</f>
        <v>17.246651607505306</v>
      </c>
      <c r="BA200" s="249">
        <f>IFERROR((TableWRTERank[[#This Row],[FPS]]-INDEX(TableWRTERank[FPS],MATCH(WRTEVORPCalc,TableWRTERank[RK],0)))/INDEX(TableWRTERank[FPS],MATCH(WRTEVORPCalc,TableWRTERank[RK],0)),"")</f>
        <v>-0.85476523013111694</v>
      </c>
      <c r="BC200" s="124" t="s">
        <v>358</v>
      </c>
      <c r="BD200" s="124">
        <v>199</v>
      </c>
      <c r="BE200" s="262" t="e">
        <f>RANK(TableWRTEMaster[[#This Row],[VORP]],TableWRTEMaster[VORP])+COUNTIF($BJ$2:BJ200,BJ200)-1</f>
        <v>#VALUE!</v>
      </c>
      <c r="BF200" s="263" t="str">
        <f>IFERROR(INDEX(TableWRVORP[WIDE RECEIVER],MATCH(TableWRTEMaster[[#This Row],[RK]],TableWRVORP[RK],0)),"")</f>
        <v/>
      </c>
      <c r="BG200" s="263" t="str">
        <f>_xlfn.CONCAT(TableWRTEMaster[[#This Row],[POS]],TableWRTEMaster[[#This Row],[RK]])</f>
        <v>WR199</v>
      </c>
      <c r="BH200" s="263" t="str">
        <f>IFERROR(INDEX(TableWRVORP[BYE],MATCH(TableWRTEMaster[[#This Row],[RK]],TableWRVORP[RK],0)),"")</f>
        <v/>
      </c>
      <c r="BI200" s="264" t="str">
        <f>IFERROR(INDEX(TableWRVORP[FPS],MATCH(TableWRTEMaster[[#This Row],[RK]],TableWRVORP[RK],0)),"")</f>
        <v/>
      </c>
      <c r="BJ200" s="254" t="str">
        <f>IFERROR(INDEX(TableWRVORP[VORP],MATCH(TableWRTEMaster[[#This Row],[RK]],TableWRVORP[RK],0)),"")</f>
        <v/>
      </c>
    </row>
    <row r="201" spans="14:62" x14ac:dyDescent="0.3">
      <c r="N201" s="246"/>
      <c r="O201" s="246">
        <v>200</v>
      </c>
      <c r="P201" s="247" t="str">
        <f>IFERROR(INDEX(TableWRCalcPts[PLAYER],MATCH(TableWRVORP[[#This Row],[RK]],TableWRCalcPts[RK],0)),"")</f>
        <v/>
      </c>
      <c r="Q201" s="247" t="str">
        <f>IFERROR(INDEX(TableWRCalcPts[TM],MATCH(TableWRVORP[[#This Row],[RK]],TableWRCalcPts[RK],0)),"")</f>
        <v/>
      </c>
      <c r="R201" s="247" t="str">
        <f>IFERROR(INDEX(TableWRCalcPts[BYE],MATCH(TableWRVORP[[#This Row],[RK]],TableWRCalcPts[RK],0)),"")</f>
        <v/>
      </c>
      <c r="S201" s="248" t="str">
        <f>IFERROR(INDEX(TableWRCalcPts[Custom],MATCH(TableWRVORP[[#This Row],[RK]],TableWRCalcPts[RK],0)),"")</f>
        <v/>
      </c>
      <c r="T201" s="249" t="str">
        <f>IFERROR((TableWRVORP[[#This Row],[FPS]]-INDEX(TableWRVORP[FPS],MATCH(WRVORPCalc,TableWRVORP[RK],0)))/INDEX(TableWRVORP[FPS],MATCH(WRVORPCalc,TableWRVORP[RK],0)),"")</f>
        <v/>
      </c>
      <c r="U201" s="246"/>
      <c r="AB201" s="246"/>
      <c r="AC201" s="250"/>
      <c r="AD201" s="250"/>
      <c r="AE201" s="250"/>
      <c r="AF201" s="250" t="s">
        <v>358</v>
      </c>
      <c r="AG201" s="250">
        <v>60</v>
      </c>
      <c r="AH201" s="251">
        <f>RANK(TableOverallMaster[[#This Row],[VORP]],TableOverallMaster[VORP])+COUNTIF($AM$2:AM201,AM201)-1</f>
        <v>153</v>
      </c>
      <c r="AI201" s="252" t="str">
        <f>IFERROR(INDEX(TableWRVORP[WIDE RECEIVER],MATCH(TableOverallMaster[[#This Row],[RK]],TableWRVORP[RK],0)),"")</f>
        <v>Jahan Dotson</v>
      </c>
      <c r="AJ201" s="252" t="str">
        <f t="shared" si="3"/>
        <v>WR60</v>
      </c>
      <c r="AK201" s="252">
        <f>IFERROR(INDEX(TableWRVORP[BYE],MATCH(TableOverallMaster[[#This Row],[RK]],TableWRVORP[RK],0)),"")</f>
        <v>14</v>
      </c>
      <c r="AL201" s="253">
        <f>IFERROR(INDEX(TableWRVORP[FPS],MATCH(TableOverallMaster[[#This Row],[RK]],TableWRVORP[RK],0)),"")</f>
        <v>97.971643167931461</v>
      </c>
      <c r="AM201" s="254">
        <f>IFERROR(INDEX(TableWRVORP[VORP],MATCH(TableOverallMaster[[#This Row],[RK]],TableWRVORP[RK],0)),"")</f>
        <v>-0.10095070129076755</v>
      </c>
      <c r="AN201" s="250"/>
      <c r="AO201" s="250">
        <v>200</v>
      </c>
      <c r="AP201" s="255" t="str">
        <f>IFERROR(INDEX(TableOverallMaster[OVERALL PLAYER],MATCH(TableOverallRank[[#This Row],[RK]],TableOverallMaster[OVR RK],0)),"")</f>
        <v>Sammy Watkins</v>
      </c>
      <c r="AQ201" s="256" t="str">
        <f>IFERROR(INDEX(TableOverallMaster[POS RK],MATCH(TableOverallRank[[#This Row],[OVERALL PLAYER]],TableOverallMaster[OVERALL PLAYER],0)),"")</f>
        <v>WR82</v>
      </c>
      <c r="AR201" s="257">
        <f>IFERROR(INDEX(TableOverallMaster[BYE],MATCH(TableOverallRank[[#This Row],[OVERALL PLAYER]],TableOverallMaster[OVERALL PLAYER],0)),"")</f>
        <v>14</v>
      </c>
      <c r="AS201" s="258">
        <f>IFERROR(INDEX(TableOverallMaster[Custom],MATCH(TableOverallRank[[#This Row],[OVERALL PLAYER]],TableOverallMaster[OVERALL PLAYER],0)),"")</f>
        <v>72.688142484359275</v>
      </c>
      <c r="AT201" s="259">
        <f>IFERROR(INDEX(TableOverallMaster[VORP],MATCH(TableOverallRank[[#This Row],[OVERALL PLAYER]],TableOverallMaster[OVERALL PLAYER],0)),"")</f>
        <v>-0.33296797510046544</v>
      </c>
      <c r="AU201" s="250"/>
      <c r="AV201" s="246">
        <v>200</v>
      </c>
      <c r="AW201" s="260" t="str">
        <f>IFERROR(INDEX(TableWRTECalcPts[PLAYER],MATCH(TableWRTERank[[#This Row],[RK]],TableWRTECalcPts[RK],0)),"")</f>
        <v>Racey McMath</v>
      </c>
      <c r="AX201" s="260" t="str">
        <f>IFERROR(INDEX(TableWRTECalcPts[POS RK],MATCH(TableWRTERank[[#This Row],[WR and TE COMBINED]],TableWRTECalcPts[PLAYER],0)),"")</f>
        <v>WR142</v>
      </c>
      <c r="AY201" s="260">
        <f>IFERROR(INDEX(TableWRTECalcPts[BYE],MATCH(TableWRTERank[[#This Row],[RK]],TableWRTECalcPts[RK],0)),"")</f>
        <v>6</v>
      </c>
      <c r="AZ201" s="261">
        <f>IFERROR(INDEX(TableWRTECalcPts[Custom],MATCH(TableWRTERank[[#This Row],[RK]],TableWRTECalcPts[RK],0)),"")</f>
        <v>17.206971689669135</v>
      </c>
      <c r="BA201" s="249">
        <f>IFERROR((TableWRTERank[[#This Row],[FPS]]-INDEX(TableWRTERank[FPS],MATCH(WRTEVORPCalc,TableWRTERank[RK],0)))/INDEX(TableWRTERank[FPS],MATCH(WRTEVORPCalc,TableWRTERank[RK],0)),"")</f>
        <v>-0.85509937636810851</v>
      </c>
      <c r="BC201" s="124" t="s">
        <v>358</v>
      </c>
      <c r="BD201" s="124">
        <v>200</v>
      </c>
      <c r="BE201" s="262" t="e">
        <f>RANK(TableWRTEMaster[[#This Row],[VORP]],TableWRTEMaster[VORP])+COUNTIF($BJ$2:BJ201,BJ201)-1</f>
        <v>#VALUE!</v>
      </c>
      <c r="BF201" s="263" t="str">
        <f>IFERROR(INDEX(TableWRVORP[WIDE RECEIVER],MATCH(TableWRTEMaster[[#This Row],[RK]],TableWRVORP[RK],0)),"")</f>
        <v/>
      </c>
      <c r="BG201" s="263" t="str">
        <f>_xlfn.CONCAT(TableWRTEMaster[[#This Row],[POS]],TableWRTEMaster[[#This Row],[RK]])</f>
        <v>WR200</v>
      </c>
      <c r="BH201" s="263" t="str">
        <f>IFERROR(INDEX(TableWRVORP[BYE],MATCH(TableWRTEMaster[[#This Row],[RK]],TableWRVORP[RK],0)),"")</f>
        <v/>
      </c>
      <c r="BI201" s="264" t="str">
        <f>IFERROR(INDEX(TableWRVORP[FPS],MATCH(TableWRTEMaster[[#This Row],[RK]],TableWRVORP[RK],0)),"")</f>
        <v/>
      </c>
      <c r="BJ201" s="254" t="str">
        <f>IFERROR(INDEX(TableWRVORP[VORP],MATCH(TableWRTEMaster[[#This Row],[RK]],TableWRVORP[RK],0)),"")</f>
        <v/>
      </c>
    </row>
    <row r="202" spans="14:62" x14ac:dyDescent="0.3">
      <c r="O202" s="246">
        <v>201</v>
      </c>
      <c r="P202" s="247" t="str">
        <f>IFERROR(INDEX(TableWRCalcPts[PLAYER],MATCH(TableWRVORP[[#This Row],[RK]],TableWRCalcPts[RK],0)),"")</f>
        <v/>
      </c>
      <c r="Q202" s="247" t="str">
        <f>IFERROR(INDEX(TableWRCalcPts[TM],MATCH(TableWRVORP[[#This Row],[RK]],TableWRCalcPts[RK],0)),"")</f>
        <v/>
      </c>
      <c r="R202" s="247" t="str">
        <f>IFERROR(INDEX(TableWRCalcPts[BYE],MATCH(TableWRVORP[[#This Row],[RK]],TableWRCalcPts[RK],0)),"")</f>
        <v/>
      </c>
      <c r="S202" s="248" t="str">
        <f>IFERROR(INDEX(TableWRCalcPts[Custom],MATCH(TableWRVORP[[#This Row],[RK]],TableWRCalcPts[RK],0)),"")</f>
        <v/>
      </c>
      <c r="T202" s="249" t="str">
        <f>IFERROR((TableWRVORP[[#This Row],[FPS]]-INDEX(TableWRVORP[FPS],MATCH(WRVORPCalc,TableWRVORP[RK],0)))/INDEX(TableWRVORP[FPS],MATCH(WRVORPCalc,TableWRVORP[RK],0)),"")</f>
        <v/>
      </c>
      <c r="AB202" s="246"/>
      <c r="AC202" s="250"/>
      <c r="AD202" s="250"/>
      <c r="AE202" s="250"/>
      <c r="AF202" s="250" t="s">
        <v>358</v>
      </c>
      <c r="AG202" s="250">
        <v>61</v>
      </c>
      <c r="AH202" s="251">
        <f>RANK(TableOverallMaster[[#This Row],[VORP]],TableOverallMaster[VORP])+COUNTIF($AM$2:AM202,AM202)-1</f>
        <v>154</v>
      </c>
      <c r="AI202" s="252" t="str">
        <f>IFERROR(INDEX(TableWRVORP[WIDE RECEIVER],MATCH(TableOverallMaster[[#This Row],[RK]],TableWRVORP[RK],0)),"")</f>
        <v>Kadarius Toney</v>
      </c>
      <c r="AJ202" s="252" t="str">
        <f t="shared" si="3"/>
        <v>WR61</v>
      </c>
      <c r="AK202" s="252">
        <f>IFERROR(INDEX(TableWRVORP[BYE],MATCH(TableOverallMaster[[#This Row],[RK]],TableWRVORP[RK],0)),"")</f>
        <v>9</v>
      </c>
      <c r="AL202" s="253">
        <f>IFERROR(INDEX(TableWRVORP[FPS],MATCH(TableOverallMaster[[#This Row],[RK]],TableWRVORP[RK],0)),"")</f>
        <v>97.721870227738862</v>
      </c>
      <c r="AM202" s="254">
        <f>IFERROR(INDEX(TableWRVORP[VORP],MATCH(TableOverallMaster[[#This Row],[RK]],TableWRVORP[RK],0)),"")</f>
        <v>-0.10324277458315674</v>
      </c>
      <c r="AN202" s="250"/>
      <c r="AO202" s="250">
        <v>201</v>
      </c>
      <c r="AP202" s="255" t="str">
        <f>IFERROR(INDEX(TableOverallMaster[OVERALL PLAYER],MATCH(TableOverallRank[[#This Row],[RK]],TableOverallMaster[OVR RK],0)),"")</f>
        <v>Kendrick Bourne</v>
      </c>
      <c r="AQ202" s="256" t="str">
        <f>IFERROR(INDEX(TableOverallMaster[POS RK],MATCH(TableOverallRank[[#This Row],[OVERALL PLAYER]],TableOverallMaster[OVERALL PLAYER],0)),"")</f>
        <v>WR83</v>
      </c>
      <c r="AR202" s="257">
        <f>IFERROR(INDEX(TableOverallMaster[BYE],MATCH(TableOverallRank[[#This Row],[OVERALL PLAYER]],TableOverallMaster[OVERALL PLAYER],0)),"")</f>
        <v>10</v>
      </c>
      <c r="AS202" s="258">
        <f>IFERROR(INDEX(TableOverallMaster[Custom],MATCH(TableOverallRank[[#This Row],[OVERALL PLAYER]],TableOverallMaster[OVERALL PLAYER],0)),"")</f>
        <v>72.660276936222047</v>
      </c>
      <c r="AT202" s="259">
        <f>IFERROR(INDEX(TableOverallMaster[VORP],MATCH(TableOverallRank[[#This Row],[OVERALL PLAYER]],TableOverallMaster[OVERALL PLAYER],0)),"")</f>
        <v>-0.33322368686257176</v>
      </c>
      <c r="AU202" s="250"/>
      <c r="AV202" s="246">
        <v>201</v>
      </c>
      <c r="AW202" s="260" t="str">
        <f>IFERROR(INDEX(TableWRTECalcPts[PLAYER],MATCH(TableWRTERank[[#This Row],[RK]],TableWRTECalcPts[RK],0)),"")</f>
        <v>Jelani Woods</v>
      </c>
      <c r="AX202" s="260" t="str">
        <f>IFERROR(INDEX(TableWRTECalcPts[POS RK],MATCH(TableWRTERank[[#This Row],[WR and TE COMBINED]],TableWRTECalcPts[PLAYER],0)),"")</f>
        <v>TE59</v>
      </c>
      <c r="AY202" s="260">
        <f>IFERROR(INDEX(TableWRTECalcPts[BYE],MATCH(TableWRTERank[[#This Row],[RK]],TableWRTECalcPts[RK],0)),"")</f>
        <v>14</v>
      </c>
      <c r="AZ202" s="261">
        <f>IFERROR(INDEX(TableWRTECalcPts[Custom],MATCH(TableWRTERank[[#This Row],[RK]],TableWRTECalcPts[RK],0)),"")</f>
        <v>17.171626089126345</v>
      </c>
      <c r="BA202" s="249">
        <f>IFERROR((TableWRTERank[[#This Row],[FPS]]-INDEX(TableWRTERank[FPS],MATCH(WRTEVORPCalc,TableWRTERank[RK],0)))/INDEX(TableWRTERank[FPS],MATCH(WRTEVORPCalc,TableWRTERank[RK],0)),"")</f>
        <v>-0.85539702313906052</v>
      </c>
      <c r="BC202" s="124" t="s">
        <v>10</v>
      </c>
      <c r="BD202" s="124">
        <v>1</v>
      </c>
      <c r="BE202" s="262">
        <f>RANK(TableWRTEMaster[[#This Row],[VORP]],TableWRTEMaster[VORP])+COUNTIF($BJ$2:BJ202,BJ202)-1</f>
        <v>9</v>
      </c>
      <c r="BF202" s="263" t="str">
        <f>IFERROR(INDEX(TableTEVORP[TIGHT END],MATCH(TableWRTEMaster[[#This Row],[RK]],TableTEVORP[RK],0)),"")</f>
        <v>Travis Kelce</v>
      </c>
      <c r="BG202" s="263" t="str">
        <f>_xlfn.CONCAT(TableWRTEMaster[[#This Row],[POS]],TableWRTEMaster[[#This Row],[RK]])</f>
        <v>TE1</v>
      </c>
      <c r="BH202" s="263">
        <f>IFERROR(INDEX(TableTEVORP[BYE],MATCH(TableWRTEMaster[[#This Row],[RK]],TableTEVORP[RK],0)),"")</f>
        <v>8</v>
      </c>
      <c r="BI202" s="264">
        <f>IFERROR(INDEX(TableTEVORP[FPS],MATCH(TableWRTEMaster[[#This Row],[RK]],TableTEVORP[RK],0)),"")</f>
        <v>168.01396248207141</v>
      </c>
      <c r="BJ202" s="254">
        <f>IFERROR(INDEX(TableTEVORP[VORP],MATCH(TableWRTEMaster[[#This Row],[RK]],TableTEVORP[RK],0)),"")</f>
        <v>0.63992228390660533</v>
      </c>
    </row>
    <row r="203" spans="14:62" x14ac:dyDescent="0.3">
      <c r="O203" s="246">
        <v>202</v>
      </c>
      <c r="P203" s="247" t="str">
        <f>IFERROR(INDEX(TableWRCalcPts[PLAYER],MATCH(TableWRVORP[[#This Row],[RK]],TableWRCalcPts[RK],0)),"")</f>
        <v/>
      </c>
      <c r="Q203" s="247" t="str">
        <f>IFERROR(INDEX(TableWRCalcPts[TM],MATCH(TableWRVORP[[#This Row],[RK]],TableWRCalcPts[RK],0)),"")</f>
        <v/>
      </c>
      <c r="R203" s="247" t="str">
        <f>IFERROR(INDEX(TableWRCalcPts[BYE],MATCH(TableWRVORP[[#This Row],[RK]],TableWRCalcPts[RK],0)),"")</f>
        <v/>
      </c>
      <c r="S203" s="248" t="str">
        <f>IFERROR(INDEX(TableWRCalcPts[Custom],MATCH(TableWRVORP[[#This Row],[RK]],TableWRCalcPts[RK],0)),"")</f>
        <v/>
      </c>
      <c r="T203" s="249" t="str">
        <f>IFERROR((TableWRVORP[[#This Row],[FPS]]-INDEX(TableWRVORP[FPS],MATCH(WRVORPCalc,TableWRVORP[RK],0)))/INDEX(TableWRVORP[FPS],MATCH(WRVORPCalc,TableWRVORP[RK],0)),"")</f>
        <v/>
      </c>
      <c r="AB203" s="246"/>
      <c r="AC203" s="250"/>
      <c r="AD203" s="250"/>
      <c r="AE203" s="250"/>
      <c r="AF203" s="250" t="s">
        <v>358</v>
      </c>
      <c r="AG203" s="250">
        <v>62</v>
      </c>
      <c r="AH203" s="251">
        <f>RANK(TableOverallMaster[[#This Row],[VORP]],TableOverallMaster[VORP])+COUNTIF($AM$2:AM203,AM203)-1</f>
        <v>156</v>
      </c>
      <c r="AI203" s="252" t="str">
        <f>IFERROR(INDEX(TableWRVORP[WIDE RECEIVER],MATCH(TableOverallMaster[[#This Row],[RK]],TableWRVORP[RK],0)),"")</f>
        <v>George Pickens</v>
      </c>
      <c r="AJ203" s="252" t="str">
        <f t="shared" si="3"/>
        <v>WR62</v>
      </c>
      <c r="AK203" s="252">
        <f>IFERROR(INDEX(TableWRVORP[BYE],MATCH(TableOverallMaster[[#This Row],[RK]],TableWRVORP[RK],0)),"")</f>
        <v>9</v>
      </c>
      <c r="AL203" s="253">
        <f>IFERROR(INDEX(TableWRVORP[FPS],MATCH(TableOverallMaster[[#This Row],[RK]],TableWRVORP[RK],0)),"")</f>
        <v>96.635223734682157</v>
      </c>
      <c r="AM203" s="254">
        <f>IFERROR(INDEX(TableWRVORP[VORP],MATCH(TableOverallMaster[[#This Row],[RK]],TableWRVORP[RK],0)),"")</f>
        <v>-0.11321452493803143</v>
      </c>
      <c r="AN203" s="250"/>
      <c r="AO203" s="250">
        <v>202</v>
      </c>
      <c r="AP203" s="255" t="str">
        <f>IFERROR(INDEX(TableOverallMaster[OVERALL PLAYER],MATCH(TableOverallRank[[#This Row],[RK]],TableOverallMaster[OVR RK],0)),"")</f>
        <v>Nico Collins</v>
      </c>
      <c r="AQ203" s="256" t="str">
        <f>IFERROR(INDEX(TableOverallMaster[POS RK],MATCH(TableOverallRank[[#This Row],[OVERALL PLAYER]],TableOverallMaster[OVERALL PLAYER],0)),"")</f>
        <v>WR84</v>
      </c>
      <c r="AR203" s="257">
        <f>IFERROR(INDEX(TableOverallMaster[BYE],MATCH(TableOverallRank[[#This Row],[OVERALL PLAYER]],TableOverallMaster[OVERALL PLAYER],0)),"")</f>
        <v>6</v>
      </c>
      <c r="AS203" s="258">
        <f>IFERROR(INDEX(TableOverallMaster[Custom],MATCH(TableOverallRank[[#This Row],[OVERALL PLAYER]],TableOverallMaster[OVERALL PLAYER],0)),"")</f>
        <v>72.512646152315625</v>
      </c>
      <c r="AT203" s="259">
        <f>IFERROR(INDEX(TableOverallMaster[VORP],MATCH(TableOverallRank[[#This Row],[OVERALL PLAYER]],TableOverallMaster[OVERALL PLAYER],0)),"")</f>
        <v>-0.33457843960986883</v>
      </c>
      <c r="AU203" s="250"/>
      <c r="AV203" s="246">
        <v>202</v>
      </c>
      <c r="AW203" s="260" t="str">
        <f>IFERROR(INDEX(TableWRTECalcPts[PLAYER],MATCH(TableWRTERank[[#This Row],[RK]],TableWRTECalcPts[RK],0)),"")</f>
        <v>Khalil Shakir</v>
      </c>
      <c r="AX203" s="260" t="str">
        <f>IFERROR(INDEX(TableWRTECalcPts[POS RK],MATCH(TableWRTERank[[#This Row],[WR and TE COMBINED]],TableWRTECalcPts[PLAYER],0)),"")</f>
        <v>WR143</v>
      </c>
      <c r="AY203" s="260">
        <f>IFERROR(INDEX(TableWRTECalcPts[BYE],MATCH(TableWRTERank[[#This Row],[RK]],TableWRTECalcPts[RK],0)),"")</f>
        <v>7</v>
      </c>
      <c r="AZ203" s="261">
        <f>IFERROR(INDEX(TableWRTECalcPts[Custom],MATCH(TableWRTERank[[#This Row],[RK]],TableWRTECalcPts[RK],0)),"")</f>
        <v>16.720762056006564</v>
      </c>
      <c r="BA203" s="249">
        <f>IFERROR((TableWRTERank[[#This Row],[FPS]]-INDEX(TableWRTERank[FPS],MATCH(WRTEVORPCalc,TableWRTERank[RK],0)))/INDEX(TableWRTERank[FPS],MATCH(WRTEVORPCalc,TableWRTERank[RK],0)),"")</f>
        <v>-0.85919376789755109</v>
      </c>
      <c r="BC203" s="124" t="s">
        <v>10</v>
      </c>
      <c r="BD203" s="124">
        <v>2</v>
      </c>
      <c r="BE203" s="262">
        <f>RANK(TableWRTEMaster[[#This Row],[VORP]],TableWRTEMaster[VORP])+COUNTIF($BJ$2:BJ203,BJ203)-1</f>
        <v>12</v>
      </c>
      <c r="BF203" s="263" t="str">
        <f>IFERROR(INDEX(TableTEVORP[TIGHT END],MATCH(TableWRTEMaster[[#This Row],[RK]],TableTEVORP[RK],0)),"")</f>
        <v>Mark Andrews</v>
      </c>
      <c r="BG203" s="263" t="str">
        <f>_xlfn.CONCAT(TableWRTEMaster[[#This Row],[POS]],TableWRTEMaster[[#This Row],[RK]])</f>
        <v>TE2</v>
      </c>
      <c r="BH203" s="263">
        <f>IFERROR(INDEX(TableTEVORP[BYE],MATCH(TableWRTEMaster[[#This Row],[RK]],TableTEVORP[RK],0)),"")</f>
        <v>10</v>
      </c>
      <c r="BI203" s="264">
        <f>IFERROR(INDEX(TableTEVORP[FPS],MATCH(TableWRTEMaster[[#This Row],[RK]],TableTEVORP[RK],0)),"")</f>
        <v>159.94886032288994</v>
      </c>
      <c r="BJ203" s="254">
        <f>IFERROR(INDEX(TableTEVORP[VORP],MATCH(TableWRTEMaster[[#This Row],[RK]],TableTEVORP[RK],0)),"")</f>
        <v>0.56120179807652848</v>
      </c>
    </row>
    <row r="204" spans="14:62" x14ac:dyDescent="0.3">
      <c r="O204" s="246">
        <v>203</v>
      </c>
      <c r="P204" s="247" t="str">
        <f>IFERROR(INDEX(TableWRCalcPts[PLAYER],MATCH(TableWRVORP[[#This Row],[RK]],TableWRCalcPts[RK],0)),"")</f>
        <v/>
      </c>
      <c r="Q204" s="247" t="str">
        <f>IFERROR(INDEX(TableWRCalcPts[TM],MATCH(TableWRVORP[[#This Row],[RK]],TableWRCalcPts[RK],0)),"")</f>
        <v/>
      </c>
      <c r="R204" s="247" t="str">
        <f>IFERROR(INDEX(TableWRCalcPts[BYE],MATCH(TableWRVORP[[#This Row],[RK]],TableWRCalcPts[RK],0)),"")</f>
        <v/>
      </c>
      <c r="S204" s="248" t="str">
        <f>IFERROR(INDEX(TableWRCalcPts[Custom],MATCH(TableWRVORP[[#This Row],[RK]],TableWRCalcPts[RK],0)),"")</f>
        <v/>
      </c>
      <c r="T204" s="249" t="str">
        <f>IFERROR((TableWRVORP[[#This Row],[FPS]]-INDEX(TableWRVORP[FPS],MATCH(WRVORPCalc,TableWRVORP[RK],0)))/INDEX(TableWRVORP[FPS],MATCH(WRVORPCalc,TableWRVORP[RK],0)),"")</f>
        <v/>
      </c>
      <c r="AB204" s="246"/>
      <c r="AC204" s="250"/>
      <c r="AD204" s="250"/>
      <c r="AE204" s="250"/>
      <c r="AF204" s="250" t="s">
        <v>358</v>
      </c>
      <c r="AG204" s="250">
        <v>63</v>
      </c>
      <c r="AH204" s="251">
        <f>RANK(TableOverallMaster[[#This Row],[VORP]],TableOverallMaster[VORP])+COUNTIF($AM$2:AM204,AM204)-1</f>
        <v>158</v>
      </c>
      <c r="AI204" s="252" t="str">
        <f>IFERROR(INDEX(TableWRVORP[WIDE RECEIVER],MATCH(TableOverallMaster[[#This Row],[RK]],TableWRVORP[RK],0)),"")</f>
        <v>Christian Watson</v>
      </c>
      <c r="AJ204" s="252" t="str">
        <f t="shared" si="3"/>
        <v>WR63</v>
      </c>
      <c r="AK204" s="252">
        <f>IFERROR(INDEX(TableWRVORP[BYE],MATCH(TableOverallMaster[[#This Row],[RK]],TableWRVORP[RK],0)),"")</f>
        <v>14</v>
      </c>
      <c r="AL204" s="253">
        <f>IFERROR(INDEX(TableWRVORP[FPS],MATCH(TableOverallMaster[[#This Row],[RK]],TableWRVORP[RK],0)),"")</f>
        <v>96.138985959044319</v>
      </c>
      <c r="AM204" s="254">
        <f>IFERROR(INDEX(TableWRVORP[VORP],MATCH(TableOverallMaster[[#This Row],[RK]],TableWRVORP[RK],0)),"")</f>
        <v>-0.11776831427700886</v>
      </c>
      <c r="AN204" s="250"/>
      <c r="AO204" s="250">
        <v>203</v>
      </c>
      <c r="AP204" s="255" t="str">
        <f>IFERROR(INDEX(TableOverallMaster[OVERALL PLAYER],MATCH(TableOverallRank[[#This Row],[RK]],TableOverallMaster[OVR RK],0)),"")</f>
        <v>Sterling Shepard</v>
      </c>
      <c r="AQ204" s="256" t="str">
        <f>IFERROR(INDEX(TableOverallMaster[POS RK],MATCH(TableOverallRank[[#This Row],[OVERALL PLAYER]],TableOverallMaster[OVERALL PLAYER],0)),"")</f>
        <v>WR85</v>
      </c>
      <c r="AR204" s="257">
        <f>IFERROR(INDEX(TableOverallMaster[BYE],MATCH(TableOverallRank[[#This Row],[OVERALL PLAYER]],TableOverallMaster[OVERALL PLAYER],0)),"")</f>
        <v>9</v>
      </c>
      <c r="AS204" s="258">
        <f>IFERROR(INDEX(TableOverallMaster[Custom],MATCH(TableOverallRank[[#This Row],[OVERALL PLAYER]],TableOverallMaster[OVERALL PLAYER],0)),"")</f>
        <v>69.979573413176695</v>
      </c>
      <c r="AT204" s="259">
        <f>IFERROR(INDEX(TableOverallMaster[VORP],MATCH(TableOverallRank[[#This Row],[OVERALL PLAYER]],TableOverallMaster[OVERALL PLAYER],0)),"")</f>
        <v>-0.35782350518255451</v>
      </c>
      <c r="AU204" s="250"/>
      <c r="AV204" s="246">
        <v>203</v>
      </c>
      <c r="AW204" s="260" t="str">
        <f>IFERROR(INDEX(TableWRTECalcPts[PLAYER],MATCH(TableWRTERank[[#This Row],[RK]],TableWRTECalcPts[RK],0)),"")</f>
        <v>Ryan Griffin</v>
      </c>
      <c r="AX204" s="260" t="str">
        <f>IFERROR(INDEX(TableWRTECalcPts[POS RK],MATCH(TableWRTERank[[#This Row],[WR and TE COMBINED]],TableWRTECalcPts[PLAYER],0)),"")</f>
        <v>TE60</v>
      </c>
      <c r="AY204" s="260">
        <f>IFERROR(INDEX(TableWRTECalcPts[BYE],MATCH(TableWRTERank[[#This Row],[RK]],TableWRTECalcPts[RK],0)),"")</f>
        <v>14</v>
      </c>
      <c r="AZ204" s="261">
        <f>IFERROR(INDEX(TableWRTECalcPts[Custom],MATCH(TableWRTERank[[#This Row],[RK]],TableWRTECalcPts[RK],0)),"")</f>
        <v>16.703697622663206</v>
      </c>
      <c r="BA204" s="249">
        <f>IFERROR((TableWRTERank[[#This Row],[FPS]]-INDEX(TableWRTERank[FPS],MATCH(WRTEVORPCalc,TableWRTERank[RK],0)))/INDEX(TableWRTERank[FPS],MATCH(WRTEVORPCalc,TableWRTERank[RK],0)),"")</f>
        <v>-0.85933746819984547</v>
      </c>
      <c r="BC204" s="124" t="s">
        <v>10</v>
      </c>
      <c r="BD204" s="124">
        <v>3</v>
      </c>
      <c r="BE204" s="262">
        <f>RANK(TableWRTEMaster[[#This Row],[VORP]],TableWRTEMaster[VORP])+COUNTIF($BJ$2:BJ204,BJ204)-1</f>
        <v>14</v>
      </c>
      <c r="BF204" s="263" t="str">
        <f>IFERROR(INDEX(TableTEVORP[TIGHT END],MATCH(TableWRTEMaster[[#This Row],[RK]],TableTEVORP[RK],0)),"")</f>
        <v>Kyle Pitts</v>
      </c>
      <c r="BG204" s="263" t="str">
        <f>_xlfn.CONCAT(TableWRTEMaster[[#This Row],[POS]],TableWRTEMaster[[#This Row],[RK]])</f>
        <v>TE3</v>
      </c>
      <c r="BH204" s="263">
        <f>IFERROR(INDEX(TableTEVORP[BYE],MATCH(TableWRTEMaster[[#This Row],[RK]],TableTEVORP[RK],0)),"")</f>
        <v>14</v>
      </c>
      <c r="BI204" s="264">
        <f>IFERROR(INDEX(TableTEVORP[FPS],MATCH(TableWRTEMaster[[#This Row],[RK]],TableTEVORP[RK],0)),"")</f>
        <v>156.30374171587718</v>
      </c>
      <c r="BJ204" s="254">
        <f>IFERROR(INDEX(TableTEVORP[VORP],MATCH(TableWRTEMaster[[#This Row],[RK]],TableTEVORP[RK],0)),"")</f>
        <v>0.52562314054822512</v>
      </c>
    </row>
    <row r="205" spans="14:62" x14ac:dyDescent="0.3">
      <c r="O205" s="246">
        <v>204</v>
      </c>
      <c r="P205" s="247" t="str">
        <f>IFERROR(INDEX(TableWRCalcPts[PLAYER],MATCH(TableWRVORP[[#This Row],[RK]],TableWRCalcPts[RK],0)),"")</f>
        <v/>
      </c>
      <c r="Q205" s="247" t="str">
        <f>IFERROR(INDEX(TableWRCalcPts[TM],MATCH(TableWRVORP[[#This Row],[RK]],TableWRCalcPts[RK],0)),"")</f>
        <v/>
      </c>
      <c r="R205" s="247" t="str">
        <f>IFERROR(INDEX(TableWRCalcPts[BYE],MATCH(TableWRVORP[[#This Row],[RK]],TableWRCalcPts[RK],0)),"")</f>
        <v/>
      </c>
      <c r="S205" s="248" t="str">
        <f>IFERROR(INDEX(TableWRCalcPts[Custom],MATCH(TableWRVORP[[#This Row],[RK]],TableWRCalcPts[RK],0)),"")</f>
        <v/>
      </c>
      <c r="T205" s="249" t="str">
        <f>IFERROR((TableWRVORP[[#This Row],[FPS]]-INDEX(TableWRVORP[FPS],MATCH(WRVORPCalc,TableWRVORP[RK],0)))/INDEX(TableWRVORP[FPS],MATCH(WRVORPCalc,TableWRVORP[RK],0)),"")</f>
        <v/>
      </c>
      <c r="AB205" s="246"/>
      <c r="AC205" s="250"/>
      <c r="AD205" s="250"/>
      <c r="AE205" s="250"/>
      <c r="AF205" s="250" t="s">
        <v>358</v>
      </c>
      <c r="AG205" s="250">
        <v>64</v>
      </c>
      <c r="AH205" s="251">
        <f>RANK(TableOverallMaster[[#This Row],[VORP]],TableOverallMaster[VORP])+COUNTIF($AM$2:AM205,AM205)-1</f>
        <v>160</v>
      </c>
      <c r="AI205" s="252" t="str">
        <f>IFERROR(INDEX(TableWRVORP[WIDE RECEIVER],MATCH(TableOverallMaster[[#This Row],[RK]],TableWRVORP[RK],0)),"")</f>
        <v>Skyy Moore</v>
      </c>
      <c r="AJ205" s="252" t="str">
        <f t="shared" si="3"/>
        <v>WR64</v>
      </c>
      <c r="AK205" s="252">
        <f>IFERROR(INDEX(TableWRVORP[BYE],MATCH(TableOverallMaster[[#This Row],[RK]],TableWRVORP[RK],0)),"")</f>
        <v>8</v>
      </c>
      <c r="AL205" s="253">
        <f>IFERROR(INDEX(TableWRVORP[FPS],MATCH(TableOverallMaster[[#This Row],[RK]],TableWRVORP[RK],0)),"")</f>
        <v>95.335174796868472</v>
      </c>
      <c r="AM205" s="254">
        <f>IFERROR(INDEX(TableWRVORP[VORP],MATCH(TableOverallMaster[[#This Row],[RK]],TableWRVORP[RK],0)),"")</f>
        <v>-0.12514459008785894</v>
      </c>
      <c r="AN205" s="250"/>
      <c r="AO205" s="250">
        <v>204</v>
      </c>
      <c r="AP205" s="255" t="str">
        <f>IFERROR(INDEX(TableOverallMaster[OVERALL PLAYER],MATCH(TableOverallRank[[#This Row],[RK]],TableOverallMaster[OVR RK],0)),"")</f>
        <v>C.J. Uzomah</v>
      </c>
      <c r="AQ205" s="256" t="str">
        <f>IFERROR(INDEX(TableOverallMaster[POS RK],MATCH(TableOverallRank[[#This Row],[OVERALL PLAYER]],TableOverallMaster[OVERALL PLAYER],0)),"")</f>
        <v>TE29</v>
      </c>
      <c r="AR205" s="257">
        <f>IFERROR(INDEX(TableOverallMaster[BYE],MATCH(TableOverallRank[[#This Row],[OVERALL PLAYER]],TableOverallMaster[OVERALL PLAYER],0)),"")</f>
        <v>10</v>
      </c>
      <c r="AS205" s="258">
        <f>IFERROR(INDEX(TableOverallMaster[Custom],MATCH(TableOverallRank[[#This Row],[OVERALL PLAYER]],TableOverallMaster[OVERALL PLAYER],0)),"")</f>
        <v>65.233312093704654</v>
      </c>
      <c r="AT205" s="259">
        <f>IFERROR(INDEX(TableOverallMaster[VORP],MATCH(TableOverallRank[[#This Row],[OVERALL PLAYER]],TableOverallMaster[OVERALL PLAYER],0)),"")</f>
        <v>-0.36328171435801965</v>
      </c>
      <c r="AU205" s="250"/>
      <c r="AV205" s="246">
        <v>204</v>
      </c>
      <c r="AW205" s="260" t="str">
        <f>IFERROR(INDEX(TableWRTECalcPts[PLAYER],MATCH(TableWRTERank[[#This Row],[RK]],TableWRTECalcPts[RK],0)),"")</f>
        <v>Marcedes Lewis</v>
      </c>
      <c r="AX205" s="260" t="str">
        <f>IFERROR(INDEX(TableWRTECalcPts[POS RK],MATCH(TableWRTERank[[#This Row],[WR and TE COMBINED]],TableWRTECalcPts[PLAYER],0)),"")</f>
        <v>TE61</v>
      </c>
      <c r="AY205" s="260">
        <f>IFERROR(INDEX(TableWRTECalcPts[BYE],MATCH(TableWRTERank[[#This Row],[RK]],TableWRTECalcPts[RK],0)),"")</f>
        <v>14</v>
      </c>
      <c r="AZ205" s="261">
        <f>IFERROR(INDEX(TableWRTECalcPts[Custom],MATCH(TableWRTERank[[#This Row],[RK]],TableWRTECalcPts[RK],0)),"")</f>
        <v>16.650207266330391</v>
      </c>
      <c r="BA205" s="249">
        <f>IFERROR((TableWRTERank[[#This Row],[FPS]]-INDEX(TableWRTERank[FPS],MATCH(WRTEVORPCalc,TableWRTERank[RK],0)))/INDEX(TableWRTERank[FPS],MATCH(WRTEVORPCalc,TableWRTERank[RK],0)),"")</f>
        <v>-0.85978791271330801</v>
      </c>
      <c r="BC205" s="124" t="s">
        <v>10</v>
      </c>
      <c r="BD205" s="124">
        <v>4</v>
      </c>
      <c r="BE205" s="262">
        <f>RANK(TableWRTEMaster[[#This Row],[VORP]],TableWRTEMaster[VORP])+COUNTIF($BJ$2:BJ205,BJ205)-1</f>
        <v>31</v>
      </c>
      <c r="BF205" s="263" t="str">
        <f>IFERROR(INDEX(TableTEVORP[TIGHT END],MATCH(TableWRTEMaster[[#This Row],[RK]],TableTEVORP[RK],0)),"")</f>
        <v>Darren Waller</v>
      </c>
      <c r="BG205" s="263" t="str">
        <f>_xlfn.CONCAT(TableWRTEMaster[[#This Row],[POS]],TableWRTEMaster[[#This Row],[RK]])</f>
        <v>TE4</v>
      </c>
      <c r="BH205" s="263">
        <f>IFERROR(INDEX(TableTEVORP[BYE],MATCH(TableWRTEMaster[[#This Row],[RK]],TableTEVORP[RK],0)),"")</f>
        <v>6</v>
      </c>
      <c r="BI205" s="264">
        <f>IFERROR(INDEX(TableTEVORP[FPS],MATCH(TableWRTEMaster[[#This Row],[RK]],TableTEVORP[RK],0)),"")</f>
        <v>131.83146212938658</v>
      </c>
      <c r="BJ205" s="254">
        <f>IFERROR(INDEX(TableTEVORP[VORP],MATCH(TableWRTEMaster[[#This Row],[RK]],TableTEVORP[RK],0)),"")</f>
        <v>0.28675825075574035</v>
      </c>
    </row>
    <row r="206" spans="14:62" x14ac:dyDescent="0.3">
      <c r="O206" s="246">
        <v>205</v>
      </c>
      <c r="P206" s="247" t="str">
        <f>IFERROR(INDEX(TableWRCalcPts[PLAYER],MATCH(TableWRVORP[[#This Row],[RK]],TableWRCalcPts[RK],0)),"")</f>
        <v/>
      </c>
      <c r="Q206" s="247" t="str">
        <f>IFERROR(INDEX(TableWRCalcPts[TM],MATCH(TableWRVORP[[#This Row],[RK]],TableWRCalcPts[RK],0)),"")</f>
        <v/>
      </c>
      <c r="R206" s="247" t="str">
        <f>IFERROR(INDEX(TableWRCalcPts[BYE],MATCH(TableWRVORP[[#This Row],[RK]],TableWRCalcPts[RK],0)),"")</f>
        <v/>
      </c>
      <c r="S206" s="248" t="str">
        <f>IFERROR(INDEX(TableWRCalcPts[Custom],MATCH(TableWRVORP[[#This Row],[RK]],TableWRCalcPts[RK],0)),"")</f>
        <v/>
      </c>
      <c r="T206" s="249" t="str">
        <f>IFERROR((TableWRVORP[[#This Row],[FPS]]-INDEX(TableWRVORP[FPS],MATCH(WRVORPCalc,TableWRVORP[RK],0)))/INDEX(TableWRVORP[FPS],MATCH(WRVORPCalc,TableWRVORP[RK],0)),"")</f>
        <v/>
      </c>
      <c r="AB206" s="246"/>
      <c r="AC206" s="250"/>
      <c r="AD206" s="250"/>
      <c r="AE206" s="250"/>
      <c r="AF206" s="250" t="s">
        <v>358</v>
      </c>
      <c r="AG206" s="250">
        <v>65</v>
      </c>
      <c r="AH206" s="251">
        <f>RANK(TableOverallMaster[[#This Row],[VORP]],TableOverallMaster[VORP])+COUNTIF($AM$2:AM206,AM206)-1</f>
        <v>163</v>
      </c>
      <c r="AI206" s="252" t="str">
        <f>IFERROR(INDEX(TableWRVORP[WIDE RECEIVER],MATCH(TableOverallMaster[[#This Row],[RK]],TableWRVORP[RK],0)),"")</f>
        <v>Rondale Moore</v>
      </c>
      <c r="AJ206" s="252" t="str">
        <f t="shared" si="3"/>
        <v>WR65</v>
      </c>
      <c r="AK206" s="252">
        <f>IFERROR(INDEX(TableWRVORP[BYE],MATCH(TableOverallMaster[[#This Row],[RK]],TableWRVORP[RK],0)),"")</f>
        <v>13</v>
      </c>
      <c r="AL206" s="253">
        <f>IFERROR(INDEX(TableWRVORP[FPS],MATCH(TableOverallMaster[[#This Row],[RK]],TableWRVORP[RK],0)),"")</f>
        <v>92.583937690627096</v>
      </c>
      <c r="AM206" s="254">
        <f>IFERROR(INDEX(TableWRVORP[VORP],MATCH(TableOverallMaster[[#This Row],[RK]],TableWRVORP[RK],0)),"")</f>
        <v>-0.15039166884420224</v>
      </c>
      <c r="AN206" s="250"/>
      <c r="AO206" s="250">
        <v>205</v>
      </c>
      <c r="AP206" s="255" t="str">
        <f>IFERROR(INDEX(TableOverallMaster[OVERALL PLAYER],MATCH(TableOverallRank[[#This Row],[RK]],TableOverallMaster[OVR RK],0)),"")</f>
        <v>Jalen Guyton</v>
      </c>
      <c r="AQ206" s="256" t="str">
        <f>IFERROR(INDEX(TableOverallMaster[POS RK],MATCH(TableOverallRank[[#This Row],[OVERALL PLAYER]],TableOverallMaster[OVERALL PLAYER],0)),"")</f>
        <v>WR86</v>
      </c>
      <c r="AR206" s="257">
        <f>IFERROR(INDEX(TableOverallMaster[BYE],MATCH(TableOverallRank[[#This Row],[OVERALL PLAYER]],TableOverallMaster[OVERALL PLAYER],0)),"")</f>
        <v>8</v>
      </c>
      <c r="AS206" s="258">
        <f>IFERROR(INDEX(TableOverallMaster[Custom],MATCH(TableOverallRank[[#This Row],[OVERALL PLAYER]],TableOverallMaster[OVERALL PLAYER],0)),"")</f>
        <v>69.095204526235136</v>
      </c>
      <c r="AT206" s="259">
        <f>IFERROR(INDEX(TableOverallMaster[VORP],MATCH(TableOverallRank[[#This Row],[OVERALL PLAYER]],TableOverallMaster[OVERALL PLAYER],0)),"")</f>
        <v>-0.36593902924539196</v>
      </c>
      <c r="AU206" s="250"/>
      <c r="AV206" s="246">
        <v>205</v>
      </c>
      <c r="AW206" s="260" t="str">
        <f>IFERROR(INDEX(TableWRTECalcPts[PLAYER],MATCH(TableWRTERank[[#This Row],[RK]],TableWRTECalcPts[RK],0)),"")</f>
        <v>Danny Gray</v>
      </c>
      <c r="AX206" s="260" t="str">
        <f>IFERROR(INDEX(TableWRTECalcPts[POS RK],MATCH(TableWRTERank[[#This Row],[WR and TE COMBINED]],TableWRTECalcPts[PLAYER],0)),"")</f>
        <v>WR144</v>
      </c>
      <c r="AY206" s="260">
        <f>IFERROR(INDEX(TableWRTECalcPts[BYE],MATCH(TableWRTERank[[#This Row],[RK]],TableWRTECalcPts[RK],0)),"")</f>
        <v>9</v>
      </c>
      <c r="AZ206" s="261">
        <f>IFERROR(INDEX(TableWRTECalcPts[Custom],MATCH(TableWRTERank[[#This Row],[RK]],TableWRTECalcPts[RK],0)),"")</f>
        <v>16.414170038763562</v>
      </c>
      <c r="BA206" s="249">
        <f>IFERROR((TableWRTERank[[#This Row],[FPS]]-INDEX(TableWRTERank[FPS],MATCH(WRTEVORPCalc,TableWRTERank[RK],0)))/INDEX(TableWRTERank[FPS],MATCH(WRTEVORPCalc,TableWRTERank[RK],0)),"")</f>
        <v>-0.86177559201514076</v>
      </c>
      <c r="BC206" s="124" t="s">
        <v>10</v>
      </c>
      <c r="BD206" s="124">
        <v>5</v>
      </c>
      <c r="BE206" s="262">
        <f>RANK(TableWRTEMaster[[#This Row],[VORP]],TableWRTEMaster[VORP])+COUNTIF($BJ$2:BJ206,BJ206)-1</f>
        <v>36</v>
      </c>
      <c r="BF206" s="263" t="str">
        <f>IFERROR(INDEX(TableTEVORP[TIGHT END],MATCH(TableWRTEMaster[[#This Row],[RK]],TableTEVORP[RK],0)),"")</f>
        <v>George Kittle</v>
      </c>
      <c r="BG206" s="263" t="str">
        <f>_xlfn.CONCAT(TableWRTEMaster[[#This Row],[POS]],TableWRTEMaster[[#This Row],[RK]])</f>
        <v>TE5</v>
      </c>
      <c r="BH206" s="263">
        <f>IFERROR(INDEX(TableTEVORP[BYE],MATCH(TableWRTEMaster[[#This Row],[RK]],TableTEVORP[RK],0)),"")</f>
        <v>9</v>
      </c>
      <c r="BI206" s="264">
        <f>IFERROR(INDEX(TableTEVORP[FPS],MATCH(TableWRTEMaster[[#This Row],[RK]],TableTEVORP[RK],0)),"")</f>
        <v>126.30437701272027</v>
      </c>
      <c r="BJ206" s="254">
        <f>IFERROR(INDEX(TableTEVORP[VORP],MATCH(TableWRTEMaster[[#This Row],[RK]],TableTEVORP[RK],0)),"")</f>
        <v>0.23281041264772095</v>
      </c>
    </row>
    <row r="207" spans="14:62" x14ac:dyDescent="0.3">
      <c r="O207" s="246">
        <v>206</v>
      </c>
      <c r="P207" s="247" t="str">
        <f>IFERROR(INDEX(TableWRCalcPts[PLAYER],MATCH(TableWRVORP[[#This Row],[RK]],TableWRCalcPts[RK],0)),"")</f>
        <v/>
      </c>
      <c r="Q207" s="247" t="str">
        <f>IFERROR(INDEX(TableWRCalcPts[TM],MATCH(TableWRVORP[[#This Row],[RK]],TableWRCalcPts[RK],0)),"")</f>
        <v/>
      </c>
      <c r="R207" s="247" t="str">
        <f>IFERROR(INDEX(TableWRCalcPts[BYE],MATCH(TableWRVORP[[#This Row],[RK]],TableWRCalcPts[RK],0)),"")</f>
        <v/>
      </c>
      <c r="S207" s="248" t="str">
        <f>IFERROR(INDEX(TableWRCalcPts[Custom],MATCH(TableWRVORP[[#This Row],[RK]],TableWRCalcPts[RK],0)),"")</f>
        <v/>
      </c>
      <c r="T207" s="249" t="str">
        <f>IFERROR((TableWRVORP[[#This Row],[FPS]]-INDEX(TableWRVORP[FPS],MATCH(WRVORPCalc,TableWRVORP[RK],0)))/INDEX(TableWRVORP[FPS],MATCH(WRVORPCalc,TableWRVORP[RK],0)),"")</f>
        <v/>
      </c>
      <c r="AB207" s="246"/>
      <c r="AC207" s="250"/>
      <c r="AD207" s="250"/>
      <c r="AE207" s="250"/>
      <c r="AF207" s="250" t="s">
        <v>358</v>
      </c>
      <c r="AG207" s="250">
        <v>66</v>
      </c>
      <c r="AH207" s="251">
        <f>RANK(TableOverallMaster[[#This Row],[VORP]],TableOverallMaster[VORP])+COUNTIF($AM$2:AM207,AM207)-1</f>
        <v>167</v>
      </c>
      <c r="AI207" s="252" t="str">
        <f>IFERROR(INDEX(TableWRVORP[WIDE RECEIVER],MATCH(TableOverallMaster[[#This Row],[RK]],TableWRVORP[RK],0)),"")</f>
        <v>Jakobi Meyers</v>
      </c>
      <c r="AJ207" s="252" t="str">
        <f t="shared" si="3"/>
        <v>WR66</v>
      </c>
      <c r="AK207" s="252">
        <f>IFERROR(INDEX(TableWRVORP[BYE],MATCH(TableOverallMaster[[#This Row],[RK]],TableWRVORP[RK],0)),"")</f>
        <v>10</v>
      </c>
      <c r="AL207" s="253">
        <f>IFERROR(INDEX(TableWRVORP[FPS],MATCH(TableOverallMaster[[#This Row],[RK]],TableWRVORP[RK],0)),"")</f>
        <v>90.896112461128411</v>
      </c>
      <c r="AM207" s="254">
        <f>IFERROR(INDEX(TableWRVORP[VORP],MATCH(TableOverallMaster[[#This Row],[RK]],TableWRVORP[RK],0)),"")</f>
        <v>-0.1658802126703329</v>
      </c>
      <c r="AN207" s="250"/>
      <c r="AO207" s="250">
        <v>206</v>
      </c>
      <c r="AP207" s="255" t="str">
        <f>IFERROR(INDEX(TableOverallMaster[OVERALL PLAYER],MATCH(TableOverallRank[[#This Row],[RK]],TableOverallMaster[OVR RK],0)),"")</f>
        <v>Sam Darnold</v>
      </c>
      <c r="AQ207" s="256" t="str">
        <f>IFERROR(INDEX(TableOverallMaster[POS RK],MATCH(TableOverallRank[[#This Row],[OVERALL PLAYER]],TableOverallMaster[OVERALL PLAYER],0)),"")</f>
        <v>QB31</v>
      </c>
      <c r="AR207" s="257">
        <f>IFERROR(INDEX(TableOverallMaster[BYE],MATCH(TableOverallRank[[#This Row],[OVERALL PLAYER]],TableOverallMaster[OVERALL PLAYER],0)),"")</f>
        <v>13</v>
      </c>
      <c r="AS207" s="258">
        <f>IFERROR(INDEX(TableOverallMaster[Custom],MATCH(TableOverallRank[[#This Row],[OVERALL PLAYER]],TableOverallMaster[OVERALL PLAYER],0)),"")</f>
        <v>182.36501795271968</v>
      </c>
      <c r="AT207" s="259">
        <f>IFERROR(INDEX(TableOverallMaster[VORP],MATCH(TableOverallRank[[#This Row],[OVERALL PLAYER]],TableOverallMaster[OVERALL PLAYER],0)),"")</f>
        <v>-0.37651687636178222</v>
      </c>
      <c r="AU207" s="250"/>
      <c r="AV207" s="246">
        <v>206</v>
      </c>
      <c r="AW207" s="260" t="str">
        <f>IFERROR(INDEX(TableWRTECalcPts[PLAYER],MATCH(TableWRTERank[[#This Row],[RK]],TableWRTECalcPts[RK],0)),"")</f>
        <v>Dez Fitzpatrick</v>
      </c>
      <c r="AX207" s="260" t="str">
        <f>IFERROR(INDEX(TableWRTECalcPts[POS RK],MATCH(TableWRTERank[[#This Row],[WR and TE COMBINED]],TableWRTECalcPts[PLAYER],0)),"")</f>
        <v>WR145</v>
      </c>
      <c r="AY207" s="260">
        <f>IFERROR(INDEX(TableWRTECalcPts[BYE],MATCH(TableWRTERank[[#This Row],[RK]],TableWRTECalcPts[RK],0)),"")</f>
        <v>6</v>
      </c>
      <c r="AZ207" s="261">
        <f>IFERROR(INDEX(TableWRTECalcPts[Custom],MATCH(TableWRTERank[[#This Row],[RK]],TableWRTECalcPts[RK],0)),"")</f>
        <v>16.391863399059599</v>
      </c>
      <c r="BA207" s="249">
        <f>IFERROR((TableWRTERank[[#This Row],[FPS]]-INDEX(TableWRTERank[FPS],MATCH(WRTEVORPCalc,TableWRTERank[RK],0)))/INDEX(TableWRTERank[FPS],MATCH(WRTEVORPCalc,TableWRTERank[RK],0)),"")</f>
        <v>-0.86196343715503698</v>
      </c>
      <c r="BC207" s="124" t="s">
        <v>10</v>
      </c>
      <c r="BD207" s="124">
        <v>6</v>
      </c>
      <c r="BE207" s="262">
        <f>RANK(TableWRTEMaster[[#This Row],[VORP]],TableWRTEMaster[VORP])+COUNTIF($BJ$2:BJ207,BJ207)-1</f>
        <v>43</v>
      </c>
      <c r="BF207" s="263" t="str">
        <f>IFERROR(INDEX(TableTEVORP[TIGHT END],MATCH(TableWRTEMaster[[#This Row],[RK]],TableTEVORP[RK],0)),"")</f>
        <v>Dallas Goedert</v>
      </c>
      <c r="BG207" s="263" t="str">
        <f>_xlfn.CONCAT(TableWRTEMaster[[#This Row],[POS]],TableWRTEMaster[[#This Row],[RK]])</f>
        <v>TE6</v>
      </c>
      <c r="BH207" s="263">
        <f>IFERROR(INDEX(TableTEVORP[BYE],MATCH(TableWRTEMaster[[#This Row],[RK]],TableTEVORP[RK],0)),"")</f>
        <v>7</v>
      </c>
      <c r="BI207" s="264">
        <f>IFERROR(INDEX(TableTEVORP[FPS],MATCH(TableWRTEMaster[[#This Row],[RK]],TableTEVORP[RK],0)),"")</f>
        <v>119.68741678217346</v>
      </c>
      <c r="BJ207" s="254">
        <f>IFERROR(INDEX(TableTEVORP[VORP],MATCH(TableWRTEMaster[[#This Row],[RK]],TableTEVORP[RK],0)),"")</f>
        <v>0.16822470576067919</v>
      </c>
    </row>
    <row r="208" spans="14:62" x14ac:dyDescent="0.3">
      <c r="O208" s="246">
        <v>207</v>
      </c>
      <c r="P208" s="247" t="str">
        <f>IFERROR(INDEX(TableWRCalcPts[PLAYER],MATCH(TableWRVORP[[#This Row],[RK]],TableWRCalcPts[RK],0)),"")</f>
        <v/>
      </c>
      <c r="Q208" s="247" t="str">
        <f>IFERROR(INDEX(TableWRCalcPts[TM],MATCH(TableWRVORP[[#This Row],[RK]],TableWRCalcPts[RK],0)),"")</f>
        <v/>
      </c>
      <c r="R208" s="247" t="str">
        <f>IFERROR(INDEX(TableWRCalcPts[BYE],MATCH(TableWRVORP[[#This Row],[RK]],TableWRCalcPts[RK],0)),"")</f>
        <v/>
      </c>
      <c r="S208" s="248" t="str">
        <f>IFERROR(INDEX(TableWRCalcPts[Custom],MATCH(TableWRVORP[[#This Row],[RK]],TableWRCalcPts[RK],0)),"")</f>
        <v/>
      </c>
      <c r="T208" s="249" t="str">
        <f>IFERROR((TableWRVORP[[#This Row],[FPS]]-INDEX(TableWRVORP[FPS],MATCH(WRVORPCalc,TableWRVORP[RK],0)))/INDEX(TableWRVORP[FPS],MATCH(WRVORPCalc,TableWRVORP[RK],0)),"")</f>
        <v/>
      </c>
      <c r="AB208" s="246"/>
      <c r="AC208" s="250"/>
      <c r="AD208" s="250"/>
      <c r="AE208" s="250"/>
      <c r="AF208" s="250" t="s">
        <v>358</v>
      </c>
      <c r="AG208" s="250">
        <v>67</v>
      </c>
      <c r="AH208" s="251">
        <f>RANK(TableOverallMaster[[#This Row],[VORP]],TableOverallMaster[VORP])+COUNTIF($AM$2:AM208,AM208)-1</f>
        <v>171</v>
      </c>
      <c r="AI208" s="252" t="str">
        <f>IFERROR(INDEX(TableWRVORP[WIDE RECEIVER],MATCH(TableOverallMaster[[#This Row],[RK]],TableWRVORP[RK],0)),"")</f>
        <v>John Metchie</v>
      </c>
      <c r="AJ208" s="252" t="str">
        <f t="shared" si="3"/>
        <v>WR67</v>
      </c>
      <c r="AK208" s="252">
        <f>IFERROR(INDEX(TableWRVORP[BYE],MATCH(TableOverallMaster[[#This Row],[RK]],TableWRVORP[RK],0)),"")</f>
        <v>6</v>
      </c>
      <c r="AL208" s="253">
        <f>IFERROR(INDEX(TableWRVORP[FPS],MATCH(TableOverallMaster[[#This Row],[RK]],TableWRVORP[RK],0)),"")</f>
        <v>89.873250374261502</v>
      </c>
      <c r="AM208" s="254">
        <f>IFERROR(INDEX(TableWRVORP[VORP],MATCH(TableOverallMaster[[#This Row],[RK]],TableWRVORP[RK],0)),"")</f>
        <v>-0.17526663727380393</v>
      </c>
      <c r="AN208" s="250"/>
      <c r="AO208" s="250">
        <v>207</v>
      </c>
      <c r="AP208" s="255" t="str">
        <f>IFERROR(INDEX(TableOverallMaster[OVERALL PLAYER],MATCH(TableOverallRank[[#This Row],[RK]],TableOverallMaster[OVR RK],0)),"")</f>
        <v>Chris Evans</v>
      </c>
      <c r="AQ208" s="256" t="str">
        <f>IFERROR(INDEX(TableOverallMaster[POS RK],MATCH(TableOverallRank[[#This Row],[OVERALL PLAYER]],TableOverallMaster[OVERALL PLAYER],0)),"")</f>
        <v>RB61</v>
      </c>
      <c r="AR208" s="257">
        <f>IFERROR(INDEX(TableOverallMaster[BYE],MATCH(TableOverallRank[[#This Row],[OVERALL PLAYER]],TableOverallMaster[OVERALL PLAYER],0)),"")</f>
        <v>10</v>
      </c>
      <c r="AS208" s="258">
        <f>IFERROR(INDEX(TableOverallMaster[Custom],MATCH(TableOverallRank[[#This Row],[OVERALL PLAYER]],TableOverallMaster[OVERALL PLAYER],0)),"")</f>
        <v>63.165804634779782</v>
      </c>
      <c r="AT208" s="259">
        <f>IFERROR(INDEX(TableOverallMaster[VORP],MATCH(TableOverallRank[[#This Row],[OVERALL PLAYER]],TableOverallMaster[OVERALL PLAYER],0)),"")</f>
        <v>-0.37656610765366572</v>
      </c>
      <c r="AU208" s="250"/>
      <c r="AV208" s="246">
        <v>207</v>
      </c>
      <c r="AW208" s="260" t="str">
        <f>IFERROR(INDEX(TableWRTECalcPts[PLAYER],MATCH(TableWRTERank[[#This Row],[RK]],TableWRTECalcPts[RK],0)),"")</f>
        <v>Deonte Harty</v>
      </c>
      <c r="AX208" s="260" t="str">
        <f>IFERROR(INDEX(TableWRTECalcPts[POS RK],MATCH(TableWRTERank[[#This Row],[WR and TE COMBINED]],TableWRTECalcPts[PLAYER],0)),"")</f>
        <v>WR146</v>
      </c>
      <c r="AY208" s="260">
        <f>IFERROR(INDEX(TableWRTECalcPts[BYE],MATCH(TableWRTERank[[#This Row],[RK]],TableWRTECalcPts[RK],0)),"")</f>
        <v>14</v>
      </c>
      <c r="AZ208" s="261">
        <f>IFERROR(INDEX(TableWRTECalcPts[Custom],MATCH(TableWRTERank[[#This Row],[RK]],TableWRTECalcPts[RK],0)),"")</f>
        <v>16.077201517724664</v>
      </c>
      <c r="BA208" s="249">
        <f>IFERROR((TableWRTERank[[#This Row],[FPS]]-INDEX(TableWRTERank[FPS],MATCH(WRTEVORPCalc,TableWRTERank[RK],0)))/INDEX(TableWRTERank[FPS],MATCH(WRTEVORPCalc,TableWRTERank[RK],0)),"")</f>
        <v>-0.86461321793348689</v>
      </c>
      <c r="BC208" s="124" t="s">
        <v>10</v>
      </c>
      <c r="BD208" s="124">
        <v>7</v>
      </c>
      <c r="BE208" s="262">
        <f>RANK(TableWRTEMaster[[#This Row],[VORP]],TableWRTEMaster[VORP])+COUNTIF($BJ$2:BJ208,BJ208)-1</f>
        <v>44</v>
      </c>
      <c r="BF208" s="263" t="str">
        <f>IFERROR(INDEX(TableTEVORP[TIGHT END],MATCH(TableWRTEMaster[[#This Row],[RK]],TableTEVORP[RK],0)),"")</f>
        <v>Dalton Schultz</v>
      </c>
      <c r="BG208" s="263" t="str">
        <f>_xlfn.CONCAT(TableWRTEMaster[[#This Row],[POS]],TableWRTEMaster[[#This Row],[RK]])</f>
        <v>TE7</v>
      </c>
      <c r="BH208" s="263">
        <f>IFERROR(INDEX(TableTEVORP[BYE],MATCH(TableWRTEMaster[[#This Row],[RK]],TableTEVORP[RK],0)),"")</f>
        <v>9</v>
      </c>
      <c r="BI208" s="264">
        <f>IFERROR(INDEX(TableTEVORP[FPS],MATCH(TableWRTEMaster[[#This Row],[RK]],TableTEVORP[RK],0)),"")</f>
        <v>119.58073410503061</v>
      </c>
      <c r="BJ208" s="254">
        <f>IFERROR(INDEX(TableTEVORP[VORP],MATCH(TableWRTEMaster[[#This Row],[RK]],TableTEVORP[RK],0)),"")</f>
        <v>0.16718341551926827</v>
      </c>
    </row>
    <row r="209" spans="15:62" x14ac:dyDescent="0.3">
      <c r="O209" s="246">
        <v>208</v>
      </c>
      <c r="P209" s="247" t="str">
        <f>IFERROR(INDEX(TableWRCalcPts[PLAYER],MATCH(TableWRVORP[[#This Row],[RK]],TableWRCalcPts[RK],0)),"")</f>
        <v/>
      </c>
      <c r="Q209" s="247" t="str">
        <f>IFERROR(INDEX(TableWRCalcPts[TM],MATCH(TableWRVORP[[#This Row],[RK]],TableWRCalcPts[RK],0)),"")</f>
        <v/>
      </c>
      <c r="R209" s="247" t="str">
        <f>IFERROR(INDEX(TableWRCalcPts[BYE],MATCH(TableWRVORP[[#This Row],[RK]],TableWRCalcPts[RK],0)),"")</f>
        <v/>
      </c>
      <c r="S209" s="248" t="str">
        <f>IFERROR(INDEX(TableWRCalcPts[Custom],MATCH(TableWRVORP[[#This Row],[RK]],TableWRCalcPts[RK],0)),"")</f>
        <v/>
      </c>
      <c r="T209" s="249" t="str">
        <f>IFERROR((TableWRVORP[[#This Row],[FPS]]-INDEX(TableWRVORP[FPS],MATCH(WRVORPCalc,TableWRVORP[RK],0)))/INDEX(TableWRVORP[FPS],MATCH(WRVORPCalc,TableWRVORP[RK],0)),"")</f>
        <v/>
      </c>
      <c r="AB209" s="246"/>
      <c r="AC209" s="250"/>
      <c r="AD209" s="250"/>
      <c r="AE209" s="250"/>
      <c r="AF209" s="250" t="s">
        <v>358</v>
      </c>
      <c r="AG209" s="250">
        <v>68</v>
      </c>
      <c r="AH209" s="251">
        <f>RANK(TableOverallMaster[[#This Row],[VORP]],TableOverallMaster[VORP])+COUNTIF($AM$2:AM209,AM209)-1</f>
        <v>173</v>
      </c>
      <c r="AI209" s="252" t="str">
        <f>IFERROR(INDEX(TableWRVORP[WIDE RECEIVER],MATCH(TableOverallMaster[[#This Row],[RK]],TableWRVORP[RK],0)),"")</f>
        <v>DeVante Parker</v>
      </c>
      <c r="AJ209" s="252" t="str">
        <f t="shared" si="3"/>
        <v>WR68</v>
      </c>
      <c r="AK209" s="252">
        <f>IFERROR(INDEX(TableWRVORP[BYE],MATCH(TableOverallMaster[[#This Row],[RK]],TableWRVORP[RK],0)),"")</f>
        <v>10</v>
      </c>
      <c r="AL209" s="253">
        <f>IFERROR(INDEX(TableWRVORP[FPS],MATCH(TableOverallMaster[[#This Row],[RK]],TableWRVORP[RK],0)),"")</f>
        <v>87.406039713146185</v>
      </c>
      <c r="AM209" s="254">
        <f>IFERROR(INDEX(TableWRVORP[VORP],MATCH(TableOverallMaster[[#This Row],[RK]],TableWRVORP[RK],0)),"")</f>
        <v>-0.19790731107409518</v>
      </c>
      <c r="AN209" s="250"/>
      <c r="AO209" s="250">
        <v>208</v>
      </c>
      <c r="AP209" s="255" t="str">
        <f>IFERROR(INDEX(TableOverallMaster[OVERALL PLAYER],MATCH(TableOverallRank[[#This Row],[RK]],TableOverallMaster[OVR RK],0)),"")</f>
        <v>Corey Davis</v>
      </c>
      <c r="AQ209" s="256" t="str">
        <f>IFERROR(INDEX(TableOverallMaster[POS RK],MATCH(TableOverallRank[[#This Row],[OVERALL PLAYER]],TableOverallMaster[OVERALL PLAYER],0)),"")</f>
        <v>WR87</v>
      </c>
      <c r="AR209" s="257">
        <f>IFERROR(INDEX(TableOverallMaster[BYE],MATCH(TableOverallRank[[#This Row],[OVERALL PLAYER]],TableOverallMaster[OVERALL PLAYER],0)),"")</f>
        <v>10</v>
      </c>
      <c r="AS209" s="258">
        <f>IFERROR(INDEX(TableOverallMaster[Custom],MATCH(TableOverallRank[[#This Row],[OVERALL PLAYER]],TableOverallMaster[OVERALL PLAYER],0)),"")</f>
        <v>65.288503663814794</v>
      </c>
      <c r="AT209" s="259">
        <f>IFERROR(INDEX(TableOverallMaster[VORP],MATCH(TableOverallRank[[#This Row],[OVERALL PLAYER]],TableOverallMaster[OVERALL PLAYER],0)),"")</f>
        <v>-0.40087170598827915</v>
      </c>
      <c r="AU209" s="250"/>
      <c r="AV209" s="246">
        <v>208</v>
      </c>
      <c r="AW209" s="260" t="str">
        <f>IFERROR(INDEX(TableWRTECalcPts[PLAYER],MATCH(TableWRTERank[[#This Row],[RK]],TableWRTECalcPts[RK],0)),"")</f>
        <v>Brycen Hopkins</v>
      </c>
      <c r="AX209" s="260" t="str">
        <f>IFERROR(INDEX(TableWRTECalcPts[POS RK],MATCH(TableWRTERank[[#This Row],[WR and TE COMBINED]],TableWRTECalcPts[PLAYER],0)),"")</f>
        <v>TE62</v>
      </c>
      <c r="AY209" s="260">
        <f>IFERROR(INDEX(TableWRTECalcPts[BYE],MATCH(TableWRTERank[[#This Row],[RK]],TableWRTECalcPts[RK],0)),"")</f>
        <v>7</v>
      </c>
      <c r="AZ209" s="261">
        <f>IFERROR(INDEX(TableWRTECalcPts[Custom],MATCH(TableWRTERank[[#This Row],[RK]],TableWRTECalcPts[RK],0)),"")</f>
        <v>15.042983008922885</v>
      </c>
      <c r="BA209" s="249">
        <f>IFERROR((TableWRTERank[[#This Row],[FPS]]-INDEX(TableWRTERank[FPS],MATCH(WRTEVORPCalc,TableWRTERank[RK],0)))/INDEX(TableWRTERank[FPS],MATCH(WRTEVORPCalc,TableWRTERank[RK],0)),"")</f>
        <v>-0.87332241497290519</v>
      </c>
      <c r="BC209" s="124" t="s">
        <v>10</v>
      </c>
      <c r="BD209" s="124">
        <v>8</v>
      </c>
      <c r="BE209" s="262">
        <f>RANK(TableWRTEMaster[[#This Row],[VORP]],TableWRTEMaster[VORP])+COUNTIF($BJ$2:BJ209,BJ209)-1</f>
        <v>54</v>
      </c>
      <c r="BF209" s="263" t="str">
        <f>IFERROR(INDEX(TableTEVORP[TIGHT END],MATCH(TableWRTEMaster[[#This Row],[RK]],TableTEVORP[RK],0)),"")</f>
        <v>Irv Smith</v>
      </c>
      <c r="BG209" s="263" t="str">
        <f>_xlfn.CONCAT(TableWRTEMaster[[#This Row],[POS]],TableWRTEMaster[[#This Row],[RK]])</f>
        <v>TE8</v>
      </c>
      <c r="BH209" s="263">
        <f>IFERROR(INDEX(TableTEVORP[BYE],MATCH(TableWRTEMaster[[#This Row],[RK]],TableTEVORP[RK],0)),"")</f>
        <v>7</v>
      </c>
      <c r="BI209" s="264">
        <f>IFERROR(INDEX(TableTEVORP[FPS],MATCH(TableWRTEMaster[[#This Row],[RK]],TableTEVORP[RK],0)),"")</f>
        <v>104.82297141661108</v>
      </c>
      <c r="BJ209" s="254">
        <f>IFERROR(INDEX(TableTEVORP[VORP],MATCH(TableWRTEMaster[[#This Row],[RK]],TableTEVORP[RK],0)),"")</f>
        <v>2.3138340123066176E-2</v>
      </c>
    </row>
    <row r="210" spans="15:62" x14ac:dyDescent="0.3">
      <c r="O210" s="246">
        <v>209</v>
      </c>
      <c r="P210" s="247" t="str">
        <f>IFERROR(INDEX(TableWRCalcPts[PLAYER],MATCH(TableWRVORP[[#This Row],[RK]],TableWRCalcPts[RK],0)),"")</f>
        <v/>
      </c>
      <c r="Q210" s="247" t="str">
        <f>IFERROR(INDEX(TableWRCalcPts[TM],MATCH(TableWRVORP[[#This Row],[RK]],TableWRCalcPts[RK],0)),"")</f>
        <v/>
      </c>
      <c r="R210" s="247" t="str">
        <f>IFERROR(INDEX(TableWRCalcPts[BYE],MATCH(TableWRVORP[[#This Row],[RK]],TableWRCalcPts[RK],0)),"")</f>
        <v/>
      </c>
      <c r="S210" s="248" t="str">
        <f>IFERROR(INDEX(TableWRCalcPts[Custom],MATCH(TableWRVORP[[#This Row],[RK]],TableWRCalcPts[RK],0)),"")</f>
        <v/>
      </c>
      <c r="T210" s="249" t="str">
        <f>IFERROR((TableWRVORP[[#This Row],[FPS]]-INDEX(TableWRVORP[FPS],MATCH(WRVORPCalc,TableWRVORP[RK],0)))/INDEX(TableWRVORP[FPS],MATCH(WRVORPCalc,TableWRVORP[RK],0)),"")</f>
        <v/>
      </c>
      <c r="AB210" s="246"/>
      <c r="AC210" s="250"/>
      <c r="AD210" s="250"/>
      <c r="AE210" s="250"/>
      <c r="AF210" s="250" t="s">
        <v>358</v>
      </c>
      <c r="AG210" s="250">
        <v>69</v>
      </c>
      <c r="AH210" s="251">
        <f>RANK(TableOverallMaster[[#This Row],[VORP]],TableOverallMaster[VORP])+COUNTIF($AM$2:AM210,AM210)-1</f>
        <v>175</v>
      </c>
      <c r="AI210" s="252" t="str">
        <f>IFERROR(INDEX(TableWRVORP[WIDE RECEIVER],MATCH(TableOverallMaster[[#This Row],[RK]],TableWRVORP[RK],0)),"")</f>
        <v>Curtis Samuel</v>
      </c>
      <c r="AJ210" s="252" t="str">
        <f t="shared" si="3"/>
        <v>WR69</v>
      </c>
      <c r="AK210" s="252">
        <f>IFERROR(INDEX(TableWRVORP[BYE],MATCH(TableOverallMaster[[#This Row],[RK]],TableWRVORP[RK],0)),"")</f>
        <v>14</v>
      </c>
      <c r="AL210" s="253">
        <f>IFERROR(INDEX(TableWRVORP[FPS],MATCH(TableOverallMaster[[#This Row],[RK]],TableWRVORP[RK],0)),"")</f>
        <v>87.266912262059535</v>
      </c>
      <c r="AM210" s="254">
        <f>IFERROR(INDEX(TableWRVORP[VORP],MATCH(TableOverallMaster[[#This Row],[RK]],TableWRVORP[RK],0)),"")</f>
        <v>-0.19918403190153147</v>
      </c>
      <c r="AN210" s="250"/>
      <c r="AO210" s="250">
        <v>209</v>
      </c>
      <c r="AP210" s="255" t="str">
        <f>IFERROR(INDEX(TableOverallMaster[OVERALL PLAYER],MATCH(TableOverallRank[[#This Row],[RK]],TableOverallMaster[OVR RK],0)),"")</f>
        <v>Kenyan Drake</v>
      </c>
      <c r="AQ210" s="256" t="str">
        <f>IFERROR(INDEX(TableOverallMaster[POS RK],MATCH(TableOverallRank[[#This Row],[OVERALL PLAYER]],TableOverallMaster[OVERALL PLAYER],0)),"")</f>
        <v>RB62</v>
      </c>
      <c r="AR210" s="257">
        <f>IFERROR(INDEX(TableOverallMaster[BYE],MATCH(TableOverallRank[[#This Row],[OVERALL PLAYER]],TableOverallMaster[OVERALL PLAYER],0)),"")</f>
        <v>6</v>
      </c>
      <c r="AS210" s="258">
        <f>IFERROR(INDEX(TableOverallMaster[Custom],MATCH(TableOverallRank[[#This Row],[OVERALL PLAYER]],TableOverallMaster[OVERALL PLAYER],0)),"")</f>
        <v>60.154119377652194</v>
      </c>
      <c r="AT210" s="259">
        <f>IFERROR(INDEX(TableOverallMaster[VORP],MATCH(TableOverallRank[[#This Row],[OVERALL PLAYER]],TableOverallMaster[OVERALL PLAYER],0)),"")</f>
        <v>-0.40629084041420277</v>
      </c>
      <c r="AU210" s="250"/>
      <c r="AV210" s="246">
        <v>209</v>
      </c>
      <c r="AW210" s="260" t="str">
        <f>IFERROR(INDEX(TableWRTECalcPts[PLAYER],MATCH(TableWRTERank[[#This Row],[RK]],TableWRTECalcPts[RK],0)),"")</f>
        <v>Nick Vannett</v>
      </c>
      <c r="AX210" s="260" t="str">
        <f>IFERROR(INDEX(TableWRTECalcPts[POS RK],MATCH(TableWRTERank[[#This Row],[WR and TE COMBINED]],TableWRTECalcPts[PLAYER],0)),"")</f>
        <v>TE63</v>
      </c>
      <c r="AY210" s="260">
        <f>IFERROR(INDEX(TableWRTECalcPts[BYE],MATCH(TableWRTERank[[#This Row],[RK]],TableWRTECalcPts[RK],0)),"")</f>
        <v>14</v>
      </c>
      <c r="AZ210" s="261">
        <f>IFERROR(INDEX(TableWRTECalcPts[Custom],MATCH(TableWRTERank[[#This Row],[RK]],TableWRTECalcPts[RK],0)),"")</f>
        <v>14.882710410612825</v>
      </c>
      <c r="BA210" s="249">
        <f>IFERROR((TableWRTERank[[#This Row],[FPS]]-INDEX(TableWRTERank[FPS],MATCH(WRTEVORPCalc,TableWRTERank[RK],0)))/INDEX(TableWRTERank[FPS],MATCH(WRTEVORPCalc,TableWRTERank[RK],0)),"")</f>
        <v>-0.87467207718337858</v>
      </c>
      <c r="BC210" s="124" t="s">
        <v>10</v>
      </c>
      <c r="BD210" s="124">
        <v>9</v>
      </c>
      <c r="BE210" s="262">
        <f>RANK(TableWRTEMaster[[#This Row],[VORP]],TableWRTEMaster[VORP])+COUNTIF($BJ$2:BJ210,BJ210)-1</f>
        <v>58</v>
      </c>
      <c r="BF210" s="263" t="str">
        <f>IFERROR(INDEX(TableTEVORP[TIGHT END],MATCH(TableWRTEMaster[[#This Row],[RK]],TableTEVORP[RK],0)),"")</f>
        <v>Dawson Knox</v>
      </c>
      <c r="BG210" s="263" t="str">
        <f>_xlfn.CONCAT(TableWRTEMaster[[#This Row],[POS]],TableWRTEMaster[[#This Row],[RK]])</f>
        <v>TE9</v>
      </c>
      <c r="BH210" s="263">
        <f>IFERROR(INDEX(TableTEVORP[BYE],MATCH(TableWRTEMaster[[#This Row],[RK]],TableTEVORP[RK],0)),"")</f>
        <v>7</v>
      </c>
      <c r="BI210" s="264">
        <f>IFERROR(INDEX(TableTEVORP[FPS],MATCH(TableWRTEMaster[[#This Row],[RK]],TableTEVORP[RK],0)),"")</f>
        <v>102.87952804843867</v>
      </c>
      <c r="BJ210" s="254">
        <f>IFERROR(INDEX(TableTEVORP[VORP],MATCH(TableWRTEMaster[[#This Row],[RK]],TableTEVORP[RK],0)),"")</f>
        <v>4.1691066147704807E-3</v>
      </c>
    </row>
    <row r="211" spans="15:62" x14ac:dyDescent="0.3">
      <c r="O211" s="246">
        <v>210</v>
      </c>
      <c r="P211" s="247" t="str">
        <f>IFERROR(INDEX(TableWRCalcPts[PLAYER],MATCH(TableWRVORP[[#This Row],[RK]],TableWRCalcPts[RK],0)),"")</f>
        <v/>
      </c>
      <c r="Q211" s="247" t="str">
        <f>IFERROR(INDEX(TableWRCalcPts[TM],MATCH(TableWRVORP[[#This Row],[RK]],TableWRCalcPts[RK],0)),"")</f>
        <v/>
      </c>
      <c r="R211" s="247" t="str">
        <f>IFERROR(INDEX(TableWRCalcPts[BYE],MATCH(TableWRVORP[[#This Row],[RK]],TableWRCalcPts[RK],0)),"")</f>
        <v/>
      </c>
      <c r="S211" s="248" t="str">
        <f>IFERROR(INDEX(TableWRCalcPts[Custom],MATCH(TableWRVORP[[#This Row],[RK]],TableWRCalcPts[RK],0)),"")</f>
        <v/>
      </c>
      <c r="T211" s="249" t="str">
        <f>IFERROR((TableWRVORP[[#This Row],[FPS]]-INDEX(TableWRVORP[FPS],MATCH(WRVORPCalc,TableWRVORP[RK],0)))/INDEX(TableWRVORP[FPS],MATCH(WRVORPCalc,TableWRVORP[RK],0)),"")</f>
        <v/>
      </c>
      <c r="AB211" s="246"/>
      <c r="AC211" s="250"/>
      <c r="AD211" s="250"/>
      <c r="AE211" s="250"/>
      <c r="AF211" s="250" t="s">
        <v>358</v>
      </c>
      <c r="AG211" s="250">
        <v>70</v>
      </c>
      <c r="AH211" s="251">
        <f>RANK(TableOverallMaster[[#This Row],[VORP]],TableOverallMaster[VORP])+COUNTIF($AM$2:AM211,AM211)-1</f>
        <v>176</v>
      </c>
      <c r="AI211" s="252" t="str">
        <f>IFERROR(INDEX(TableWRVORP[WIDE RECEIVER],MATCH(TableOverallMaster[[#This Row],[RK]],TableWRVORP[RK],0)),"")</f>
        <v>Byron Pringle</v>
      </c>
      <c r="AJ211" s="252" t="str">
        <f t="shared" si="3"/>
        <v>WR70</v>
      </c>
      <c r="AK211" s="252">
        <f>IFERROR(INDEX(TableWRVORP[BYE],MATCH(TableOverallMaster[[#This Row],[RK]],TableWRVORP[RK],0)),"")</f>
        <v>14</v>
      </c>
      <c r="AL211" s="253">
        <f>IFERROR(INDEX(TableWRVORP[FPS],MATCH(TableOverallMaster[[#This Row],[RK]],TableWRVORP[RK],0)),"")</f>
        <v>86.965222387666444</v>
      </c>
      <c r="AM211" s="254">
        <f>IFERROR(INDEX(TableWRVORP[VORP],MATCH(TableOverallMaster[[#This Row],[RK]],TableWRVORP[RK],0)),"")</f>
        <v>-0.20195252757262958</v>
      </c>
      <c r="AN211" s="250"/>
      <c r="AO211" s="250">
        <v>210</v>
      </c>
      <c r="AP211" s="255" t="str">
        <f>IFERROR(INDEX(TableOverallMaster[OVERALL PLAYER],MATCH(TableOverallRank[[#This Row],[RK]],TableOverallMaster[OVR RK],0)),"")</f>
        <v>Boston Scott</v>
      </c>
      <c r="AQ211" s="256" t="str">
        <f>IFERROR(INDEX(TableOverallMaster[POS RK],MATCH(TableOverallRank[[#This Row],[OVERALL PLAYER]],TableOverallMaster[OVERALL PLAYER],0)),"")</f>
        <v>RB63</v>
      </c>
      <c r="AR211" s="257">
        <f>IFERROR(INDEX(TableOverallMaster[BYE],MATCH(TableOverallRank[[#This Row],[OVERALL PLAYER]],TableOverallMaster[OVERALL PLAYER],0)),"")</f>
        <v>7</v>
      </c>
      <c r="AS211" s="258">
        <f>IFERROR(INDEX(TableOverallMaster[Custom],MATCH(TableOverallRank[[#This Row],[OVERALL PLAYER]],TableOverallMaster[OVERALL PLAYER],0)),"")</f>
        <v>59.282920955883633</v>
      </c>
      <c r="AT211" s="259">
        <f>IFERROR(INDEX(TableOverallMaster[VORP],MATCH(TableOverallRank[[#This Row],[OVERALL PLAYER]],TableOverallMaster[OVERALL PLAYER],0)),"")</f>
        <v>-0.4148893950630278</v>
      </c>
      <c r="AU211" s="250"/>
      <c r="AV211" s="246">
        <v>210</v>
      </c>
      <c r="AW211" s="260" t="str">
        <f>IFERROR(INDEX(TableWRTECalcPts[PLAYER],MATCH(TableWRTERank[[#This Row],[RK]],TableWRTECalcPts[RK],0)),"")</f>
        <v>Ty Montgomery</v>
      </c>
      <c r="AX211" s="260" t="str">
        <f>IFERROR(INDEX(TableWRTECalcPts[POS RK],MATCH(TableWRTERank[[#This Row],[WR and TE COMBINED]],TableWRTECalcPts[PLAYER],0)),"")</f>
        <v>WR147</v>
      </c>
      <c r="AY211" s="260">
        <f>IFERROR(INDEX(TableWRTECalcPts[BYE],MATCH(TableWRTERank[[#This Row],[RK]],TableWRTECalcPts[RK],0)),"")</f>
        <v>10</v>
      </c>
      <c r="AZ211" s="261">
        <f>IFERROR(INDEX(TableWRTECalcPts[Custom],MATCH(TableWRTERank[[#This Row],[RK]],TableWRTECalcPts[RK],0)),"")</f>
        <v>14.628730848439291</v>
      </c>
      <c r="BA211" s="249">
        <f>IFERROR((TableWRTERank[[#This Row],[FPS]]-INDEX(TableWRTERank[FPS],MATCH(WRTEVORPCalc,TableWRTERank[RK],0)))/INDEX(TableWRTERank[FPS],MATCH(WRTEVORPCalc,TableWRTERank[RK],0)),"")</f>
        <v>-0.87681084963052547</v>
      </c>
      <c r="BC211" s="124" t="s">
        <v>10</v>
      </c>
      <c r="BD211" s="124">
        <v>10</v>
      </c>
      <c r="BE211" s="262">
        <f>RANK(TableWRTEMaster[[#This Row],[VORP]],TableWRTEMaster[VORP])+COUNTIF($BJ$2:BJ211,BJ211)-1</f>
        <v>60</v>
      </c>
      <c r="BF211" s="263" t="str">
        <f>IFERROR(INDEX(TableTEVORP[TIGHT END],MATCH(TableWRTEMaster[[#This Row],[RK]],TableTEVORP[RK],0)),"")</f>
        <v>T.J. Hockenson</v>
      </c>
      <c r="BG211" s="263" t="str">
        <f>_xlfn.CONCAT(TableWRTEMaster[[#This Row],[POS]],TableWRTEMaster[[#This Row],[RK]])</f>
        <v>TE10</v>
      </c>
      <c r="BH211" s="263">
        <f>IFERROR(INDEX(TableTEVORP[BYE],MATCH(TableWRTEMaster[[#This Row],[RK]],TableTEVORP[RK],0)),"")</f>
        <v>6</v>
      </c>
      <c r="BI211" s="264">
        <f>IFERROR(INDEX(TableTEVORP[FPS],MATCH(TableWRTEMaster[[#This Row],[RK]],TableTEVORP[RK],0)),"")</f>
        <v>102.45239309867193</v>
      </c>
      <c r="BJ211" s="254">
        <f>IFERROR(INDEX(TableTEVORP[VORP],MATCH(TableWRTEMaster[[#This Row],[RK]],TableTEVORP[RK],0)),"")</f>
        <v>0</v>
      </c>
    </row>
    <row r="212" spans="15:62" x14ac:dyDescent="0.3">
      <c r="O212" s="246">
        <v>211</v>
      </c>
      <c r="P212" s="247" t="str">
        <f>IFERROR(INDEX(TableWRCalcPts[PLAYER],MATCH(TableWRVORP[[#This Row],[RK]],TableWRCalcPts[RK],0)),"")</f>
        <v/>
      </c>
      <c r="Q212" s="247" t="str">
        <f>IFERROR(INDEX(TableWRCalcPts[TM],MATCH(TableWRVORP[[#This Row],[RK]],TableWRCalcPts[RK],0)),"")</f>
        <v/>
      </c>
      <c r="R212" s="247" t="str">
        <f>IFERROR(INDEX(TableWRCalcPts[BYE],MATCH(TableWRVORP[[#This Row],[RK]],TableWRCalcPts[RK],0)),"")</f>
        <v/>
      </c>
      <c r="S212" s="248" t="str">
        <f>IFERROR(INDEX(TableWRCalcPts[Custom],MATCH(TableWRVORP[[#This Row],[RK]],TableWRCalcPts[RK],0)),"")</f>
        <v/>
      </c>
      <c r="T212" s="249" t="str">
        <f>IFERROR((TableWRVORP[[#This Row],[FPS]]-INDEX(TableWRVORP[FPS],MATCH(WRVORPCalc,TableWRVORP[RK],0)))/INDEX(TableWRVORP[FPS],MATCH(WRVORPCalc,TableWRVORP[RK],0)),"")</f>
        <v/>
      </c>
      <c r="AB212" s="246"/>
      <c r="AC212" s="250"/>
      <c r="AD212" s="250"/>
      <c r="AE212" s="250"/>
      <c r="AF212" s="250" t="s">
        <v>358</v>
      </c>
      <c r="AG212" s="250">
        <v>71</v>
      </c>
      <c r="AH212" s="251">
        <f>RANK(TableOverallMaster[[#This Row],[VORP]],TableOverallMaster[VORP])+COUNTIF($AM$2:AM212,AM212)-1</f>
        <v>178</v>
      </c>
      <c r="AI212" s="252" t="str">
        <f>IFERROR(INDEX(TableWRVORP[WIDE RECEIVER],MATCH(TableOverallMaster[[#This Row],[RK]],TableWRVORP[RK],0)),"")</f>
        <v>Joshua Palmer</v>
      </c>
      <c r="AJ212" s="252" t="str">
        <f t="shared" si="3"/>
        <v>WR71</v>
      </c>
      <c r="AK212" s="252">
        <f>IFERROR(INDEX(TableWRVORP[BYE],MATCH(TableOverallMaster[[#This Row],[RK]],TableWRVORP[RK],0)),"")</f>
        <v>8</v>
      </c>
      <c r="AL212" s="253">
        <f>IFERROR(INDEX(TableWRVORP[FPS],MATCH(TableOverallMaster[[#This Row],[RK]],TableWRVORP[RK],0)),"")</f>
        <v>86.180512483488769</v>
      </c>
      <c r="AM212" s="254">
        <f>IFERROR(INDEX(TableWRVORP[VORP],MATCH(TableOverallMaster[[#This Row],[RK]],TableWRVORP[RK],0)),"")</f>
        <v>-0.20915351824940992</v>
      </c>
      <c r="AN212" s="250"/>
      <c r="AO212" s="250">
        <v>211</v>
      </c>
      <c r="AP212" s="255" t="str">
        <f>IFERROR(INDEX(TableOverallMaster[OVERALL PLAYER],MATCH(TableOverallRank[[#This Row],[RK]],TableOverallMaster[OVR RK],0)),"")</f>
        <v>Zay Jones</v>
      </c>
      <c r="AQ212" s="256" t="str">
        <f>IFERROR(INDEX(TableOverallMaster[POS RK],MATCH(TableOverallRank[[#This Row],[OVERALL PLAYER]],TableOverallMaster[OVERALL PLAYER],0)),"")</f>
        <v>WR88</v>
      </c>
      <c r="AR212" s="257">
        <f>IFERROR(INDEX(TableOverallMaster[BYE],MATCH(TableOverallRank[[#This Row],[OVERALL PLAYER]],TableOverallMaster[OVERALL PLAYER],0)),"")</f>
        <v>11</v>
      </c>
      <c r="AS212" s="258">
        <f>IFERROR(INDEX(TableOverallMaster[Custom],MATCH(TableOverallRank[[#This Row],[OVERALL PLAYER]],TableOverallMaster[OVERALL PLAYER],0)),"")</f>
        <v>63.571604507371703</v>
      </c>
      <c r="AT212" s="259">
        <f>IFERROR(INDEX(TableOverallMaster[VORP],MATCH(TableOverallRank[[#This Row],[OVERALL PLAYER]],TableOverallMaster[OVERALL PLAYER],0)),"")</f>
        <v>-0.416627050419002</v>
      </c>
      <c r="AU212" s="250"/>
      <c r="AV212" s="246">
        <v>211</v>
      </c>
      <c r="AW212" s="260" t="str">
        <f>IFERROR(INDEX(TableWRTECalcPts[PLAYER],MATCH(TableWRTERank[[#This Row],[RK]],TableWRTECalcPts[RK],0)),"")</f>
        <v>Kyle Philips</v>
      </c>
      <c r="AX212" s="260" t="str">
        <f>IFERROR(INDEX(TableWRTECalcPts[POS RK],MATCH(TableWRTERank[[#This Row],[WR and TE COMBINED]],TableWRTECalcPts[PLAYER],0)),"")</f>
        <v>WR148</v>
      </c>
      <c r="AY212" s="260">
        <f>IFERROR(INDEX(TableWRTECalcPts[BYE],MATCH(TableWRTERank[[#This Row],[RK]],TableWRTECalcPts[RK],0)),"")</f>
        <v>6</v>
      </c>
      <c r="AZ212" s="261">
        <f>IFERROR(INDEX(TableWRTECalcPts[Custom],MATCH(TableWRTERank[[#This Row],[RK]],TableWRTECalcPts[RK],0)),"")</f>
        <v>14.615915494250935</v>
      </c>
      <c r="BA212" s="249">
        <f>IFERROR((TableWRTERank[[#This Row],[FPS]]-INDEX(TableWRTERank[FPS],MATCH(WRTEVORPCalc,TableWRTERank[RK],0)))/INDEX(TableWRTERank[FPS],MATCH(WRTEVORPCalc,TableWRTERank[RK],0)),"")</f>
        <v>-0.87691876826068571</v>
      </c>
      <c r="BC212" s="124" t="s">
        <v>10</v>
      </c>
      <c r="BD212" s="124">
        <v>11</v>
      </c>
      <c r="BE212" s="262">
        <f>RANK(TableWRTEMaster[[#This Row],[VORP]],TableWRTEMaster[VORP])+COUNTIF($BJ$2:BJ212,BJ212)-1</f>
        <v>65</v>
      </c>
      <c r="BF212" s="263" t="str">
        <f>IFERROR(INDEX(TableTEVORP[TIGHT END],MATCH(TableWRTEMaster[[#This Row],[RK]],TableTEVORP[RK],0)),"")</f>
        <v>Zach Ertz</v>
      </c>
      <c r="BG212" s="263" t="str">
        <f>_xlfn.CONCAT(TableWRTEMaster[[#This Row],[POS]],TableWRTEMaster[[#This Row],[RK]])</f>
        <v>TE11</v>
      </c>
      <c r="BH212" s="263">
        <f>IFERROR(INDEX(TableTEVORP[BYE],MATCH(TableWRTEMaster[[#This Row],[RK]],TableTEVORP[RK],0)),"")</f>
        <v>13</v>
      </c>
      <c r="BI212" s="264">
        <f>IFERROR(INDEX(TableTEVORP[FPS],MATCH(TableWRTEMaster[[#This Row],[RK]],TableTEVORP[RK],0)),"")</f>
        <v>99.340220639314538</v>
      </c>
      <c r="BJ212" s="254">
        <f>IFERROR(INDEX(TableTEVORP[VORP],MATCH(TableWRTEMaster[[#This Row],[RK]],TableTEVORP[RK],0)),"")</f>
        <v>-3.0376766859511631E-2</v>
      </c>
    </row>
    <row r="213" spans="15:62" x14ac:dyDescent="0.3">
      <c r="O213" s="246">
        <v>212</v>
      </c>
      <c r="P213" s="247" t="str">
        <f>IFERROR(INDEX(TableWRCalcPts[PLAYER],MATCH(TableWRVORP[[#This Row],[RK]],TableWRCalcPts[RK],0)),"")</f>
        <v/>
      </c>
      <c r="Q213" s="247" t="str">
        <f>IFERROR(INDEX(TableWRCalcPts[TM],MATCH(TableWRVORP[[#This Row],[RK]],TableWRCalcPts[RK],0)),"")</f>
        <v/>
      </c>
      <c r="R213" s="247" t="str">
        <f>IFERROR(INDEX(TableWRCalcPts[BYE],MATCH(TableWRVORP[[#This Row],[RK]],TableWRCalcPts[RK],0)),"")</f>
        <v/>
      </c>
      <c r="S213" s="248" t="str">
        <f>IFERROR(INDEX(TableWRCalcPts[Custom],MATCH(TableWRVORP[[#This Row],[RK]],TableWRCalcPts[RK],0)),"")</f>
        <v/>
      </c>
      <c r="T213" s="249" t="str">
        <f>IFERROR((TableWRVORP[[#This Row],[FPS]]-INDEX(TableWRVORP[FPS],MATCH(WRVORPCalc,TableWRVORP[RK],0)))/INDEX(TableWRVORP[FPS],MATCH(WRVORPCalc,TableWRVORP[RK],0)),"")</f>
        <v/>
      </c>
      <c r="AB213" s="246"/>
      <c r="AC213" s="250"/>
      <c r="AD213" s="250"/>
      <c r="AE213" s="250"/>
      <c r="AF213" s="250" t="s">
        <v>358</v>
      </c>
      <c r="AG213" s="250">
        <v>72</v>
      </c>
      <c r="AH213" s="251">
        <f>RANK(TableOverallMaster[[#This Row],[VORP]],TableOverallMaster[VORP])+COUNTIF($AM$2:AM213,AM213)-1</f>
        <v>179</v>
      </c>
      <c r="AI213" s="252" t="str">
        <f>IFERROR(INDEX(TableWRVORP[WIDE RECEIVER],MATCH(TableOverallMaster[[#This Row],[RK]],TableWRVORP[RK],0)),"")</f>
        <v>Marquez Valdes-Scantling</v>
      </c>
      <c r="AJ213" s="252" t="str">
        <f t="shared" si="3"/>
        <v>WR72</v>
      </c>
      <c r="AK213" s="252">
        <f>IFERROR(INDEX(TableWRVORP[BYE],MATCH(TableOverallMaster[[#This Row],[RK]],TableWRVORP[RK],0)),"")</f>
        <v>8</v>
      </c>
      <c r="AL213" s="253">
        <f>IFERROR(INDEX(TableWRVORP[FPS],MATCH(TableOverallMaster[[#This Row],[RK]],TableWRVORP[RK],0)),"")</f>
        <v>85.989633923707842</v>
      </c>
      <c r="AM213" s="254">
        <f>IFERROR(INDEX(TableWRVORP[VORP],MATCH(TableOverallMaster[[#This Row],[RK]],TableWRVORP[RK],0)),"")</f>
        <v>-0.21090513973661432</v>
      </c>
      <c r="AN213" s="250"/>
      <c r="AO213" s="250">
        <v>212</v>
      </c>
      <c r="AP213" s="255" t="str">
        <f>IFERROR(INDEX(TableOverallMaster[OVERALL PLAYER],MATCH(TableOverallRank[[#This Row],[RK]],TableOverallMaster[OVR RK],0)),"")</f>
        <v>Matt Breida</v>
      </c>
      <c r="AQ213" s="256" t="str">
        <f>IFERROR(INDEX(TableOverallMaster[POS RK],MATCH(TableOverallRank[[#This Row],[OVERALL PLAYER]],TableOverallMaster[OVERALL PLAYER],0)),"")</f>
        <v>RB64</v>
      </c>
      <c r="AR213" s="257">
        <f>IFERROR(INDEX(TableOverallMaster[BYE],MATCH(TableOverallRank[[#This Row],[OVERALL PLAYER]],TableOverallMaster[OVERALL PLAYER],0)),"")</f>
        <v>9</v>
      </c>
      <c r="AS213" s="258">
        <f>IFERROR(INDEX(TableOverallMaster[Custom],MATCH(TableOverallRank[[#This Row],[OVERALL PLAYER]],TableOverallMaster[OVERALL PLAYER],0)),"")</f>
        <v>56.543567379074069</v>
      </c>
      <c r="AT213" s="259">
        <f>IFERROR(INDEX(TableOverallMaster[VORP],MATCH(TableOverallRank[[#This Row],[OVERALL PLAYER]],TableOverallMaster[OVERALL PLAYER],0)),"")</f>
        <v>-0.44192626845960131</v>
      </c>
      <c r="AU213" s="250"/>
      <c r="AV213" s="246">
        <v>212</v>
      </c>
      <c r="AW213" s="260" t="str">
        <f>IFERROR(INDEX(TableWRTECalcPts[PLAYER],MATCH(TableWRTERank[[#This Row],[RK]],TableWRTECalcPts[RK],0)),"")</f>
        <v>Andy Isabella</v>
      </c>
      <c r="AX213" s="260" t="str">
        <f>IFERROR(INDEX(TableWRTECalcPts[POS RK],MATCH(TableWRTERank[[#This Row],[WR and TE COMBINED]],TableWRTECalcPts[PLAYER],0)),"")</f>
        <v>WR149</v>
      </c>
      <c r="AY213" s="260">
        <f>IFERROR(INDEX(TableWRTECalcPts[BYE],MATCH(TableWRTERank[[#This Row],[RK]],TableWRTECalcPts[RK],0)),"")</f>
        <v>13</v>
      </c>
      <c r="AZ213" s="261">
        <f>IFERROR(INDEX(TableWRTECalcPts[Custom],MATCH(TableWRTERank[[#This Row],[RK]],TableWRTECalcPts[RK],0)),"")</f>
        <v>14.509907838994287</v>
      </c>
      <c r="BA213" s="249">
        <f>IFERROR((TableWRTERank[[#This Row],[FPS]]-INDEX(TableWRTERank[FPS],MATCH(WRTEVORPCalc,TableWRTERank[RK],0)))/INDEX(TableWRTERank[FPS],MATCH(WRTEVORPCalc,TableWRTERank[RK],0)),"")</f>
        <v>-0.87781146313073466</v>
      </c>
      <c r="BC213" s="124" t="s">
        <v>10</v>
      </c>
      <c r="BD213" s="124">
        <v>12</v>
      </c>
      <c r="BE213" s="262">
        <f>RANK(TableWRTEMaster[[#This Row],[VORP]],TableWRTEMaster[VORP])+COUNTIF($BJ$2:BJ213,BJ213)-1</f>
        <v>66</v>
      </c>
      <c r="BF213" s="263" t="str">
        <f>IFERROR(INDEX(TableTEVORP[TIGHT END],MATCH(TableWRTEMaster[[#This Row],[RK]],TableTEVORP[RK],0)),"")</f>
        <v>Cameron Brate</v>
      </c>
      <c r="BG213" s="263" t="str">
        <f>_xlfn.CONCAT(TableWRTEMaster[[#This Row],[POS]],TableWRTEMaster[[#This Row],[RK]])</f>
        <v>TE12</v>
      </c>
      <c r="BH213" s="263">
        <f>IFERROR(INDEX(TableTEVORP[BYE],MATCH(TableWRTEMaster[[#This Row],[RK]],TableTEVORP[RK],0)),"")</f>
        <v>11</v>
      </c>
      <c r="BI213" s="264">
        <f>IFERROR(INDEX(TableTEVORP[FPS],MATCH(TableWRTEMaster[[#This Row],[RK]],TableTEVORP[RK],0)),"")</f>
        <v>99.231125452288012</v>
      </c>
      <c r="BJ213" s="254">
        <f>IFERROR(INDEX(TableTEVORP[VORP],MATCH(TableWRTEMaster[[#This Row],[RK]],TableTEVORP[RK],0)),"")</f>
        <v>-3.1441604719584418E-2</v>
      </c>
    </row>
    <row r="214" spans="15:62" x14ac:dyDescent="0.3">
      <c r="O214" s="246">
        <v>213</v>
      </c>
      <c r="P214" s="247" t="str">
        <f>IFERROR(INDEX(TableWRCalcPts[PLAYER],MATCH(TableWRVORP[[#This Row],[RK]],TableWRCalcPts[RK],0)),"")</f>
        <v/>
      </c>
      <c r="Q214" s="247" t="str">
        <f>IFERROR(INDEX(TableWRCalcPts[TM],MATCH(TableWRVORP[[#This Row],[RK]],TableWRCalcPts[RK],0)),"")</f>
        <v/>
      </c>
      <c r="R214" s="247" t="str">
        <f>IFERROR(INDEX(TableWRCalcPts[BYE],MATCH(TableWRVORP[[#This Row],[RK]],TableWRCalcPts[RK],0)),"")</f>
        <v/>
      </c>
      <c r="S214" s="248" t="str">
        <f>IFERROR(INDEX(TableWRCalcPts[Custom],MATCH(TableWRVORP[[#This Row],[RK]],TableWRCalcPts[RK],0)),"")</f>
        <v/>
      </c>
      <c r="T214" s="249" t="str">
        <f>IFERROR((TableWRVORP[[#This Row],[FPS]]-INDEX(TableWRVORP[FPS],MATCH(WRVORPCalc,TableWRVORP[RK],0)))/INDEX(TableWRVORP[FPS],MATCH(WRVORPCalc,TableWRVORP[RK],0)),"")</f>
        <v/>
      </c>
      <c r="AB214" s="246"/>
      <c r="AC214" s="250"/>
      <c r="AD214" s="250"/>
      <c r="AE214" s="250"/>
      <c r="AF214" s="250" t="s">
        <v>358</v>
      </c>
      <c r="AG214" s="250">
        <v>73</v>
      </c>
      <c r="AH214" s="251">
        <f>RANK(TableOverallMaster[[#This Row],[VORP]],TableOverallMaster[VORP])+COUNTIF($AM$2:AM214,AM214)-1</f>
        <v>180</v>
      </c>
      <c r="AI214" s="252" t="str">
        <f>IFERROR(INDEX(TableWRVORP[WIDE RECEIVER],MATCH(TableOverallMaster[[#This Row],[RK]],TableWRVORP[RK],0)),"")</f>
        <v>Donovan Peoples-Jones</v>
      </c>
      <c r="AJ214" s="252" t="str">
        <f t="shared" si="3"/>
        <v>WR73</v>
      </c>
      <c r="AK214" s="252">
        <f>IFERROR(INDEX(TableWRVORP[BYE],MATCH(TableOverallMaster[[#This Row],[RK]],TableWRVORP[RK],0)),"")</f>
        <v>9</v>
      </c>
      <c r="AL214" s="253">
        <f>IFERROR(INDEX(TableWRVORP[FPS],MATCH(TableOverallMaster[[#This Row],[RK]],TableWRVORP[RK],0)),"")</f>
        <v>85.670822503733376</v>
      </c>
      <c r="AM214" s="254">
        <f>IFERROR(INDEX(TableWRVORP[VORP],MATCH(TableOverallMaster[[#This Row],[RK]],TableWRVORP[RK],0)),"")</f>
        <v>-0.21383075345789523</v>
      </c>
      <c r="AN214" s="250"/>
      <c r="AO214" s="250">
        <v>213</v>
      </c>
      <c r="AP214" s="255" t="str">
        <f>IFERROR(INDEX(TableOverallMaster[OVERALL PLAYER],MATCH(TableOverallRank[[#This Row],[RK]],TableOverallMaster[OVR RK],0)),"")</f>
        <v>Terrace Marshall</v>
      </c>
      <c r="AQ214" s="256" t="str">
        <f>IFERROR(INDEX(TableOverallMaster[POS RK],MATCH(TableOverallRank[[#This Row],[OVERALL PLAYER]],TableOverallMaster[OVERALL PLAYER],0)),"")</f>
        <v>WR89</v>
      </c>
      <c r="AR214" s="257">
        <f>IFERROR(INDEX(TableOverallMaster[BYE],MATCH(TableOverallRank[[#This Row],[OVERALL PLAYER]],TableOverallMaster[OVERALL PLAYER],0)),"")</f>
        <v>13</v>
      </c>
      <c r="AS214" s="258">
        <f>IFERROR(INDEX(TableOverallMaster[Custom],MATCH(TableOverallRank[[#This Row],[OVERALL PLAYER]],TableOverallMaster[OVERALL PLAYER],0)),"")</f>
        <v>59.809797928534088</v>
      </c>
      <c r="AT214" s="259">
        <f>IFERROR(INDEX(TableOverallMaster[VORP],MATCH(TableOverallRank[[#This Row],[OVERALL PLAYER]],TableOverallMaster[OVERALL PLAYER],0)),"")</f>
        <v>-0.45114774903366767</v>
      </c>
      <c r="AU214" s="250"/>
      <c r="AV214" s="246">
        <v>213</v>
      </c>
      <c r="AW214" s="260" t="str">
        <f>IFERROR(INDEX(TableWRTECalcPts[PLAYER],MATCH(TableWRTERank[[#This Row],[RK]],TableWRTECalcPts[RK],0)),"")</f>
        <v>Quintez Cephus</v>
      </c>
      <c r="AX214" s="260" t="str">
        <f>IFERROR(INDEX(TableWRTECalcPts[POS RK],MATCH(TableWRTERank[[#This Row],[WR and TE COMBINED]],TableWRTECalcPts[PLAYER],0)),"")</f>
        <v>WR150</v>
      </c>
      <c r="AY214" s="260">
        <f>IFERROR(INDEX(TableWRTECalcPts[BYE],MATCH(TableWRTERank[[#This Row],[RK]],TableWRTECalcPts[RK],0)),"")</f>
        <v>6</v>
      </c>
      <c r="AZ214" s="261">
        <f>IFERROR(INDEX(TableWRTECalcPts[Custom],MATCH(TableWRTERank[[#This Row],[RK]],TableWRTECalcPts[RK],0)),"")</f>
        <v>13.980069410941089</v>
      </c>
      <c r="BA214" s="249">
        <f>IFERROR((TableWRTERank[[#This Row],[FPS]]-INDEX(TableWRTERank[FPS],MATCH(WRTEVORPCalc,TableWRTERank[RK],0)))/INDEX(TableWRTERank[FPS],MATCH(WRTEVORPCalc,TableWRTERank[RK],0)),"")</f>
        <v>-0.8822732545507288</v>
      </c>
      <c r="BC214" s="124" t="s">
        <v>10</v>
      </c>
      <c r="BD214" s="124">
        <v>13</v>
      </c>
      <c r="BE214" s="262">
        <f>RANK(TableWRTEMaster[[#This Row],[VORP]],TableWRTEMaster[VORP])+COUNTIF($BJ$2:BJ214,BJ214)-1</f>
        <v>68</v>
      </c>
      <c r="BF214" s="263" t="str">
        <f>IFERROR(INDEX(TableTEVORP[TIGHT END],MATCH(TableWRTEMaster[[#This Row],[RK]],TableTEVORP[RK],0)),"")</f>
        <v>David Njoku</v>
      </c>
      <c r="BG214" s="263" t="str">
        <f>_xlfn.CONCAT(TableWRTEMaster[[#This Row],[POS]],TableWRTEMaster[[#This Row],[RK]])</f>
        <v>TE13</v>
      </c>
      <c r="BH214" s="263">
        <f>IFERROR(INDEX(TableTEVORP[BYE],MATCH(TableWRTEMaster[[#This Row],[RK]],TableTEVORP[RK],0)),"")</f>
        <v>9</v>
      </c>
      <c r="BI214" s="264">
        <f>IFERROR(INDEX(TableTEVORP[FPS],MATCH(TableWRTEMaster[[#This Row],[RK]],TableTEVORP[RK],0)),"")</f>
        <v>98.103124524733062</v>
      </c>
      <c r="BJ214" s="254">
        <f>IFERROR(INDEX(TableTEVORP[VORP],MATCH(TableWRTEMaster[[#This Row],[RK]],TableTEVORP[RK],0)),"")</f>
        <v>-4.245160549593107E-2</v>
      </c>
    </row>
    <row r="215" spans="15:62" x14ac:dyDescent="0.3">
      <c r="O215" s="246">
        <v>214</v>
      </c>
      <c r="P215" s="247" t="str">
        <f>IFERROR(INDEX(TableWRCalcPts[PLAYER],MATCH(TableWRVORP[[#This Row],[RK]],TableWRCalcPts[RK],0)),"")</f>
        <v/>
      </c>
      <c r="Q215" s="247" t="str">
        <f>IFERROR(INDEX(TableWRCalcPts[TM],MATCH(TableWRVORP[[#This Row],[RK]],TableWRCalcPts[RK],0)),"")</f>
        <v/>
      </c>
      <c r="R215" s="247" t="str">
        <f>IFERROR(INDEX(TableWRCalcPts[BYE],MATCH(TableWRVORP[[#This Row],[RK]],TableWRCalcPts[RK],0)),"")</f>
        <v/>
      </c>
      <c r="S215" s="248" t="str">
        <f>IFERROR(INDEX(TableWRCalcPts[Custom],MATCH(TableWRVORP[[#This Row],[RK]],TableWRCalcPts[RK],0)),"")</f>
        <v/>
      </c>
      <c r="T215" s="249" t="str">
        <f>IFERROR((TableWRVORP[[#This Row],[FPS]]-INDEX(TableWRVORP[FPS],MATCH(WRVORPCalc,TableWRVORP[RK],0)))/INDEX(TableWRVORP[FPS],MATCH(WRVORPCalc,TableWRVORP[RK],0)),"")</f>
        <v/>
      </c>
      <c r="AB215" s="246"/>
      <c r="AC215" s="250"/>
      <c r="AD215" s="250"/>
      <c r="AE215" s="250"/>
      <c r="AF215" s="250" t="s">
        <v>358</v>
      </c>
      <c r="AG215" s="250">
        <v>74</v>
      </c>
      <c r="AH215" s="251">
        <f>RANK(TableOverallMaster[[#This Row],[VORP]],TableOverallMaster[VORP])+COUNTIF($AM$2:AM215,AM215)-1</f>
        <v>184</v>
      </c>
      <c r="AI215" s="252" t="str">
        <f>IFERROR(INDEX(TableWRVORP[WIDE RECEIVER],MATCH(TableOverallMaster[[#This Row],[RK]],TableWRVORP[RK],0)),"")</f>
        <v>Cedrick Wilson</v>
      </c>
      <c r="AJ215" s="252" t="str">
        <f t="shared" si="3"/>
        <v>WR74</v>
      </c>
      <c r="AK215" s="252">
        <f>IFERROR(INDEX(TableWRVORP[BYE],MATCH(TableOverallMaster[[#This Row],[RK]],TableWRVORP[RK],0)),"")</f>
        <v>11</v>
      </c>
      <c r="AL215" s="253">
        <f>IFERROR(INDEX(TableWRVORP[FPS],MATCH(TableOverallMaster[[#This Row],[RK]],TableWRVORP[RK],0)),"")</f>
        <v>83.805271165984095</v>
      </c>
      <c r="AM215" s="254">
        <f>IFERROR(INDEX(TableWRVORP[VORP],MATCH(TableOverallMaster[[#This Row],[RK]],TableWRVORP[RK],0)),"")</f>
        <v>-0.23095022361963036</v>
      </c>
      <c r="AN215" s="250"/>
      <c r="AO215" s="250">
        <v>214</v>
      </c>
      <c r="AP215" s="255" t="str">
        <f>IFERROR(INDEX(TableOverallMaster[OVERALL PLAYER],MATCH(TableOverallRank[[#This Row],[RK]],TableOverallMaster[OVR RK],0)),"")</f>
        <v>Drew Lock</v>
      </c>
      <c r="AQ215" s="256" t="str">
        <f>IFERROR(INDEX(TableOverallMaster[POS RK],MATCH(TableOverallRank[[#This Row],[OVERALL PLAYER]],TableOverallMaster[OVERALL PLAYER],0)),"")</f>
        <v>QB32</v>
      </c>
      <c r="AR215" s="257">
        <f>IFERROR(INDEX(TableOverallMaster[BYE],MATCH(TableOverallRank[[#This Row],[OVERALL PLAYER]],TableOverallMaster[OVERALL PLAYER],0)),"")</f>
        <v>11</v>
      </c>
      <c r="AS215" s="258">
        <f>IFERROR(INDEX(TableOverallMaster[Custom],MATCH(TableOverallRank[[#This Row],[OVERALL PLAYER]],TableOverallMaster[OVERALL PLAYER],0)),"")</f>
        <v>161.30702075141295</v>
      </c>
      <c r="AT215" s="259">
        <f>IFERROR(INDEX(TableOverallMaster[VORP],MATCH(TableOverallRank[[#This Row],[OVERALL PLAYER]],TableOverallMaster[OVERALL PLAYER],0)),"")</f>
        <v>-0.45150152308616287</v>
      </c>
      <c r="AU215" s="250"/>
      <c r="AV215" s="246">
        <v>214</v>
      </c>
      <c r="AW215" s="260" t="str">
        <f>IFERROR(INDEX(TableWRTECalcPts[PLAYER],MATCH(TableWRTERank[[#This Row],[RK]],TableWRTECalcPts[RK],0)),"")</f>
        <v>Cam Sims</v>
      </c>
      <c r="AX215" s="260" t="str">
        <f>IFERROR(INDEX(TableWRTECalcPts[POS RK],MATCH(TableWRTERank[[#This Row],[WR and TE COMBINED]],TableWRTECalcPts[PLAYER],0)),"")</f>
        <v>WR151</v>
      </c>
      <c r="AY215" s="260">
        <f>IFERROR(INDEX(TableWRTECalcPts[BYE],MATCH(TableWRTERank[[#This Row],[RK]],TableWRTECalcPts[RK],0)),"")</f>
        <v>14</v>
      </c>
      <c r="AZ215" s="261">
        <f>IFERROR(INDEX(TableWRTECalcPts[Custom],MATCH(TableWRTERank[[#This Row],[RK]],TableWRTECalcPts[RK],0)),"")</f>
        <v>13.915093875252108</v>
      </c>
      <c r="BA215" s="249">
        <f>IFERROR((TableWRTERank[[#This Row],[FPS]]-INDEX(TableWRTERank[FPS],MATCH(WRTEVORPCalc,TableWRTERank[RK],0)))/INDEX(TableWRTERank[FPS],MATCH(WRTEVORPCalc,TableWRTERank[RK],0)),"")</f>
        <v>-0.88282041623681451</v>
      </c>
      <c r="BC215" s="124" t="s">
        <v>10</v>
      </c>
      <c r="BD215" s="124">
        <v>14</v>
      </c>
      <c r="BE215" s="262">
        <f>RANK(TableWRTEMaster[[#This Row],[VORP]],TableWRTEMaster[VORP])+COUNTIF($BJ$2:BJ215,BJ215)-1</f>
        <v>69</v>
      </c>
      <c r="BF215" s="263" t="str">
        <f>IFERROR(INDEX(TableTEVORP[TIGHT END],MATCH(TableWRTEMaster[[#This Row],[RK]],TableTEVORP[RK],0)),"")</f>
        <v>Pat Freiermuth</v>
      </c>
      <c r="BG215" s="263" t="str">
        <f>_xlfn.CONCAT(TableWRTEMaster[[#This Row],[POS]],TableWRTEMaster[[#This Row],[RK]])</f>
        <v>TE14</v>
      </c>
      <c r="BH215" s="263">
        <f>IFERROR(INDEX(TableTEVORP[BYE],MATCH(TableWRTEMaster[[#This Row],[RK]],TableTEVORP[RK],0)),"")</f>
        <v>9</v>
      </c>
      <c r="BI215" s="264">
        <f>IFERROR(INDEX(TableTEVORP[FPS],MATCH(TableWRTEMaster[[#This Row],[RK]],TableTEVORP[RK],0)),"")</f>
        <v>95.849834967367968</v>
      </c>
      <c r="BJ215" s="254">
        <f>IFERROR(INDEX(TableTEVORP[VORP],MATCH(TableWRTEMaster[[#This Row],[RK]],TableTEVORP[RK],0)),"")</f>
        <v>-6.4445133311283806E-2</v>
      </c>
    </row>
    <row r="216" spans="15:62" x14ac:dyDescent="0.3">
      <c r="O216" s="246">
        <v>215</v>
      </c>
      <c r="P216" s="247" t="str">
        <f>IFERROR(INDEX(TableWRCalcPts[PLAYER],MATCH(TableWRVORP[[#This Row],[RK]],TableWRCalcPts[RK],0)),"")</f>
        <v/>
      </c>
      <c r="Q216" s="247" t="str">
        <f>IFERROR(INDEX(TableWRCalcPts[TM],MATCH(TableWRVORP[[#This Row],[RK]],TableWRCalcPts[RK],0)),"")</f>
        <v/>
      </c>
      <c r="R216" s="247" t="str">
        <f>IFERROR(INDEX(TableWRCalcPts[BYE],MATCH(TableWRVORP[[#This Row],[RK]],TableWRCalcPts[RK],0)),"")</f>
        <v/>
      </c>
      <c r="S216" s="248" t="str">
        <f>IFERROR(INDEX(TableWRCalcPts[Custom],MATCH(TableWRVORP[[#This Row],[RK]],TableWRCalcPts[RK],0)),"")</f>
        <v/>
      </c>
      <c r="T216" s="249" t="str">
        <f>IFERROR((TableWRVORP[[#This Row],[FPS]]-INDEX(TableWRVORP[FPS],MATCH(WRVORPCalc,TableWRVORP[RK],0)))/INDEX(TableWRVORP[FPS],MATCH(WRVORPCalc,TableWRVORP[RK],0)),"")</f>
        <v/>
      </c>
      <c r="AB216" s="246"/>
      <c r="AC216" s="250"/>
      <c r="AD216" s="250"/>
      <c r="AE216" s="250"/>
      <c r="AF216" s="250" t="s">
        <v>358</v>
      </c>
      <c r="AG216" s="250">
        <v>75</v>
      </c>
      <c r="AH216" s="251">
        <f>RANK(TableOverallMaster[[#This Row],[VORP]],TableOverallMaster[VORP])+COUNTIF($AM$2:AM216,AM216)-1</f>
        <v>189</v>
      </c>
      <c r="AI216" s="252" t="str">
        <f>IFERROR(INDEX(TableWRVORP[WIDE RECEIVER],MATCH(TableOverallMaster[[#This Row],[RK]],TableWRVORP[RK],0)),"")</f>
        <v>K.J. Osborn</v>
      </c>
      <c r="AJ216" s="252" t="str">
        <f t="shared" si="3"/>
        <v>WR75</v>
      </c>
      <c r="AK216" s="252">
        <f>IFERROR(INDEX(TableWRVORP[BYE],MATCH(TableOverallMaster[[#This Row],[RK]],TableWRVORP[RK],0)),"")</f>
        <v>7</v>
      </c>
      <c r="AL216" s="253">
        <f>IFERROR(INDEX(TableWRVORP[FPS],MATCH(TableOverallMaster[[#This Row],[RK]],TableWRVORP[RK],0)),"")</f>
        <v>80.302367519801066</v>
      </c>
      <c r="AM216" s="254">
        <f>IFERROR(INDEX(TableWRVORP[VORP],MATCH(TableOverallMaster[[#This Row],[RK]],TableWRVORP[RK],0)),"")</f>
        <v>-0.26309506639978802</v>
      </c>
      <c r="AN216" s="250"/>
      <c r="AO216" s="250">
        <v>215</v>
      </c>
      <c r="AP216" s="255" t="str">
        <f>IFERROR(INDEX(TableOverallMaster[OVERALL PLAYER],MATCH(TableOverallRank[[#This Row],[RK]],TableOverallMaster[OVR RK],0)),"")</f>
        <v>Zamir White</v>
      </c>
      <c r="AQ216" s="256" t="str">
        <f>IFERROR(INDEX(TableOverallMaster[POS RK],MATCH(TableOverallRank[[#This Row],[OVERALL PLAYER]],TableOverallMaster[OVERALL PLAYER],0)),"")</f>
        <v>RB65</v>
      </c>
      <c r="AR216" s="257">
        <f>IFERROR(INDEX(TableOverallMaster[BYE],MATCH(TableOverallRank[[#This Row],[OVERALL PLAYER]],TableOverallMaster[OVERALL PLAYER],0)),"")</f>
        <v>6</v>
      </c>
      <c r="AS216" s="258">
        <f>IFERROR(INDEX(TableOverallMaster[Custom],MATCH(TableOverallRank[[#This Row],[OVERALL PLAYER]],TableOverallMaster[OVERALL PLAYER],0)),"")</f>
        <v>55.035771034438397</v>
      </c>
      <c r="AT216" s="259">
        <f>IFERROR(INDEX(TableOverallMaster[VORP],MATCH(TableOverallRank[[#This Row],[OVERALL PLAYER]],TableOverallMaster[OVERALL PLAYER],0)),"")</f>
        <v>-0.45680791762780032</v>
      </c>
      <c r="AU216" s="250"/>
      <c r="AV216" s="246">
        <v>215</v>
      </c>
      <c r="AW216" s="260" t="str">
        <f>IFERROR(INDEX(TableWRTECalcPts[PLAYER],MATCH(TableWRTERank[[#This Row],[RK]],TableWRTECalcPts[RK],0)),"")</f>
        <v>Noah Gray</v>
      </c>
      <c r="AX216" s="260" t="str">
        <f>IFERROR(INDEX(TableWRTECalcPts[POS RK],MATCH(TableWRTERank[[#This Row],[WR and TE COMBINED]],TableWRTECalcPts[PLAYER],0)),"")</f>
        <v>TE64</v>
      </c>
      <c r="AY216" s="260">
        <f>IFERROR(INDEX(TableWRTECalcPts[BYE],MATCH(TableWRTERank[[#This Row],[RK]],TableWRTECalcPts[RK],0)),"")</f>
        <v>8</v>
      </c>
      <c r="AZ216" s="261">
        <f>IFERROR(INDEX(TableWRTECalcPts[Custom],MATCH(TableWRTERank[[#This Row],[RK]],TableWRTECalcPts[RK],0)),"")</f>
        <v>13.871069075680589</v>
      </c>
      <c r="BA216" s="249">
        <f>IFERROR((TableWRTERank[[#This Row],[FPS]]-INDEX(TableWRTERank[FPS],MATCH(WRTEVORPCalc,TableWRTERank[RK],0)))/INDEX(TableWRTERank[FPS],MATCH(WRTEVORPCalc,TableWRTERank[RK],0)),"")</f>
        <v>-0.88319115090345035</v>
      </c>
      <c r="BC216" s="124" t="s">
        <v>10</v>
      </c>
      <c r="BD216" s="124">
        <v>15</v>
      </c>
      <c r="BE216" s="262">
        <f>RANK(TableWRTEMaster[[#This Row],[VORP]],TableWRTEMaster[VORP])+COUNTIF($BJ$2:BJ216,BJ216)-1</f>
        <v>70</v>
      </c>
      <c r="BF216" s="263" t="str">
        <f>IFERROR(INDEX(TableTEVORP[TIGHT END],MATCH(TableWRTEMaster[[#This Row],[RK]],TableTEVORP[RK],0)),"")</f>
        <v>Hunter Henry</v>
      </c>
      <c r="BG216" s="263" t="str">
        <f>_xlfn.CONCAT(TableWRTEMaster[[#This Row],[POS]],TableWRTEMaster[[#This Row],[RK]])</f>
        <v>TE15</v>
      </c>
      <c r="BH216" s="263">
        <f>IFERROR(INDEX(TableTEVORP[BYE],MATCH(TableWRTEMaster[[#This Row],[RK]],TableTEVORP[RK],0)),"")</f>
        <v>10</v>
      </c>
      <c r="BI216" s="264">
        <f>IFERROR(INDEX(TableTEVORP[FPS],MATCH(TableWRTEMaster[[#This Row],[RK]],TableTEVORP[RK],0)),"")</f>
        <v>95.676800335250789</v>
      </c>
      <c r="BJ216" s="254">
        <f>IFERROR(INDEX(TableTEVORP[VORP],MATCH(TableWRTEMaster[[#This Row],[RK]],TableTEVORP[RK],0)),"")</f>
        <v>-6.613406049867053E-2</v>
      </c>
    </row>
    <row r="217" spans="15:62" x14ac:dyDescent="0.3">
      <c r="O217" s="246">
        <v>216</v>
      </c>
      <c r="P217" s="247" t="str">
        <f>IFERROR(INDEX(TableWRCalcPts[PLAYER],MATCH(TableWRVORP[[#This Row],[RK]],TableWRCalcPts[RK],0)),"")</f>
        <v/>
      </c>
      <c r="Q217" s="247" t="str">
        <f>IFERROR(INDEX(TableWRCalcPts[TM],MATCH(TableWRVORP[[#This Row],[RK]],TableWRCalcPts[RK],0)),"")</f>
        <v/>
      </c>
      <c r="R217" s="247" t="str">
        <f>IFERROR(INDEX(TableWRCalcPts[BYE],MATCH(TableWRVORP[[#This Row],[RK]],TableWRCalcPts[RK],0)),"")</f>
        <v/>
      </c>
      <c r="S217" s="248" t="str">
        <f>IFERROR(INDEX(TableWRCalcPts[Custom],MATCH(TableWRVORP[[#This Row],[RK]],TableWRCalcPts[RK],0)),"")</f>
        <v/>
      </c>
      <c r="T217" s="249" t="str">
        <f>IFERROR((TableWRVORP[[#This Row],[FPS]]-INDEX(TableWRVORP[FPS],MATCH(WRVORPCalc,TableWRVORP[RK],0)))/INDEX(TableWRVORP[FPS],MATCH(WRVORPCalc,TableWRVORP[RK],0)),"")</f>
        <v/>
      </c>
      <c r="AB217" s="246"/>
      <c r="AC217" s="250"/>
      <c r="AD217" s="250"/>
      <c r="AE217" s="250"/>
      <c r="AF217" s="250" t="s">
        <v>358</v>
      </c>
      <c r="AG217" s="250">
        <v>76</v>
      </c>
      <c r="AH217" s="251">
        <f>RANK(TableOverallMaster[[#This Row],[VORP]],TableOverallMaster[VORP])+COUNTIF($AM$2:AM217,AM217)-1</f>
        <v>192</v>
      </c>
      <c r="AI217" s="252" t="str">
        <f>IFERROR(INDEX(TableWRVORP[WIDE RECEIVER],MATCH(TableOverallMaster[[#This Row],[RK]],TableWRVORP[RK],0)),"")</f>
        <v>Jalen Tolbert</v>
      </c>
      <c r="AJ217" s="252" t="str">
        <f t="shared" si="3"/>
        <v>WR76</v>
      </c>
      <c r="AK217" s="252">
        <f>IFERROR(INDEX(TableWRVORP[BYE],MATCH(TableOverallMaster[[#This Row],[RK]],TableWRVORP[RK],0)),"")</f>
        <v>9</v>
      </c>
      <c r="AL217" s="253">
        <f>IFERROR(INDEX(TableWRVORP[FPS],MATCH(TableOverallMaster[[#This Row],[RK]],TableWRVORP[RK],0)),"")</f>
        <v>77.913830424519318</v>
      </c>
      <c r="AM217" s="254">
        <f>IFERROR(INDEX(TableWRVORP[VORP],MATCH(TableOverallMaster[[#This Row],[RK]],TableWRVORP[RK],0)),"")</f>
        <v>-0.28501378217322054</v>
      </c>
      <c r="AN217" s="250"/>
      <c r="AO217" s="250">
        <v>216</v>
      </c>
      <c r="AP217" s="255" t="str">
        <f>IFERROR(INDEX(TableOverallMaster[OVERALL PLAYER],MATCH(TableOverallRank[[#This Row],[RK]],TableOverallMaster[OVR RK],0)),"")</f>
        <v>David Bell</v>
      </c>
      <c r="AQ217" s="256" t="str">
        <f>IFERROR(INDEX(TableOverallMaster[POS RK],MATCH(TableOverallRank[[#This Row],[OVERALL PLAYER]],TableOverallMaster[OVERALL PLAYER],0)),"")</f>
        <v>WR90</v>
      </c>
      <c r="AR217" s="257">
        <f>IFERROR(INDEX(TableOverallMaster[BYE],MATCH(TableOverallRank[[#This Row],[OVERALL PLAYER]],TableOverallMaster[OVERALL PLAYER],0)),"")</f>
        <v>9</v>
      </c>
      <c r="AS217" s="258">
        <f>IFERROR(INDEX(TableOverallMaster[Custom],MATCH(TableOverallRank[[#This Row],[OVERALL PLAYER]],TableOverallMaster[OVERALL PLAYER],0)),"")</f>
        <v>57.726772683944851</v>
      </c>
      <c r="AT217" s="259">
        <f>IFERROR(INDEX(TableOverallMaster[VORP],MATCH(TableOverallRank[[#This Row],[OVERALL PLAYER]],TableOverallMaster[OVERALL PLAYER],0)),"")</f>
        <v>-0.47026289628226026</v>
      </c>
      <c r="AU217" s="250"/>
      <c r="AV217" s="246">
        <v>216</v>
      </c>
      <c r="AW217" s="260" t="str">
        <f>IFERROR(INDEX(TableWRTECalcPts[PLAYER],MATCH(TableWRTERank[[#This Row],[RK]],TableWRTECalcPts[RK],0)),"")</f>
        <v>Tre' McKitty</v>
      </c>
      <c r="AX217" s="260" t="str">
        <f>IFERROR(INDEX(TableWRTECalcPts[POS RK],MATCH(TableWRTERank[[#This Row],[WR and TE COMBINED]],TableWRTECalcPts[PLAYER],0)),"")</f>
        <v>TE65</v>
      </c>
      <c r="AY217" s="260">
        <f>IFERROR(INDEX(TableWRTECalcPts[BYE],MATCH(TableWRTERank[[#This Row],[RK]],TableWRTECalcPts[RK],0)),"")</f>
        <v>8</v>
      </c>
      <c r="AZ217" s="261">
        <f>IFERROR(INDEX(TableWRTECalcPts[Custom],MATCH(TableWRTERank[[#This Row],[RK]],TableWRTECalcPts[RK],0)),"")</f>
        <v>13.755391915959006</v>
      </c>
      <c r="BA217" s="249">
        <f>IFERROR((TableWRTERank[[#This Row],[FPS]]-INDEX(TableWRTERank[FPS],MATCH(WRTEVORPCalc,TableWRTERank[RK],0)))/INDEX(TableWRTERank[FPS],MATCH(WRTEVORPCalc,TableWRTERank[RK],0)),"")</f>
        <v>-0.88416527307241333</v>
      </c>
      <c r="BC217" s="124" t="s">
        <v>10</v>
      </c>
      <c r="BD217" s="124">
        <v>16</v>
      </c>
      <c r="BE217" s="262">
        <f>RANK(TableWRTEMaster[[#This Row],[VORP]],TableWRTEMaster[VORP])+COUNTIF($BJ$2:BJ217,BJ217)-1</f>
        <v>75</v>
      </c>
      <c r="BF217" s="263" t="str">
        <f>IFERROR(INDEX(TableTEVORP[TIGHT END],MATCH(TableWRTEMaster[[#This Row],[RK]],TableTEVORP[RK],0)),"")</f>
        <v>Cole Kmet</v>
      </c>
      <c r="BG217" s="263" t="str">
        <f>_xlfn.CONCAT(TableWRTEMaster[[#This Row],[POS]],TableWRTEMaster[[#This Row],[RK]])</f>
        <v>TE16</v>
      </c>
      <c r="BH217" s="263">
        <f>IFERROR(INDEX(TableTEVORP[BYE],MATCH(TableWRTEMaster[[#This Row],[RK]],TableTEVORP[RK],0)),"")</f>
        <v>14</v>
      </c>
      <c r="BI217" s="264">
        <f>IFERROR(INDEX(TableTEVORP[FPS],MATCH(TableWRTEMaster[[#This Row],[RK]],TableTEVORP[RK],0)),"")</f>
        <v>92.695204078308137</v>
      </c>
      <c r="BJ217" s="254">
        <f>IFERROR(INDEX(TableTEVORP[VORP],MATCH(TableWRTEMaster[[#This Row],[RK]],TableTEVORP[RK],0)),"")</f>
        <v>-9.5236321234259944E-2</v>
      </c>
    </row>
    <row r="218" spans="15:62" x14ac:dyDescent="0.3">
      <c r="O218" s="246">
        <v>217</v>
      </c>
      <c r="P218" s="247" t="str">
        <f>IFERROR(INDEX(TableWRCalcPts[PLAYER],MATCH(TableWRVORP[[#This Row],[RK]],TableWRCalcPts[RK],0)),"")</f>
        <v/>
      </c>
      <c r="Q218" s="247" t="str">
        <f>IFERROR(INDEX(TableWRCalcPts[TM],MATCH(TableWRVORP[[#This Row],[RK]],TableWRCalcPts[RK],0)),"")</f>
        <v/>
      </c>
      <c r="R218" s="247" t="str">
        <f>IFERROR(INDEX(TableWRCalcPts[BYE],MATCH(TableWRVORP[[#This Row],[RK]],TableWRCalcPts[RK],0)),"")</f>
        <v/>
      </c>
      <c r="S218" s="248" t="str">
        <f>IFERROR(INDEX(TableWRCalcPts[Custom],MATCH(TableWRVORP[[#This Row],[RK]],TableWRCalcPts[RK],0)),"")</f>
        <v/>
      </c>
      <c r="T218" s="249" t="str">
        <f>IFERROR((TableWRVORP[[#This Row],[FPS]]-INDEX(TableWRVORP[FPS],MATCH(WRVORPCalc,TableWRVORP[RK],0)))/INDEX(TableWRVORP[FPS],MATCH(WRVORPCalc,TableWRVORP[RK],0)),"")</f>
        <v/>
      </c>
      <c r="AB218" s="246"/>
      <c r="AC218" s="250"/>
      <c r="AD218" s="250"/>
      <c r="AE218" s="250"/>
      <c r="AF218" s="250" t="s">
        <v>358</v>
      </c>
      <c r="AG218" s="250">
        <v>77</v>
      </c>
      <c r="AH218" s="251">
        <f>RANK(TableOverallMaster[[#This Row],[VORP]],TableOverallMaster[VORP])+COUNTIF($AM$2:AM218,AM218)-1</f>
        <v>194</v>
      </c>
      <c r="AI218" s="252" t="str">
        <f>IFERROR(INDEX(TableWRVORP[WIDE RECEIVER],MATCH(TableOverallMaster[[#This Row],[RK]],TableWRVORP[RK],0)),"")</f>
        <v>DJ Chark</v>
      </c>
      <c r="AJ218" s="252" t="str">
        <f t="shared" si="3"/>
        <v>WR77</v>
      </c>
      <c r="AK218" s="252">
        <f>IFERROR(INDEX(TableWRVORP[BYE],MATCH(TableOverallMaster[[#This Row],[RK]],TableWRVORP[RK],0)),"")</f>
        <v>6</v>
      </c>
      <c r="AL218" s="253">
        <f>IFERROR(INDEX(TableWRVORP[FPS],MATCH(TableOverallMaster[[#This Row],[RK]],TableWRVORP[RK],0)),"")</f>
        <v>76.972782029526599</v>
      </c>
      <c r="AM218" s="254">
        <f>IFERROR(INDEX(TableWRVORP[VORP],MATCH(TableOverallMaster[[#This Row],[RK]],TableWRVORP[RK],0)),"")</f>
        <v>-0.2936494329820924</v>
      </c>
      <c r="AN218" s="250"/>
      <c r="AO218" s="250">
        <v>217</v>
      </c>
      <c r="AP218" s="255" t="str">
        <f>IFERROR(INDEX(TableOverallMaster[OVERALL PLAYER],MATCH(TableOverallRank[[#This Row],[RK]],TableOverallMaster[OVR RK],0)),"")</f>
        <v>Dan Arnold</v>
      </c>
      <c r="AQ218" s="256" t="str">
        <f>IFERROR(INDEX(TableOverallMaster[POS RK],MATCH(TableOverallRank[[#This Row],[OVERALL PLAYER]],TableOverallMaster[OVERALL PLAYER],0)),"")</f>
        <v>TE30</v>
      </c>
      <c r="AR218" s="257">
        <f>IFERROR(INDEX(TableOverallMaster[BYE],MATCH(TableOverallRank[[#This Row],[OVERALL PLAYER]],TableOverallMaster[OVERALL PLAYER],0)),"")</f>
        <v>11</v>
      </c>
      <c r="AS218" s="258">
        <f>IFERROR(INDEX(TableOverallMaster[Custom],MATCH(TableOverallRank[[#This Row],[OVERALL PLAYER]],TableOverallMaster[OVERALL PLAYER],0)),"")</f>
        <v>54.026711510678737</v>
      </c>
      <c r="AT218" s="259">
        <f>IFERROR(INDEX(TableOverallMaster[VORP],MATCH(TableOverallRank[[#This Row],[OVERALL PLAYER]],TableOverallMaster[OVERALL PLAYER],0)),"")</f>
        <v>-0.47266520696451086</v>
      </c>
      <c r="AU218" s="250"/>
      <c r="AV218" s="246">
        <v>217</v>
      </c>
      <c r="AW218" s="260" t="str">
        <f>IFERROR(INDEX(TableWRTECalcPts[PLAYER],MATCH(TableWRTERank[[#This Row],[RK]],TableWRTECalcPts[RK],0)),"")</f>
        <v>Dante Pettis</v>
      </c>
      <c r="AX218" s="260" t="str">
        <f>IFERROR(INDEX(TableWRTECalcPts[POS RK],MATCH(TableWRTERank[[#This Row],[WR and TE COMBINED]],TableWRTECalcPts[PLAYER],0)),"")</f>
        <v>WR152</v>
      </c>
      <c r="AY218" s="260">
        <f>IFERROR(INDEX(TableWRTECalcPts[BYE],MATCH(TableWRTERank[[#This Row],[RK]],TableWRTECalcPts[RK],0)),"")</f>
        <v>14</v>
      </c>
      <c r="AZ218" s="261">
        <f>IFERROR(INDEX(TableWRTECalcPts[Custom],MATCH(TableWRTERank[[#This Row],[RK]],TableWRTECalcPts[RK],0)),"")</f>
        <v>13.749726037576302</v>
      </c>
      <c r="BA218" s="249">
        <f>IFERROR((TableWRTERank[[#This Row],[FPS]]-INDEX(TableWRTERank[FPS],MATCH(WRTEVORPCalc,TableWRTERank[RK],0)))/INDEX(TableWRTERank[FPS],MATCH(WRTEVORPCalc,TableWRTERank[RK],0)),"")</f>
        <v>-0.88421298566971884</v>
      </c>
      <c r="BC218" s="124" t="s">
        <v>10</v>
      </c>
      <c r="BD218" s="124">
        <v>17</v>
      </c>
      <c r="BE218" s="262">
        <f>RANK(TableWRTEMaster[[#This Row],[VORP]],TableWRTEMaster[VORP])+COUNTIF($BJ$2:BJ218,BJ218)-1</f>
        <v>81</v>
      </c>
      <c r="BF218" s="263" t="str">
        <f>IFERROR(INDEX(TableTEVORP[TIGHT END],MATCH(TableWRTEMaster[[#This Row],[RK]],TableTEVORP[RK],0)),"")</f>
        <v>Brevin Jordan</v>
      </c>
      <c r="BG218" s="263" t="str">
        <f>_xlfn.CONCAT(TableWRTEMaster[[#This Row],[POS]],TableWRTEMaster[[#This Row],[RK]])</f>
        <v>TE17</v>
      </c>
      <c r="BH218" s="263">
        <f>IFERROR(INDEX(TableTEVORP[BYE],MATCH(TableWRTEMaster[[#This Row],[RK]],TableTEVORP[RK],0)),"")</f>
        <v>6</v>
      </c>
      <c r="BI218" s="264">
        <f>IFERROR(INDEX(TableTEVORP[FPS],MATCH(TableWRTEMaster[[#This Row],[RK]],TableTEVORP[RK],0)),"")</f>
        <v>87.480985240276397</v>
      </c>
      <c r="BJ218" s="254">
        <f>IFERROR(INDEX(TableTEVORP[VORP],MATCH(TableWRTEMaster[[#This Row],[RK]],TableTEVORP[RK],0)),"")</f>
        <v>-0.14613038705671394</v>
      </c>
    </row>
    <row r="219" spans="15:62" x14ac:dyDescent="0.3">
      <c r="O219" s="246">
        <v>218</v>
      </c>
      <c r="P219" s="247" t="str">
        <f>IFERROR(INDEX(TableWRCalcPts[PLAYER],MATCH(TableWRVORP[[#This Row],[RK]],TableWRCalcPts[RK],0)),"")</f>
        <v/>
      </c>
      <c r="Q219" s="247" t="str">
        <f>IFERROR(INDEX(TableWRCalcPts[TM],MATCH(TableWRVORP[[#This Row],[RK]],TableWRCalcPts[RK],0)),"")</f>
        <v/>
      </c>
      <c r="R219" s="247" t="str">
        <f>IFERROR(INDEX(TableWRCalcPts[BYE],MATCH(TableWRVORP[[#This Row],[RK]],TableWRCalcPts[RK],0)),"")</f>
        <v/>
      </c>
      <c r="S219" s="248" t="str">
        <f>IFERROR(INDEX(TableWRCalcPts[Custom],MATCH(TableWRVORP[[#This Row],[RK]],TableWRCalcPts[RK],0)),"")</f>
        <v/>
      </c>
      <c r="T219" s="249" t="str">
        <f>IFERROR((TableWRVORP[[#This Row],[FPS]]-INDEX(TableWRVORP[FPS],MATCH(WRVORPCalc,TableWRVORP[RK],0)))/INDEX(TableWRVORP[FPS],MATCH(WRVORPCalc,TableWRVORP[RK],0)),"")</f>
        <v/>
      </c>
      <c r="AB219" s="246"/>
      <c r="AC219" s="250"/>
      <c r="AD219" s="250"/>
      <c r="AE219" s="250"/>
      <c r="AF219" s="250" t="s">
        <v>358</v>
      </c>
      <c r="AG219" s="250">
        <v>78</v>
      </c>
      <c r="AH219" s="251">
        <f>RANK(TableOverallMaster[[#This Row],[VORP]],TableOverallMaster[VORP])+COUNTIF($AM$2:AM219,AM219)-1</f>
        <v>196</v>
      </c>
      <c r="AI219" s="252" t="str">
        <f>IFERROR(INDEX(TableWRVORP[WIDE RECEIVER],MATCH(TableOverallMaster[[#This Row],[RK]],TableWRVORP[RK],0)),"")</f>
        <v>Nick Westbrook-Ikhine</v>
      </c>
      <c r="AJ219" s="252" t="str">
        <f t="shared" si="3"/>
        <v>WR78</v>
      </c>
      <c r="AK219" s="252">
        <f>IFERROR(INDEX(TableWRVORP[BYE],MATCH(TableOverallMaster[[#This Row],[RK]],TableWRVORP[RK],0)),"")</f>
        <v>6</v>
      </c>
      <c r="AL219" s="253">
        <f>IFERROR(INDEX(TableWRVORP[FPS],MATCH(TableOverallMaster[[#This Row],[RK]],TableWRVORP[RK],0)),"")</f>
        <v>75.820601020051214</v>
      </c>
      <c r="AM219" s="254">
        <f>IFERROR(INDEX(TableWRVORP[VORP],MATCH(TableOverallMaster[[#This Row],[RK]],TableWRVORP[RK],0)),"")</f>
        <v>-0.30422256919845025</v>
      </c>
      <c r="AN219" s="250"/>
      <c r="AO219" s="250">
        <v>218</v>
      </c>
      <c r="AP219" s="255" t="str">
        <f>IFERROR(INDEX(TableOverallMaster[OVERALL PLAYER],MATCH(TableOverallRank[[#This Row],[RK]],TableOverallMaster[OVR RK],0)),"")</f>
        <v>Brian Robinson</v>
      </c>
      <c r="AQ219" s="256" t="str">
        <f>IFERROR(INDEX(TableOverallMaster[POS RK],MATCH(TableOverallRank[[#This Row],[OVERALL PLAYER]],TableOverallMaster[OVERALL PLAYER],0)),"")</f>
        <v>RB66</v>
      </c>
      <c r="AR219" s="257">
        <f>IFERROR(INDEX(TableOverallMaster[BYE],MATCH(TableOverallRank[[#This Row],[OVERALL PLAYER]],TableOverallMaster[OVERALL PLAYER],0)),"")</f>
        <v>14</v>
      </c>
      <c r="AS219" s="258">
        <f>IFERROR(INDEX(TableOverallMaster[Custom],MATCH(TableOverallRank[[#This Row],[OVERALL PLAYER]],TableOverallMaster[OVERALL PLAYER],0)),"")</f>
        <v>52.436730302224909</v>
      </c>
      <c r="AT219" s="259">
        <f>IFERROR(INDEX(TableOverallMaster[VORP],MATCH(TableOverallRank[[#This Row],[OVERALL PLAYER]],TableOverallMaster[OVERALL PLAYER],0)),"")</f>
        <v>-0.48245993123578262</v>
      </c>
      <c r="AU219" s="250"/>
      <c r="AV219" s="246">
        <v>218</v>
      </c>
      <c r="AW219" s="260" t="str">
        <f>IFERROR(INDEX(TableWRTECalcPts[PLAYER],MATCH(TableWRTERank[[#This Row],[RK]],TableWRTECalcPts[RK],0)),"")</f>
        <v>Brandon Zylstra</v>
      </c>
      <c r="AX219" s="260" t="str">
        <f>IFERROR(INDEX(TableWRTECalcPts[POS RK],MATCH(TableWRTERank[[#This Row],[WR and TE COMBINED]],TableWRTECalcPts[PLAYER],0)),"")</f>
        <v>WR153</v>
      </c>
      <c r="AY219" s="260">
        <f>IFERROR(INDEX(TableWRTECalcPts[BYE],MATCH(TableWRTERank[[#This Row],[RK]],TableWRTECalcPts[RK],0)),"")</f>
        <v>13</v>
      </c>
      <c r="AZ219" s="261">
        <f>IFERROR(INDEX(TableWRTECalcPts[Custom],MATCH(TableWRTERank[[#This Row],[RK]],TableWRTECalcPts[RK],0)),"")</f>
        <v>13.741457224291679</v>
      </c>
      <c r="BA219" s="249">
        <f>IFERROR((TableWRTERank[[#This Row],[FPS]]-INDEX(TableWRTERank[FPS],MATCH(WRTEVORPCalc,TableWRTERank[RK],0)))/INDEX(TableWRTERank[FPS],MATCH(WRTEVORPCalc,TableWRTERank[RK],0)),"")</f>
        <v>-0.88428261768999794</v>
      </c>
      <c r="BC219" s="124" t="s">
        <v>10</v>
      </c>
      <c r="BD219" s="124">
        <v>18</v>
      </c>
      <c r="BE219" s="262">
        <f>RANK(TableWRTEMaster[[#This Row],[VORP]],TableWRTEMaster[VORP])+COUNTIF($BJ$2:BJ219,BJ219)-1</f>
        <v>83</v>
      </c>
      <c r="BF219" s="263" t="str">
        <f>IFERROR(INDEX(TableTEVORP[TIGHT END],MATCH(TableWRTEMaster[[#This Row],[RK]],TableTEVORP[RK],0)),"")</f>
        <v>Gerald Everett</v>
      </c>
      <c r="BG219" s="263" t="str">
        <f>_xlfn.CONCAT(TableWRTEMaster[[#This Row],[POS]],TableWRTEMaster[[#This Row],[RK]])</f>
        <v>TE18</v>
      </c>
      <c r="BH219" s="263">
        <f>IFERROR(INDEX(TableTEVORP[BYE],MATCH(TableWRTEMaster[[#This Row],[RK]],TableTEVORP[RK],0)),"")</f>
        <v>8</v>
      </c>
      <c r="BI219" s="264">
        <f>IFERROR(INDEX(TableTEVORP[FPS],MATCH(TableWRTEMaster[[#This Row],[RK]],TableTEVORP[RK],0)),"")</f>
        <v>86.501515712526853</v>
      </c>
      <c r="BJ219" s="254">
        <f>IFERROR(INDEX(TableTEVORP[VORP],MATCH(TableWRTEMaster[[#This Row],[RK]],TableTEVORP[RK],0)),"")</f>
        <v>-0.15569062765359504</v>
      </c>
    </row>
    <row r="220" spans="15:62" x14ac:dyDescent="0.3">
      <c r="O220" s="246">
        <v>219</v>
      </c>
      <c r="P220" s="247" t="str">
        <f>IFERROR(INDEX(TableWRCalcPts[PLAYER],MATCH(TableWRVORP[[#This Row],[RK]],TableWRCalcPts[RK],0)),"")</f>
        <v/>
      </c>
      <c r="Q220" s="247" t="str">
        <f>IFERROR(INDEX(TableWRCalcPts[TM],MATCH(TableWRVORP[[#This Row],[RK]],TableWRCalcPts[RK],0)),"")</f>
        <v/>
      </c>
      <c r="R220" s="247" t="str">
        <f>IFERROR(INDEX(TableWRCalcPts[BYE],MATCH(TableWRVORP[[#This Row],[RK]],TableWRCalcPts[RK],0)),"")</f>
        <v/>
      </c>
      <c r="S220" s="248" t="str">
        <f>IFERROR(INDEX(TableWRCalcPts[Custom],MATCH(TableWRVORP[[#This Row],[RK]],TableWRCalcPts[RK],0)),"")</f>
        <v/>
      </c>
      <c r="T220" s="249" t="str">
        <f>IFERROR((TableWRVORP[[#This Row],[FPS]]-INDEX(TableWRVORP[FPS],MATCH(WRVORPCalc,TableWRVORP[RK],0)))/INDEX(TableWRVORP[FPS],MATCH(WRVORPCalc,TableWRVORP[RK],0)),"")</f>
        <v/>
      </c>
      <c r="AB220" s="246"/>
      <c r="AC220" s="250"/>
      <c r="AD220" s="250"/>
      <c r="AE220" s="250"/>
      <c r="AF220" s="250" t="s">
        <v>358</v>
      </c>
      <c r="AG220" s="250">
        <v>79</v>
      </c>
      <c r="AH220" s="251">
        <f>RANK(TableOverallMaster[[#This Row],[VORP]],TableOverallMaster[VORP])+COUNTIF($AM$2:AM220,AM220)-1</f>
        <v>197</v>
      </c>
      <c r="AI220" s="252" t="str">
        <f>IFERROR(INDEX(TableWRVORP[WIDE RECEIVER],MATCH(TableOverallMaster[[#This Row],[RK]],TableWRVORP[RK],0)),"")</f>
        <v>Devin Duvernay</v>
      </c>
      <c r="AJ220" s="252" t="str">
        <f t="shared" si="3"/>
        <v>WR79</v>
      </c>
      <c r="AK220" s="252">
        <f>IFERROR(INDEX(TableWRVORP[BYE],MATCH(TableOverallMaster[[#This Row],[RK]],TableWRVORP[RK],0)),"")</f>
        <v>10</v>
      </c>
      <c r="AL220" s="253">
        <f>IFERROR(INDEX(TableWRVORP[FPS],MATCH(TableOverallMaster[[#This Row],[RK]],TableWRVORP[RK],0)),"")</f>
        <v>74.782966884277229</v>
      </c>
      <c r="AM220" s="254">
        <f>IFERROR(INDEX(TableWRVORP[VORP],MATCH(TableOverallMaster[[#This Row],[RK]],TableWRVORP[RK],0)),"")</f>
        <v>-0.31374455139574092</v>
      </c>
      <c r="AN220" s="250"/>
      <c r="AO220" s="250">
        <v>219</v>
      </c>
      <c r="AP220" s="255" t="str">
        <f>IFERROR(INDEX(TableOverallMaster[OVERALL PLAYER],MATCH(TableOverallRank[[#This Row],[RK]],TableOverallMaster[OVR RK],0)),"")</f>
        <v>Wan'Dale Robinson</v>
      </c>
      <c r="AQ220" s="256" t="str">
        <f>IFERROR(INDEX(TableOverallMaster[POS RK],MATCH(TableOverallRank[[#This Row],[OVERALL PLAYER]],TableOverallMaster[OVERALL PLAYER],0)),"")</f>
        <v>WR91</v>
      </c>
      <c r="AR220" s="257">
        <f>IFERROR(INDEX(TableOverallMaster[BYE],MATCH(TableOverallRank[[#This Row],[OVERALL PLAYER]],TableOverallMaster[OVERALL PLAYER],0)),"")</f>
        <v>9</v>
      </c>
      <c r="AS220" s="258">
        <f>IFERROR(INDEX(TableOverallMaster[Custom],MATCH(TableOverallRank[[#This Row],[OVERALL PLAYER]],TableOverallMaster[OVERALL PLAYER],0)),"")</f>
        <v>56.120534643103298</v>
      </c>
      <c r="AT220" s="259">
        <f>IFERROR(INDEX(TableOverallMaster[VORP],MATCH(TableOverallRank[[#This Row],[OVERALL PLAYER]],TableOverallMaster[OVERALL PLAYER],0)),"")</f>
        <v>-0.48500274484949729</v>
      </c>
      <c r="AU220" s="250"/>
      <c r="AV220" s="246">
        <v>219</v>
      </c>
      <c r="AW220" s="260" t="str">
        <f>IFERROR(INDEX(TableWRTECalcPts[PLAYER],MATCH(TableWRTERank[[#This Row],[RK]],TableWRTECalcPts[RK],0)),"")</f>
        <v>Jacob Harris</v>
      </c>
      <c r="AX220" s="260" t="str">
        <f>IFERROR(INDEX(TableWRTECalcPts[POS RK],MATCH(TableWRTERank[[#This Row],[WR and TE COMBINED]],TableWRTECalcPts[PLAYER],0)),"")</f>
        <v>TE66</v>
      </c>
      <c r="AY220" s="260">
        <f>IFERROR(INDEX(TableWRTECalcPts[BYE],MATCH(TableWRTERank[[#This Row],[RK]],TableWRTECalcPts[RK],0)),"")</f>
        <v>7</v>
      </c>
      <c r="AZ220" s="261">
        <f>IFERROR(INDEX(TableWRTECalcPts[Custom],MATCH(TableWRTERank[[#This Row],[RK]],TableWRTECalcPts[RK],0)),"")</f>
        <v>13.679370776556084</v>
      </c>
      <c r="BA220" s="249">
        <f>IFERROR((TableWRTERank[[#This Row],[FPS]]-INDEX(TableWRTERank[FPS],MATCH(WRTEVORPCalc,TableWRTERank[RK],0)))/INDEX(TableWRTERank[FPS],MATCH(WRTEVORPCalc,TableWRTERank[RK],0)),"")</f>
        <v>-0.88480545024637258</v>
      </c>
      <c r="BC220" s="124" t="s">
        <v>10</v>
      </c>
      <c r="BD220" s="124">
        <v>19</v>
      </c>
      <c r="BE220" s="262">
        <f>RANK(TableWRTEMaster[[#This Row],[VORP]],TableWRTEMaster[VORP])+COUNTIF($BJ$2:BJ220,BJ220)-1</f>
        <v>84</v>
      </c>
      <c r="BF220" s="263" t="str">
        <f>IFERROR(INDEX(TableTEVORP[TIGHT END],MATCH(TableWRTEMaster[[#This Row],[RK]],TableTEVORP[RK],0)),"")</f>
        <v>Mike Gesicki</v>
      </c>
      <c r="BG220" s="263" t="str">
        <f>_xlfn.CONCAT(TableWRTEMaster[[#This Row],[POS]],TableWRTEMaster[[#This Row],[RK]])</f>
        <v>TE19</v>
      </c>
      <c r="BH220" s="263">
        <f>IFERROR(INDEX(TableTEVORP[BYE],MATCH(TableWRTEMaster[[#This Row],[RK]],TableTEVORP[RK],0)),"")</f>
        <v>11</v>
      </c>
      <c r="BI220" s="264">
        <f>IFERROR(INDEX(TableTEVORP[FPS],MATCH(TableWRTEMaster[[#This Row],[RK]],TableTEVORP[RK],0)),"")</f>
        <v>85.63439943178301</v>
      </c>
      <c r="BJ220" s="254">
        <f>IFERROR(INDEX(TableTEVORP[VORP],MATCH(TableWRTEMaster[[#This Row],[RK]],TableTEVORP[RK],0)),"")</f>
        <v>-0.16415422966930121</v>
      </c>
    </row>
    <row r="221" spans="15:62" x14ac:dyDescent="0.3">
      <c r="O221" s="246">
        <v>220</v>
      </c>
      <c r="P221" s="247" t="str">
        <f>IFERROR(INDEX(TableWRCalcPts[PLAYER],MATCH(TableWRVORP[[#This Row],[RK]],TableWRCalcPts[RK],0)),"")</f>
        <v/>
      </c>
      <c r="Q221" s="247" t="str">
        <f>IFERROR(INDEX(TableWRCalcPts[TM],MATCH(TableWRVORP[[#This Row],[RK]],TableWRCalcPts[RK],0)),"")</f>
        <v/>
      </c>
      <c r="R221" s="247" t="str">
        <f>IFERROR(INDEX(TableWRCalcPts[BYE],MATCH(TableWRVORP[[#This Row],[RK]],TableWRCalcPts[RK],0)),"")</f>
        <v/>
      </c>
      <c r="S221" s="248" t="str">
        <f>IFERROR(INDEX(TableWRCalcPts[Custom],MATCH(TableWRVORP[[#This Row],[RK]],TableWRCalcPts[RK],0)),"")</f>
        <v/>
      </c>
      <c r="T221" s="249" t="str">
        <f>IFERROR((TableWRVORP[[#This Row],[FPS]]-INDEX(TableWRVORP[FPS],MATCH(WRVORPCalc,TableWRVORP[RK],0)))/INDEX(TableWRVORP[FPS],MATCH(WRVORPCalc,TableWRVORP[RK],0)),"")</f>
        <v/>
      </c>
      <c r="AB221" s="246"/>
      <c r="AC221" s="250"/>
      <c r="AD221" s="250"/>
      <c r="AE221" s="250"/>
      <c r="AF221" s="250" t="s">
        <v>358</v>
      </c>
      <c r="AG221" s="250">
        <v>80</v>
      </c>
      <c r="AH221" s="251">
        <f>RANK(TableOverallMaster[[#This Row],[VORP]],TableOverallMaster[VORP])+COUNTIF($AM$2:AM221,AM221)-1</f>
        <v>198</v>
      </c>
      <c r="AI221" s="252" t="str">
        <f>IFERROR(INDEX(TableWRVORP[WIDE RECEIVER],MATCH(TableOverallMaster[[#This Row],[RK]],TableWRVORP[RK],0)),"")</f>
        <v>Randall Cobb</v>
      </c>
      <c r="AJ221" s="252" t="str">
        <f t="shared" si="3"/>
        <v>WR80</v>
      </c>
      <c r="AK221" s="252">
        <f>IFERROR(INDEX(TableWRVORP[BYE],MATCH(TableOverallMaster[[#This Row],[RK]],TableWRVORP[RK],0)),"")</f>
        <v>14</v>
      </c>
      <c r="AL221" s="253">
        <f>IFERROR(INDEX(TableWRVORP[FPS],MATCH(TableOverallMaster[[#This Row],[RK]],TableWRVORP[RK],0)),"")</f>
        <v>74.517476593494493</v>
      </c>
      <c r="AM221" s="254">
        <f>IFERROR(INDEX(TableWRVORP[VORP],MATCH(TableOverallMaster[[#This Row],[RK]],TableWRVORP[RK],0)),"")</f>
        <v>-0.31618085696359999</v>
      </c>
      <c r="AN221" s="250"/>
      <c r="AO221" s="250">
        <v>220</v>
      </c>
      <c r="AP221" s="255" t="str">
        <f>IFERROR(INDEX(TableOverallMaster[OVERALL PLAYER],MATCH(TableOverallRank[[#This Row],[RK]],TableOverallMaster[OVR RK],0)),"")</f>
        <v>Velus Jones</v>
      </c>
      <c r="AQ221" s="256" t="str">
        <f>IFERROR(INDEX(TableOverallMaster[POS RK],MATCH(TableOverallRank[[#This Row],[OVERALL PLAYER]],TableOverallMaster[OVERALL PLAYER],0)),"")</f>
        <v>WR92</v>
      </c>
      <c r="AR221" s="257">
        <f>IFERROR(INDEX(TableOverallMaster[BYE],MATCH(TableOverallRank[[#This Row],[OVERALL PLAYER]],TableOverallMaster[OVERALL PLAYER],0)),"")</f>
        <v>14</v>
      </c>
      <c r="AS221" s="258">
        <f>IFERROR(INDEX(TableOverallMaster[Custom],MATCH(TableOverallRank[[#This Row],[OVERALL PLAYER]],TableOverallMaster[OVERALL PLAYER],0)),"")</f>
        <v>56.106932884563086</v>
      </c>
      <c r="AT221" s="259">
        <f>IFERROR(INDEX(TableOverallMaster[VORP],MATCH(TableOverallRank[[#This Row],[OVERALL PLAYER]],TableOverallMaster[OVERALL PLAYER],0)),"")</f>
        <v>-0.48512756312426919</v>
      </c>
      <c r="AU221" s="250"/>
      <c r="AV221" s="246">
        <v>220</v>
      </c>
      <c r="AW221" s="260" t="str">
        <f>IFERROR(INDEX(TableWRTECalcPts[PLAYER],MATCH(TableWRTERank[[#This Row],[RK]],TableWRTECalcPts[RK],0)),"")</f>
        <v>DeAndre Carter</v>
      </c>
      <c r="AX221" s="260" t="str">
        <f>IFERROR(INDEX(TableWRTECalcPts[POS RK],MATCH(TableWRTERank[[#This Row],[WR and TE COMBINED]],TableWRTECalcPts[PLAYER],0)),"")</f>
        <v>WR154</v>
      </c>
      <c r="AY221" s="260">
        <f>IFERROR(INDEX(TableWRTECalcPts[BYE],MATCH(TableWRTERank[[#This Row],[RK]],TableWRTECalcPts[RK],0)),"")</f>
        <v>8</v>
      </c>
      <c r="AZ221" s="261">
        <f>IFERROR(INDEX(TableWRTECalcPts[Custom],MATCH(TableWRTERank[[#This Row],[RK]],TableWRTECalcPts[RK],0)),"")</f>
        <v>13.327148477988143</v>
      </c>
      <c r="BA221" s="249">
        <f>IFERROR((TableWRTERank[[#This Row],[FPS]]-INDEX(TableWRTERank[FPS],MATCH(WRTEVORPCalc,TableWRTERank[RK],0)))/INDEX(TableWRTERank[FPS],MATCH(WRTEVORPCalc,TableWRTERank[RK],0)),"")</f>
        <v>-0.88777152885915922</v>
      </c>
      <c r="BC221" s="124" t="s">
        <v>10</v>
      </c>
      <c r="BD221" s="124">
        <v>20</v>
      </c>
      <c r="BE221" s="262">
        <f>RANK(TableWRTEMaster[[#This Row],[VORP]],TableWRTEMaster[VORP])+COUNTIF($BJ$2:BJ221,BJ221)-1</f>
        <v>86</v>
      </c>
      <c r="BF221" s="263" t="str">
        <f>IFERROR(INDEX(TableTEVORP[TIGHT END],MATCH(TableWRTEMaster[[#This Row],[RK]],TableTEVORP[RK],0)),"")</f>
        <v>Albert Okwuegbunam</v>
      </c>
      <c r="BG221" s="263" t="str">
        <f>_xlfn.CONCAT(TableWRTEMaster[[#This Row],[POS]],TableWRTEMaster[[#This Row],[RK]])</f>
        <v>TE20</v>
      </c>
      <c r="BH221" s="263">
        <f>IFERROR(INDEX(TableTEVORP[BYE],MATCH(TableWRTEMaster[[#This Row],[RK]],TableTEVORP[RK],0)),"")</f>
        <v>9</v>
      </c>
      <c r="BI221" s="264">
        <f>IFERROR(INDEX(TableTEVORP[FPS],MATCH(TableWRTEMaster[[#This Row],[RK]],TableTEVORP[RK],0)),"")</f>
        <v>85.353394830706264</v>
      </c>
      <c r="BJ221" s="254">
        <f>IFERROR(INDEX(TableTEVORP[VORP],MATCH(TableWRTEMaster[[#This Row],[RK]],TableTEVORP[RK],0)),"")</f>
        <v>-0.16689701187845968</v>
      </c>
    </row>
    <row r="222" spans="15:62" x14ac:dyDescent="0.3">
      <c r="O222" s="246">
        <v>221</v>
      </c>
      <c r="P222" s="247" t="str">
        <f>IFERROR(INDEX(TableWRCalcPts[PLAYER],MATCH(TableWRVORP[[#This Row],[RK]],TableWRCalcPts[RK],0)),"")</f>
        <v/>
      </c>
      <c r="Q222" s="247" t="str">
        <f>IFERROR(INDEX(TableWRCalcPts[TM],MATCH(TableWRVORP[[#This Row],[RK]],TableWRCalcPts[RK],0)),"")</f>
        <v/>
      </c>
      <c r="R222" s="247" t="str">
        <f>IFERROR(INDEX(TableWRCalcPts[BYE],MATCH(TableWRVORP[[#This Row],[RK]],TableWRCalcPts[RK],0)),"")</f>
        <v/>
      </c>
      <c r="S222" s="248" t="str">
        <f>IFERROR(INDEX(TableWRCalcPts[Custom],MATCH(TableWRVORP[[#This Row],[RK]],TableWRCalcPts[RK],0)),"")</f>
        <v/>
      </c>
      <c r="T222" s="249" t="str">
        <f>IFERROR((TableWRVORP[[#This Row],[FPS]]-INDEX(TableWRVORP[FPS],MATCH(WRVORPCalc,TableWRVORP[RK],0)))/INDEX(TableWRVORP[FPS],MATCH(WRVORPCalc,TableWRVORP[RK],0)),"")</f>
        <v/>
      </c>
      <c r="AB222" s="246"/>
      <c r="AC222" s="250"/>
      <c r="AD222" s="250"/>
      <c r="AE222" s="250"/>
      <c r="AF222" s="250" t="s">
        <v>358</v>
      </c>
      <c r="AG222" s="250">
        <v>81</v>
      </c>
      <c r="AH222" s="251">
        <f>RANK(TableOverallMaster[[#This Row],[VORP]],TableOverallMaster[VORP])+COUNTIF($AM$2:AM222,AM222)-1</f>
        <v>199</v>
      </c>
      <c r="AI222" s="252" t="str">
        <f>IFERROR(INDEX(TableWRVORP[WIDE RECEIVER],MATCH(TableOverallMaster[[#This Row],[RK]],TableWRVORP[RK],0)),"")</f>
        <v>Jamison Crowder</v>
      </c>
      <c r="AJ222" s="252" t="str">
        <f t="shared" si="3"/>
        <v>WR81</v>
      </c>
      <c r="AK222" s="252">
        <f>IFERROR(INDEX(TableWRVORP[BYE],MATCH(TableOverallMaster[[#This Row],[RK]],TableWRVORP[RK],0)),"")</f>
        <v>7</v>
      </c>
      <c r="AL222" s="253">
        <f>IFERROR(INDEX(TableWRVORP[FPS],MATCH(TableOverallMaster[[#This Row],[RK]],TableWRVORP[RK],0)),"")</f>
        <v>74.485484004772331</v>
      </c>
      <c r="AM222" s="254">
        <f>IFERROR(INDEX(TableWRVORP[VORP],MATCH(TableOverallMaster[[#This Row],[RK]],TableWRVORP[RK],0)),"")</f>
        <v>-0.31647444104083394</v>
      </c>
      <c r="AN222" s="250"/>
      <c r="AO222" s="250">
        <v>221</v>
      </c>
      <c r="AP222" s="255" t="str">
        <f>IFERROR(INDEX(TableOverallMaster[OVERALL PLAYER],MATCH(TableOverallRank[[#This Row],[RK]],TableOverallMaster[OVR RK],0)),"")</f>
        <v>A.J. Green</v>
      </c>
      <c r="AQ222" s="256" t="str">
        <f>IFERROR(INDEX(TableOverallMaster[POS RK],MATCH(TableOverallRank[[#This Row],[OVERALL PLAYER]],TableOverallMaster[OVERALL PLAYER],0)),"")</f>
        <v>WR93</v>
      </c>
      <c r="AR222" s="257">
        <f>IFERROR(INDEX(TableOverallMaster[BYE],MATCH(TableOverallRank[[#This Row],[OVERALL PLAYER]],TableOverallMaster[OVERALL PLAYER],0)),"")</f>
        <v>13</v>
      </c>
      <c r="AS222" s="258">
        <f>IFERROR(INDEX(TableOverallMaster[Custom],MATCH(TableOverallRank[[#This Row],[OVERALL PLAYER]],TableOverallMaster[OVERALL PLAYER],0)),"")</f>
        <v>54.6611752499904</v>
      </c>
      <c r="AT222" s="259">
        <f>IFERROR(INDEX(TableOverallMaster[VORP],MATCH(TableOverallRank[[#This Row],[OVERALL PLAYER]],TableOverallMaster[OVERALL PLAYER],0)),"")</f>
        <v>-0.49839474274315254</v>
      </c>
      <c r="AU222" s="250"/>
      <c r="AV222" s="246">
        <v>221</v>
      </c>
      <c r="AW222" s="260" t="str">
        <f>IFERROR(INDEX(TableWRTECalcPts[PLAYER],MATCH(TableWRTERank[[#This Row],[RK]],TableWRTECalcPts[RK],0)),"")</f>
        <v>Ihmir Smith-Marsette</v>
      </c>
      <c r="AX222" s="260" t="str">
        <f>IFERROR(INDEX(TableWRTECalcPts[POS RK],MATCH(TableWRTERank[[#This Row],[WR and TE COMBINED]],TableWRTECalcPts[PLAYER],0)),"")</f>
        <v>WR155</v>
      </c>
      <c r="AY222" s="260">
        <f>IFERROR(INDEX(TableWRTECalcPts[BYE],MATCH(TableWRTERank[[#This Row],[RK]],TableWRTECalcPts[RK],0)),"")</f>
        <v>7</v>
      </c>
      <c r="AZ222" s="261">
        <f>IFERROR(INDEX(TableWRTECalcPts[Custom],MATCH(TableWRTERank[[#This Row],[RK]],TableWRTECalcPts[RK],0)),"")</f>
        <v>13.232471753790474</v>
      </c>
      <c r="BA222" s="249">
        <f>IFERROR((TableWRTERank[[#This Row],[FPS]]-INDEX(TableWRTERank[FPS],MATCH(WRTEVORPCalc,TableWRTERank[RK],0)))/INDEX(TableWRTERank[FPS],MATCH(WRTEVORPCalc,TableWRTERank[RK],0)),"")</f>
        <v>-0.88856880548790518</v>
      </c>
      <c r="BC222" s="124" t="s">
        <v>10</v>
      </c>
      <c r="BD222" s="124">
        <v>21</v>
      </c>
      <c r="BE222" s="262">
        <f>RANK(TableWRTEMaster[[#This Row],[VORP]],TableWRTEMaster[VORP])+COUNTIF($BJ$2:BJ222,BJ222)-1</f>
        <v>87</v>
      </c>
      <c r="BF222" s="263" t="str">
        <f>IFERROR(INDEX(TableTEVORP[TIGHT END],MATCH(TableWRTEMaster[[#This Row],[RK]],TableTEVORP[RK],0)),"")</f>
        <v>Noah Fant</v>
      </c>
      <c r="BG222" s="263" t="str">
        <f>_xlfn.CONCAT(TableWRTEMaster[[#This Row],[POS]],TableWRTEMaster[[#This Row],[RK]])</f>
        <v>TE21</v>
      </c>
      <c r="BH222" s="263">
        <f>IFERROR(INDEX(TableTEVORP[BYE],MATCH(TableWRTEMaster[[#This Row],[RK]],TableTEVORP[RK],0)),"")</f>
        <v>11</v>
      </c>
      <c r="BI222" s="264">
        <f>IFERROR(INDEX(TableTEVORP[FPS],MATCH(TableWRTEMaster[[#This Row],[RK]],TableTEVORP[RK],0)),"")</f>
        <v>84.555063158015798</v>
      </c>
      <c r="BJ222" s="254">
        <f>IFERROR(INDEX(TableTEVORP[VORP],MATCH(TableWRTEMaster[[#This Row],[RK]],TableTEVORP[RK],0)),"")</f>
        <v>-0.17468923271923195</v>
      </c>
    </row>
    <row r="223" spans="15:62" x14ac:dyDescent="0.3">
      <c r="O223" s="246">
        <v>222</v>
      </c>
      <c r="P223" s="247" t="str">
        <f>IFERROR(INDEX(TableWRCalcPts[PLAYER],MATCH(TableWRVORP[[#This Row],[RK]],TableWRCalcPts[RK],0)),"")</f>
        <v/>
      </c>
      <c r="Q223" s="247" t="str">
        <f>IFERROR(INDEX(TableWRCalcPts[TM],MATCH(TableWRVORP[[#This Row],[RK]],TableWRCalcPts[RK],0)),"")</f>
        <v/>
      </c>
      <c r="R223" s="247" t="str">
        <f>IFERROR(INDEX(TableWRCalcPts[BYE],MATCH(TableWRVORP[[#This Row],[RK]],TableWRCalcPts[RK],0)),"")</f>
        <v/>
      </c>
      <c r="S223" s="248" t="str">
        <f>IFERROR(INDEX(TableWRCalcPts[Custom],MATCH(TableWRVORP[[#This Row],[RK]],TableWRCalcPts[RK],0)),"")</f>
        <v/>
      </c>
      <c r="T223" s="249" t="str">
        <f>IFERROR((TableWRVORP[[#This Row],[FPS]]-INDEX(TableWRVORP[FPS],MATCH(WRVORPCalc,TableWRVORP[RK],0)))/INDEX(TableWRVORP[FPS],MATCH(WRVORPCalc,TableWRVORP[RK],0)),"")</f>
        <v/>
      </c>
      <c r="AB223" s="246"/>
      <c r="AC223" s="250"/>
      <c r="AD223" s="250"/>
      <c r="AE223" s="250"/>
      <c r="AF223" s="250" t="s">
        <v>358</v>
      </c>
      <c r="AG223" s="250">
        <v>82</v>
      </c>
      <c r="AH223" s="251">
        <f>RANK(TableOverallMaster[[#This Row],[VORP]],TableOverallMaster[VORP])+COUNTIF($AM$2:AM223,AM223)-1</f>
        <v>200</v>
      </c>
      <c r="AI223" s="252" t="str">
        <f>IFERROR(INDEX(TableWRVORP[WIDE RECEIVER],MATCH(TableOverallMaster[[#This Row],[RK]],TableWRVORP[RK],0)),"")</f>
        <v>Sammy Watkins</v>
      </c>
      <c r="AJ223" s="252" t="str">
        <f t="shared" si="3"/>
        <v>WR82</v>
      </c>
      <c r="AK223" s="252">
        <f>IFERROR(INDEX(TableWRVORP[BYE],MATCH(TableOverallMaster[[#This Row],[RK]],TableWRVORP[RK],0)),"")</f>
        <v>14</v>
      </c>
      <c r="AL223" s="253">
        <f>IFERROR(INDEX(TableWRVORP[FPS],MATCH(TableOverallMaster[[#This Row],[RK]],TableWRVORP[RK],0)),"")</f>
        <v>72.688142484359275</v>
      </c>
      <c r="AM223" s="254">
        <f>IFERROR(INDEX(TableWRVORP[VORP],MATCH(TableOverallMaster[[#This Row],[RK]],TableWRVORP[RK],0)),"")</f>
        <v>-0.33296797510046544</v>
      </c>
      <c r="AN223" s="250"/>
      <c r="AO223" s="250">
        <v>222</v>
      </c>
      <c r="AP223" s="255" t="str">
        <f>IFERROR(INDEX(TableOverallMaster[OVERALL PLAYER],MATCH(TableOverallRank[[#This Row],[RK]],TableOverallMaster[OVR RK],0)),"")</f>
        <v>Tommy Tremble</v>
      </c>
      <c r="AQ223" s="256" t="str">
        <f>IFERROR(INDEX(TableOverallMaster[POS RK],MATCH(TableOverallRank[[#This Row],[OVERALL PLAYER]],TableOverallMaster[OVERALL PLAYER],0)),"")</f>
        <v>TE31</v>
      </c>
      <c r="AR223" s="257">
        <f>IFERROR(INDEX(TableOverallMaster[BYE],MATCH(TableOverallRank[[#This Row],[OVERALL PLAYER]],TableOverallMaster[OVERALL PLAYER],0)),"")</f>
        <v>13</v>
      </c>
      <c r="AS223" s="258">
        <f>IFERROR(INDEX(TableOverallMaster[Custom],MATCH(TableOverallRank[[#This Row],[OVERALL PLAYER]],TableOverallMaster[OVERALL PLAYER],0)),"")</f>
        <v>50.482570632097605</v>
      </c>
      <c r="AT223" s="259">
        <f>IFERROR(INDEX(TableOverallMaster[VORP],MATCH(TableOverallRank[[#This Row],[OVERALL PLAYER]],TableOverallMaster[OVERALL PLAYER],0)),"")</f>
        <v>-0.50725825815041892</v>
      </c>
      <c r="AU223" s="250"/>
      <c r="AV223" s="246">
        <v>222</v>
      </c>
      <c r="AW223" s="260" t="str">
        <f>IFERROR(INDEX(TableWRTECalcPts[PLAYER],MATCH(TableWRTERank[[#This Row],[RK]],TableWRTECalcPts[RK],0)),"")</f>
        <v>Preston Williams</v>
      </c>
      <c r="AX223" s="260" t="str">
        <f>IFERROR(INDEX(TableWRTECalcPts[POS RK],MATCH(TableWRTERank[[#This Row],[WR and TE COMBINED]],TableWRTECalcPts[PLAYER],0)),"")</f>
        <v>WR156</v>
      </c>
      <c r="AY223" s="260">
        <f>IFERROR(INDEX(TableWRTECalcPts[BYE],MATCH(TableWRTERank[[#This Row],[RK]],TableWRTECalcPts[RK],0)),"")</f>
        <v>11</v>
      </c>
      <c r="AZ223" s="261">
        <f>IFERROR(INDEX(TableWRTECalcPts[Custom],MATCH(TableWRTERank[[#This Row],[RK]],TableWRTECalcPts[RK],0)),"")</f>
        <v>13.045031667985134</v>
      </c>
      <c r="BA223" s="249">
        <f>IFERROR((TableWRTERank[[#This Row],[FPS]]-INDEX(TableWRTERank[FPS],MATCH(WRTEVORPCalc,TableWRTERank[RK],0)))/INDEX(TableWRTERank[FPS],MATCH(WRTEVORPCalc,TableWRTERank[RK],0)),"")</f>
        <v>-0.89014724623951735</v>
      </c>
      <c r="BC223" s="124" t="s">
        <v>10</v>
      </c>
      <c r="BD223" s="124">
        <v>22</v>
      </c>
      <c r="BE223" s="262">
        <f>RANK(TableWRTEMaster[[#This Row],[VORP]],TableWRTEMaster[VORP])+COUNTIF($BJ$2:BJ223,BJ223)-1</f>
        <v>89</v>
      </c>
      <c r="BF223" s="263" t="str">
        <f>IFERROR(INDEX(TableTEVORP[TIGHT END],MATCH(TableWRTEMaster[[#This Row],[RK]],TableTEVORP[RK],0)),"")</f>
        <v>Logan Thomas</v>
      </c>
      <c r="BG223" s="263" t="str">
        <f>_xlfn.CONCAT(TableWRTEMaster[[#This Row],[POS]],TableWRTEMaster[[#This Row],[RK]])</f>
        <v>TE22</v>
      </c>
      <c r="BH223" s="263">
        <f>IFERROR(INDEX(TableTEVORP[BYE],MATCH(TableWRTEMaster[[#This Row],[RK]],TableTEVORP[RK],0)),"")</f>
        <v>14</v>
      </c>
      <c r="BI223" s="264">
        <f>IFERROR(INDEX(TableTEVORP[FPS],MATCH(TableWRTEMaster[[#This Row],[RK]],TableTEVORP[RK],0)),"")</f>
        <v>84.483769417527256</v>
      </c>
      <c r="BJ223" s="254">
        <f>IFERROR(INDEX(TableTEVORP[VORP],MATCH(TableWRTEMaster[[#This Row],[RK]],TableTEVORP[RK],0)),"")</f>
        <v>-0.17538510460989515</v>
      </c>
    </row>
    <row r="224" spans="15:62" x14ac:dyDescent="0.3">
      <c r="O224" s="246">
        <v>223</v>
      </c>
      <c r="P224" s="247" t="str">
        <f>IFERROR(INDEX(TableWRCalcPts[PLAYER],MATCH(TableWRVORP[[#This Row],[RK]],TableWRCalcPts[RK],0)),"")</f>
        <v/>
      </c>
      <c r="Q224" s="247" t="str">
        <f>IFERROR(INDEX(TableWRCalcPts[TM],MATCH(TableWRVORP[[#This Row],[RK]],TableWRCalcPts[RK],0)),"")</f>
        <v/>
      </c>
      <c r="R224" s="247" t="str">
        <f>IFERROR(INDEX(TableWRCalcPts[BYE],MATCH(TableWRVORP[[#This Row],[RK]],TableWRCalcPts[RK],0)),"")</f>
        <v/>
      </c>
      <c r="S224" s="248" t="str">
        <f>IFERROR(INDEX(TableWRCalcPts[Custom],MATCH(TableWRVORP[[#This Row],[RK]],TableWRCalcPts[RK],0)),"")</f>
        <v/>
      </c>
      <c r="T224" s="249" t="str">
        <f>IFERROR((TableWRVORP[[#This Row],[FPS]]-INDEX(TableWRVORP[FPS],MATCH(WRVORPCalc,TableWRVORP[RK],0)))/INDEX(TableWRVORP[FPS],MATCH(WRVORPCalc,TableWRVORP[RK],0)),"")</f>
        <v/>
      </c>
      <c r="AB224" s="246"/>
      <c r="AC224" s="250"/>
      <c r="AD224" s="250"/>
      <c r="AE224" s="250"/>
      <c r="AF224" s="250" t="s">
        <v>358</v>
      </c>
      <c r="AG224" s="250">
        <v>83</v>
      </c>
      <c r="AH224" s="251">
        <f>RANK(TableOverallMaster[[#This Row],[VORP]],TableOverallMaster[VORP])+COUNTIF($AM$2:AM224,AM224)-1</f>
        <v>201</v>
      </c>
      <c r="AI224" s="252" t="str">
        <f>IFERROR(INDEX(TableWRVORP[WIDE RECEIVER],MATCH(TableOverallMaster[[#This Row],[RK]],TableWRVORP[RK],0)),"")</f>
        <v>Kendrick Bourne</v>
      </c>
      <c r="AJ224" s="252" t="str">
        <f t="shared" si="3"/>
        <v>WR83</v>
      </c>
      <c r="AK224" s="252">
        <f>IFERROR(INDEX(TableWRVORP[BYE],MATCH(TableOverallMaster[[#This Row],[RK]],TableWRVORP[RK],0)),"")</f>
        <v>10</v>
      </c>
      <c r="AL224" s="253">
        <f>IFERROR(INDEX(TableWRVORP[FPS],MATCH(TableOverallMaster[[#This Row],[RK]],TableWRVORP[RK],0)),"")</f>
        <v>72.660276936222047</v>
      </c>
      <c r="AM224" s="254">
        <f>IFERROR(INDEX(TableWRVORP[VORP],MATCH(TableOverallMaster[[#This Row],[RK]],TableWRVORP[RK],0)),"")</f>
        <v>-0.33322368686257176</v>
      </c>
      <c r="AN224" s="250"/>
      <c r="AO224" s="250">
        <v>223</v>
      </c>
      <c r="AP224" s="255" t="str">
        <f>IFERROR(INDEX(TableOverallMaster[OVERALL PLAYER],MATCH(TableOverallRank[[#This Row],[RK]],TableOverallMaster[OVR RK],0)),"")</f>
        <v>Adam Trautman</v>
      </c>
      <c r="AQ224" s="256" t="str">
        <f>IFERROR(INDEX(TableOverallMaster[POS RK],MATCH(TableOverallRank[[#This Row],[OVERALL PLAYER]],TableOverallMaster[OVERALL PLAYER],0)),"")</f>
        <v>TE32</v>
      </c>
      <c r="AR224" s="257">
        <f>IFERROR(INDEX(TableOverallMaster[BYE],MATCH(TableOverallRank[[#This Row],[OVERALL PLAYER]],TableOverallMaster[OVERALL PLAYER],0)),"")</f>
        <v>14</v>
      </c>
      <c r="AS224" s="258">
        <f>IFERROR(INDEX(TableOverallMaster[Custom],MATCH(TableOverallRank[[#This Row],[OVERALL PLAYER]],TableOverallMaster[OVERALL PLAYER],0)),"")</f>
        <v>50.26987913575595</v>
      </c>
      <c r="AT224" s="259">
        <f>IFERROR(INDEX(TableOverallMaster[VORP],MATCH(TableOverallRank[[#This Row],[OVERALL PLAYER]],TableOverallMaster[OVERALL PLAYER],0)),"")</f>
        <v>-0.50933426135452964</v>
      </c>
      <c r="AU224" s="250"/>
      <c r="AV224" s="246">
        <v>223</v>
      </c>
      <c r="AW224" s="260" t="str">
        <f>IFERROR(INDEX(TableWRTECalcPts[PLAYER],MATCH(TableWRTERank[[#This Row],[RK]],TableWRTECalcPts[RK],0)),"")</f>
        <v>Jakeem Grant</v>
      </c>
      <c r="AX224" s="260" t="str">
        <f>IFERROR(INDEX(TableWRTECalcPts[POS RK],MATCH(TableWRTERank[[#This Row],[WR and TE COMBINED]],TableWRTECalcPts[PLAYER],0)),"")</f>
        <v>WR157</v>
      </c>
      <c r="AY224" s="260">
        <f>IFERROR(INDEX(TableWRTECalcPts[BYE],MATCH(TableWRTERank[[#This Row],[RK]],TableWRTECalcPts[RK],0)),"")</f>
        <v>9</v>
      </c>
      <c r="AZ224" s="261">
        <f>IFERROR(INDEX(TableWRTECalcPts[Custom],MATCH(TableWRTERank[[#This Row],[RK]],TableWRTECalcPts[RK],0)),"")</f>
        <v>12.895494146377734</v>
      </c>
      <c r="BA224" s="249">
        <f>IFERROR((TableWRTERank[[#This Row],[FPS]]-INDEX(TableWRTERank[FPS],MATCH(WRTEVORPCalc,TableWRTERank[RK],0)))/INDEX(TableWRTERank[FPS],MATCH(WRTEVORPCalc,TableWRTERank[RK],0)),"")</f>
        <v>-0.89140650792298304</v>
      </c>
      <c r="BC224" s="124" t="s">
        <v>10</v>
      </c>
      <c r="BD224" s="124">
        <v>23</v>
      </c>
      <c r="BE224" s="262">
        <f>RANK(TableWRTEMaster[[#This Row],[VORP]],TableWRTEMaster[VORP])+COUNTIF($BJ$2:BJ224,BJ224)-1</f>
        <v>93</v>
      </c>
      <c r="BF224" s="263" t="str">
        <f>IFERROR(INDEX(TableTEVORP[TIGHT END],MATCH(TableWRTEMaster[[#This Row],[RK]],TableTEVORP[RK],0)),"")</f>
        <v>Robert Tonyan</v>
      </c>
      <c r="BG224" s="263" t="str">
        <f>_xlfn.CONCAT(TableWRTEMaster[[#This Row],[POS]],TableWRTEMaster[[#This Row],[RK]])</f>
        <v>TE23</v>
      </c>
      <c r="BH224" s="263">
        <f>IFERROR(INDEX(TableTEVORP[BYE],MATCH(TableWRTEMaster[[#This Row],[RK]],TableTEVORP[RK],0)),"")</f>
        <v>14</v>
      </c>
      <c r="BI224" s="264">
        <f>IFERROR(INDEX(TableTEVORP[FPS],MATCH(TableWRTEMaster[[#This Row],[RK]],TableTEVORP[RK],0)),"")</f>
        <v>81.128898794421957</v>
      </c>
      <c r="BJ224" s="254">
        <f>IFERROR(INDEX(TableTEVORP[VORP],MATCH(TableWRTEMaster[[#This Row],[RK]],TableTEVORP[RK],0)),"")</f>
        <v>-0.2081307586804079</v>
      </c>
    </row>
    <row r="225" spans="15:62" x14ac:dyDescent="0.3">
      <c r="O225" s="246">
        <v>224</v>
      </c>
      <c r="P225" s="247" t="str">
        <f>IFERROR(INDEX(TableWRCalcPts[PLAYER],MATCH(TableWRVORP[[#This Row],[RK]],TableWRCalcPts[RK],0)),"")</f>
        <v/>
      </c>
      <c r="Q225" s="247" t="str">
        <f>IFERROR(INDEX(TableWRCalcPts[TM],MATCH(TableWRVORP[[#This Row],[RK]],TableWRCalcPts[RK],0)),"")</f>
        <v/>
      </c>
      <c r="R225" s="247" t="str">
        <f>IFERROR(INDEX(TableWRCalcPts[BYE],MATCH(TableWRVORP[[#This Row],[RK]],TableWRCalcPts[RK],0)),"")</f>
        <v/>
      </c>
      <c r="S225" s="248" t="str">
        <f>IFERROR(INDEX(TableWRCalcPts[Custom],MATCH(TableWRVORP[[#This Row],[RK]],TableWRCalcPts[RK],0)),"")</f>
        <v/>
      </c>
      <c r="T225" s="249" t="str">
        <f>IFERROR((TableWRVORP[[#This Row],[FPS]]-INDEX(TableWRVORP[FPS],MATCH(WRVORPCalc,TableWRVORP[RK],0)))/INDEX(TableWRVORP[FPS],MATCH(WRVORPCalc,TableWRVORP[RK],0)),"")</f>
        <v/>
      </c>
      <c r="AB225" s="246"/>
      <c r="AC225" s="250"/>
      <c r="AD225" s="250"/>
      <c r="AE225" s="250"/>
      <c r="AF225" s="250" t="s">
        <v>358</v>
      </c>
      <c r="AG225" s="250">
        <v>84</v>
      </c>
      <c r="AH225" s="251">
        <f>RANK(TableOverallMaster[[#This Row],[VORP]],TableOverallMaster[VORP])+COUNTIF($AM$2:AM225,AM225)-1</f>
        <v>202</v>
      </c>
      <c r="AI225" s="252" t="str">
        <f>IFERROR(INDEX(TableWRVORP[WIDE RECEIVER],MATCH(TableOverallMaster[[#This Row],[RK]],TableWRVORP[RK],0)),"")</f>
        <v>Nico Collins</v>
      </c>
      <c r="AJ225" s="252" t="str">
        <f t="shared" si="3"/>
        <v>WR84</v>
      </c>
      <c r="AK225" s="252">
        <f>IFERROR(INDEX(TableWRVORP[BYE],MATCH(TableOverallMaster[[#This Row],[RK]],TableWRVORP[RK],0)),"")</f>
        <v>6</v>
      </c>
      <c r="AL225" s="253">
        <f>IFERROR(INDEX(TableWRVORP[FPS],MATCH(TableOverallMaster[[#This Row],[RK]],TableWRVORP[RK],0)),"")</f>
        <v>72.512646152315625</v>
      </c>
      <c r="AM225" s="254">
        <f>IFERROR(INDEX(TableWRVORP[VORP],MATCH(TableOverallMaster[[#This Row],[RK]],TableWRVORP[RK],0)),"")</f>
        <v>-0.33457843960986883</v>
      </c>
      <c r="AN225" s="250"/>
      <c r="AO225" s="250">
        <v>224</v>
      </c>
      <c r="AP225" s="255" t="str">
        <f>IFERROR(INDEX(TableOverallMaster[OVERALL PLAYER],MATCH(TableOverallRank[[#This Row],[RK]],TableOverallMaster[OVR RK],0)),"")</f>
        <v>Parris Campbell</v>
      </c>
      <c r="AQ225" s="256" t="str">
        <f>IFERROR(INDEX(TableOverallMaster[POS RK],MATCH(TableOverallRank[[#This Row],[OVERALL PLAYER]],TableOverallMaster[OVERALL PLAYER],0)),"")</f>
        <v>WR94</v>
      </c>
      <c r="AR225" s="257">
        <f>IFERROR(INDEX(TableOverallMaster[BYE],MATCH(TableOverallRank[[#This Row],[OVERALL PLAYER]],TableOverallMaster[OVERALL PLAYER],0)),"")</f>
        <v>14</v>
      </c>
      <c r="AS225" s="258">
        <f>IFERROR(INDEX(TableOverallMaster[Custom],MATCH(TableOverallRank[[#This Row],[OVERALL PLAYER]],TableOverallMaster[OVERALL PLAYER],0)),"")</f>
        <v>53.350300430483863</v>
      </c>
      <c r="AT225" s="259">
        <f>IFERROR(INDEX(TableOverallMaster[VORP],MATCH(TableOverallRank[[#This Row],[OVERALL PLAYER]],TableOverallMaster[OVERALL PLAYER],0)),"")</f>
        <v>-0.51042415297926369</v>
      </c>
      <c r="AU225" s="250"/>
      <c r="AV225" s="246">
        <v>224</v>
      </c>
      <c r="AW225" s="260" t="str">
        <f>IFERROR(INDEX(TableWRTECalcPts[PLAYER],MATCH(TableWRTERank[[#This Row],[RK]],TableWRTECalcPts[RK],0)),"")</f>
        <v>Phillip Dorsett</v>
      </c>
      <c r="AX225" s="260" t="str">
        <f>IFERROR(INDEX(TableWRTECalcPts[POS RK],MATCH(TableWRTERank[[#This Row],[WR and TE COMBINED]],TableWRTECalcPts[PLAYER],0)),"")</f>
        <v>WR158</v>
      </c>
      <c r="AY225" s="260">
        <f>IFERROR(INDEX(TableWRTECalcPts[BYE],MATCH(TableWRTERank[[#This Row],[RK]],TableWRTECalcPts[RK],0)),"")</f>
        <v>6</v>
      </c>
      <c r="AZ225" s="261">
        <f>IFERROR(INDEX(TableWRTECalcPts[Custom],MATCH(TableWRTERank[[#This Row],[RK]],TableWRTECalcPts[RK],0)),"")</f>
        <v>12.876327864814634</v>
      </c>
      <c r="BA225" s="249">
        <f>IFERROR((TableWRTERank[[#This Row],[FPS]]-INDEX(TableWRTERank[FPS],MATCH(WRTEVORPCalc,TableWRTERank[RK],0)))/INDEX(TableWRTERank[FPS],MATCH(WRTEVORPCalc,TableWRTERank[RK],0)),"")</f>
        <v>-0.89156790797647789</v>
      </c>
      <c r="BC225" s="124" t="s">
        <v>10</v>
      </c>
      <c r="BD225" s="124">
        <v>24</v>
      </c>
      <c r="BE225" s="262">
        <f>RANK(TableWRTEMaster[[#This Row],[VORP]],TableWRTEMaster[VORP])+COUNTIF($BJ$2:BJ225,BJ225)-1</f>
        <v>97</v>
      </c>
      <c r="BF225" s="263" t="str">
        <f>IFERROR(INDEX(TableTEVORP[TIGHT END],MATCH(TableWRTEMaster[[#This Row],[RK]],TableTEVORP[RK],0)),"")</f>
        <v>Mo Alie-Cox</v>
      </c>
      <c r="BG225" s="263" t="str">
        <f>_xlfn.CONCAT(TableWRTEMaster[[#This Row],[POS]],TableWRTEMaster[[#This Row],[RK]])</f>
        <v>TE24</v>
      </c>
      <c r="BH225" s="263">
        <f>IFERROR(INDEX(TableTEVORP[BYE],MATCH(TableWRTEMaster[[#This Row],[RK]],TableTEVORP[RK],0)),"")</f>
        <v>14</v>
      </c>
      <c r="BI225" s="264">
        <f>IFERROR(INDEX(TableTEVORP[FPS],MATCH(TableWRTEMaster[[#This Row],[RK]],TableTEVORP[RK],0)),"")</f>
        <v>80.481520247403466</v>
      </c>
      <c r="BJ225" s="254">
        <f>IFERROR(INDEX(TableTEVORP[VORP],MATCH(TableWRTEMaster[[#This Row],[RK]],TableTEVORP[RK],0)),"")</f>
        <v>-0.21444958176924489</v>
      </c>
    </row>
    <row r="226" spans="15:62" x14ac:dyDescent="0.3">
      <c r="O226" s="246">
        <v>225</v>
      </c>
      <c r="P226" s="247" t="str">
        <f>IFERROR(INDEX(TableWRCalcPts[PLAYER],MATCH(TableWRVORP[[#This Row],[RK]],TableWRCalcPts[RK],0)),"")</f>
        <v/>
      </c>
      <c r="Q226" s="247" t="str">
        <f>IFERROR(INDEX(TableWRCalcPts[TM],MATCH(TableWRVORP[[#This Row],[RK]],TableWRCalcPts[RK],0)),"")</f>
        <v/>
      </c>
      <c r="R226" s="247" t="str">
        <f>IFERROR(INDEX(TableWRCalcPts[BYE],MATCH(TableWRVORP[[#This Row],[RK]],TableWRCalcPts[RK],0)),"")</f>
        <v/>
      </c>
      <c r="S226" s="248" t="str">
        <f>IFERROR(INDEX(TableWRCalcPts[Custom],MATCH(TableWRVORP[[#This Row],[RK]],TableWRCalcPts[RK],0)),"")</f>
        <v/>
      </c>
      <c r="T226" s="249" t="str">
        <f>IFERROR((TableWRVORP[[#This Row],[FPS]]-INDEX(TableWRVORP[FPS],MATCH(WRVORPCalc,TableWRVORP[RK],0)))/INDEX(TableWRVORP[FPS],MATCH(WRVORPCalc,TableWRVORP[RK],0)),"")</f>
        <v/>
      </c>
      <c r="AB226" s="246"/>
      <c r="AC226" s="250"/>
      <c r="AD226" s="250"/>
      <c r="AE226" s="250"/>
      <c r="AF226" s="250" t="s">
        <v>358</v>
      </c>
      <c r="AG226" s="250">
        <v>85</v>
      </c>
      <c r="AH226" s="251">
        <f>RANK(TableOverallMaster[[#This Row],[VORP]],TableOverallMaster[VORP])+COUNTIF($AM$2:AM226,AM226)-1</f>
        <v>203</v>
      </c>
      <c r="AI226" s="252" t="str">
        <f>IFERROR(INDEX(TableWRVORP[WIDE RECEIVER],MATCH(TableOverallMaster[[#This Row],[RK]],TableWRVORP[RK],0)),"")</f>
        <v>Sterling Shepard</v>
      </c>
      <c r="AJ226" s="252" t="str">
        <f t="shared" si="3"/>
        <v>WR85</v>
      </c>
      <c r="AK226" s="252">
        <f>IFERROR(INDEX(TableWRVORP[BYE],MATCH(TableOverallMaster[[#This Row],[RK]],TableWRVORP[RK],0)),"")</f>
        <v>9</v>
      </c>
      <c r="AL226" s="253">
        <f>IFERROR(INDEX(TableWRVORP[FPS],MATCH(TableOverallMaster[[#This Row],[RK]],TableWRVORP[RK],0)),"")</f>
        <v>69.979573413176695</v>
      </c>
      <c r="AM226" s="254">
        <f>IFERROR(INDEX(TableWRVORP[VORP],MATCH(TableOverallMaster[[#This Row],[RK]],TableWRVORP[RK],0)),"")</f>
        <v>-0.35782350518255451</v>
      </c>
      <c r="AN226" s="250"/>
      <c r="AO226" s="250">
        <v>225</v>
      </c>
      <c r="AP226" s="255" t="str">
        <f>IFERROR(INDEX(TableOverallMaster[OVERALL PLAYER],MATCH(TableOverallRank[[#This Row],[RK]],TableOverallMaster[OVR RK],0)),"")</f>
        <v>Sony Michel</v>
      </c>
      <c r="AQ226" s="256" t="str">
        <f>IFERROR(INDEX(TableOverallMaster[POS RK],MATCH(TableOverallRank[[#This Row],[OVERALL PLAYER]],TableOverallMaster[OVERALL PLAYER],0)),"")</f>
        <v>RB67</v>
      </c>
      <c r="AR226" s="257">
        <f>IFERROR(INDEX(TableOverallMaster[BYE],MATCH(TableOverallRank[[#This Row],[OVERALL PLAYER]],TableOverallMaster[OVERALL PLAYER],0)),"")</f>
        <v>11</v>
      </c>
      <c r="AS226" s="258">
        <f>IFERROR(INDEX(TableOverallMaster[Custom],MATCH(TableOverallRank[[#This Row],[OVERALL PLAYER]],TableOverallMaster[OVERALL PLAYER],0)),"")</f>
        <v>48.094947777259016</v>
      </c>
      <c r="AT226" s="259">
        <f>IFERROR(INDEX(TableOverallMaster[VORP],MATCH(TableOverallRank[[#This Row],[OVERALL PLAYER]],TableOverallMaster[OVERALL PLAYER],0)),"")</f>
        <v>-0.52531245872136434</v>
      </c>
      <c r="AU226" s="250"/>
      <c r="AV226" s="246">
        <v>225</v>
      </c>
      <c r="AW226" s="260" t="str">
        <f>IFERROR(INDEX(TableWRTECalcPts[PLAYER],MATCH(TableWRTERank[[#This Row],[RK]],TableWRTECalcPts[RK],0)),"")</f>
        <v>Mike Thomas</v>
      </c>
      <c r="AX226" s="260" t="str">
        <f>IFERROR(INDEX(TableWRTECalcPts[POS RK],MATCH(TableWRTERank[[#This Row],[WR and TE COMBINED]],TableWRTECalcPts[PLAYER],0)),"")</f>
        <v>WR159</v>
      </c>
      <c r="AY226" s="260">
        <f>IFERROR(INDEX(TableWRTECalcPts[BYE],MATCH(TableWRTERank[[#This Row],[RK]],TableWRTECalcPts[RK],0)),"")</f>
        <v>10</v>
      </c>
      <c r="AZ226" s="261">
        <f>IFERROR(INDEX(TableWRTECalcPts[Custom],MATCH(TableWRTERank[[#This Row],[RK]],TableWRTECalcPts[RK],0)),"")</f>
        <v>12.674219162495806</v>
      </c>
      <c r="BA226" s="249">
        <f>IFERROR((TableWRTERank[[#This Row],[FPS]]-INDEX(TableWRTERank[FPS],MATCH(WRTEVORPCalc,TableWRTERank[RK],0)))/INDEX(TableWRTERank[FPS],MATCH(WRTEVORPCalc,TableWRTERank[RK],0)),"")</f>
        <v>-0.89326987375730238</v>
      </c>
      <c r="BC226" s="124" t="s">
        <v>10</v>
      </c>
      <c r="BD226" s="124">
        <v>25</v>
      </c>
      <c r="BE226" s="262">
        <f>RANK(TableWRTEMaster[[#This Row],[VORP]],TableWRTEMaster[VORP])+COUNTIF($BJ$2:BJ226,BJ226)-1</f>
        <v>98</v>
      </c>
      <c r="BF226" s="263" t="str">
        <f>IFERROR(INDEX(TableTEVORP[TIGHT END],MATCH(TableWRTEMaster[[#This Row],[RK]],TableTEVORP[RK],0)),"")</f>
        <v>Hayden Hurst</v>
      </c>
      <c r="BG226" s="263" t="str">
        <f>_xlfn.CONCAT(TableWRTEMaster[[#This Row],[POS]],TableWRTEMaster[[#This Row],[RK]])</f>
        <v>TE25</v>
      </c>
      <c r="BH226" s="263">
        <f>IFERROR(INDEX(TableTEVORP[BYE],MATCH(TableWRTEMaster[[#This Row],[RK]],TableTEVORP[RK],0)),"")</f>
        <v>10</v>
      </c>
      <c r="BI226" s="264">
        <f>IFERROR(INDEX(TableTEVORP[FPS],MATCH(TableWRTEMaster[[#This Row],[RK]],TableTEVORP[RK],0)),"")</f>
        <v>79.091408704172068</v>
      </c>
      <c r="BJ226" s="254">
        <f>IFERROR(INDEX(TableTEVORP[VORP],MATCH(TableWRTEMaster[[#This Row],[RK]],TableTEVORP[RK],0)),"")</f>
        <v>-0.22801794753589499</v>
      </c>
    </row>
    <row r="227" spans="15:62" x14ac:dyDescent="0.3">
      <c r="AB227" s="246"/>
      <c r="AC227" s="250"/>
      <c r="AD227" s="250"/>
      <c r="AE227" s="250"/>
      <c r="AF227" s="250" t="s">
        <v>358</v>
      </c>
      <c r="AG227" s="250">
        <v>86</v>
      </c>
      <c r="AH227" s="251">
        <f>RANK(TableOverallMaster[[#This Row],[VORP]],TableOverallMaster[VORP])+COUNTIF($AM$2:AM227,AM227)-1</f>
        <v>205</v>
      </c>
      <c r="AI227" s="252" t="str">
        <f>IFERROR(INDEX(TableWRVORP[WIDE RECEIVER],MATCH(TableOverallMaster[[#This Row],[RK]],TableWRVORP[RK],0)),"")</f>
        <v>Jalen Guyton</v>
      </c>
      <c r="AJ227" s="252" t="str">
        <f t="shared" si="3"/>
        <v>WR86</v>
      </c>
      <c r="AK227" s="252">
        <f>IFERROR(INDEX(TableWRVORP[BYE],MATCH(TableOverallMaster[[#This Row],[RK]],TableWRVORP[RK],0)),"")</f>
        <v>8</v>
      </c>
      <c r="AL227" s="253">
        <f>IFERROR(INDEX(TableWRVORP[FPS],MATCH(TableOverallMaster[[#This Row],[RK]],TableWRVORP[RK],0)),"")</f>
        <v>69.095204526235136</v>
      </c>
      <c r="AM227" s="254">
        <f>IFERROR(INDEX(TableWRVORP[VORP],MATCH(TableOverallMaster[[#This Row],[RK]],TableWRVORP[RK],0)),"")</f>
        <v>-0.36593902924539196</v>
      </c>
      <c r="AN227" s="250"/>
      <c r="AO227" s="250">
        <v>226</v>
      </c>
      <c r="AP227" s="255" t="str">
        <f>IFERROR(INDEX(TableOverallMaster[OVERALL PLAYER],MATCH(TableOverallRank[[#This Row],[RK]],TableOverallMaster[OVR RK],0)),"")</f>
        <v>James Washington</v>
      </c>
      <c r="AQ227" s="256" t="str">
        <f>IFERROR(INDEX(TableOverallMaster[POS RK],MATCH(TableOverallRank[[#This Row],[OVERALL PLAYER]],TableOverallMaster[OVERALL PLAYER],0)),"")</f>
        <v>WR95</v>
      </c>
      <c r="AR227" s="257">
        <f>IFERROR(INDEX(TableOverallMaster[BYE],MATCH(TableOverallRank[[#This Row],[OVERALL PLAYER]],TableOverallMaster[OVERALL PLAYER],0)),"")</f>
        <v>9</v>
      </c>
      <c r="AS227" s="258">
        <f>IFERROR(INDEX(TableOverallMaster[Custom],MATCH(TableOverallRank[[#This Row],[OVERALL PLAYER]],TableOverallMaster[OVERALL PLAYER],0)),"")</f>
        <v>51.375545577633844</v>
      </c>
      <c r="AT227" s="259">
        <f>IFERROR(INDEX(TableOverallMaster[VORP],MATCH(TableOverallRank[[#This Row],[OVERALL PLAYER]],TableOverallMaster[OVERALL PLAYER],0)),"")</f>
        <v>-0.52854574314729097</v>
      </c>
      <c r="AU227" s="250"/>
      <c r="AV227" s="246">
        <v>226</v>
      </c>
      <c r="AW227" s="260" t="str">
        <f>IFERROR(INDEX(TableWRTECalcPts[PLAYER],MATCH(TableWRTERank[[#This Row],[RK]],TableWRTECalcPts[RK],0)),"")</f>
        <v>Tyree Jackson</v>
      </c>
      <c r="AX227" s="260" t="str">
        <f>IFERROR(INDEX(TableWRTECalcPts[POS RK],MATCH(TableWRTERank[[#This Row],[WR and TE COMBINED]],TableWRTECalcPts[PLAYER],0)),"")</f>
        <v>TE67</v>
      </c>
      <c r="AY227" s="260">
        <f>IFERROR(INDEX(TableWRTECalcPts[BYE],MATCH(TableWRTERank[[#This Row],[RK]],TableWRTECalcPts[RK],0)),"")</f>
        <v>7</v>
      </c>
      <c r="AZ227" s="261">
        <f>IFERROR(INDEX(TableWRTECalcPts[Custom],MATCH(TableWRTERank[[#This Row],[RK]],TableWRTECalcPts[RK],0)),"")</f>
        <v>12.58346719098485</v>
      </c>
      <c r="BA227" s="249">
        <f>IFERROR((TableWRTERank[[#This Row],[FPS]]-INDEX(TableWRTERank[FPS],MATCH(WRTEVORPCalc,TableWRTERank[RK],0)))/INDEX(TableWRTERank[FPS],MATCH(WRTEVORPCalc,TableWRTERank[RK],0)),"")</f>
        <v>-0.89403409988058091</v>
      </c>
      <c r="BC227" s="124" t="s">
        <v>10</v>
      </c>
      <c r="BD227" s="124">
        <v>26</v>
      </c>
      <c r="BE227" s="262">
        <f>RANK(TableWRTEMaster[[#This Row],[VORP]],TableWRTEMaster[VORP])+COUNTIF($BJ$2:BJ227,BJ227)-1</f>
        <v>99</v>
      </c>
      <c r="BF227" s="263" t="str">
        <f>IFERROR(INDEX(TableTEVORP[TIGHT END],MATCH(TableWRTEMaster[[#This Row],[RK]],TableTEVORP[RK],0)),"")</f>
        <v>Evan Engram</v>
      </c>
      <c r="BG227" s="263" t="str">
        <f>_xlfn.CONCAT(TableWRTEMaster[[#This Row],[POS]],TableWRTEMaster[[#This Row],[RK]])</f>
        <v>TE26</v>
      </c>
      <c r="BH227" s="263">
        <f>IFERROR(INDEX(TableTEVORP[BYE],MATCH(TableWRTEMaster[[#This Row],[RK]],TableTEVORP[RK],0)),"")</f>
        <v>11</v>
      </c>
      <c r="BI227" s="264">
        <f>IFERROR(INDEX(TableTEVORP[FPS],MATCH(TableWRTEMaster[[#This Row],[RK]],TableTEVORP[RK],0)),"")</f>
        <v>79.044237431345721</v>
      </c>
      <c r="BJ227" s="254">
        <f>IFERROR(INDEX(TableTEVORP[VORP],MATCH(TableWRTEMaster[[#This Row],[RK]],TableTEVORP[RK],0)),"")</f>
        <v>-0.22847836892186413</v>
      </c>
    </row>
    <row r="228" spans="15:62" x14ac:dyDescent="0.3">
      <c r="AB228" s="246"/>
      <c r="AC228" s="250"/>
      <c r="AD228" s="250"/>
      <c r="AE228" s="250"/>
      <c r="AF228" s="250" t="s">
        <v>358</v>
      </c>
      <c r="AG228" s="250">
        <v>87</v>
      </c>
      <c r="AH228" s="251">
        <f>RANK(TableOverallMaster[[#This Row],[VORP]],TableOverallMaster[VORP])+COUNTIF($AM$2:AM228,AM228)-1</f>
        <v>208</v>
      </c>
      <c r="AI228" s="252" t="str">
        <f>IFERROR(INDEX(TableWRVORP[WIDE RECEIVER],MATCH(TableOverallMaster[[#This Row],[RK]],TableWRVORP[RK],0)),"")</f>
        <v>Corey Davis</v>
      </c>
      <c r="AJ228" s="252" t="str">
        <f t="shared" si="3"/>
        <v>WR87</v>
      </c>
      <c r="AK228" s="252">
        <f>IFERROR(INDEX(TableWRVORP[BYE],MATCH(TableOverallMaster[[#This Row],[RK]],TableWRVORP[RK],0)),"")</f>
        <v>10</v>
      </c>
      <c r="AL228" s="253">
        <f>IFERROR(INDEX(TableWRVORP[FPS],MATCH(TableOverallMaster[[#This Row],[RK]],TableWRVORP[RK],0)),"")</f>
        <v>65.288503663814794</v>
      </c>
      <c r="AM228" s="254">
        <f>IFERROR(INDEX(TableWRVORP[VORP],MATCH(TableOverallMaster[[#This Row],[RK]],TableWRVORP[RK],0)),"")</f>
        <v>-0.40087170598827915</v>
      </c>
      <c r="AN228" s="250"/>
      <c r="AO228" s="250">
        <v>227</v>
      </c>
      <c r="AP228" s="255" t="str">
        <f>IFERROR(INDEX(TableOverallMaster[OVERALL PLAYER],MATCH(TableOverallRank[[#This Row],[RK]],TableOverallMaster[OVR RK],0)),"")</f>
        <v>Olamide Zaccheaus</v>
      </c>
      <c r="AQ228" s="256" t="str">
        <f>IFERROR(INDEX(TableOverallMaster[POS RK],MATCH(TableOverallRank[[#This Row],[OVERALL PLAYER]],TableOverallMaster[OVERALL PLAYER],0)),"")</f>
        <v>WR96</v>
      </c>
      <c r="AR228" s="257">
        <f>IFERROR(INDEX(TableOverallMaster[BYE],MATCH(TableOverallRank[[#This Row],[OVERALL PLAYER]],TableOverallMaster[OVERALL PLAYER],0)),"")</f>
        <v>14</v>
      </c>
      <c r="AS228" s="258">
        <f>IFERROR(INDEX(TableOverallMaster[Custom],MATCH(TableOverallRank[[#This Row],[OVERALL PLAYER]],TableOverallMaster[OVERALL PLAYER],0)),"")</f>
        <v>51.177073421678053</v>
      </c>
      <c r="AT228" s="259">
        <f>IFERROR(INDEX(TableOverallMaster[VORP],MATCH(TableOverallRank[[#This Row],[OVERALL PLAYER]],TableOverallMaster[OVERALL PLAYER],0)),"")</f>
        <v>-0.53036704823982173</v>
      </c>
      <c r="AU228" s="250"/>
      <c r="AV228" s="246">
        <v>227</v>
      </c>
      <c r="AW228" s="260" t="str">
        <f>IFERROR(INDEX(TableWRTECalcPts[PLAYER],MATCH(TableWRTERank[[#This Row],[RK]],TableWRTECalcPts[RK],0)),"")</f>
        <v>Antoine Wesley</v>
      </c>
      <c r="AX228" s="260" t="str">
        <f>IFERROR(INDEX(TableWRTECalcPts[POS RK],MATCH(TableWRTERank[[#This Row],[WR and TE COMBINED]],TableWRTECalcPts[PLAYER],0)),"")</f>
        <v>WR160</v>
      </c>
      <c r="AY228" s="260">
        <f>IFERROR(INDEX(TableWRTECalcPts[BYE],MATCH(TableWRTERank[[#This Row],[RK]],TableWRTECalcPts[RK],0)),"")</f>
        <v>13</v>
      </c>
      <c r="AZ228" s="261">
        <f>IFERROR(INDEX(TableWRTECalcPts[Custom],MATCH(TableWRTERank[[#This Row],[RK]],TableWRTECalcPts[RK],0)),"")</f>
        <v>12.486852153852277</v>
      </c>
      <c r="BA228" s="249">
        <f>IFERROR((TableWRTERank[[#This Row],[FPS]]-INDEX(TableWRTERank[FPS],MATCH(WRTEVORPCalc,TableWRTERank[RK],0)))/INDEX(TableWRTERank[FPS],MATCH(WRTEVORPCalc,TableWRTERank[RK],0)),"")</f>
        <v>-0.89484769912309803</v>
      </c>
      <c r="BC228" s="124" t="s">
        <v>10</v>
      </c>
      <c r="BD228" s="124">
        <v>27</v>
      </c>
      <c r="BE228" s="262">
        <f>RANK(TableWRTEMaster[[#This Row],[VORP]],TableWRTEMaster[VORP])+COUNTIF($BJ$2:BJ228,BJ228)-1</f>
        <v>101</v>
      </c>
      <c r="BF228" s="263" t="str">
        <f>IFERROR(INDEX(TableTEVORP[TIGHT END],MATCH(TableWRTEMaster[[#This Row],[RK]],TableTEVORP[RK],0)),"")</f>
        <v>Tyler Higbee</v>
      </c>
      <c r="BG228" s="263" t="str">
        <f>_xlfn.CONCAT(TableWRTEMaster[[#This Row],[POS]],TableWRTEMaster[[#This Row],[RK]])</f>
        <v>TE27</v>
      </c>
      <c r="BH228" s="263">
        <f>IFERROR(INDEX(TableTEVORP[BYE],MATCH(TableWRTEMaster[[#This Row],[RK]],TableTEVORP[RK],0)),"")</f>
        <v>7</v>
      </c>
      <c r="BI228" s="264">
        <f>IFERROR(INDEX(TableTEVORP[FPS],MATCH(TableWRTEMaster[[#This Row],[RK]],TableTEVORP[RK],0)),"")</f>
        <v>77.95767368469582</v>
      </c>
      <c r="BJ228" s="254">
        <f>IFERROR(INDEX(TableTEVORP[VORP],MATCH(TableWRTEMaster[[#This Row],[RK]],TableTEVORP[RK],0)),"")</f>
        <v>-0.23908391666737586</v>
      </c>
    </row>
    <row r="229" spans="15:62" x14ac:dyDescent="0.3">
      <c r="AB229" s="246"/>
      <c r="AC229" s="250"/>
      <c r="AD229" s="250"/>
      <c r="AE229" s="250"/>
      <c r="AF229" s="250" t="s">
        <v>358</v>
      </c>
      <c r="AG229" s="250">
        <v>88</v>
      </c>
      <c r="AH229" s="251">
        <f>RANK(TableOverallMaster[[#This Row],[VORP]],TableOverallMaster[VORP])+COUNTIF($AM$2:AM229,AM229)-1</f>
        <v>211</v>
      </c>
      <c r="AI229" s="252" t="str">
        <f>IFERROR(INDEX(TableWRVORP[WIDE RECEIVER],MATCH(TableOverallMaster[[#This Row],[RK]],TableWRVORP[RK],0)),"")</f>
        <v>Zay Jones</v>
      </c>
      <c r="AJ229" s="252" t="str">
        <f t="shared" si="3"/>
        <v>WR88</v>
      </c>
      <c r="AK229" s="252">
        <f>IFERROR(INDEX(TableWRVORP[BYE],MATCH(TableOverallMaster[[#This Row],[RK]],TableWRVORP[RK],0)),"")</f>
        <v>11</v>
      </c>
      <c r="AL229" s="253">
        <f>IFERROR(INDEX(TableWRVORP[FPS],MATCH(TableOverallMaster[[#This Row],[RK]],TableWRVORP[RK],0)),"")</f>
        <v>63.571604507371703</v>
      </c>
      <c r="AM229" s="254">
        <f>IFERROR(INDEX(TableWRVORP[VORP],MATCH(TableOverallMaster[[#This Row],[RK]],TableWRVORP[RK],0)),"")</f>
        <v>-0.416627050419002</v>
      </c>
      <c r="AN229" s="250"/>
      <c r="AO229" s="250">
        <v>228</v>
      </c>
      <c r="AP229" s="255" t="str">
        <f>IFERROR(INDEX(TableOverallMaster[OVERALL PLAYER],MATCH(TableOverallRank[[#This Row],[RK]],TableOverallMaster[OVR RK],0)),"")</f>
        <v>Jacoby Brissett</v>
      </c>
      <c r="AQ229" s="256" t="str">
        <f>IFERROR(INDEX(TableOverallMaster[POS RK],MATCH(TableOverallRank[[#This Row],[OVERALL PLAYER]],TableOverallMaster[OVERALL PLAYER],0)),"")</f>
        <v>QB33</v>
      </c>
      <c r="AR229" s="257">
        <f>IFERROR(INDEX(TableOverallMaster[BYE],MATCH(TableOverallRank[[#This Row],[OVERALL PLAYER]],TableOverallMaster[OVERALL PLAYER],0)),"")</f>
        <v>9</v>
      </c>
      <c r="AS229" s="258">
        <f>IFERROR(INDEX(TableOverallMaster[Custom],MATCH(TableOverallRank[[#This Row],[OVERALL PLAYER]],TableOverallMaster[OVERALL PLAYER],0)),"")</f>
        <v>134.63847628568968</v>
      </c>
      <c r="AT229" s="259">
        <f>IFERROR(INDEX(TableOverallMaster[VORP],MATCH(TableOverallRank[[#This Row],[OVERALL PLAYER]],TableOverallMaster[OVERALL PLAYER],0)),"")</f>
        <v>-0.53043592164822506</v>
      </c>
      <c r="AU229" s="250"/>
      <c r="AV229" s="246">
        <v>228</v>
      </c>
      <c r="AW229" s="260" t="str">
        <f>IFERROR(INDEX(TableWRTECalcPts[PLAYER],MATCH(TableWRTERank[[#This Row],[RK]],TableWRTECalcPts[RK],0)),"")</f>
        <v>Dazz Newsome</v>
      </c>
      <c r="AX229" s="260" t="str">
        <f>IFERROR(INDEX(TableWRTECalcPts[POS RK],MATCH(TableWRTERank[[#This Row],[WR and TE COMBINED]],TableWRTECalcPts[PLAYER],0)),"")</f>
        <v>WR161</v>
      </c>
      <c r="AY229" s="260">
        <f>IFERROR(INDEX(TableWRTECalcPts[BYE],MATCH(TableWRTERank[[#This Row],[RK]],TableWRTECalcPts[RK],0)),"")</f>
        <v>14</v>
      </c>
      <c r="AZ229" s="261">
        <f>IFERROR(INDEX(TableWRTECalcPts[Custom],MATCH(TableWRTERank[[#This Row],[RK]],TableWRTECalcPts[RK],0)),"")</f>
        <v>12.174862018266934</v>
      </c>
      <c r="BA229" s="249">
        <f>IFERROR((TableWRTERank[[#This Row],[FPS]]-INDEX(TableWRTERank[FPS],MATCH(WRTEVORPCalc,TableWRTERank[RK],0)))/INDEX(TableWRTERank[FPS],MATCH(WRTEVORPCalc,TableWRTERank[RK],0)),"")</f>
        <v>-0.89747498101956658</v>
      </c>
      <c r="BC229" s="124" t="s">
        <v>10</v>
      </c>
      <c r="BD229" s="124">
        <v>28</v>
      </c>
      <c r="BE229" s="262">
        <f>RANK(TableWRTEMaster[[#This Row],[VORP]],TableWRTEMaster[VORP])+COUNTIF($BJ$2:BJ229,BJ229)-1</f>
        <v>103</v>
      </c>
      <c r="BF229" s="263" t="str">
        <f>IFERROR(INDEX(TableTEVORP[TIGHT END],MATCH(TableWRTEMaster[[#This Row],[RK]],TableTEVORP[RK],0)),"")</f>
        <v>Austin Hooper</v>
      </c>
      <c r="BG229" s="263" t="str">
        <f>_xlfn.CONCAT(TableWRTEMaster[[#This Row],[POS]],TableWRTEMaster[[#This Row],[RK]])</f>
        <v>TE28</v>
      </c>
      <c r="BH229" s="263">
        <f>IFERROR(INDEX(TableTEVORP[BYE],MATCH(TableWRTEMaster[[#This Row],[RK]],TableTEVORP[RK],0)),"")</f>
        <v>6</v>
      </c>
      <c r="BI229" s="264">
        <f>IFERROR(INDEX(TableTEVORP[FPS],MATCH(TableWRTEMaster[[#This Row],[RK]],TableTEVORP[RK],0)),"")</f>
        <v>74.609358572769963</v>
      </c>
      <c r="BJ229" s="254">
        <f>IFERROR(INDEX(TableTEVORP[VORP],MATCH(TableWRTEMaster[[#This Row],[RK]],TableTEVORP[RK],0)),"")</f>
        <v>-0.27176558481251223</v>
      </c>
    </row>
    <row r="230" spans="15:62" x14ac:dyDescent="0.3">
      <c r="AB230" s="246"/>
      <c r="AC230" s="250"/>
      <c r="AD230" s="250"/>
      <c r="AE230" s="250"/>
      <c r="AF230" s="250" t="s">
        <v>358</v>
      </c>
      <c r="AG230" s="250">
        <v>89</v>
      </c>
      <c r="AH230" s="251">
        <f>RANK(TableOverallMaster[[#This Row],[VORP]],TableOverallMaster[VORP])+COUNTIF($AM$2:AM230,AM230)-1</f>
        <v>213</v>
      </c>
      <c r="AI230" s="252" t="str">
        <f>IFERROR(INDEX(TableWRVORP[WIDE RECEIVER],MATCH(TableOverallMaster[[#This Row],[RK]],TableWRVORP[RK],0)),"")</f>
        <v>Terrace Marshall</v>
      </c>
      <c r="AJ230" s="252" t="str">
        <f t="shared" si="3"/>
        <v>WR89</v>
      </c>
      <c r="AK230" s="252">
        <f>IFERROR(INDEX(TableWRVORP[BYE],MATCH(TableOverallMaster[[#This Row],[RK]],TableWRVORP[RK],0)),"")</f>
        <v>13</v>
      </c>
      <c r="AL230" s="253">
        <f>IFERROR(INDEX(TableWRVORP[FPS],MATCH(TableOverallMaster[[#This Row],[RK]],TableWRVORP[RK],0)),"")</f>
        <v>59.809797928534088</v>
      </c>
      <c r="AM230" s="254">
        <f>IFERROR(INDEX(TableWRVORP[VORP],MATCH(TableOverallMaster[[#This Row],[RK]],TableWRVORP[RK],0)),"")</f>
        <v>-0.45114774903366767</v>
      </c>
      <c r="AN230" s="250"/>
      <c r="AO230" s="250">
        <v>229</v>
      </c>
      <c r="AP230" s="255" t="str">
        <f>IFERROR(INDEX(TableOverallMaster[OVERALL PLAYER],MATCH(TableOverallRank[[#This Row],[RK]],TableOverallMaster[OVR RK],0)),"")</f>
        <v>Dee Eskridge</v>
      </c>
      <c r="AQ230" s="256" t="str">
        <f>IFERROR(INDEX(TableOverallMaster[POS RK],MATCH(TableOverallRank[[#This Row],[OVERALL PLAYER]],TableOverallMaster[OVERALL PLAYER],0)),"")</f>
        <v>WR97</v>
      </c>
      <c r="AR230" s="257">
        <f>IFERROR(INDEX(TableOverallMaster[BYE],MATCH(TableOverallRank[[#This Row],[OVERALL PLAYER]],TableOverallMaster[OVERALL PLAYER],0)),"")</f>
        <v>11</v>
      </c>
      <c r="AS230" s="258">
        <f>IFERROR(INDEX(TableOverallMaster[Custom],MATCH(TableOverallRank[[#This Row],[OVERALL PLAYER]],TableOverallMaster[OVERALL PLAYER],0)),"")</f>
        <v>49.28641646878944</v>
      </c>
      <c r="AT230" s="259">
        <f>IFERROR(INDEX(TableOverallMaster[VORP],MATCH(TableOverallRank[[#This Row],[OVERALL PLAYER]],TableOverallMaster[OVERALL PLAYER],0)),"")</f>
        <v>-0.54771690328594624</v>
      </c>
      <c r="AU230" s="250"/>
      <c r="AV230" s="246">
        <v>229</v>
      </c>
      <c r="AW230" s="260" t="str">
        <f>IFERROR(INDEX(TableWRTECalcPts[PLAYER],MATCH(TableWRTERank[[#This Row],[RK]],TableWRTECalcPts[RK],0)),"")</f>
        <v>Greg Ward</v>
      </c>
      <c r="AX230" s="260" t="str">
        <f>IFERROR(INDEX(TableWRTECalcPts[POS RK],MATCH(TableWRTERank[[#This Row],[WR and TE COMBINED]],TableWRTECalcPts[PLAYER],0)),"")</f>
        <v>WR162</v>
      </c>
      <c r="AY230" s="260">
        <f>IFERROR(INDEX(TableWRTECalcPts[BYE],MATCH(TableWRTERank[[#This Row],[RK]],TableWRTECalcPts[RK],0)),"")</f>
        <v>7</v>
      </c>
      <c r="AZ230" s="261">
        <f>IFERROR(INDEX(TableWRTECalcPts[Custom],MATCH(TableWRTERank[[#This Row],[RK]],TableWRTECalcPts[RK],0)),"")</f>
        <v>11.852095478256167</v>
      </c>
      <c r="BA230" s="249">
        <f>IFERROR((TableWRTERank[[#This Row],[FPS]]-INDEX(TableWRTERank[FPS],MATCH(WRTEVORPCalc,TableWRTERank[RK],0)))/INDEX(TableWRTERank[FPS],MATCH(WRTEVORPCalc,TableWRTERank[RK],0)),"")</f>
        <v>-0.90019301146551367</v>
      </c>
      <c r="BC230" s="124" t="s">
        <v>10</v>
      </c>
      <c r="BD230" s="124">
        <v>29</v>
      </c>
      <c r="BE230" s="262">
        <f>RANK(TableWRTEMaster[[#This Row],[VORP]],TableWRTEMaster[VORP])+COUNTIF($BJ$2:BJ230,BJ230)-1</f>
        <v>114</v>
      </c>
      <c r="BF230" s="263" t="str">
        <f>IFERROR(INDEX(TableTEVORP[TIGHT END],MATCH(TableWRTEMaster[[#This Row],[RK]],TableTEVORP[RK],0)),"")</f>
        <v>C.J. Uzomah</v>
      </c>
      <c r="BG230" s="263" t="str">
        <f>_xlfn.CONCAT(TableWRTEMaster[[#This Row],[POS]],TableWRTEMaster[[#This Row],[RK]])</f>
        <v>TE29</v>
      </c>
      <c r="BH230" s="263">
        <f>IFERROR(INDEX(TableTEVORP[BYE],MATCH(TableWRTEMaster[[#This Row],[RK]],TableTEVORP[RK],0)),"")</f>
        <v>10</v>
      </c>
      <c r="BI230" s="264">
        <f>IFERROR(INDEX(TableTEVORP[FPS],MATCH(TableWRTEMaster[[#This Row],[RK]],TableTEVORP[RK],0)),"")</f>
        <v>65.233312093704654</v>
      </c>
      <c r="BJ230" s="254">
        <f>IFERROR(INDEX(TableTEVORP[VORP],MATCH(TableWRTEMaster[[#This Row],[RK]],TableTEVORP[RK],0)),"")</f>
        <v>-0.36328171435801965</v>
      </c>
    </row>
    <row r="231" spans="15:62" x14ac:dyDescent="0.3">
      <c r="AB231" s="246"/>
      <c r="AC231" s="250"/>
      <c r="AD231" s="250"/>
      <c r="AE231" s="250"/>
      <c r="AF231" s="250" t="s">
        <v>358</v>
      </c>
      <c r="AG231" s="250">
        <v>90</v>
      </c>
      <c r="AH231" s="251">
        <f>RANK(TableOverallMaster[[#This Row],[VORP]],TableOverallMaster[VORP])+COUNTIF($AM$2:AM231,AM231)-1</f>
        <v>216</v>
      </c>
      <c r="AI231" s="252" t="str">
        <f>IFERROR(INDEX(TableWRVORP[WIDE RECEIVER],MATCH(TableOverallMaster[[#This Row],[RK]],TableWRVORP[RK],0)),"")</f>
        <v>David Bell</v>
      </c>
      <c r="AJ231" s="252" t="str">
        <f t="shared" si="3"/>
        <v>WR90</v>
      </c>
      <c r="AK231" s="252">
        <f>IFERROR(INDEX(TableWRVORP[BYE],MATCH(TableOverallMaster[[#This Row],[RK]],TableWRVORP[RK],0)),"")</f>
        <v>9</v>
      </c>
      <c r="AL231" s="253">
        <f>IFERROR(INDEX(TableWRVORP[FPS],MATCH(TableOverallMaster[[#This Row],[RK]],TableWRVORP[RK],0)),"")</f>
        <v>57.726772683944851</v>
      </c>
      <c r="AM231" s="254">
        <f>IFERROR(INDEX(TableWRVORP[VORP],MATCH(TableOverallMaster[[#This Row],[RK]],TableWRVORP[RK],0)),"")</f>
        <v>-0.47026289628226026</v>
      </c>
      <c r="AN231" s="250"/>
      <c r="AO231" s="250">
        <v>230</v>
      </c>
      <c r="AP231" s="255" t="str">
        <f>IFERROR(INDEX(TableOverallMaster[OVERALL PLAYER],MATCH(TableOverallRank[[#This Row],[RK]],TableOverallMaster[OVR RK],0)),"")</f>
        <v>D'Onta Foreman</v>
      </c>
      <c r="AQ231" s="256" t="str">
        <f>IFERROR(INDEX(TableOverallMaster[POS RK],MATCH(TableOverallRank[[#This Row],[OVERALL PLAYER]],TableOverallMaster[OVERALL PLAYER],0)),"")</f>
        <v>RB68</v>
      </c>
      <c r="AR231" s="257">
        <f>IFERROR(INDEX(TableOverallMaster[BYE],MATCH(TableOverallRank[[#This Row],[OVERALL PLAYER]],TableOverallMaster[OVERALL PLAYER],0)),"")</f>
        <v>13</v>
      </c>
      <c r="AS231" s="258">
        <f>IFERROR(INDEX(TableOverallMaster[Custom],MATCH(TableOverallRank[[#This Row],[OVERALL PLAYER]],TableOverallMaster[OVERALL PLAYER],0)),"")</f>
        <v>44.950911550462322</v>
      </c>
      <c r="AT231" s="259">
        <f>IFERROR(INDEX(TableOverallMaster[VORP],MATCH(TableOverallRank[[#This Row],[OVERALL PLAYER]],TableOverallMaster[OVERALL PLAYER],0)),"")</f>
        <v>-0.55634346915308275</v>
      </c>
      <c r="AU231" s="250"/>
      <c r="AV231" s="246">
        <v>230</v>
      </c>
      <c r="AW231" s="260" t="str">
        <f>IFERROR(INDEX(TableWRTECalcPts[PLAYER],MATCH(TableWRTERank[[#This Row],[RK]],TableWRTECalcPts[RK],0)),"")</f>
        <v>Chris Manhertz</v>
      </c>
      <c r="AX231" s="260" t="str">
        <f>IFERROR(INDEX(TableWRTECalcPts[POS RK],MATCH(TableWRTERank[[#This Row],[WR and TE COMBINED]],TableWRTECalcPts[PLAYER],0)),"")</f>
        <v>TE68</v>
      </c>
      <c r="AY231" s="260">
        <f>IFERROR(INDEX(TableWRTECalcPts[BYE],MATCH(TableWRTERank[[#This Row],[RK]],TableWRTECalcPts[RK],0)),"")</f>
        <v>11</v>
      </c>
      <c r="AZ231" s="261">
        <f>IFERROR(INDEX(TableWRTECalcPts[Custom],MATCH(TableWRTERank[[#This Row],[RK]],TableWRTECalcPts[RK],0)),"")</f>
        <v>11.678836361164802</v>
      </c>
      <c r="BA231" s="249">
        <f>IFERROR((TableWRTERank[[#This Row],[FPS]]-INDEX(TableWRTERank[FPS],MATCH(WRTEVORPCalc,TableWRTERank[RK],0)))/INDEX(TableWRTERank[FPS],MATCH(WRTEVORPCalc,TableWRTERank[RK],0)),"")</f>
        <v>-0.90165203369029723</v>
      </c>
      <c r="BC231" s="124" t="s">
        <v>10</v>
      </c>
      <c r="BD231" s="124">
        <v>30</v>
      </c>
      <c r="BE231" s="262">
        <f>RANK(TableWRTEMaster[[#This Row],[VORP]],TableWRTEMaster[VORP])+COUNTIF($BJ$2:BJ231,BJ231)-1</f>
        <v>120</v>
      </c>
      <c r="BF231" s="263" t="str">
        <f>IFERROR(INDEX(TableTEVORP[TIGHT END],MATCH(TableWRTEMaster[[#This Row],[RK]],TableTEVORP[RK],0)),"")</f>
        <v>Dan Arnold</v>
      </c>
      <c r="BG231" s="263" t="str">
        <f>_xlfn.CONCAT(TableWRTEMaster[[#This Row],[POS]],TableWRTEMaster[[#This Row],[RK]])</f>
        <v>TE30</v>
      </c>
      <c r="BH231" s="263">
        <f>IFERROR(INDEX(TableTEVORP[BYE],MATCH(TableWRTEMaster[[#This Row],[RK]],TableTEVORP[RK],0)),"")</f>
        <v>11</v>
      </c>
      <c r="BI231" s="264">
        <f>IFERROR(INDEX(TableTEVORP[FPS],MATCH(TableWRTEMaster[[#This Row],[RK]],TableTEVORP[RK],0)),"")</f>
        <v>54.026711510678737</v>
      </c>
      <c r="BJ231" s="254">
        <f>IFERROR(INDEX(TableTEVORP[VORP],MATCH(TableWRTEMaster[[#This Row],[RK]],TableTEVORP[RK],0)),"")</f>
        <v>-0.47266520696451086</v>
      </c>
    </row>
    <row r="232" spans="15:62" x14ac:dyDescent="0.3">
      <c r="AB232" s="246"/>
      <c r="AC232" s="250"/>
      <c r="AD232" s="250"/>
      <c r="AE232" s="250"/>
      <c r="AF232" s="250" t="s">
        <v>358</v>
      </c>
      <c r="AG232" s="250">
        <v>91</v>
      </c>
      <c r="AH232" s="251">
        <f>RANK(TableOverallMaster[[#This Row],[VORP]],TableOverallMaster[VORP])+COUNTIF($AM$2:AM232,AM232)-1</f>
        <v>219</v>
      </c>
      <c r="AI232" s="252" t="str">
        <f>IFERROR(INDEX(TableWRVORP[WIDE RECEIVER],MATCH(TableOverallMaster[[#This Row],[RK]],TableWRVORP[RK],0)),"")</f>
        <v>Wan'Dale Robinson</v>
      </c>
      <c r="AJ232" s="252" t="str">
        <f t="shared" si="3"/>
        <v>WR91</v>
      </c>
      <c r="AK232" s="252">
        <f>IFERROR(INDEX(TableWRVORP[BYE],MATCH(TableOverallMaster[[#This Row],[RK]],TableWRVORP[RK],0)),"")</f>
        <v>9</v>
      </c>
      <c r="AL232" s="253">
        <f>IFERROR(INDEX(TableWRVORP[FPS],MATCH(TableOverallMaster[[#This Row],[RK]],TableWRVORP[RK],0)),"")</f>
        <v>56.120534643103298</v>
      </c>
      <c r="AM232" s="254">
        <f>IFERROR(INDEX(TableWRVORP[VORP],MATCH(TableOverallMaster[[#This Row],[RK]],TableWRVORP[RK],0)),"")</f>
        <v>-0.48500274484949729</v>
      </c>
      <c r="AN232" s="250"/>
      <c r="AO232" s="250">
        <v>231</v>
      </c>
      <c r="AP232" s="255" t="str">
        <f>IFERROR(INDEX(TableOverallMaster[OVERALL PLAYER],MATCH(TableOverallRank[[#This Row],[RK]],TableOverallMaster[OVR RK],0)),"")</f>
        <v>KJ Hamler</v>
      </c>
      <c r="AQ232" s="256" t="str">
        <f>IFERROR(INDEX(TableOverallMaster[POS RK],MATCH(TableOverallRank[[#This Row],[OVERALL PLAYER]],TableOverallMaster[OVERALL PLAYER],0)),"")</f>
        <v>WR98</v>
      </c>
      <c r="AR232" s="257">
        <f>IFERROR(INDEX(TableOverallMaster[BYE],MATCH(TableOverallRank[[#This Row],[OVERALL PLAYER]],TableOverallMaster[OVERALL PLAYER],0)),"")</f>
        <v>9</v>
      </c>
      <c r="AS232" s="258">
        <f>IFERROR(INDEX(TableOverallMaster[Custom],MATCH(TableOverallRank[[#This Row],[OVERALL PLAYER]],TableOverallMaster[OVERALL PLAYER],0)),"")</f>
        <v>47.9270366316658</v>
      </c>
      <c r="AT232" s="259">
        <f>IFERROR(INDEX(TableOverallMaster[VORP],MATCH(TableOverallRank[[#This Row],[OVERALL PLAYER]],TableOverallMaster[OVERALL PLAYER],0)),"")</f>
        <v>-0.5601914260123908</v>
      </c>
      <c r="AU232" s="250"/>
      <c r="AV232" s="246">
        <v>231</v>
      </c>
      <c r="AW232" s="260" t="str">
        <f>IFERROR(INDEX(TableWRTECalcPts[PLAYER],MATCH(TableWRTERank[[#This Row],[RK]],TableWRTECalcPts[RK],0)),"")</f>
        <v>Denzel Mims</v>
      </c>
      <c r="AX232" s="260" t="str">
        <f>IFERROR(INDEX(TableWRTECalcPts[POS RK],MATCH(TableWRTERank[[#This Row],[WR and TE COMBINED]],TableWRTECalcPts[PLAYER],0)),"")</f>
        <v>WR163</v>
      </c>
      <c r="AY232" s="260">
        <f>IFERROR(INDEX(TableWRTECalcPts[BYE],MATCH(TableWRTERank[[#This Row],[RK]],TableWRTECalcPts[RK],0)),"")</f>
        <v>10</v>
      </c>
      <c r="AZ232" s="261">
        <f>IFERROR(INDEX(TableWRTECalcPts[Custom],MATCH(TableWRTERank[[#This Row],[RK]],TableWRTECalcPts[RK],0)),"")</f>
        <v>11.477164181856821</v>
      </c>
      <c r="BA232" s="249">
        <f>IFERROR((TableWRTERank[[#This Row],[FPS]]-INDEX(TableWRTERank[FPS],MATCH(WRTEVORPCalc,TableWRTERank[RK],0)))/INDEX(TableWRTERank[FPS],MATCH(WRTEVORPCalc,TableWRTERank[RK],0)),"")</f>
        <v>-0.9033503234927075</v>
      </c>
      <c r="BC232" s="124" t="s">
        <v>10</v>
      </c>
      <c r="BD232" s="124">
        <v>31</v>
      </c>
      <c r="BE232" s="262">
        <f>RANK(TableWRTEMaster[[#This Row],[VORP]],TableWRTEMaster[VORP])+COUNTIF($BJ$2:BJ232,BJ232)-1</f>
        <v>124</v>
      </c>
      <c r="BF232" s="263" t="str">
        <f>IFERROR(INDEX(TableTEVORP[TIGHT END],MATCH(TableWRTEMaster[[#This Row],[RK]],TableTEVORP[RK],0)),"")</f>
        <v>Tommy Tremble</v>
      </c>
      <c r="BG232" s="263" t="str">
        <f>_xlfn.CONCAT(TableWRTEMaster[[#This Row],[POS]],TableWRTEMaster[[#This Row],[RK]])</f>
        <v>TE31</v>
      </c>
      <c r="BH232" s="263">
        <f>IFERROR(INDEX(TableTEVORP[BYE],MATCH(TableWRTEMaster[[#This Row],[RK]],TableTEVORP[RK],0)),"")</f>
        <v>13</v>
      </c>
      <c r="BI232" s="264">
        <f>IFERROR(INDEX(TableTEVORP[FPS],MATCH(TableWRTEMaster[[#This Row],[RK]],TableTEVORP[RK],0)),"")</f>
        <v>50.482570632097605</v>
      </c>
      <c r="BJ232" s="254">
        <f>IFERROR(INDEX(TableTEVORP[VORP],MATCH(TableWRTEMaster[[#This Row],[RK]],TableTEVORP[RK],0)),"")</f>
        <v>-0.50725825815041892</v>
      </c>
    </row>
    <row r="233" spans="15:62" x14ac:dyDescent="0.3">
      <c r="AB233" s="246"/>
      <c r="AC233" s="250"/>
      <c r="AD233" s="250"/>
      <c r="AE233" s="250"/>
      <c r="AF233" s="250" t="s">
        <v>358</v>
      </c>
      <c r="AG233" s="250">
        <v>92</v>
      </c>
      <c r="AH233" s="251">
        <f>RANK(TableOverallMaster[[#This Row],[VORP]],TableOverallMaster[VORP])+COUNTIF($AM$2:AM233,AM233)-1</f>
        <v>220</v>
      </c>
      <c r="AI233" s="252" t="str">
        <f>IFERROR(INDEX(TableWRVORP[WIDE RECEIVER],MATCH(TableOverallMaster[[#This Row],[RK]],TableWRVORP[RK],0)),"")</f>
        <v>Velus Jones</v>
      </c>
      <c r="AJ233" s="252" t="str">
        <f t="shared" si="3"/>
        <v>WR92</v>
      </c>
      <c r="AK233" s="252">
        <f>IFERROR(INDEX(TableWRVORP[BYE],MATCH(TableOverallMaster[[#This Row],[RK]],TableWRVORP[RK],0)),"")</f>
        <v>14</v>
      </c>
      <c r="AL233" s="253">
        <f>IFERROR(INDEX(TableWRVORP[FPS],MATCH(TableOverallMaster[[#This Row],[RK]],TableWRVORP[RK],0)),"")</f>
        <v>56.106932884563086</v>
      </c>
      <c r="AM233" s="254">
        <f>IFERROR(INDEX(TableWRVORP[VORP],MATCH(TableOverallMaster[[#This Row],[RK]],TableWRVORP[RK],0)),"")</f>
        <v>-0.48512756312426919</v>
      </c>
      <c r="AN233" s="250"/>
      <c r="AO233" s="250">
        <v>232</v>
      </c>
      <c r="AP233" s="255" t="str">
        <f>IFERROR(INDEX(TableOverallMaster[OVERALL PLAYER],MATCH(TableOverallRank[[#This Row],[RK]],TableOverallMaster[OVR RK],0)),"")</f>
        <v>Bryan Edwards</v>
      </c>
      <c r="AQ233" s="256" t="str">
        <f>IFERROR(INDEX(TableOverallMaster[POS RK],MATCH(TableOverallRank[[#This Row],[OVERALL PLAYER]],TableOverallMaster[OVERALL PLAYER],0)),"")</f>
        <v>WR99</v>
      </c>
      <c r="AR233" s="257">
        <f>IFERROR(INDEX(TableOverallMaster[BYE],MATCH(TableOverallRank[[#This Row],[OVERALL PLAYER]],TableOverallMaster[OVERALL PLAYER],0)),"")</f>
        <v>14</v>
      </c>
      <c r="AS233" s="258">
        <f>IFERROR(INDEX(TableOverallMaster[Custom],MATCH(TableOverallRank[[#This Row],[OVERALL PLAYER]],TableOverallMaster[OVERALL PLAYER],0)),"")</f>
        <v>47.814013950587054</v>
      </c>
      <c r="AT233" s="259">
        <f>IFERROR(INDEX(TableOverallMaster[VORP],MATCH(TableOverallRank[[#This Row],[OVERALL PLAYER]],TableOverallMaster[OVERALL PLAYER],0)),"")</f>
        <v>-0.56122859308315143</v>
      </c>
      <c r="AU233" s="250"/>
      <c r="AV233" s="246">
        <v>232</v>
      </c>
      <c r="AW233" s="260" t="str">
        <f>IFERROR(INDEX(TableWRTECalcPts[PLAYER],MATCH(TableWRTERank[[#This Row],[RK]],TableWRTECalcPts[RK],0)),"")</f>
        <v>Nick Eubanks</v>
      </c>
      <c r="AX233" s="260" t="str">
        <f>IFERROR(INDEX(TableWRTECalcPts[POS RK],MATCH(TableWRTERank[[#This Row],[WR and TE COMBINED]],TableWRTECalcPts[PLAYER],0)),"")</f>
        <v>TE69</v>
      </c>
      <c r="AY233" s="260">
        <f>IFERROR(INDEX(TableWRTECalcPts[BYE],MATCH(TableWRTERank[[#This Row],[RK]],TableWRTECalcPts[RK],0)),"")</f>
        <v>10</v>
      </c>
      <c r="AZ233" s="261">
        <f>IFERROR(INDEX(TableWRTECalcPts[Custom],MATCH(TableWRTERank[[#This Row],[RK]],TableWRTECalcPts[RK],0)),"")</f>
        <v>11.358717136259679</v>
      </c>
      <c r="BA233" s="249">
        <f>IFERROR((TableWRTERank[[#This Row],[FPS]]-INDEX(TableWRTERank[FPS],MATCH(WRTEVORPCalc,TableWRTERank[RK],0)))/INDEX(TableWRTERank[FPS],MATCH(WRTEVORPCalc,TableWRTERank[RK],0)),"")</f>
        <v>-0.9043477709857306</v>
      </c>
      <c r="BC233" s="124" t="s">
        <v>10</v>
      </c>
      <c r="BD233" s="124">
        <v>32</v>
      </c>
      <c r="BE233" s="262">
        <f>RANK(TableWRTEMaster[[#This Row],[VORP]],TableWRTEMaster[VORP])+COUNTIF($BJ$2:BJ233,BJ233)-1</f>
        <v>125</v>
      </c>
      <c r="BF233" s="263" t="str">
        <f>IFERROR(INDEX(TableTEVORP[TIGHT END],MATCH(TableWRTEMaster[[#This Row],[RK]],TableTEVORP[RK],0)),"")</f>
        <v>Adam Trautman</v>
      </c>
      <c r="BG233" s="263" t="str">
        <f>_xlfn.CONCAT(TableWRTEMaster[[#This Row],[POS]],TableWRTEMaster[[#This Row],[RK]])</f>
        <v>TE32</v>
      </c>
      <c r="BH233" s="263">
        <f>IFERROR(INDEX(TableTEVORP[BYE],MATCH(TableWRTEMaster[[#This Row],[RK]],TableTEVORP[RK],0)),"")</f>
        <v>14</v>
      </c>
      <c r="BI233" s="264">
        <f>IFERROR(INDEX(TableTEVORP[FPS],MATCH(TableWRTEMaster[[#This Row],[RK]],TableTEVORP[RK],0)),"")</f>
        <v>50.26987913575595</v>
      </c>
      <c r="BJ233" s="254">
        <f>IFERROR(INDEX(TableTEVORP[VORP],MATCH(TableWRTEMaster[[#This Row],[RK]],TableTEVORP[RK],0)),"")</f>
        <v>-0.50933426135452964</v>
      </c>
    </row>
    <row r="234" spans="15:62" x14ac:dyDescent="0.3">
      <c r="AB234" s="246"/>
      <c r="AC234" s="250"/>
      <c r="AD234" s="250"/>
      <c r="AE234" s="250"/>
      <c r="AF234" s="250" t="s">
        <v>358</v>
      </c>
      <c r="AG234" s="250">
        <v>93</v>
      </c>
      <c r="AH234" s="251">
        <f>RANK(TableOverallMaster[[#This Row],[VORP]],TableOverallMaster[VORP])+COUNTIF($AM$2:AM234,AM234)-1</f>
        <v>221</v>
      </c>
      <c r="AI234" s="252" t="str">
        <f>IFERROR(INDEX(TableWRVORP[WIDE RECEIVER],MATCH(TableOverallMaster[[#This Row],[RK]],TableWRVORP[RK],0)),"")</f>
        <v>A.J. Green</v>
      </c>
      <c r="AJ234" s="252" t="str">
        <f t="shared" si="3"/>
        <v>WR93</v>
      </c>
      <c r="AK234" s="252">
        <f>IFERROR(INDEX(TableWRVORP[BYE],MATCH(TableOverallMaster[[#This Row],[RK]],TableWRVORP[RK],0)),"")</f>
        <v>13</v>
      </c>
      <c r="AL234" s="253">
        <f>IFERROR(INDEX(TableWRVORP[FPS],MATCH(TableOverallMaster[[#This Row],[RK]],TableWRVORP[RK],0)),"")</f>
        <v>54.6611752499904</v>
      </c>
      <c r="AM234" s="254">
        <f>IFERROR(INDEX(TableWRVORP[VORP],MATCH(TableOverallMaster[[#This Row],[RK]],TableWRVORP[RK],0)),"")</f>
        <v>-0.49839474274315254</v>
      </c>
      <c r="AN234" s="250"/>
      <c r="AO234" s="250">
        <v>233</v>
      </c>
      <c r="AP234" s="255" t="str">
        <f>IFERROR(INDEX(TableOverallMaster[OVERALL PLAYER],MATCH(TableOverallRank[[#This Row],[RK]],TableOverallMaster[OVR RK],0)),"")</f>
        <v>Laquon Treadwell</v>
      </c>
      <c r="AQ234" s="256" t="str">
        <f>IFERROR(INDEX(TableOverallMaster[POS RK],MATCH(TableOverallRank[[#This Row],[OVERALL PLAYER]],TableOverallMaster[OVERALL PLAYER],0)),"")</f>
        <v>WR100</v>
      </c>
      <c r="AR234" s="257">
        <f>IFERROR(INDEX(TableOverallMaster[BYE],MATCH(TableOverallRank[[#This Row],[OVERALL PLAYER]],TableOverallMaster[OVERALL PLAYER],0)),"")</f>
        <v>11</v>
      </c>
      <c r="AS234" s="258">
        <f>IFERROR(INDEX(TableOverallMaster[Custom],MATCH(TableOverallRank[[#This Row],[OVERALL PLAYER]],TableOverallMaster[OVERALL PLAYER],0)),"")</f>
        <v>47.277068597833136</v>
      </c>
      <c r="AT234" s="259">
        <f>IFERROR(INDEX(TableOverallMaster[VORP],MATCH(TableOverallRank[[#This Row],[OVERALL PLAYER]],TableOverallMaster[OVERALL PLAYER],0)),"")</f>
        <v>-0.56615594070363717</v>
      </c>
      <c r="AU234" s="250"/>
      <c r="AV234" s="246">
        <v>233</v>
      </c>
      <c r="AW234" s="260" t="str">
        <f>IFERROR(INDEX(TableWRTECalcPts[PLAYER],MATCH(TableWRTERank[[#This Row],[RK]],TableWRTECalcPts[RK],0)),"")</f>
        <v>Trent Sherfield</v>
      </c>
      <c r="AX234" s="260" t="str">
        <f>IFERROR(INDEX(TableWRTECalcPts[POS RK],MATCH(TableWRTERank[[#This Row],[WR and TE COMBINED]],TableWRTECalcPts[PLAYER],0)),"")</f>
        <v>WR164</v>
      </c>
      <c r="AY234" s="260">
        <f>IFERROR(INDEX(TableWRTECalcPts[BYE],MATCH(TableWRTERank[[#This Row],[RK]],TableWRTECalcPts[RK],0)),"")</f>
        <v>11</v>
      </c>
      <c r="AZ234" s="261">
        <f>IFERROR(INDEX(TableWRTECalcPts[Custom],MATCH(TableWRTERank[[#This Row],[RK]],TableWRTECalcPts[RK],0)),"")</f>
        <v>11.073930520196011</v>
      </c>
      <c r="BA234" s="249">
        <f>IFERROR((TableWRTERank[[#This Row],[FPS]]-INDEX(TableWRTERank[FPS],MATCH(WRTEVORPCalc,TableWRTERank[RK],0)))/INDEX(TableWRTERank[FPS],MATCH(WRTEVORPCalc,TableWRTERank[RK],0)),"")</f>
        <v>-0.90674597091386888</v>
      </c>
      <c r="BC234" s="124" t="s">
        <v>10</v>
      </c>
      <c r="BD234" s="124">
        <v>33</v>
      </c>
      <c r="BE234" s="262">
        <f>RANK(TableWRTEMaster[[#This Row],[VORP]],TableWRTEMaster[VORP])+COUNTIF($BJ$2:BJ234,BJ234)-1</f>
        <v>135</v>
      </c>
      <c r="BF234" s="263" t="str">
        <f>IFERROR(INDEX(TableTEVORP[TIGHT END],MATCH(TableWRTEMaster[[#This Row],[RK]],TableTEVORP[RK],0)),"")</f>
        <v>Ricky Seals-Jones</v>
      </c>
      <c r="BG234" s="263" t="str">
        <f>_xlfn.CONCAT(TableWRTEMaster[[#This Row],[POS]],TableWRTEMaster[[#This Row],[RK]])</f>
        <v>TE33</v>
      </c>
      <c r="BH234" s="263">
        <f>IFERROR(INDEX(TableTEVORP[BYE],MATCH(TableWRTEMaster[[#This Row],[RK]],TableTEVORP[RK],0)),"")</f>
        <v>9</v>
      </c>
      <c r="BI234" s="264">
        <f>IFERROR(INDEX(TableTEVORP[FPS],MATCH(TableWRTEMaster[[#This Row],[RK]],TableTEVORP[RK],0)),"")</f>
        <v>43.271345190999646</v>
      </c>
      <c r="BJ234" s="254">
        <f>IFERROR(INDEX(TableTEVORP[VORP],MATCH(TableWRTEMaster[[#This Row],[RK]],TableTEVORP[RK],0)),"")</f>
        <v>-0.57764436844998823</v>
      </c>
    </row>
    <row r="235" spans="15:62" x14ac:dyDescent="0.3">
      <c r="AB235" s="246"/>
      <c r="AC235" s="250"/>
      <c r="AD235" s="250"/>
      <c r="AE235" s="250"/>
      <c r="AF235" s="250" t="s">
        <v>358</v>
      </c>
      <c r="AG235" s="250">
        <v>94</v>
      </c>
      <c r="AH235" s="251">
        <f>RANK(TableOverallMaster[[#This Row],[VORP]],TableOverallMaster[VORP])+COUNTIF($AM$2:AM235,AM235)-1</f>
        <v>224</v>
      </c>
      <c r="AI235" s="252" t="str">
        <f>IFERROR(INDEX(TableWRVORP[WIDE RECEIVER],MATCH(TableOverallMaster[[#This Row],[RK]],TableWRVORP[RK],0)),"")</f>
        <v>Parris Campbell</v>
      </c>
      <c r="AJ235" s="252" t="str">
        <f t="shared" si="3"/>
        <v>WR94</v>
      </c>
      <c r="AK235" s="252">
        <f>IFERROR(INDEX(TableWRVORP[BYE],MATCH(TableOverallMaster[[#This Row],[RK]],TableWRVORP[RK],0)),"")</f>
        <v>14</v>
      </c>
      <c r="AL235" s="253">
        <f>IFERROR(INDEX(TableWRVORP[FPS],MATCH(TableOverallMaster[[#This Row],[RK]],TableWRVORP[RK],0)),"")</f>
        <v>53.350300430483863</v>
      </c>
      <c r="AM235" s="254">
        <f>IFERROR(INDEX(TableWRVORP[VORP],MATCH(TableOverallMaster[[#This Row],[RK]],TableWRVORP[RK],0)),"")</f>
        <v>-0.51042415297926369</v>
      </c>
      <c r="AN235" s="250"/>
      <c r="AO235" s="250">
        <v>234</v>
      </c>
      <c r="AP235" s="255" t="str">
        <f>IFERROR(INDEX(TableOverallMaster[OVERALL PLAYER],MATCH(TableOverallRank[[#This Row],[RK]],TableOverallMaster[OVR RK],0)),"")</f>
        <v>Brandon Bolden</v>
      </c>
      <c r="AQ235" s="256" t="str">
        <f>IFERROR(INDEX(TableOverallMaster[POS RK],MATCH(TableOverallRank[[#This Row],[OVERALL PLAYER]],TableOverallMaster[OVERALL PLAYER],0)),"")</f>
        <v>RB69</v>
      </c>
      <c r="AR235" s="257">
        <f>IFERROR(INDEX(TableOverallMaster[BYE],MATCH(TableOverallRank[[#This Row],[OVERALL PLAYER]],TableOverallMaster[OVERALL PLAYER],0)),"")</f>
        <v>6</v>
      </c>
      <c r="AS235" s="258">
        <f>IFERROR(INDEX(TableOverallMaster[Custom],MATCH(TableOverallRank[[#This Row],[OVERALL PLAYER]],TableOverallMaster[OVERALL PLAYER],0)),"")</f>
        <v>43.365317129300699</v>
      </c>
      <c r="AT235" s="259">
        <f>IFERROR(INDEX(TableOverallMaster[VORP],MATCH(TableOverallRank[[#This Row],[OVERALL PLAYER]],TableOverallMaster[OVERALL PLAYER],0)),"")</f>
        <v>-0.57199296981856051</v>
      </c>
      <c r="AU235" s="250"/>
      <c r="AV235" s="246">
        <v>234</v>
      </c>
      <c r="AW235" s="260" t="str">
        <f>IFERROR(INDEX(TableWRTECalcPts[PLAYER],MATCH(TableWRTERank[[#This Row],[RK]],TableWRTECalcPts[RK],0)),"")</f>
        <v>Simi Fehoko</v>
      </c>
      <c r="AX235" s="260" t="str">
        <f>IFERROR(INDEX(TableWRTECalcPts[POS RK],MATCH(TableWRTERank[[#This Row],[WR and TE COMBINED]],TableWRTECalcPts[PLAYER],0)),"")</f>
        <v>WR165</v>
      </c>
      <c r="AY235" s="260">
        <f>IFERROR(INDEX(TableWRTECalcPts[BYE],MATCH(TableWRTERank[[#This Row],[RK]],TableWRTECalcPts[RK],0)),"")</f>
        <v>9</v>
      </c>
      <c r="AZ235" s="261">
        <f>IFERROR(INDEX(TableWRTECalcPts[Custom],MATCH(TableWRTERank[[#This Row],[RK]],TableWRTECalcPts[RK],0)),"")</f>
        <v>10.99121037383858</v>
      </c>
      <c r="BA235" s="249">
        <f>IFERROR((TableWRTERank[[#This Row],[FPS]]-INDEX(TableWRTERank[FPS],MATCH(WRTEVORPCalc,TableWRTERank[RK],0)))/INDEX(TableWRTERank[FPS],MATCH(WRTEVORPCalc,TableWRTERank[RK],0)),"")</f>
        <v>-0.90744256070376839</v>
      </c>
      <c r="BC235" s="124" t="s">
        <v>10</v>
      </c>
      <c r="BD235" s="124">
        <v>34</v>
      </c>
      <c r="BE235" s="262">
        <f>RANK(TableWRTEMaster[[#This Row],[VORP]],TableWRTEMaster[VORP])+COUNTIF($BJ$2:BJ235,BJ235)-1</f>
        <v>137</v>
      </c>
      <c r="BF235" s="263" t="str">
        <f>IFERROR(INDEX(TableTEVORP[TIGHT END],MATCH(TableWRTEMaster[[#This Row],[RK]],TableTEVORP[RK],0)),"")</f>
        <v>Jonnu Smith</v>
      </c>
      <c r="BG235" s="263" t="str">
        <f>_xlfn.CONCAT(TableWRTEMaster[[#This Row],[POS]],TableWRTEMaster[[#This Row],[RK]])</f>
        <v>TE34</v>
      </c>
      <c r="BH235" s="263">
        <f>IFERROR(INDEX(TableTEVORP[BYE],MATCH(TableWRTEMaster[[#This Row],[RK]],TableTEVORP[RK],0)),"")</f>
        <v>10</v>
      </c>
      <c r="BI235" s="264">
        <f>IFERROR(INDEX(TableTEVORP[FPS],MATCH(TableWRTEMaster[[#This Row],[RK]],TableTEVORP[RK],0)),"")</f>
        <v>41.486085433533724</v>
      </c>
      <c r="BJ235" s="254">
        <f>IFERROR(INDEX(TableTEVORP[VORP],MATCH(TableWRTEMaster[[#This Row],[RK]],TableTEVORP[RK],0)),"")</f>
        <v>-0.59506963011026537</v>
      </c>
    </row>
    <row r="236" spans="15:62" x14ac:dyDescent="0.3">
      <c r="AB236" s="246"/>
      <c r="AC236" s="250"/>
      <c r="AD236" s="250"/>
      <c r="AE236" s="250"/>
      <c r="AF236" s="250" t="s">
        <v>358</v>
      </c>
      <c r="AG236" s="250">
        <v>95</v>
      </c>
      <c r="AH236" s="251">
        <f>RANK(TableOverallMaster[[#This Row],[VORP]],TableOverallMaster[VORP])+COUNTIF($AM$2:AM236,AM236)-1</f>
        <v>226</v>
      </c>
      <c r="AI236" s="252" t="str">
        <f>IFERROR(INDEX(TableWRVORP[WIDE RECEIVER],MATCH(TableOverallMaster[[#This Row],[RK]],TableWRVORP[RK],0)),"")</f>
        <v>James Washington</v>
      </c>
      <c r="AJ236" s="252" t="str">
        <f t="shared" si="3"/>
        <v>WR95</v>
      </c>
      <c r="AK236" s="252">
        <f>IFERROR(INDEX(TableWRVORP[BYE],MATCH(TableOverallMaster[[#This Row],[RK]],TableWRVORP[RK],0)),"")</f>
        <v>9</v>
      </c>
      <c r="AL236" s="253">
        <f>IFERROR(INDEX(TableWRVORP[FPS],MATCH(TableOverallMaster[[#This Row],[RK]],TableWRVORP[RK],0)),"")</f>
        <v>51.375545577633844</v>
      </c>
      <c r="AM236" s="254">
        <f>IFERROR(INDEX(TableWRVORP[VORP],MATCH(TableOverallMaster[[#This Row],[RK]],TableWRVORP[RK],0)),"")</f>
        <v>-0.52854574314729097</v>
      </c>
      <c r="AN236" s="250"/>
      <c r="AO236" s="250">
        <v>235</v>
      </c>
      <c r="AP236" s="255" t="str">
        <f>IFERROR(INDEX(TableOverallMaster[OVERALL PLAYER],MATCH(TableOverallRank[[#This Row],[RK]],TableOverallMaster[OVR RK],0)),"")</f>
        <v>Isaiah McKenzie</v>
      </c>
      <c r="AQ236" s="256" t="str">
        <f>IFERROR(INDEX(TableOverallMaster[POS RK],MATCH(TableOverallRank[[#This Row],[OVERALL PLAYER]],TableOverallMaster[OVERALL PLAYER],0)),"")</f>
        <v>WR101</v>
      </c>
      <c r="AR236" s="257">
        <f>IFERROR(INDEX(TableOverallMaster[BYE],MATCH(TableOverallRank[[#This Row],[OVERALL PLAYER]],TableOverallMaster[OVERALL PLAYER],0)),"")</f>
        <v>7</v>
      </c>
      <c r="AS236" s="258">
        <f>IFERROR(INDEX(TableOverallMaster[Custom],MATCH(TableOverallRank[[#This Row],[OVERALL PLAYER]],TableOverallMaster[OVERALL PLAYER],0)),"")</f>
        <v>46.563602815971421</v>
      </c>
      <c r="AT236" s="259">
        <f>IFERROR(INDEX(TableOverallMaster[VORP],MATCH(TableOverallRank[[#This Row],[OVERALL PLAYER]],TableOverallMaster[OVERALL PLAYER],0)),"")</f>
        <v>-0.57270315059105659</v>
      </c>
      <c r="AU236" s="250"/>
      <c r="AV236" s="246">
        <v>235</v>
      </c>
      <c r="AW236" s="260" t="str">
        <f>IFERROR(INDEX(TableWRTECalcPts[PLAYER],MATCH(TableWRTERank[[#This Row],[RK]],TableWRTECalcPts[RK],0)),"")</f>
        <v>Zach Gentry</v>
      </c>
      <c r="AX236" s="260" t="str">
        <f>IFERROR(INDEX(TableWRTECalcPts[POS RK],MATCH(TableWRTERank[[#This Row],[WR and TE COMBINED]],TableWRTECalcPts[PLAYER],0)),"")</f>
        <v>TE70</v>
      </c>
      <c r="AY236" s="260">
        <f>IFERROR(INDEX(TableWRTECalcPts[BYE],MATCH(TableWRTERank[[#This Row],[RK]],TableWRTECalcPts[RK],0)),"")</f>
        <v>9</v>
      </c>
      <c r="AZ236" s="261">
        <f>IFERROR(INDEX(TableWRTECalcPts[Custom],MATCH(TableWRTERank[[#This Row],[RK]],TableWRTECalcPts[RK],0)),"")</f>
        <v>10.814157745203755</v>
      </c>
      <c r="BA236" s="249">
        <f>IFERROR((TableWRTERank[[#This Row],[FPS]]-INDEX(TableWRTERank[FPS],MATCH(WRTEVORPCalc,TableWRTERank[RK],0)))/INDEX(TableWRTERank[FPS],MATCH(WRTEVORPCalc,TableWRTERank[RK],0)),"")</f>
        <v>-0.90893352824689833</v>
      </c>
      <c r="BC236" s="124" t="s">
        <v>10</v>
      </c>
      <c r="BD236" s="124">
        <v>35</v>
      </c>
      <c r="BE236" s="262">
        <f>RANK(TableWRTEMaster[[#This Row],[VORP]],TableWRTEMaster[VORP])+COUNTIF($BJ$2:BJ236,BJ236)-1</f>
        <v>140</v>
      </c>
      <c r="BF236" s="263" t="str">
        <f>IFERROR(INDEX(TableTEVORP[TIGHT END],MATCH(TableWRTEMaster[[#This Row],[RK]],TableTEVORP[RK],0)),"")</f>
        <v>Cade Otton</v>
      </c>
      <c r="BG236" s="263" t="str">
        <f>_xlfn.CONCAT(TableWRTEMaster[[#This Row],[POS]],TableWRTEMaster[[#This Row],[RK]])</f>
        <v>TE35</v>
      </c>
      <c r="BH236" s="263">
        <f>IFERROR(INDEX(TableTEVORP[BYE],MATCH(TableWRTEMaster[[#This Row],[RK]],TableTEVORP[RK],0)),"")</f>
        <v>11</v>
      </c>
      <c r="BI236" s="264">
        <f>IFERROR(INDEX(TableTEVORP[FPS],MATCH(TableWRTEMaster[[#This Row],[RK]],TableTEVORP[RK],0)),"")</f>
        <v>38.578392188776903</v>
      </c>
      <c r="BJ236" s="254">
        <f>IFERROR(INDEX(TableTEVORP[VORP],MATCH(TableWRTEMaster[[#This Row],[RK]],TableTEVORP[RK],0)),"")</f>
        <v>-0.62345055081708012</v>
      </c>
    </row>
    <row r="237" spans="15:62" x14ac:dyDescent="0.3">
      <c r="AB237" s="246"/>
      <c r="AC237" s="250"/>
      <c r="AD237" s="250"/>
      <c r="AE237" s="250"/>
      <c r="AF237" s="250" t="s">
        <v>358</v>
      </c>
      <c r="AG237" s="250">
        <v>96</v>
      </c>
      <c r="AH237" s="251">
        <f>RANK(TableOverallMaster[[#This Row],[VORP]],TableOverallMaster[VORP])+COUNTIF($AM$2:AM237,AM237)-1</f>
        <v>227</v>
      </c>
      <c r="AI237" s="252" t="str">
        <f>IFERROR(INDEX(TableWRVORP[WIDE RECEIVER],MATCH(TableOverallMaster[[#This Row],[RK]],TableWRVORP[RK],0)),"")</f>
        <v>Olamide Zaccheaus</v>
      </c>
      <c r="AJ237" s="252" t="str">
        <f t="shared" si="3"/>
        <v>WR96</v>
      </c>
      <c r="AK237" s="252">
        <f>IFERROR(INDEX(TableWRVORP[BYE],MATCH(TableOverallMaster[[#This Row],[RK]],TableWRVORP[RK],0)),"")</f>
        <v>14</v>
      </c>
      <c r="AL237" s="253">
        <f>IFERROR(INDEX(TableWRVORP[FPS],MATCH(TableOverallMaster[[#This Row],[RK]],TableWRVORP[RK],0)),"")</f>
        <v>51.177073421678053</v>
      </c>
      <c r="AM237" s="254">
        <f>IFERROR(INDEX(TableWRVORP[VORP],MATCH(TableOverallMaster[[#This Row],[RK]],TableWRVORP[RK],0)),"")</f>
        <v>-0.53036704823982173</v>
      </c>
      <c r="AN237" s="250"/>
      <c r="AO237" s="250">
        <v>236</v>
      </c>
      <c r="AP237" s="255" t="str">
        <f>IFERROR(INDEX(TableOverallMaster[OVERALL PLAYER],MATCH(TableOverallRank[[#This Row],[RK]],TableOverallMaster[OVR RK],0)),"")</f>
        <v>James Proche</v>
      </c>
      <c r="AQ237" s="256" t="str">
        <f>IFERROR(INDEX(TableOverallMaster[POS RK],MATCH(TableOverallRank[[#This Row],[OVERALL PLAYER]],TableOverallMaster[OVERALL PLAYER],0)),"")</f>
        <v>WR102</v>
      </c>
      <c r="AR237" s="257">
        <f>IFERROR(INDEX(TableOverallMaster[BYE],MATCH(TableOverallRank[[#This Row],[OVERALL PLAYER]],TableOverallMaster[OVERALL PLAYER],0)),"")</f>
        <v>10</v>
      </c>
      <c r="AS237" s="258">
        <f>IFERROR(INDEX(TableOverallMaster[Custom],MATCH(TableOverallRank[[#This Row],[OVERALL PLAYER]],TableOverallMaster[OVERALL PLAYER],0)),"")</f>
        <v>46.152657475365487</v>
      </c>
      <c r="AT237" s="259">
        <f>IFERROR(INDEX(TableOverallMaster[VORP],MATCH(TableOverallRank[[#This Row],[OVERALL PLAYER]],TableOverallMaster[OVERALL PLAYER],0)),"")</f>
        <v>-0.57647424300446348</v>
      </c>
      <c r="AU237" s="250"/>
      <c r="AV237" s="246">
        <v>236</v>
      </c>
      <c r="AW237" s="260" t="str">
        <f>IFERROR(INDEX(TableWRTECalcPts[PLAYER],MATCH(TableWRTERank[[#This Row],[RK]],TableWRTECalcPts[RK],0)),"")</f>
        <v>Jamal Agnew</v>
      </c>
      <c r="AX237" s="260" t="str">
        <f>IFERROR(INDEX(TableWRTECalcPts[POS RK],MATCH(TableWRTERank[[#This Row],[WR and TE COMBINED]],TableWRTECalcPts[PLAYER],0)),"")</f>
        <v>WR166</v>
      </c>
      <c r="AY237" s="260">
        <f>IFERROR(INDEX(TableWRTECalcPts[BYE],MATCH(TableWRTERank[[#This Row],[RK]],TableWRTECalcPts[RK],0)),"")</f>
        <v>11</v>
      </c>
      <c r="AZ237" s="261">
        <f>IFERROR(INDEX(TableWRTECalcPts[Custom],MATCH(TableWRTERank[[#This Row],[RK]],TableWRTECalcPts[RK],0)),"")</f>
        <v>10.768144786225456</v>
      </c>
      <c r="BA237" s="249">
        <f>IFERROR((TableWRTERank[[#This Row],[FPS]]-INDEX(TableWRTERank[FPS],MATCH(WRTEVORPCalc,TableWRTERank[RK],0)))/INDEX(TableWRTERank[FPS],MATCH(WRTEVORPCalc,TableWRTERank[RK],0)),"")</f>
        <v>-0.90932100528651638</v>
      </c>
      <c r="BC237" s="124" t="s">
        <v>10</v>
      </c>
      <c r="BD237" s="124">
        <v>36</v>
      </c>
      <c r="BE237" s="262">
        <f>RANK(TableWRTEMaster[[#This Row],[VORP]],TableWRTEMaster[VORP])+COUNTIF($BJ$2:BJ237,BJ237)-1</f>
        <v>141</v>
      </c>
      <c r="BF237" s="263" t="str">
        <f>IFERROR(INDEX(TableTEVORP[TIGHT END],MATCH(TableWRTEMaster[[#This Row],[RK]],TableTEVORP[RK],0)),"")</f>
        <v>Geoff Swaim</v>
      </c>
      <c r="BG237" s="263" t="str">
        <f>_xlfn.CONCAT(TableWRTEMaster[[#This Row],[POS]],TableWRTEMaster[[#This Row],[RK]])</f>
        <v>TE36</v>
      </c>
      <c r="BH237" s="263">
        <f>IFERROR(INDEX(TableTEVORP[BYE],MATCH(TableWRTEMaster[[#This Row],[RK]],TableTEVORP[RK],0)),"")</f>
        <v>6</v>
      </c>
      <c r="BI237" s="264">
        <f>IFERROR(INDEX(TableTEVORP[FPS],MATCH(TableWRTEMaster[[#This Row],[RK]],TableTEVORP[RK],0)),"")</f>
        <v>38.183041253692494</v>
      </c>
      <c r="BJ237" s="254">
        <f>IFERROR(INDEX(TableTEVORP[VORP],MATCH(TableWRTEMaster[[#This Row],[RK]],TableTEVORP[RK],0)),"")</f>
        <v>-0.62730942539411072</v>
      </c>
    </row>
    <row r="238" spans="15:62" x14ac:dyDescent="0.3">
      <c r="AB238" s="246"/>
      <c r="AC238" s="250"/>
      <c r="AD238" s="250"/>
      <c r="AE238" s="250"/>
      <c r="AF238" s="250" t="s">
        <v>358</v>
      </c>
      <c r="AG238" s="250">
        <v>97</v>
      </c>
      <c r="AH238" s="251">
        <f>RANK(TableOverallMaster[[#This Row],[VORP]],TableOverallMaster[VORP])+COUNTIF($AM$2:AM238,AM238)-1</f>
        <v>229</v>
      </c>
      <c r="AI238" s="252" t="str">
        <f>IFERROR(INDEX(TableWRVORP[WIDE RECEIVER],MATCH(TableOverallMaster[[#This Row],[RK]],TableWRVORP[RK],0)),"")</f>
        <v>Dee Eskridge</v>
      </c>
      <c r="AJ238" s="252" t="str">
        <f t="shared" si="3"/>
        <v>WR97</v>
      </c>
      <c r="AK238" s="252">
        <f>IFERROR(INDEX(TableWRVORP[BYE],MATCH(TableOverallMaster[[#This Row],[RK]],TableWRVORP[RK],0)),"")</f>
        <v>11</v>
      </c>
      <c r="AL238" s="253">
        <f>IFERROR(INDEX(TableWRVORP[FPS],MATCH(TableOverallMaster[[#This Row],[RK]],TableWRVORP[RK],0)),"")</f>
        <v>49.28641646878944</v>
      </c>
      <c r="AM238" s="254">
        <f>IFERROR(INDEX(TableWRVORP[VORP],MATCH(TableOverallMaster[[#This Row],[RK]],TableWRVORP[RK],0)),"")</f>
        <v>-0.54771690328594624</v>
      </c>
      <c r="AN238" s="250"/>
      <c r="AO238" s="250">
        <v>237</v>
      </c>
      <c r="AP238" s="255" t="str">
        <f>IFERROR(INDEX(TableOverallMaster[OVERALL PLAYER],MATCH(TableOverallRank[[#This Row],[RK]],TableOverallMaster[OVR RK],0)),"")</f>
        <v>Ricky Seals-Jones</v>
      </c>
      <c r="AQ238" s="256" t="str">
        <f>IFERROR(INDEX(TableOverallMaster[POS RK],MATCH(TableOverallRank[[#This Row],[OVERALL PLAYER]],TableOverallMaster[OVERALL PLAYER],0)),"")</f>
        <v>TE33</v>
      </c>
      <c r="AR238" s="257">
        <f>IFERROR(INDEX(TableOverallMaster[BYE],MATCH(TableOverallRank[[#This Row],[OVERALL PLAYER]],TableOverallMaster[OVERALL PLAYER],0)),"")</f>
        <v>9</v>
      </c>
      <c r="AS238" s="258">
        <f>IFERROR(INDEX(TableOverallMaster[Custom],MATCH(TableOverallRank[[#This Row],[OVERALL PLAYER]],TableOverallMaster[OVERALL PLAYER],0)),"")</f>
        <v>43.271345190999646</v>
      </c>
      <c r="AT238" s="259">
        <f>IFERROR(INDEX(TableOverallMaster[VORP],MATCH(TableOverallRank[[#This Row],[OVERALL PLAYER]],TableOverallMaster[OVERALL PLAYER],0)),"")</f>
        <v>-0.57764436844998823</v>
      </c>
      <c r="AU238" s="250"/>
      <c r="AV238" s="246">
        <v>237</v>
      </c>
      <c r="AW238" s="260" t="str">
        <f>IFERROR(INDEX(TableWRTECalcPts[PLAYER],MATCH(TableWRTERank[[#This Row],[RK]],TableWRTECalcPts[RK],0)),"")</f>
        <v>Charlie Kolar</v>
      </c>
      <c r="AX238" s="260" t="str">
        <f>IFERROR(INDEX(TableWRTECalcPts[POS RK],MATCH(TableWRTERank[[#This Row],[WR and TE COMBINED]],TableWRTECalcPts[PLAYER],0)),"")</f>
        <v>TE71</v>
      </c>
      <c r="AY238" s="260">
        <f>IFERROR(INDEX(TableWRTECalcPts[BYE],MATCH(TableWRTERank[[#This Row],[RK]],TableWRTECalcPts[RK],0)),"")</f>
        <v>10</v>
      </c>
      <c r="AZ238" s="261">
        <f>IFERROR(INDEX(TableWRTECalcPts[Custom],MATCH(TableWRTERank[[#This Row],[RK]],TableWRTECalcPts[RK],0)),"")</f>
        <v>10.31898266790072</v>
      </c>
      <c r="BA238" s="249">
        <f>IFERROR((TableWRTERank[[#This Row],[FPS]]-INDEX(TableWRTERank[FPS],MATCH(WRTEVORPCalc,TableWRTERank[RK],0)))/INDEX(TableWRTERank[FPS],MATCH(WRTEVORPCalc,TableWRTERank[RK],0)),"")</f>
        <v>-0.91310341814979512</v>
      </c>
      <c r="BC238" s="124" t="s">
        <v>10</v>
      </c>
      <c r="BD238" s="124">
        <v>37</v>
      </c>
      <c r="BE238" s="262">
        <f>RANK(TableWRTEMaster[[#This Row],[VORP]],TableWRTEMaster[VORP])+COUNTIF($BJ$2:BJ238,BJ238)-1</f>
        <v>142</v>
      </c>
      <c r="BF238" s="263" t="str">
        <f>IFERROR(INDEX(TableTEVORP[TIGHT END],MATCH(TableWRTEMaster[[#This Row],[RK]],TableTEVORP[RK],0)),"")</f>
        <v>Harrison Bryant</v>
      </c>
      <c r="BG238" s="263" t="str">
        <f>_xlfn.CONCAT(TableWRTEMaster[[#This Row],[POS]],TableWRTEMaster[[#This Row],[RK]])</f>
        <v>TE37</v>
      </c>
      <c r="BH238" s="263">
        <f>IFERROR(INDEX(TableTEVORP[BYE],MATCH(TableWRTEMaster[[#This Row],[RK]],TableTEVORP[RK],0)),"")</f>
        <v>9</v>
      </c>
      <c r="BI238" s="264">
        <f>IFERROR(INDEX(TableTEVORP[FPS],MATCH(TableWRTEMaster[[#This Row],[RK]],TableTEVORP[RK],0)),"")</f>
        <v>38.106607571611121</v>
      </c>
      <c r="BJ238" s="254">
        <f>IFERROR(INDEX(TableTEVORP[VORP],MATCH(TableWRTEMaster[[#This Row],[RK]],TableTEVORP[RK],0)),"")</f>
        <v>-0.62805546635781717</v>
      </c>
    </row>
    <row r="239" spans="15:62" x14ac:dyDescent="0.3">
      <c r="AB239" s="246"/>
      <c r="AC239" s="250"/>
      <c r="AD239" s="250"/>
      <c r="AE239" s="250"/>
      <c r="AF239" s="250" t="s">
        <v>358</v>
      </c>
      <c r="AG239" s="250">
        <v>98</v>
      </c>
      <c r="AH239" s="251">
        <f>RANK(TableOverallMaster[[#This Row],[VORP]],TableOverallMaster[VORP])+COUNTIF($AM$2:AM239,AM239)-1</f>
        <v>231</v>
      </c>
      <c r="AI239" s="252" t="str">
        <f>IFERROR(INDEX(TableWRVORP[WIDE RECEIVER],MATCH(TableOverallMaster[[#This Row],[RK]],TableWRVORP[RK],0)),"")</f>
        <v>KJ Hamler</v>
      </c>
      <c r="AJ239" s="252" t="str">
        <f t="shared" si="3"/>
        <v>WR98</v>
      </c>
      <c r="AK239" s="252">
        <f>IFERROR(INDEX(TableWRVORP[BYE],MATCH(TableOverallMaster[[#This Row],[RK]],TableWRVORP[RK],0)),"")</f>
        <v>9</v>
      </c>
      <c r="AL239" s="253">
        <f>IFERROR(INDEX(TableWRVORP[FPS],MATCH(TableOverallMaster[[#This Row],[RK]],TableWRVORP[RK],0)),"")</f>
        <v>47.9270366316658</v>
      </c>
      <c r="AM239" s="254">
        <f>IFERROR(INDEX(TableWRVORP[VORP],MATCH(TableOverallMaster[[#This Row],[RK]],TableWRVORP[RK],0)),"")</f>
        <v>-0.5601914260123908</v>
      </c>
      <c r="AN239" s="250"/>
      <c r="AO239" s="250">
        <v>238</v>
      </c>
      <c r="AP239" s="255" t="str">
        <f>IFERROR(INDEX(TableOverallMaster[OVERALL PLAYER],MATCH(TableOverallRank[[#This Row],[RK]],TableOverallMaster[OVR RK],0)),"")</f>
        <v>Braxton Berrios</v>
      </c>
      <c r="AQ239" s="256" t="str">
        <f>IFERROR(INDEX(TableOverallMaster[POS RK],MATCH(TableOverallRank[[#This Row],[OVERALL PLAYER]],TableOverallMaster[OVERALL PLAYER],0)),"")</f>
        <v>WR103</v>
      </c>
      <c r="AR239" s="257">
        <f>IFERROR(INDEX(TableOverallMaster[BYE],MATCH(TableOverallRank[[#This Row],[OVERALL PLAYER]],TableOverallMaster[OVERALL PLAYER],0)),"")</f>
        <v>10</v>
      </c>
      <c r="AS239" s="258">
        <f>IFERROR(INDEX(TableOverallMaster[Custom],MATCH(TableOverallRank[[#This Row],[OVERALL PLAYER]],TableOverallMaster[OVERALL PLAYER],0)),"")</f>
        <v>45.627287616763233</v>
      </c>
      <c r="AT239" s="259">
        <f>IFERROR(INDEX(TableOverallMaster[VORP],MATCH(TableOverallRank[[#This Row],[OVERALL PLAYER]],TableOverallMaster[OVERALL PLAYER],0)),"")</f>
        <v>-0.58129536662417969</v>
      </c>
      <c r="AU239" s="250"/>
      <c r="AV239" s="246">
        <v>238</v>
      </c>
      <c r="AW239" s="260" t="str">
        <f>IFERROR(INDEX(TableWRTECalcPts[PLAYER],MATCH(TableWRTERank[[#This Row],[RK]],TableWRTECalcPts[RK],0)),"")</f>
        <v>Blake Bell</v>
      </c>
      <c r="AX239" s="260" t="str">
        <f>IFERROR(INDEX(TableWRTECalcPts[POS RK],MATCH(TableWRTERank[[#This Row],[WR and TE COMBINED]],TableWRTECalcPts[PLAYER],0)),"")</f>
        <v>TE72</v>
      </c>
      <c r="AY239" s="260">
        <f>IFERROR(INDEX(TableWRTECalcPts[BYE],MATCH(TableWRTERank[[#This Row],[RK]],TableWRTECalcPts[RK],0)),"")</f>
        <v>8</v>
      </c>
      <c r="AZ239" s="261">
        <f>IFERROR(INDEX(TableWRTECalcPts[Custom],MATCH(TableWRTERank[[#This Row],[RK]],TableWRTECalcPts[RK],0)),"")</f>
        <v>10.307958659393259</v>
      </c>
      <c r="BA239" s="249">
        <f>IFERROR((TableWRTERank[[#This Row],[FPS]]-INDEX(TableWRTERank[FPS],MATCH(WRTEVORPCalc,TableWRTERank[RK],0)))/INDEX(TableWRTERank[FPS],MATCH(WRTEVORPCalc,TableWRTERank[RK],0)),"")</f>
        <v>-0.91319625178353736</v>
      </c>
      <c r="BC239" s="124" t="s">
        <v>10</v>
      </c>
      <c r="BD239" s="124">
        <v>38</v>
      </c>
      <c r="BE239" s="262">
        <f>RANK(TableWRTEMaster[[#This Row],[VORP]],TableWRTEMaster[VORP])+COUNTIF($BJ$2:BJ239,BJ239)-1</f>
        <v>145</v>
      </c>
      <c r="BF239" s="263" t="str">
        <f>IFERROR(INDEX(TableTEVORP[TIGHT END],MATCH(TableWRTEMaster[[#This Row],[RK]],TableTEVORP[RK],0)),"")</f>
        <v>O.J. Howard</v>
      </c>
      <c r="BG239" s="263" t="str">
        <f>_xlfn.CONCAT(TableWRTEMaster[[#This Row],[POS]],TableWRTEMaster[[#This Row],[RK]])</f>
        <v>TE38</v>
      </c>
      <c r="BH239" s="263">
        <f>IFERROR(INDEX(TableTEVORP[BYE],MATCH(TableWRTEMaster[[#This Row],[RK]],TableTEVORP[RK],0)),"")</f>
        <v>7</v>
      </c>
      <c r="BI239" s="264">
        <f>IFERROR(INDEX(TableTEVORP[FPS],MATCH(TableWRTEMaster[[#This Row],[RK]],TableTEVORP[RK],0)),"")</f>
        <v>35.057279579450409</v>
      </c>
      <c r="BJ239" s="254">
        <f>IFERROR(INDEX(TableTEVORP[VORP],MATCH(TableWRTEMaster[[#This Row],[RK]],TableTEVORP[RK],0)),"")</f>
        <v>-0.6578188315651472</v>
      </c>
    </row>
    <row r="240" spans="15:62" x14ac:dyDescent="0.3">
      <c r="AB240" s="246"/>
      <c r="AC240" s="250"/>
      <c r="AD240" s="250"/>
      <c r="AE240" s="250"/>
      <c r="AF240" s="250" t="s">
        <v>358</v>
      </c>
      <c r="AG240" s="250">
        <v>99</v>
      </c>
      <c r="AH240" s="251">
        <f>RANK(TableOverallMaster[[#This Row],[VORP]],TableOverallMaster[VORP])+COUNTIF($AM$2:AM240,AM240)-1</f>
        <v>232</v>
      </c>
      <c r="AI240" s="252" t="str">
        <f>IFERROR(INDEX(TableWRVORP[WIDE RECEIVER],MATCH(TableOverallMaster[[#This Row],[RK]],TableWRVORP[RK],0)),"")</f>
        <v>Bryan Edwards</v>
      </c>
      <c r="AJ240" s="252" t="str">
        <f t="shared" si="3"/>
        <v>WR99</v>
      </c>
      <c r="AK240" s="252">
        <f>IFERROR(INDEX(TableWRVORP[BYE],MATCH(TableOverallMaster[[#This Row],[RK]],TableWRVORP[RK],0)),"")</f>
        <v>14</v>
      </c>
      <c r="AL240" s="253">
        <f>IFERROR(INDEX(TableWRVORP[FPS],MATCH(TableOverallMaster[[#This Row],[RK]],TableWRVORP[RK],0)),"")</f>
        <v>47.814013950587054</v>
      </c>
      <c r="AM240" s="254">
        <f>IFERROR(INDEX(TableWRVORP[VORP],MATCH(TableOverallMaster[[#This Row],[RK]],TableWRVORP[RK],0)),"")</f>
        <v>-0.56122859308315143</v>
      </c>
      <c r="AN240" s="250"/>
      <c r="AO240" s="250">
        <v>239</v>
      </c>
      <c r="AP240" s="255" t="str">
        <f>IFERROR(INDEX(TableOverallMaster[OVERALL PLAYER],MATCH(TableOverallRank[[#This Row],[RK]],TableOverallMaster[OVR RK],0)),"")</f>
        <v>Giovani Bernard</v>
      </c>
      <c r="AQ240" s="256" t="str">
        <f>IFERROR(INDEX(TableOverallMaster[POS RK],MATCH(TableOverallRank[[#This Row],[OVERALL PLAYER]],TableOverallMaster[OVERALL PLAYER],0)),"")</f>
        <v>RB70</v>
      </c>
      <c r="AR240" s="257">
        <f>IFERROR(INDEX(TableOverallMaster[BYE],MATCH(TableOverallRank[[#This Row],[OVERALL PLAYER]],TableOverallMaster[OVERALL PLAYER],0)),"")</f>
        <v>11</v>
      </c>
      <c r="AS240" s="258">
        <f>IFERROR(INDEX(TableOverallMaster[Custom],MATCH(TableOverallRank[[#This Row],[OVERALL PLAYER]],TableOverallMaster[OVERALL PLAYER],0)),"")</f>
        <v>41.758958386492125</v>
      </c>
      <c r="AT240" s="259">
        <f>IFERROR(INDEX(TableOverallMaster[VORP],MATCH(TableOverallRank[[#This Row],[OVERALL PLAYER]],TableOverallMaster[OVERALL PLAYER],0)),"")</f>
        <v>-0.58784741019692788</v>
      </c>
      <c r="AU240" s="250"/>
      <c r="AV240" s="246">
        <v>239</v>
      </c>
      <c r="AW240" s="260" t="str">
        <f>IFERROR(INDEX(TableWRTECalcPts[PLAYER],MATCH(TableWRTERank[[#This Row],[RK]],TableWRTECalcPts[RK],0)),"")</f>
        <v>Josh Gordon</v>
      </c>
      <c r="AX240" s="260" t="str">
        <f>IFERROR(INDEX(TableWRTECalcPts[POS RK],MATCH(TableWRTERank[[#This Row],[WR and TE COMBINED]],TableWRTECalcPts[PLAYER],0)),"")</f>
        <v>WR167</v>
      </c>
      <c r="AY240" s="260">
        <f>IFERROR(INDEX(TableWRTECalcPts[BYE],MATCH(TableWRTERank[[#This Row],[RK]],TableWRTECalcPts[RK],0)),"")</f>
        <v>8</v>
      </c>
      <c r="AZ240" s="261">
        <f>IFERROR(INDEX(TableWRTECalcPts[Custom],MATCH(TableWRTERank[[#This Row],[RK]],TableWRTECalcPts[RK],0)),"")</f>
        <v>10.218172388167712</v>
      </c>
      <c r="BA240" s="249">
        <f>IFERROR((TableWRTERank[[#This Row],[FPS]]-INDEX(TableWRTERank[FPS],MATCH(WRTEVORPCalc,TableWRTERank[RK],0)))/INDEX(TableWRTERank[FPS],MATCH(WRTEVORPCalc,TableWRTERank[RK],0)),"")</f>
        <v>-0.91395234570458306</v>
      </c>
      <c r="BC240" s="124" t="s">
        <v>10</v>
      </c>
      <c r="BD240" s="124">
        <v>39</v>
      </c>
      <c r="BE240" s="262">
        <f>RANK(TableWRTEMaster[[#This Row],[VORP]],TableWRTEMaster[VORP])+COUNTIF($BJ$2:BJ240,BJ240)-1</f>
        <v>148</v>
      </c>
      <c r="BF240" s="263" t="str">
        <f>IFERROR(INDEX(TableTEVORP[TIGHT END],MATCH(TableWRTEMaster[[#This Row],[RK]],TableTEVORP[RK],0)),"")</f>
        <v>Donald Parham</v>
      </c>
      <c r="BG240" s="263" t="str">
        <f>_xlfn.CONCAT(TableWRTEMaster[[#This Row],[POS]],TableWRTEMaster[[#This Row],[RK]])</f>
        <v>TE39</v>
      </c>
      <c r="BH240" s="263">
        <f>IFERROR(INDEX(TableTEVORP[BYE],MATCH(TableWRTEMaster[[#This Row],[RK]],TableTEVORP[RK],0)),"")</f>
        <v>8</v>
      </c>
      <c r="BI240" s="264">
        <f>IFERROR(INDEX(TableTEVORP[FPS],MATCH(TableWRTEMaster[[#This Row],[RK]],TableTEVORP[RK],0)),"")</f>
        <v>32.820358387610085</v>
      </c>
      <c r="BJ240" s="254">
        <f>IFERROR(INDEX(TableTEVORP[VORP],MATCH(TableWRTEMaster[[#This Row],[RK]],TableTEVORP[RK],0)),"")</f>
        <v>-0.67965259380519505</v>
      </c>
    </row>
    <row r="241" spans="28:62" x14ac:dyDescent="0.3">
      <c r="AB241" s="246"/>
      <c r="AC241" s="250"/>
      <c r="AD241" s="250"/>
      <c r="AE241" s="250"/>
      <c r="AF241" s="250" t="s">
        <v>358</v>
      </c>
      <c r="AG241" s="250">
        <v>100</v>
      </c>
      <c r="AH241" s="251">
        <f>RANK(TableOverallMaster[[#This Row],[VORP]],TableOverallMaster[VORP])+COUNTIF($AM$2:AM241,AM241)-1</f>
        <v>233</v>
      </c>
      <c r="AI241" s="252" t="str">
        <f>IFERROR(INDEX(TableWRVORP[WIDE RECEIVER],MATCH(TableOverallMaster[[#This Row],[RK]],TableWRVORP[RK],0)),"")</f>
        <v>Laquon Treadwell</v>
      </c>
      <c r="AJ241" s="252" t="str">
        <f t="shared" si="3"/>
        <v>WR100</v>
      </c>
      <c r="AK241" s="252">
        <f>IFERROR(INDEX(TableWRVORP[BYE],MATCH(TableOverallMaster[[#This Row],[RK]],TableWRVORP[RK],0)),"")</f>
        <v>11</v>
      </c>
      <c r="AL241" s="253">
        <f>IFERROR(INDEX(TableWRVORP[FPS],MATCH(TableOverallMaster[[#This Row],[RK]],TableWRVORP[RK],0)),"")</f>
        <v>47.277068597833136</v>
      </c>
      <c r="AM241" s="254">
        <f>IFERROR(INDEX(TableWRVORP[VORP],MATCH(TableOverallMaster[[#This Row],[RK]],TableWRVORP[RK],0)),"")</f>
        <v>-0.56615594070363717</v>
      </c>
      <c r="AN241" s="250"/>
      <c r="AO241" s="250">
        <v>240</v>
      </c>
      <c r="AP241" s="255" t="str">
        <f>IFERROR(INDEX(TableOverallMaster[OVERALL PLAYER],MATCH(TableOverallRank[[#This Row],[RK]],TableOverallMaster[OVR RK],0)),"")</f>
        <v>Jonnu Smith</v>
      </c>
      <c r="AQ241" s="256" t="str">
        <f>IFERROR(INDEX(TableOverallMaster[POS RK],MATCH(TableOverallRank[[#This Row],[OVERALL PLAYER]],TableOverallMaster[OVERALL PLAYER],0)),"")</f>
        <v>TE34</v>
      </c>
      <c r="AR241" s="257">
        <f>IFERROR(INDEX(TableOverallMaster[BYE],MATCH(TableOverallRank[[#This Row],[OVERALL PLAYER]],TableOverallMaster[OVERALL PLAYER],0)),"")</f>
        <v>10</v>
      </c>
      <c r="AS241" s="258">
        <f>IFERROR(INDEX(TableOverallMaster[Custom],MATCH(TableOverallRank[[#This Row],[OVERALL PLAYER]],TableOverallMaster[OVERALL PLAYER],0)),"")</f>
        <v>41.486085433533724</v>
      </c>
      <c r="AT241" s="259">
        <f>IFERROR(INDEX(TableOverallMaster[VORP],MATCH(TableOverallRank[[#This Row],[OVERALL PLAYER]],TableOverallMaster[OVERALL PLAYER],0)),"")</f>
        <v>-0.59506963011026537</v>
      </c>
      <c r="AU241" s="250"/>
      <c r="AV241" s="246">
        <v>240</v>
      </c>
      <c r="AW241" s="260" t="str">
        <f>IFERROR(INDEX(TableWRTECalcPts[PLAYER],MATCH(TableWRTERank[[#This Row],[RK]],TableWRTECalcPts[RK],0)),"")</f>
        <v>Kendall Hinton</v>
      </c>
      <c r="AX241" s="260" t="str">
        <f>IFERROR(INDEX(TableWRTECalcPts[POS RK],MATCH(TableWRTERank[[#This Row],[WR and TE COMBINED]],TableWRTECalcPts[PLAYER],0)),"")</f>
        <v>WR168</v>
      </c>
      <c r="AY241" s="260">
        <f>IFERROR(INDEX(TableWRTECalcPts[BYE],MATCH(TableWRTERank[[#This Row],[RK]],TableWRTECalcPts[RK],0)),"")</f>
        <v>9</v>
      </c>
      <c r="AZ241" s="261">
        <f>IFERROR(INDEX(TableWRTECalcPts[Custom],MATCH(TableWRTERank[[#This Row],[RK]],TableWRTECalcPts[RK],0)),"")</f>
        <v>10.133565759007617</v>
      </c>
      <c r="BA241" s="249">
        <f>IFERROR((TableWRTERank[[#This Row],[FPS]]-INDEX(TableWRTERank[FPS],MATCH(WRTEVORPCalc,TableWRTERank[RK],0)))/INDEX(TableWRTERank[FPS],MATCH(WRTEVORPCalc,TableWRTERank[RK],0)),"")</f>
        <v>-0.91466482164455643</v>
      </c>
      <c r="BC241" s="124" t="s">
        <v>10</v>
      </c>
      <c r="BD241" s="124">
        <v>40</v>
      </c>
      <c r="BE241" s="262">
        <f>RANK(TableWRTEMaster[[#This Row],[VORP]],TableWRTEMaster[VORP])+COUNTIF($BJ$2:BJ241,BJ241)-1</f>
        <v>150</v>
      </c>
      <c r="BF241" s="263" t="str">
        <f>IFERROR(INDEX(TableTEVORP[TIGHT END],MATCH(TableWRTEMaster[[#This Row],[RK]],TableTEVORP[RK],0)),"")</f>
        <v>Jordan Akins</v>
      </c>
      <c r="BG241" s="263" t="str">
        <f>_xlfn.CONCAT(TableWRTEMaster[[#This Row],[POS]],TableWRTEMaster[[#This Row],[RK]])</f>
        <v>TE40</v>
      </c>
      <c r="BH241" s="263">
        <f>IFERROR(INDEX(TableTEVORP[BYE],MATCH(TableWRTEMaster[[#This Row],[RK]],TableTEVORP[RK],0)),"")</f>
        <v>9</v>
      </c>
      <c r="BI241" s="264">
        <f>IFERROR(INDEX(TableTEVORP[FPS],MATCH(TableWRTEMaster[[#This Row],[RK]],TableTEVORP[RK],0)),"")</f>
        <v>31.016681903522954</v>
      </c>
      <c r="BJ241" s="254">
        <f>IFERROR(INDEX(TableTEVORP[VORP],MATCH(TableWRTEMaster[[#This Row],[RK]],TableTEVORP[RK],0)),"")</f>
        <v>-0.6972576143375121</v>
      </c>
    </row>
    <row r="242" spans="28:62" x14ac:dyDescent="0.3">
      <c r="AB242" s="246"/>
      <c r="AC242" s="250"/>
      <c r="AD242" s="250"/>
      <c r="AE242" s="250"/>
      <c r="AF242" s="250" t="s">
        <v>358</v>
      </c>
      <c r="AG242" s="250">
        <v>101</v>
      </c>
      <c r="AH242" s="251">
        <f>RANK(TableOverallMaster[[#This Row],[VORP]],TableOverallMaster[VORP])+COUNTIF($AM$2:AM242,AM242)-1</f>
        <v>235</v>
      </c>
      <c r="AI242" s="252" t="str">
        <f>IFERROR(INDEX(TableWRVORP[WIDE RECEIVER],MATCH(TableOverallMaster[[#This Row],[RK]],TableWRVORP[RK],0)),"")</f>
        <v>Isaiah McKenzie</v>
      </c>
      <c r="AJ242" s="252" t="str">
        <f t="shared" si="3"/>
        <v>WR101</v>
      </c>
      <c r="AK242" s="252">
        <f>IFERROR(INDEX(TableWRVORP[BYE],MATCH(TableOverallMaster[[#This Row],[RK]],TableWRVORP[RK],0)),"")</f>
        <v>7</v>
      </c>
      <c r="AL242" s="253">
        <f>IFERROR(INDEX(TableWRVORP[FPS],MATCH(TableOverallMaster[[#This Row],[RK]],TableWRVORP[RK],0)),"")</f>
        <v>46.563602815971421</v>
      </c>
      <c r="AM242" s="254">
        <f>IFERROR(INDEX(TableWRVORP[VORP],MATCH(TableOverallMaster[[#This Row],[RK]],TableWRVORP[RK],0)),"")</f>
        <v>-0.57270315059105659</v>
      </c>
      <c r="AN242" s="250"/>
      <c r="AO242" s="250">
        <v>241</v>
      </c>
      <c r="AP242" s="255" t="str">
        <f>IFERROR(INDEX(TableOverallMaster[OVERALL PLAYER],MATCH(TableOverallRank[[#This Row],[RK]],TableOverallMaster[OVR RK],0)),"")</f>
        <v>Dontrell Hilliard</v>
      </c>
      <c r="AQ242" s="256" t="str">
        <f>IFERROR(INDEX(TableOverallMaster[POS RK],MATCH(TableOverallRank[[#This Row],[OVERALL PLAYER]],TableOverallMaster[OVERALL PLAYER],0)),"")</f>
        <v>RB71</v>
      </c>
      <c r="AR242" s="257">
        <f>IFERROR(INDEX(TableOverallMaster[BYE],MATCH(TableOverallRank[[#This Row],[OVERALL PLAYER]],TableOverallMaster[OVERALL PLAYER],0)),"")</f>
        <v>6</v>
      </c>
      <c r="AS242" s="258">
        <f>IFERROR(INDEX(TableOverallMaster[Custom],MATCH(TableOverallRank[[#This Row],[OVERALL PLAYER]],TableOverallMaster[OVERALL PLAYER],0)),"")</f>
        <v>40.937847165105438</v>
      </c>
      <c r="AT242" s="259">
        <f>IFERROR(INDEX(TableOverallMaster[VORP],MATCH(TableOverallRank[[#This Row],[OVERALL PLAYER]],TableOverallMaster[OVERALL PLAYER],0)),"")</f>
        <v>-0.59595161416865239</v>
      </c>
      <c r="AU242" s="250"/>
      <c r="AV242" s="246">
        <v>241</v>
      </c>
      <c r="AW242" s="260" t="str">
        <f>IFERROR(INDEX(TableWRTECalcPts[PLAYER],MATCH(TableWRTERank[[#This Row],[RK]],TableWRTECalcPts[RK],0)),"")</f>
        <v>Jeremy Ruckert</v>
      </c>
      <c r="AX242" s="260" t="str">
        <f>IFERROR(INDEX(TableWRTECalcPts[POS RK],MATCH(TableWRTERank[[#This Row],[WR and TE COMBINED]],TableWRTECalcPts[PLAYER],0)),"")</f>
        <v>TE73</v>
      </c>
      <c r="AY242" s="260">
        <f>IFERROR(INDEX(TableWRTECalcPts[BYE],MATCH(TableWRTERank[[#This Row],[RK]],TableWRTECalcPts[RK],0)),"")</f>
        <v>10</v>
      </c>
      <c r="AZ242" s="261">
        <f>IFERROR(INDEX(TableWRTECalcPts[Custom],MATCH(TableWRTERank[[#This Row],[RK]],TableWRTECalcPts[RK],0)),"")</f>
        <v>9.9825376579927561</v>
      </c>
      <c r="BA242" s="249">
        <f>IFERROR((TableWRTERank[[#This Row],[FPS]]-INDEX(TableWRTERank[FPS],MATCH(WRTEVORPCalc,TableWRTERank[RK],0)))/INDEX(TableWRTERank[FPS],MATCH(WRTEVORPCalc,TableWRTERank[RK],0)),"")</f>
        <v>-0.91593663555915317</v>
      </c>
      <c r="BC242" s="124" t="s">
        <v>10</v>
      </c>
      <c r="BD242" s="124">
        <v>41</v>
      </c>
      <c r="BE242" s="262">
        <f>RANK(TableWRTEMaster[[#This Row],[VORP]],TableWRTEMaster[VORP])+COUNTIF($BJ$2:BJ242,BJ242)-1</f>
        <v>153</v>
      </c>
      <c r="BF242" s="263" t="str">
        <f>IFERROR(INDEX(TableTEVORP[TIGHT END],MATCH(TableWRTEMaster[[#This Row],[RK]],TableTEVORP[RK],0)),"")</f>
        <v>Foster Moreau</v>
      </c>
      <c r="BG242" s="263" t="str">
        <f>_xlfn.CONCAT(TableWRTEMaster[[#This Row],[POS]],TableWRTEMaster[[#This Row],[RK]])</f>
        <v>TE41</v>
      </c>
      <c r="BH242" s="263">
        <f>IFERROR(INDEX(TableTEVORP[BYE],MATCH(TableWRTEMaster[[#This Row],[RK]],TableTEVORP[RK],0)),"")</f>
        <v>6</v>
      </c>
      <c r="BI242" s="264">
        <f>IFERROR(INDEX(TableTEVORP[FPS],MATCH(TableWRTEMaster[[#This Row],[RK]],TableTEVORP[RK],0)),"")</f>
        <v>29.607862319138633</v>
      </c>
      <c r="BJ242" s="254">
        <f>IFERROR(INDEX(TableTEVORP[VORP],MATCH(TableWRTEMaster[[#This Row],[RK]],TableTEVORP[RK],0)),"")</f>
        <v>-0.71100858238983944</v>
      </c>
    </row>
    <row r="243" spans="28:62" x14ac:dyDescent="0.3">
      <c r="AB243" s="246"/>
      <c r="AC243" s="250"/>
      <c r="AD243" s="250"/>
      <c r="AE243" s="250"/>
      <c r="AF243" s="250" t="s">
        <v>358</v>
      </c>
      <c r="AG243" s="250">
        <v>102</v>
      </c>
      <c r="AH243" s="251">
        <f>RANK(TableOverallMaster[[#This Row],[VORP]],TableOverallMaster[VORP])+COUNTIF($AM$2:AM243,AM243)-1</f>
        <v>236</v>
      </c>
      <c r="AI243" s="252" t="str">
        <f>IFERROR(INDEX(TableWRVORP[WIDE RECEIVER],MATCH(TableOverallMaster[[#This Row],[RK]],TableWRVORP[RK],0)),"")</f>
        <v>James Proche</v>
      </c>
      <c r="AJ243" s="252" t="str">
        <f t="shared" si="3"/>
        <v>WR102</v>
      </c>
      <c r="AK243" s="252">
        <f>IFERROR(INDEX(TableWRVORP[BYE],MATCH(TableOverallMaster[[#This Row],[RK]],TableWRVORP[RK],0)),"")</f>
        <v>10</v>
      </c>
      <c r="AL243" s="253">
        <f>IFERROR(INDEX(TableWRVORP[FPS],MATCH(TableOverallMaster[[#This Row],[RK]],TableWRVORP[RK],0)),"")</f>
        <v>46.152657475365487</v>
      </c>
      <c r="AM243" s="254">
        <f>IFERROR(INDEX(TableWRVORP[VORP],MATCH(TableOverallMaster[[#This Row],[RK]],TableWRVORP[RK],0)),"")</f>
        <v>-0.57647424300446348</v>
      </c>
      <c r="AN243" s="250"/>
      <c r="AO243" s="250">
        <v>242</v>
      </c>
      <c r="AP243" s="255" t="str">
        <f>IFERROR(INDEX(TableOverallMaster[OVERALL PLAYER],MATCH(TableOverallRank[[#This Row],[RK]],TableOverallMaster[OVR RK],0)),"")</f>
        <v>Hassan Haskins</v>
      </c>
      <c r="AQ243" s="256" t="str">
        <f>IFERROR(INDEX(TableOverallMaster[POS RK],MATCH(TableOverallRank[[#This Row],[OVERALL PLAYER]],TableOverallMaster[OVERALL PLAYER],0)),"")</f>
        <v>RB72</v>
      </c>
      <c r="AR243" s="257">
        <f>IFERROR(INDEX(TableOverallMaster[BYE],MATCH(TableOverallRank[[#This Row],[OVERALL PLAYER]],TableOverallMaster[OVERALL PLAYER],0)),"")</f>
        <v>6</v>
      </c>
      <c r="AS243" s="258">
        <f>IFERROR(INDEX(TableOverallMaster[Custom],MATCH(TableOverallRank[[#This Row],[OVERALL PLAYER]],TableOverallMaster[OVERALL PLAYER],0)),"")</f>
        <v>40.841685253732471</v>
      </c>
      <c r="AT243" s="259">
        <f>IFERROR(INDEX(TableOverallMaster[VORP],MATCH(TableOverallRank[[#This Row],[OVERALL PLAYER]],TableOverallMaster[OVERALL PLAYER],0)),"")</f>
        <v>-0.59690071305291958</v>
      </c>
      <c r="AU243" s="250"/>
      <c r="AV243" s="246">
        <v>242</v>
      </c>
      <c r="AW243" s="260" t="str">
        <f>IFERROR(INDEX(TableWRTECalcPts[PLAYER],MATCH(TableWRTERank[[#This Row],[RK]],TableWRTECalcPts[RK],0)),"")</f>
        <v>Juwann Winfree</v>
      </c>
      <c r="AX243" s="260" t="str">
        <f>IFERROR(INDEX(TableWRTECalcPts[POS RK],MATCH(TableWRTERank[[#This Row],[WR and TE COMBINED]],TableWRTECalcPts[PLAYER],0)),"")</f>
        <v>WR169</v>
      </c>
      <c r="AY243" s="260">
        <f>IFERROR(INDEX(TableWRTECalcPts[BYE],MATCH(TableWRTERank[[#This Row],[RK]],TableWRTECalcPts[RK],0)),"")</f>
        <v>14</v>
      </c>
      <c r="AZ243" s="261">
        <f>IFERROR(INDEX(TableWRTECalcPts[Custom],MATCH(TableWRTERank[[#This Row],[RK]],TableWRTECalcPts[RK],0)),"")</f>
        <v>9.826918098366809</v>
      </c>
      <c r="BA243" s="249">
        <f>IFERROR((TableWRTERank[[#This Row],[FPS]]-INDEX(TableWRTERank[FPS],MATCH(WRTEVORPCalc,TableWRTERank[RK],0)))/INDEX(TableWRTERank[FPS],MATCH(WRTEVORPCalc,TableWRTERank[RK],0)),"")</f>
        <v>-0.91724711433751127</v>
      </c>
      <c r="BC243" s="124" t="s">
        <v>10</v>
      </c>
      <c r="BD243" s="124">
        <v>42</v>
      </c>
      <c r="BE243" s="262">
        <f>RANK(TableWRTEMaster[[#This Row],[VORP]],TableWRTEMaster[VORP])+COUNTIF($BJ$2:BJ243,BJ243)-1</f>
        <v>154</v>
      </c>
      <c r="BF243" s="263" t="str">
        <f>IFERROR(INDEX(TableTEVORP[TIGHT END],MATCH(TableWRTEMaster[[#This Row],[RK]],TableTEVORP[RK],0)),"")</f>
        <v>Tyler Conklin</v>
      </c>
      <c r="BG243" s="263" t="str">
        <f>_xlfn.CONCAT(TableWRTEMaster[[#This Row],[POS]],TableWRTEMaster[[#This Row],[RK]])</f>
        <v>TE42</v>
      </c>
      <c r="BH243" s="263">
        <f>IFERROR(INDEX(TableTEVORP[BYE],MATCH(TableWRTEMaster[[#This Row],[RK]],TableTEVORP[RK],0)),"")</f>
        <v>10</v>
      </c>
      <c r="BI243" s="264">
        <f>IFERROR(INDEX(TableTEVORP[FPS],MATCH(TableWRTEMaster[[#This Row],[RK]],TableTEVORP[RK],0)),"")</f>
        <v>29.058916736132929</v>
      </c>
      <c r="BJ243" s="254">
        <f>IFERROR(INDEX(TableTEVORP[VORP],MATCH(TableWRTEMaster[[#This Row],[RK]],TableTEVORP[RK],0)),"")</f>
        <v>-0.7163666376426534</v>
      </c>
    </row>
    <row r="244" spans="28:62" x14ac:dyDescent="0.3">
      <c r="AB244" s="246"/>
      <c r="AC244" s="250"/>
      <c r="AD244" s="250"/>
      <c r="AE244" s="250"/>
      <c r="AF244" s="250" t="s">
        <v>358</v>
      </c>
      <c r="AG244" s="250">
        <v>103</v>
      </c>
      <c r="AH244" s="251">
        <f>RANK(TableOverallMaster[[#This Row],[VORP]],TableOverallMaster[VORP])+COUNTIF($AM$2:AM244,AM244)-1</f>
        <v>238</v>
      </c>
      <c r="AI244" s="252" t="str">
        <f>IFERROR(INDEX(TableWRVORP[WIDE RECEIVER],MATCH(TableOverallMaster[[#This Row],[RK]],TableWRVORP[RK],0)),"")</f>
        <v>Braxton Berrios</v>
      </c>
      <c r="AJ244" s="252" t="str">
        <f t="shared" si="3"/>
        <v>WR103</v>
      </c>
      <c r="AK244" s="252">
        <f>IFERROR(INDEX(TableWRVORP[BYE],MATCH(TableOverallMaster[[#This Row],[RK]],TableWRVORP[RK],0)),"")</f>
        <v>10</v>
      </c>
      <c r="AL244" s="253">
        <f>IFERROR(INDEX(TableWRVORP[FPS],MATCH(TableOverallMaster[[#This Row],[RK]],TableWRVORP[RK],0)),"")</f>
        <v>45.627287616763233</v>
      </c>
      <c r="AM244" s="254">
        <f>IFERROR(INDEX(TableWRVORP[VORP],MATCH(TableOverallMaster[[#This Row],[RK]],TableWRVORP[RK],0)),"")</f>
        <v>-0.58129536662417969</v>
      </c>
      <c r="AN244" s="250"/>
      <c r="AO244" s="250">
        <v>243</v>
      </c>
      <c r="AP244" s="255" t="str">
        <f>IFERROR(INDEX(TableOverallMaster[OVERALL PLAYER],MATCH(TableOverallRank[[#This Row],[RK]],TableOverallMaster[OVR RK],0)),"")</f>
        <v>Jauan Jennings</v>
      </c>
      <c r="AQ244" s="256" t="str">
        <f>IFERROR(INDEX(TableOverallMaster[POS RK],MATCH(TableOverallRank[[#This Row],[OVERALL PLAYER]],TableOverallMaster[OVERALL PLAYER],0)),"")</f>
        <v>WR104</v>
      </c>
      <c r="AR244" s="257">
        <f>IFERROR(INDEX(TableOverallMaster[BYE],MATCH(TableOverallRank[[#This Row],[OVERALL PLAYER]],TableOverallMaster[OVERALL PLAYER],0)),"")</f>
        <v>9</v>
      </c>
      <c r="AS244" s="258">
        <f>IFERROR(INDEX(TableOverallMaster[Custom],MATCH(TableOverallRank[[#This Row],[OVERALL PLAYER]],TableOverallMaster[OVERALL PLAYER],0)),"")</f>
        <v>43.316310817014994</v>
      </c>
      <c r="AT244" s="259">
        <f>IFERROR(INDEX(TableOverallMaster[VORP],MATCH(TableOverallRank[[#This Row],[OVERALL PLAYER]],TableOverallMaster[OVERALL PLAYER],0)),"")</f>
        <v>-0.60250234043787443</v>
      </c>
      <c r="AU244" s="250"/>
      <c r="AV244" s="246">
        <v>243</v>
      </c>
      <c r="AW244" s="260" t="str">
        <f>IFERROR(INDEX(TableWRTECalcPts[PLAYER],MATCH(TableWRTERank[[#This Row],[RK]],TableWRTECalcPts[RK],0)),"")</f>
        <v>Sean McKeon</v>
      </c>
      <c r="AX244" s="260" t="str">
        <f>IFERROR(INDEX(TableWRTECalcPts[POS RK],MATCH(TableWRTERank[[#This Row],[WR and TE COMBINED]],TableWRTECalcPts[PLAYER],0)),"")</f>
        <v>TE74</v>
      </c>
      <c r="AY244" s="260">
        <f>IFERROR(INDEX(TableWRTECalcPts[BYE],MATCH(TableWRTERank[[#This Row],[RK]],TableWRTECalcPts[RK],0)),"")</f>
        <v>9</v>
      </c>
      <c r="AZ244" s="261">
        <f>IFERROR(INDEX(TableWRTECalcPts[Custom],MATCH(TableWRTERank[[#This Row],[RK]],TableWRTECalcPts[RK],0)),"")</f>
        <v>9.6478881416634454</v>
      </c>
      <c r="BA244" s="249">
        <f>IFERROR((TableWRTERank[[#This Row],[FPS]]-INDEX(TableWRTERank[FPS],MATCH(WRTEVORPCalc,TableWRTERank[RK],0)))/INDEX(TableWRTERank[FPS],MATCH(WRTEVORPCalc,TableWRTERank[RK],0)),"")</f>
        <v>-0.91875473304247379</v>
      </c>
      <c r="BC244" s="124" t="s">
        <v>10</v>
      </c>
      <c r="BD244" s="124">
        <v>43</v>
      </c>
      <c r="BE244" s="262">
        <f>RANK(TableWRTEMaster[[#This Row],[VORP]],TableWRTEMaster[VORP])+COUNTIF($BJ$2:BJ244,BJ244)-1</f>
        <v>155</v>
      </c>
      <c r="BF244" s="263" t="str">
        <f>IFERROR(INDEX(TableTEVORP[TIGHT END],MATCH(TableWRTEMaster[[#This Row],[RK]],TableTEVORP[RK],0)),"")</f>
        <v>Pharaoh Brown</v>
      </c>
      <c r="BG244" s="263" t="str">
        <f>_xlfn.CONCAT(TableWRTEMaster[[#This Row],[POS]],TableWRTEMaster[[#This Row],[RK]])</f>
        <v>TE43</v>
      </c>
      <c r="BH244" s="263">
        <f>IFERROR(INDEX(TableTEVORP[BYE],MATCH(TableWRTEMaster[[#This Row],[RK]],TableTEVORP[RK],0)),"")</f>
        <v>6</v>
      </c>
      <c r="BI244" s="264">
        <f>IFERROR(INDEX(TableTEVORP[FPS],MATCH(TableWRTEMaster[[#This Row],[RK]],TableTEVORP[RK],0)),"")</f>
        <v>28.593766911205876</v>
      </c>
      <c r="BJ244" s="254">
        <f>IFERROR(INDEX(TableTEVORP[VORP],MATCH(TableWRTEMaster[[#This Row],[RK]],TableTEVORP[RK],0)),"")</f>
        <v>-0.72090679342485242</v>
      </c>
    </row>
    <row r="245" spans="28:62" x14ac:dyDescent="0.3">
      <c r="AB245" s="246"/>
      <c r="AC245" s="250"/>
      <c r="AD245" s="250"/>
      <c r="AE245" s="250"/>
      <c r="AF245" s="250" t="s">
        <v>358</v>
      </c>
      <c r="AG245" s="250">
        <v>104</v>
      </c>
      <c r="AH245" s="251">
        <f>RANK(TableOverallMaster[[#This Row],[VORP]],TableOverallMaster[VORP])+COUNTIF($AM$2:AM245,AM245)-1</f>
        <v>243</v>
      </c>
      <c r="AI245" s="252" t="str">
        <f>IFERROR(INDEX(TableWRVORP[WIDE RECEIVER],MATCH(TableOverallMaster[[#This Row],[RK]],TableWRVORP[RK],0)),"")</f>
        <v>Jauan Jennings</v>
      </c>
      <c r="AJ245" s="252" t="str">
        <f t="shared" si="3"/>
        <v>WR104</v>
      </c>
      <c r="AK245" s="252">
        <f>IFERROR(INDEX(TableWRVORP[BYE],MATCH(TableOverallMaster[[#This Row],[RK]],TableWRVORP[RK],0)),"")</f>
        <v>9</v>
      </c>
      <c r="AL245" s="253">
        <f>IFERROR(INDEX(TableWRVORP[FPS],MATCH(TableOverallMaster[[#This Row],[RK]],TableWRVORP[RK],0)),"")</f>
        <v>43.316310817014994</v>
      </c>
      <c r="AM245" s="254">
        <f>IFERROR(INDEX(TableWRVORP[VORP],MATCH(TableOverallMaster[[#This Row],[RK]],TableWRVORP[RK],0)),"")</f>
        <v>-0.60250234043787443</v>
      </c>
      <c r="AN245" s="250"/>
      <c r="AO245" s="250">
        <v>244</v>
      </c>
      <c r="AP245" s="255" t="str">
        <f>IFERROR(INDEX(TableOverallMaster[OVERALL PLAYER],MATCH(TableOverallRank[[#This Row],[RK]],TableOverallMaster[OVR RK],0)),"")</f>
        <v>Anthony Schwartz</v>
      </c>
      <c r="AQ245" s="256" t="str">
        <f>IFERROR(INDEX(TableOverallMaster[POS RK],MATCH(TableOverallRank[[#This Row],[OVERALL PLAYER]],TableOverallMaster[OVERALL PLAYER],0)),"")</f>
        <v>WR105</v>
      </c>
      <c r="AR245" s="257">
        <f>IFERROR(INDEX(TableOverallMaster[BYE],MATCH(TableOverallRank[[#This Row],[OVERALL PLAYER]],TableOverallMaster[OVERALL PLAYER],0)),"")</f>
        <v>9</v>
      </c>
      <c r="AS245" s="258">
        <f>IFERROR(INDEX(TableOverallMaster[Custom],MATCH(TableOverallRank[[#This Row],[OVERALL PLAYER]],TableOverallMaster[OVERALL PLAYER],0)),"")</f>
        <v>42.407443228787997</v>
      </c>
      <c r="AT245" s="259">
        <f>IFERROR(INDEX(TableOverallMaster[VORP],MATCH(TableOverallRank[[#This Row],[OVERALL PLAYER]],TableOverallMaster[OVERALL PLAYER],0)),"")</f>
        <v>-0.61084267996259201</v>
      </c>
      <c r="AU245" s="250"/>
      <c r="AV245" s="246">
        <v>244</v>
      </c>
      <c r="AW245" s="260" t="str">
        <f>IFERROR(INDEX(TableWRTECalcPts[PLAYER],MATCH(TableWRTERank[[#This Row],[RK]],TableWRTECalcPts[RK],0)),"")</f>
        <v>Kalif Raymond</v>
      </c>
      <c r="AX245" s="260" t="str">
        <f>IFERROR(INDEX(TableWRTECalcPts[POS RK],MATCH(TableWRTERank[[#This Row],[WR and TE COMBINED]],TableWRTECalcPts[PLAYER],0)),"")</f>
        <v>WR170</v>
      </c>
      <c r="AY245" s="260">
        <f>IFERROR(INDEX(TableWRTECalcPts[BYE],MATCH(TableWRTERank[[#This Row],[RK]],TableWRTECalcPts[RK],0)),"")</f>
        <v>6</v>
      </c>
      <c r="AZ245" s="261">
        <f>IFERROR(INDEX(TableWRTECalcPts[Custom],MATCH(TableWRTERank[[#This Row],[RK]],TableWRTECalcPts[RK],0)),"")</f>
        <v>9.502644359990926</v>
      </c>
      <c r="BA245" s="249">
        <f>IFERROR((TableWRTERank[[#This Row],[FPS]]-INDEX(TableWRTERank[FPS],MATCH(WRTEVORPCalc,TableWRTERank[RK],0)))/INDEX(TableWRTERank[FPS],MATCH(WRTEVORPCalc,TableWRTERank[RK],0)),"")</f>
        <v>-0.9199778369635222</v>
      </c>
      <c r="BC245" s="124" t="s">
        <v>10</v>
      </c>
      <c r="BD245" s="124">
        <v>44</v>
      </c>
      <c r="BE245" s="262">
        <f>RANK(TableWRTEMaster[[#This Row],[VORP]],TableWRTEMaster[VORP])+COUNTIF($BJ$2:BJ245,BJ245)-1</f>
        <v>156</v>
      </c>
      <c r="BF245" s="263" t="str">
        <f>IFERROR(INDEX(TableTEVORP[TIGHT END],MATCH(TableWRTEMaster[[#This Row],[RK]],TableTEVORP[RK],0)),"")</f>
        <v>John Bates</v>
      </c>
      <c r="BG245" s="263" t="str">
        <f>_xlfn.CONCAT(TableWRTEMaster[[#This Row],[POS]],TableWRTEMaster[[#This Row],[RK]])</f>
        <v>TE44</v>
      </c>
      <c r="BH245" s="263">
        <f>IFERROR(INDEX(TableTEVORP[BYE],MATCH(TableWRTEMaster[[#This Row],[RK]],TableTEVORP[RK],0)),"")</f>
        <v>14</v>
      </c>
      <c r="BI245" s="264">
        <f>IFERROR(INDEX(TableTEVORP[FPS],MATCH(TableWRTEMaster[[#This Row],[RK]],TableTEVORP[RK],0)),"")</f>
        <v>28.379723029633141</v>
      </c>
      <c r="BJ245" s="254">
        <f>IFERROR(INDEX(TableTEVORP[VORP],MATCH(TableWRTEMaster[[#This Row],[RK]],TableTEVORP[RK],0)),"")</f>
        <v>-0.72299599676211934</v>
      </c>
    </row>
    <row r="246" spans="28:62" x14ac:dyDescent="0.3">
      <c r="AB246" s="246"/>
      <c r="AC246" s="250"/>
      <c r="AD246" s="250"/>
      <c r="AE246" s="250"/>
      <c r="AF246" s="250" t="s">
        <v>358</v>
      </c>
      <c r="AG246" s="250">
        <v>105</v>
      </c>
      <c r="AH246" s="251">
        <f>RANK(TableOverallMaster[[#This Row],[VORP]],TableOverallMaster[VORP])+COUNTIF($AM$2:AM246,AM246)-1</f>
        <v>244</v>
      </c>
      <c r="AI246" s="252" t="str">
        <f>IFERROR(INDEX(TableWRVORP[WIDE RECEIVER],MATCH(TableOverallMaster[[#This Row],[RK]],TableWRVORP[RK],0)),"")</f>
        <v>Anthony Schwartz</v>
      </c>
      <c r="AJ246" s="252" t="str">
        <f t="shared" si="3"/>
        <v>WR105</v>
      </c>
      <c r="AK246" s="252">
        <f>IFERROR(INDEX(TableWRVORP[BYE],MATCH(TableOverallMaster[[#This Row],[RK]],TableWRVORP[RK],0)),"")</f>
        <v>9</v>
      </c>
      <c r="AL246" s="253">
        <f>IFERROR(INDEX(TableWRVORP[FPS],MATCH(TableOverallMaster[[#This Row],[RK]],TableWRVORP[RK],0)),"")</f>
        <v>42.407443228787997</v>
      </c>
      <c r="AM246" s="254">
        <f>IFERROR(INDEX(TableWRVORP[VORP],MATCH(TableOverallMaster[[#This Row],[RK]],TableWRVORP[RK],0)),"")</f>
        <v>-0.61084267996259201</v>
      </c>
      <c r="AN246" s="250"/>
      <c r="AO246" s="250">
        <v>245</v>
      </c>
      <c r="AP246" s="255" t="str">
        <f>IFERROR(INDEX(TableOverallMaster[OVERALL PLAYER],MATCH(TableOverallRank[[#This Row],[RK]],TableOverallMaster[OVR RK],0)),"")</f>
        <v>Geno Smith</v>
      </c>
      <c r="AQ246" s="256" t="str">
        <f>IFERROR(INDEX(TableOverallMaster[POS RK],MATCH(TableOverallRank[[#This Row],[OVERALL PLAYER]],TableOverallMaster[OVERALL PLAYER],0)),"")</f>
        <v>QB34</v>
      </c>
      <c r="AR246" s="257">
        <f>IFERROR(INDEX(TableOverallMaster[BYE],MATCH(TableOverallRank[[#This Row],[OVERALL PLAYER]],TableOverallMaster[OVERALL PLAYER],0)),"")</f>
        <v>11</v>
      </c>
      <c r="AS246" s="258">
        <f>IFERROR(INDEX(TableOverallMaster[Custom],MATCH(TableOverallRank[[#This Row],[OVERALL PLAYER]],TableOverallMaster[OVERALL PLAYER],0)),"")</f>
        <v>106.80991898747439</v>
      </c>
      <c r="AT246" s="259">
        <f>IFERROR(INDEX(TableOverallMaster[VORP],MATCH(TableOverallRank[[#This Row],[OVERALL PLAYER]],TableOverallMaster[OVERALL PLAYER],0)),"")</f>
        <v>-0.62168019285684328</v>
      </c>
      <c r="AU246" s="250"/>
      <c r="AV246" s="246">
        <v>245</v>
      </c>
      <c r="AW246" s="260" t="str">
        <f>IFERROR(INDEX(TableWRTECalcPts[PLAYER],MATCH(TableWRTERank[[#This Row],[RK]],TableWRTECalcPts[RK],0)),"")</f>
        <v>Mike Strachan</v>
      </c>
      <c r="AX246" s="260" t="str">
        <f>IFERROR(INDEX(TableWRTECalcPts[POS RK],MATCH(TableWRTERank[[#This Row],[WR and TE COMBINED]],TableWRTECalcPts[PLAYER],0)),"")</f>
        <v>WR171</v>
      </c>
      <c r="AY246" s="260">
        <f>IFERROR(INDEX(TableWRTECalcPts[BYE],MATCH(TableWRTERank[[#This Row],[RK]],TableWRTECalcPts[RK],0)),"")</f>
        <v>14</v>
      </c>
      <c r="AZ246" s="261">
        <f>IFERROR(INDEX(TableWRTECalcPts[Custom],MATCH(TableWRTERank[[#This Row],[RK]],TableWRTECalcPts[RK],0)),"")</f>
        <v>9.4845967772622615</v>
      </c>
      <c r="BA246" s="249">
        <f>IFERROR((TableWRTERank[[#This Row],[FPS]]-INDEX(TableWRTERank[FPS],MATCH(WRTEVORPCalc,TableWRTERank[RK],0)))/INDEX(TableWRTERank[FPS],MATCH(WRTEVORPCalc,TableWRTERank[RK],0)),"")</f>
        <v>-0.92012981640764502</v>
      </c>
      <c r="BC246" s="124" t="s">
        <v>10</v>
      </c>
      <c r="BD246" s="124">
        <v>45</v>
      </c>
      <c r="BE246" s="262">
        <f>RANK(TableWRTEMaster[[#This Row],[VORP]],TableWRTEMaster[VORP])+COUNTIF($BJ$2:BJ246,BJ246)-1</f>
        <v>157</v>
      </c>
      <c r="BF246" s="263" t="str">
        <f>IFERROR(INDEX(TableTEVORP[TIGHT END],MATCH(TableWRTEMaster[[#This Row],[RK]],TableTEVORP[RK],0)),"")</f>
        <v>Anthony Firkser</v>
      </c>
      <c r="BG246" s="263" t="str">
        <f>_xlfn.CONCAT(TableWRTEMaster[[#This Row],[POS]],TableWRTEMaster[[#This Row],[RK]])</f>
        <v>TE45</v>
      </c>
      <c r="BH246" s="263">
        <f>IFERROR(INDEX(TableTEVORP[BYE],MATCH(TableWRTEMaster[[#This Row],[RK]],TableTEVORP[RK],0)),"")</f>
        <v>14</v>
      </c>
      <c r="BI246" s="264">
        <f>IFERROR(INDEX(TableTEVORP[FPS],MATCH(TableWRTEMaster[[#This Row],[RK]],TableTEVORP[RK],0)),"")</f>
        <v>27.919752297861926</v>
      </c>
      <c r="BJ246" s="254">
        <f>IFERROR(INDEX(TableTEVORP[VORP],MATCH(TableWRTEMaster[[#This Row],[RK]],TableTEVORP[RK],0)),"")</f>
        <v>-0.72748560132731699</v>
      </c>
    </row>
    <row r="247" spans="28:62" x14ac:dyDescent="0.3">
      <c r="AB247" s="246"/>
      <c r="AC247" s="250"/>
      <c r="AD247" s="250"/>
      <c r="AE247" s="250"/>
      <c r="AF247" s="250" t="s">
        <v>358</v>
      </c>
      <c r="AG247" s="250">
        <v>106</v>
      </c>
      <c r="AH247" s="251">
        <f>RANK(TableOverallMaster[[#This Row],[VORP]],TableOverallMaster[VORP])+COUNTIF($AM$2:AM247,AM247)-1</f>
        <v>249</v>
      </c>
      <c r="AI247" s="252" t="str">
        <f>IFERROR(INDEX(TableWRVORP[WIDE RECEIVER],MATCH(TableOverallMaster[[#This Row],[RK]],TableWRVORP[RK],0)),"")</f>
        <v>Laviska Shenault</v>
      </c>
      <c r="AJ247" s="252" t="str">
        <f t="shared" si="3"/>
        <v>WR106</v>
      </c>
      <c r="AK247" s="252">
        <f>IFERROR(INDEX(TableWRVORP[BYE],MATCH(TableOverallMaster[[#This Row],[RK]],TableWRVORP[RK],0)),"")</f>
        <v>11</v>
      </c>
      <c r="AL247" s="253">
        <f>IFERROR(INDEX(TableWRVORP[FPS],MATCH(TableOverallMaster[[#This Row],[RK]],TableWRVORP[RK],0)),"")</f>
        <v>40.413989999832708</v>
      </c>
      <c r="AM247" s="254">
        <f>IFERROR(INDEX(TableWRVORP[VORP],MATCH(TableOverallMaster[[#This Row],[RK]],TableWRVORP[RK],0)),"")</f>
        <v>-0.62913585816753348</v>
      </c>
      <c r="AN247" s="250"/>
      <c r="AO247" s="250">
        <v>246</v>
      </c>
      <c r="AP247" s="255" t="str">
        <f>IFERROR(INDEX(TableOverallMaster[OVERALL PLAYER],MATCH(TableOverallRank[[#This Row],[RK]],TableOverallMaster[OVR RK],0)),"")</f>
        <v>Cade Otton</v>
      </c>
      <c r="AQ247" s="256" t="str">
        <f>IFERROR(INDEX(TableOverallMaster[POS RK],MATCH(TableOverallRank[[#This Row],[OVERALL PLAYER]],TableOverallMaster[OVERALL PLAYER],0)),"")</f>
        <v>TE35</v>
      </c>
      <c r="AR247" s="257">
        <f>IFERROR(INDEX(TableOverallMaster[BYE],MATCH(TableOverallRank[[#This Row],[OVERALL PLAYER]],TableOverallMaster[OVERALL PLAYER],0)),"")</f>
        <v>11</v>
      </c>
      <c r="AS247" s="258">
        <f>IFERROR(INDEX(TableOverallMaster[Custom],MATCH(TableOverallRank[[#This Row],[OVERALL PLAYER]],TableOverallMaster[OVERALL PLAYER],0)),"")</f>
        <v>38.578392188776903</v>
      </c>
      <c r="AT247" s="259">
        <f>IFERROR(INDEX(TableOverallMaster[VORP],MATCH(TableOverallRank[[#This Row],[OVERALL PLAYER]],TableOverallMaster[OVERALL PLAYER],0)),"")</f>
        <v>-0.62345055081708012</v>
      </c>
      <c r="AU247" s="250"/>
      <c r="AV247" s="246">
        <v>246</v>
      </c>
      <c r="AW247" s="260" t="str">
        <f>IFERROR(INDEX(TableWRTECalcPts[PLAYER],MATCH(TableWRTERank[[#This Row],[RK]],TableWRTECalcPts[RK],0)),"")</f>
        <v>Erik Ezukanma</v>
      </c>
      <c r="AX247" s="260" t="str">
        <f>IFERROR(INDEX(TableWRTECalcPts[POS RK],MATCH(TableWRTERank[[#This Row],[WR and TE COMBINED]],TableWRTECalcPts[PLAYER],0)),"")</f>
        <v>WR172</v>
      </c>
      <c r="AY247" s="260">
        <f>IFERROR(INDEX(TableWRTECalcPts[BYE],MATCH(TableWRTERank[[#This Row],[RK]],TableWRTECalcPts[RK],0)),"")</f>
        <v>11</v>
      </c>
      <c r="AZ247" s="261">
        <f>IFERROR(INDEX(TableWRTECalcPts[Custom],MATCH(TableWRTERank[[#This Row],[RK]],TableWRTECalcPts[RK],0)),"")</f>
        <v>9.3489125569533069</v>
      </c>
      <c r="BA247" s="249">
        <f>IFERROR((TableWRTERank[[#This Row],[FPS]]-INDEX(TableWRTERank[FPS],MATCH(WRTEVORPCalc,TableWRTERank[RK],0)))/INDEX(TableWRTERank[FPS],MATCH(WRTEVORPCalc,TableWRTERank[RK],0)),"")</f>
        <v>-0.9212724188652045</v>
      </c>
      <c r="BC247" s="124" t="s">
        <v>10</v>
      </c>
      <c r="BD247" s="124">
        <v>46</v>
      </c>
      <c r="BE247" s="262">
        <f>RANK(TableWRTEMaster[[#This Row],[VORP]],TableWRTEMaster[VORP])+COUNTIF($BJ$2:BJ247,BJ247)-1</f>
        <v>160</v>
      </c>
      <c r="BF247" s="263" t="str">
        <f>IFERROR(INDEX(TableTEVORP[TIGHT END],MATCH(TableWRTEMaster[[#This Row],[RK]],TableTEVORP[RK],0)),"")</f>
        <v>Kylen Granson</v>
      </c>
      <c r="BG247" s="263" t="str">
        <f>_xlfn.CONCAT(TableWRTEMaster[[#This Row],[POS]],TableWRTEMaster[[#This Row],[RK]])</f>
        <v>TE46</v>
      </c>
      <c r="BH247" s="263">
        <f>IFERROR(INDEX(TableTEVORP[BYE],MATCH(TableWRTEMaster[[#This Row],[RK]],TableTEVORP[RK],0)),"")</f>
        <v>14</v>
      </c>
      <c r="BI247" s="264">
        <f>IFERROR(INDEX(TableTEVORP[FPS],MATCH(TableWRTEMaster[[#This Row],[RK]],TableTEVORP[RK],0)),"")</f>
        <v>27.433862445722774</v>
      </c>
      <c r="BJ247" s="254">
        <f>IFERROR(INDEX(TableTEVORP[VORP],MATCH(TableWRTEMaster[[#This Row],[RK]],TableTEVORP[RK],0)),"")</f>
        <v>-0.73222819286123242</v>
      </c>
    </row>
    <row r="248" spans="28:62" x14ac:dyDescent="0.3">
      <c r="AB248" s="246"/>
      <c r="AC248" s="250"/>
      <c r="AD248" s="250"/>
      <c r="AE248" s="250"/>
      <c r="AF248" s="250" t="s">
        <v>358</v>
      </c>
      <c r="AG248" s="250">
        <v>107</v>
      </c>
      <c r="AH248" s="251">
        <f>RANK(TableOverallMaster[[#This Row],[VORP]],TableOverallMaster[VORP])+COUNTIF($AM$2:AM248,AM248)-1</f>
        <v>252</v>
      </c>
      <c r="AI248" s="252" t="str">
        <f>IFERROR(INDEX(TableWRVORP[WIDE RECEIVER],MATCH(TableOverallMaster[[#This Row],[RK]],TableWRVORP[RK],0)),"")</f>
        <v>Calvin Austin</v>
      </c>
      <c r="AJ248" s="252" t="str">
        <f t="shared" si="3"/>
        <v>WR107</v>
      </c>
      <c r="AK248" s="252">
        <f>IFERROR(INDEX(TableWRVORP[BYE],MATCH(TableOverallMaster[[#This Row],[RK]],TableWRVORP[RK],0)),"")</f>
        <v>9</v>
      </c>
      <c r="AL248" s="253">
        <f>IFERROR(INDEX(TableWRVORP[FPS],MATCH(TableOverallMaster[[#This Row],[RK]],TableWRVORP[RK],0)),"")</f>
        <v>38.631807132828371</v>
      </c>
      <c r="AM248" s="254">
        <f>IFERROR(INDEX(TableWRVORP[VORP],MATCH(TableOverallMaster[[#This Row],[RK]],TableWRVORP[RK],0)),"")</f>
        <v>-0.64549028690775001</v>
      </c>
      <c r="AN248" s="250"/>
      <c r="AO248" s="250">
        <v>247</v>
      </c>
      <c r="AP248" s="255" t="str">
        <f>IFERROR(INDEX(TableOverallMaster[OVERALL PLAYER],MATCH(TableOverallRank[[#This Row],[RK]],TableOverallMaster[OVR RK],0)),"")</f>
        <v>Geoff Swaim</v>
      </c>
      <c r="AQ248" s="256" t="str">
        <f>IFERROR(INDEX(TableOverallMaster[POS RK],MATCH(TableOverallRank[[#This Row],[OVERALL PLAYER]],TableOverallMaster[OVERALL PLAYER],0)),"")</f>
        <v>TE36</v>
      </c>
      <c r="AR248" s="257">
        <f>IFERROR(INDEX(TableOverallMaster[BYE],MATCH(TableOverallRank[[#This Row],[OVERALL PLAYER]],TableOverallMaster[OVERALL PLAYER],0)),"")</f>
        <v>6</v>
      </c>
      <c r="AS248" s="258">
        <f>IFERROR(INDEX(TableOverallMaster[Custom],MATCH(TableOverallRank[[#This Row],[OVERALL PLAYER]],TableOverallMaster[OVERALL PLAYER],0)),"")</f>
        <v>38.183041253692494</v>
      </c>
      <c r="AT248" s="259">
        <f>IFERROR(INDEX(TableOverallMaster[VORP],MATCH(TableOverallRank[[#This Row],[OVERALL PLAYER]],TableOverallMaster[OVERALL PLAYER],0)),"")</f>
        <v>-0.62730942539411072</v>
      </c>
      <c r="AU248" s="250"/>
      <c r="AV248" s="246">
        <v>247</v>
      </c>
      <c r="AW248" s="260" t="str">
        <f>IFERROR(INDEX(TableWRTECalcPts[PLAYER],MATCH(TableWRTERank[[#This Row],[RK]],TableWRTECalcPts[RK],0)),"")</f>
        <v>Jason Moore</v>
      </c>
      <c r="AX248" s="260" t="str">
        <f>IFERROR(INDEX(TableWRTECalcPts[POS RK],MATCH(TableWRTERank[[#This Row],[WR and TE COMBINED]],TableWRTECalcPts[PLAYER],0)),"")</f>
        <v>WR173</v>
      </c>
      <c r="AY248" s="260">
        <f>IFERROR(INDEX(TableWRTECalcPts[BYE],MATCH(TableWRTERank[[#This Row],[RK]],TableWRTECalcPts[RK],0)),"")</f>
        <v>8</v>
      </c>
      <c r="AZ248" s="261">
        <f>IFERROR(INDEX(TableWRTECalcPts[Custom],MATCH(TableWRTERank[[#This Row],[RK]],TableWRTECalcPts[RK],0)),"")</f>
        <v>8.9314553250464517</v>
      </c>
      <c r="BA248" s="249">
        <f>IFERROR((TableWRTERank[[#This Row],[FPS]]-INDEX(TableWRTERank[FPS],MATCH(WRTEVORPCalc,TableWRTERank[RK],0)))/INDEX(TableWRTERank[FPS],MATCH(WRTEVORPCalc,TableWRTERank[RK],0)),"")</f>
        <v>-0.92478784356246624</v>
      </c>
      <c r="BC248" s="124" t="s">
        <v>10</v>
      </c>
      <c r="BD248" s="124">
        <v>47</v>
      </c>
      <c r="BE248" s="262">
        <f>RANK(TableWRTEMaster[[#This Row],[VORP]],TableWRTEMaster[VORP])+COUNTIF($BJ$2:BJ248,BJ248)-1</f>
        <v>162</v>
      </c>
      <c r="BF248" s="263" t="str">
        <f>IFERROR(INDEX(TableTEVORP[TIGHT END],MATCH(TableWRTEMaster[[#This Row],[RK]],TableTEVORP[RK],0)),"")</f>
        <v>Ian Thomas</v>
      </c>
      <c r="BG248" s="263" t="str">
        <f>_xlfn.CONCAT(TableWRTEMaster[[#This Row],[POS]],TableWRTEMaster[[#This Row],[RK]])</f>
        <v>TE47</v>
      </c>
      <c r="BH248" s="263">
        <f>IFERROR(INDEX(TableTEVORP[BYE],MATCH(TableWRTEMaster[[#This Row],[RK]],TableTEVORP[RK],0)),"")</f>
        <v>13</v>
      </c>
      <c r="BI248" s="264">
        <f>IFERROR(INDEX(TableTEVORP[FPS],MATCH(TableWRTEMaster[[#This Row],[RK]],TableTEVORP[RK],0)),"")</f>
        <v>25.113022945980973</v>
      </c>
      <c r="BJ248" s="254">
        <f>IFERROR(INDEX(TableTEVORP[VORP],MATCH(TableWRTEMaster[[#This Row],[RK]],TableTEVORP[RK],0)),"")</f>
        <v>-0.75488105073549028</v>
      </c>
    </row>
    <row r="249" spans="28:62" x14ac:dyDescent="0.3">
      <c r="AB249" s="246"/>
      <c r="AC249" s="250"/>
      <c r="AD249" s="250"/>
      <c r="AE249" s="250"/>
      <c r="AF249" s="250" t="s">
        <v>358</v>
      </c>
      <c r="AG249" s="250">
        <v>108</v>
      </c>
      <c r="AH249" s="251">
        <f>RANK(TableOverallMaster[[#This Row],[VORP]],TableOverallMaster[VORP])+COUNTIF($AM$2:AM249,AM249)-1</f>
        <v>257</v>
      </c>
      <c r="AI249" s="252" t="str">
        <f>IFERROR(INDEX(TableWRVORP[WIDE RECEIVER],MATCH(TableOverallMaster[[#This Row],[RK]],TableWRVORP[RK],0)),"")</f>
        <v>Demarcus Robinson</v>
      </c>
      <c r="AJ249" s="252" t="str">
        <f t="shared" si="3"/>
        <v>WR108</v>
      </c>
      <c r="AK249" s="252">
        <f>IFERROR(INDEX(TableWRVORP[BYE],MATCH(TableOverallMaster[[#This Row],[RK]],TableWRVORP[RK],0)),"")</f>
        <v>6</v>
      </c>
      <c r="AL249" s="253">
        <f>IFERROR(INDEX(TableWRVORP[FPS],MATCH(TableOverallMaster[[#This Row],[RK]],TableWRVORP[RK],0)),"")</f>
        <v>35.322918725494581</v>
      </c>
      <c r="AM249" s="254">
        <f>IFERROR(INDEX(TableWRVORP[VORP],MATCH(TableOverallMaster[[#This Row],[RK]],TableWRVORP[RK],0)),"")</f>
        <v>-0.6758547240645445</v>
      </c>
      <c r="AN249" s="250"/>
      <c r="AO249" s="250">
        <v>248</v>
      </c>
      <c r="AP249" s="255" t="str">
        <f>IFERROR(INDEX(TableOverallMaster[OVERALL PLAYER],MATCH(TableOverallRank[[#This Row],[RK]],TableOverallMaster[OVR RK],0)),"")</f>
        <v>Harrison Bryant</v>
      </c>
      <c r="AQ249" s="256" t="str">
        <f>IFERROR(INDEX(TableOverallMaster[POS RK],MATCH(TableOverallRank[[#This Row],[OVERALL PLAYER]],TableOverallMaster[OVERALL PLAYER],0)),"")</f>
        <v>TE37</v>
      </c>
      <c r="AR249" s="257">
        <f>IFERROR(INDEX(TableOverallMaster[BYE],MATCH(TableOverallRank[[#This Row],[OVERALL PLAYER]],TableOverallMaster[OVERALL PLAYER],0)),"")</f>
        <v>9</v>
      </c>
      <c r="AS249" s="258">
        <f>IFERROR(INDEX(TableOverallMaster[Custom],MATCH(TableOverallRank[[#This Row],[OVERALL PLAYER]],TableOverallMaster[OVERALL PLAYER],0)),"")</f>
        <v>38.106607571611121</v>
      </c>
      <c r="AT249" s="259">
        <f>IFERROR(INDEX(TableOverallMaster[VORP],MATCH(TableOverallRank[[#This Row],[OVERALL PLAYER]],TableOverallMaster[OVERALL PLAYER],0)),"")</f>
        <v>-0.62805546635781717</v>
      </c>
      <c r="AU249" s="250"/>
      <c r="AV249" s="246">
        <v>248</v>
      </c>
      <c r="AW249" s="260" t="str">
        <f>IFERROR(INDEX(TableWRTECalcPts[PLAYER],MATCH(TableWRTERank[[#This Row],[RK]],TableWRTECalcPts[RK],0)),"")</f>
        <v>Jalen Nailor</v>
      </c>
      <c r="AX249" s="260" t="str">
        <f>IFERROR(INDEX(TableWRTECalcPts[POS RK],MATCH(TableWRTERank[[#This Row],[WR and TE COMBINED]],TableWRTECalcPts[PLAYER],0)),"")</f>
        <v>WR174</v>
      </c>
      <c r="AY249" s="260">
        <f>IFERROR(INDEX(TableWRTECalcPts[BYE],MATCH(TableWRTERank[[#This Row],[RK]],TableWRTECalcPts[RK],0)),"")</f>
        <v>7</v>
      </c>
      <c r="AZ249" s="261">
        <f>IFERROR(INDEX(TableWRTECalcPts[Custom],MATCH(TableWRTERank[[#This Row],[RK]],TableWRTECalcPts[RK],0)),"")</f>
        <v>8.6483568154288335</v>
      </c>
      <c r="BA249" s="249">
        <f>IFERROR((TableWRTERank[[#This Row],[FPS]]-INDEX(TableWRTERank[FPS],MATCH(WRTEVORPCalc,TableWRTERank[RK],0)))/INDEX(TableWRTERank[FPS],MATCH(WRTEVORPCalc,TableWRTERank[RK],0)),"")</f>
        <v>-0.92717182787607333</v>
      </c>
      <c r="BC249" s="124" t="s">
        <v>10</v>
      </c>
      <c r="BD249" s="124">
        <v>48</v>
      </c>
      <c r="BE249" s="262">
        <f>RANK(TableWRTEMaster[[#This Row],[VORP]],TableWRTEMaster[VORP])+COUNTIF($BJ$2:BJ249,BJ249)-1</f>
        <v>164</v>
      </c>
      <c r="BF249" s="263" t="str">
        <f>IFERROR(INDEX(TableTEVORP[TIGHT END],MATCH(TableWRTEMaster[[#This Row],[RK]],TableTEVORP[RK],0)),"")</f>
        <v>Will Dissly</v>
      </c>
      <c r="BG249" s="263" t="str">
        <f>_xlfn.CONCAT(TableWRTEMaster[[#This Row],[POS]],TableWRTEMaster[[#This Row],[RK]])</f>
        <v>TE48</v>
      </c>
      <c r="BH249" s="263">
        <f>IFERROR(INDEX(TableTEVORP[BYE],MATCH(TableWRTEMaster[[#This Row],[RK]],TableTEVORP[RK],0)),"")</f>
        <v>11</v>
      </c>
      <c r="BI249" s="264">
        <f>IFERROR(INDEX(TableTEVORP[FPS],MATCH(TableWRTEMaster[[#This Row],[RK]],TableTEVORP[RK],0)),"")</f>
        <v>24.755236021338916</v>
      </c>
      <c r="BJ249" s="254">
        <f>IFERROR(INDEX(TableTEVORP[VORP],MATCH(TableWRTEMaster[[#This Row],[RK]],TableTEVORP[RK],0)),"")</f>
        <v>-0.75837327686921729</v>
      </c>
    </row>
    <row r="250" spans="28:62" x14ac:dyDescent="0.3">
      <c r="AB250" s="246"/>
      <c r="AC250" s="250"/>
      <c r="AD250" s="250"/>
      <c r="AE250" s="250"/>
      <c r="AF250" s="250" t="s">
        <v>358</v>
      </c>
      <c r="AG250" s="250">
        <v>109</v>
      </c>
      <c r="AH250" s="251">
        <f>RANK(TableOverallMaster[[#This Row],[VORP]],TableOverallMaster[VORP])+COUNTIF($AM$2:AM250,AM250)-1</f>
        <v>258</v>
      </c>
      <c r="AI250" s="252" t="str">
        <f>IFERROR(INDEX(TableWRVORP[WIDE RECEIVER],MATCH(TableOverallMaster[[#This Row],[RK]],TableWRVORP[RK],0)),"")</f>
        <v>Marquez Callaway</v>
      </c>
      <c r="AJ250" s="252" t="str">
        <f t="shared" si="3"/>
        <v>WR109</v>
      </c>
      <c r="AK250" s="252">
        <f>IFERROR(INDEX(TableWRVORP[BYE],MATCH(TableOverallMaster[[#This Row],[RK]],TableWRVORP[RK],0)),"")</f>
        <v>14</v>
      </c>
      <c r="AL250" s="253">
        <f>IFERROR(INDEX(TableWRVORP[FPS],MATCH(TableOverallMaster[[#This Row],[RK]],TableWRVORP[RK],0)),"")</f>
        <v>35.071330105964549</v>
      </c>
      <c r="AM250" s="254">
        <f>IFERROR(INDEX(TableWRVORP[VORP],MATCH(TableOverallMaster[[#This Row],[RK]],TableWRVORP[RK],0)),"")</f>
        <v>-0.67816345917031384</v>
      </c>
      <c r="AN250" s="250"/>
      <c r="AO250" s="250">
        <v>249</v>
      </c>
      <c r="AP250" s="255" t="str">
        <f>IFERROR(INDEX(TableOverallMaster[OVERALL PLAYER],MATCH(TableOverallRank[[#This Row],[RK]],TableOverallMaster[OVR RK],0)),"")</f>
        <v>Laviska Shenault</v>
      </c>
      <c r="AQ250" s="256" t="str">
        <f>IFERROR(INDEX(TableOverallMaster[POS RK],MATCH(TableOverallRank[[#This Row],[OVERALL PLAYER]],TableOverallMaster[OVERALL PLAYER],0)),"")</f>
        <v>WR106</v>
      </c>
      <c r="AR250" s="257">
        <f>IFERROR(INDEX(TableOverallMaster[BYE],MATCH(TableOverallRank[[#This Row],[OVERALL PLAYER]],TableOverallMaster[OVERALL PLAYER],0)),"")</f>
        <v>11</v>
      </c>
      <c r="AS250" s="258">
        <f>IFERROR(INDEX(TableOverallMaster[Custom],MATCH(TableOverallRank[[#This Row],[OVERALL PLAYER]],TableOverallMaster[OVERALL PLAYER],0)),"")</f>
        <v>40.413989999832708</v>
      </c>
      <c r="AT250" s="259">
        <f>IFERROR(INDEX(TableOverallMaster[VORP],MATCH(TableOverallRank[[#This Row],[OVERALL PLAYER]],TableOverallMaster[OVERALL PLAYER],0)),"")</f>
        <v>-0.62913585816753348</v>
      </c>
      <c r="AU250" s="250"/>
      <c r="AV250" s="246">
        <v>249</v>
      </c>
      <c r="AW250" s="260" t="str">
        <f>IFERROR(INDEX(TableWRTECalcPts[PLAYER],MATCH(TableWRTERank[[#This Row],[RK]],TableWRTECalcPts[RK],0)),"")</f>
        <v>Chris Moore</v>
      </c>
      <c r="AX250" s="260" t="str">
        <f>IFERROR(INDEX(TableWRTECalcPts[POS RK],MATCH(TableWRTERank[[#This Row],[WR and TE COMBINED]],TableWRTECalcPts[PLAYER],0)),"")</f>
        <v>WR175</v>
      </c>
      <c r="AY250" s="260">
        <f>IFERROR(INDEX(TableWRTECalcPts[BYE],MATCH(TableWRTERank[[#This Row],[RK]],TableWRTECalcPts[RK],0)),"")</f>
        <v>6</v>
      </c>
      <c r="AZ250" s="261">
        <f>IFERROR(INDEX(TableWRTECalcPts[Custom],MATCH(TableWRTERank[[#This Row],[RK]],TableWRTECalcPts[RK],0)),"")</f>
        <v>8.5909616939617983</v>
      </c>
      <c r="BA250" s="249">
        <f>IFERROR((TableWRTERank[[#This Row],[FPS]]-INDEX(TableWRTERank[FPS],MATCH(WRTEVORPCalc,TableWRTERank[RK],0)))/INDEX(TableWRTERank[FPS],MATCH(WRTEVORPCalc,TableWRTERank[RK],0)),"")</f>
        <v>-0.92765515457899306</v>
      </c>
      <c r="BC250" s="124" t="s">
        <v>10</v>
      </c>
      <c r="BD250" s="124">
        <v>49</v>
      </c>
      <c r="BE250" s="262">
        <f>RANK(TableWRTEMaster[[#This Row],[VORP]],TableWRTEMaster[VORP])+COUNTIF($BJ$2:BJ250,BJ250)-1</f>
        <v>170</v>
      </c>
      <c r="BF250" s="263" t="str">
        <f>IFERROR(INDEX(TableTEVORP[TIGHT END],MATCH(TableWRTEMaster[[#This Row],[RK]],TableTEVORP[RK],0)),"")</f>
        <v>Greg Dulcich</v>
      </c>
      <c r="BG250" s="263" t="str">
        <f>_xlfn.CONCAT(TableWRTEMaster[[#This Row],[POS]],TableWRTEMaster[[#This Row],[RK]])</f>
        <v>TE49</v>
      </c>
      <c r="BH250" s="263">
        <f>IFERROR(INDEX(TableTEVORP[BYE],MATCH(TableWRTEMaster[[#This Row],[RK]],TableTEVORP[RK],0)),"")</f>
        <v>9</v>
      </c>
      <c r="BI250" s="264">
        <f>IFERROR(INDEX(TableTEVORP[FPS],MATCH(TableWRTEMaster[[#This Row],[RK]],TableTEVORP[RK],0)),"")</f>
        <v>22.454485484473569</v>
      </c>
      <c r="BJ250" s="254">
        <f>IFERROR(INDEX(TableTEVORP[VORP],MATCH(TableWRTEMaster[[#This Row],[RK]],TableTEVORP[RK],0)),"")</f>
        <v>-0.78083005379046988</v>
      </c>
    </row>
    <row r="251" spans="28:62" x14ac:dyDescent="0.3">
      <c r="AB251" s="246"/>
      <c r="AC251" s="250"/>
      <c r="AD251" s="250"/>
      <c r="AE251" s="250"/>
      <c r="AF251" s="250" t="s">
        <v>358</v>
      </c>
      <c r="AG251" s="250">
        <v>110</v>
      </c>
      <c r="AH251" s="251">
        <f>RANK(TableOverallMaster[[#This Row],[VORP]],TableOverallMaster[VORP])+COUNTIF($AM$2:AM251,AM251)-1</f>
        <v>260</v>
      </c>
      <c r="AI251" s="252" t="str">
        <f>IFERROR(INDEX(TableWRVORP[WIDE RECEIVER],MATCH(TableOverallMaster[[#This Row],[RK]],TableWRVORP[RK],0)),"")</f>
        <v>Quez Watkins</v>
      </c>
      <c r="AJ251" s="252" t="str">
        <f t="shared" si="3"/>
        <v>WR110</v>
      </c>
      <c r="AK251" s="252">
        <f>IFERROR(INDEX(TableWRVORP[BYE],MATCH(TableOverallMaster[[#This Row],[RK]],TableWRVORP[RK],0)),"")</f>
        <v>7</v>
      </c>
      <c r="AL251" s="253">
        <f>IFERROR(INDEX(TableWRVORP[FPS],MATCH(TableOverallMaster[[#This Row],[RK]],TableWRVORP[RK],0)),"")</f>
        <v>34.037529360914419</v>
      </c>
      <c r="AM251" s="254">
        <f>IFERROR(INDEX(TableWRVORP[VORP],MATCH(TableOverallMaster[[#This Row],[RK]],TableWRVORP[RK],0)),"")</f>
        <v>-0.6876502637679387</v>
      </c>
      <c r="AN251" s="250"/>
      <c r="AO251" s="250">
        <v>250</v>
      </c>
      <c r="AP251" s="255" t="str">
        <f>IFERROR(INDEX(TableOverallMaster[OVERALL PLAYER],MATCH(TableOverallRank[[#This Row],[RK]],TableOverallMaster[OVR RK],0)),"")</f>
        <v>Samaje Perine</v>
      </c>
      <c r="AQ251" s="256" t="str">
        <f>IFERROR(INDEX(TableOverallMaster[POS RK],MATCH(TableOverallRank[[#This Row],[OVERALL PLAYER]],TableOverallMaster[OVERALL PLAYER],0)),"")</f>
        <v>RB73</v>
      </c>
      <c r="AR251" s="257">
        <f>IFERROR(INDEX(TableOverallMaster[BYE],MATCH(TableOverallRank[[#This Row],[OVERALL PLAYER]],TableOverallMaster[OVERALL PLAYER],0)),"")</f>
        <v>10</v>
      </c>
      <c r="AS251" s="258">
        <f>IFERROR(INDEX(TableOverallMaster[Custom],MATCH(TableOverallRank[[#This Row],[OVERALL PLAYER]],TableOverallMaster[OVERALL PLAYER],0)),"")</f>
        <v>37.390647163356761</v>
      </c>
      <c r="AT251" s="259">
        <f>IFERROR(INDEX(TableOverallMaster[VORP],MATCH(TableOverallRank[[#This Row],[OVERALL PLAYER]],TableOverallMaster[OVERALL PLAYER],0)),"")</f>
        <v>-0.63096177064188208</v>
      </c>
      <c r="AU251" s="250"/>
      <c r="AV251" s="246">
        <v>250</v>
      </c>
      <c r="AW251" s="260" t="str">
        <f>IFERROR(INDEX(TableWRTECalcPts[PLAYER],MATCH(TableWRTERank[[#This Row],[RK]],TableWRTECalcPts[RK],0)),"")</f>
        <v>Marquez Stevenson</v>
      </c>
      <c r="AX251" s="260" t="str">
        <f>IFERROR(INDEX(TableWRTECalcPts[POS RK],MATCH(TableWRTERank[[#This Row],[WR and TE COMBINED]],TableWRTECalcPts[PLAYER],0)),"")</f>
        <v>WR176</v>
      </c>
      <c r="AY251" s="260">
        <f>IFERROR(INDEX(TableWRTECalcPts[BYE],MATCH(TableWRTERank[[#This Row],[RK]],TableWRTECalcPts[RK],0)),"")</f>
        <v>7</v>
      </c>
      <c r="AZ251" s="261">
        <f>IFERROR(INDEX(TableWRTECalcPts[Custom],MATCH(TableWRTERank[[#This Row],[RK]],TableWRTECalcPts[RK],0)),"")</f>
        <v>8.566595854902161</v>
      </c>
      <c r="BA251" s="249">
        <f>IFERROR((TableWRTERank[[#This Row],[FPS]]-INDEX(TableWRTERank[FPS],MATCH(WRTEVORPCalc,TableWRTERank[RK],0)))/INDEX(TableWRTERank[FPS],MATCH(WRTEVORPCalc,TableWRTERank[RK],0)),"")</f>
        <v>-0.92786034032223319</v>
      </c>
      <c r="BC251" s="124" t="s">
        <v>10</v>
      </c>
      <c r="BD251" s="124">
        <v>50</v>
      </c>
      <c r="BE251" s="262">
        <f>RANK(TableWRTEMaster[[#This Row],[VORP]],TableWRTEMaster[VORP])+COUNTIF($BJ$2:BJ251,BJ251)-1</f>
        <v>174</v>
      </c>
      <c r="BF251" s="263" t="str">
        <f>IFERROR(INDEX(TableTEVORP[TIGHT END],MATCH(TableWRTEMaster[[#This Row],[RK]],TableTEVORP[RK],0)),"")</f>
        <v>Trey McBride</v>
      </c>
      <c r="BG251" s="263" t="str">
        <f>_xlfn.CONCAT(TableWRTEMaster[[#This Row],[POS]],TableWRTEMaster[[#This Row],[RK]])</f>
        <v>TE50</v>
      </c>
      <c r="BH251" s="263">
        <f>IFERROR(INDEX(TableTEVORP[BYE],MATCH(TableWRTEMaster[[#This Row],[RK]],TableTEVORP[RK],0)),"")</f>
        <v>13</v>
      </c>
      <c r="BI251" s="264">
        <f>IFERROR(INDEX(TableTEVORP[FPS],MATCH(TableWRTEMaster[[#This Row],[RK]],TableTEVORP[RK],0)),"")</f>
        <v>22.020922347162873</v>
      </c>
      <c r="BJ251" s="254">
        <f>IFERROR(INDEX(TableTEVORP[VORP],MATCH(TableWRTEMaster[[#This Row],[RK]],TableTEVORP[RK],0)),"")</f>
        <v>-0.78506190357159833</v>
      </c>
    </row>
    <row r="252" spans="28:62" x14ac:dyDescent="0.3">
      <c r="AB252" s="246"/>
      <c r="AC252" s="250"/>
      <c r="AD252" s="250"/>
      <c r="AE252" s="250"/>
      <c r="AF252" s="250" t="s">
        <v>10</v>
      </c>
      <c r="AG252" s="250">
        <v>1</v>
      </c>
      <c r="AH252" s="251">
        <f>RANK(TableOverallMaster[[#This Row],[VORP]],TableOverallMaster[VORP])+COUNTIF($AM$2:AM252,AM252)-1</f>
        <v>33</v>
      </c>
      <c r="AI252" s="252" t="str">
        <f>IFERROR(INDEX(TableTEVORP[TIGHT END],MATCH(TableOverallMaster[[#This Row],[RK]],TableTEVORP[RK],0)),"")</f>
        <v>Travis Kelce</v>
      </c>
      <c r="AJ252" s="252" t="str">
        <f t="shared" si="3"/>
        <v>TE1</v>
      </c>
      <c r="AK252" s="252">
        <f>IFERROR(INDEX(TableTEVORP[BYE],MATCH(TableOverallMaster[[#This Row],[RK]],TableTEVORP[RK],0)),"")</f>
        <v>8</v>
      </c>
      <c r="AL252" s="253">
        <f>IFERROR(INDEX(TableTEVORP[FPS],MATCH(TableOverallMaster[[#This Row],[RK]],TableTEVORP[RK],0)),"")</f>
        <v>168.01396248207141</v>
      </c>
      <c r="AM252" s="254">
        <f>IFERROR(INDEX(TableTEVORP[VORP],MATCH(TableOverallMaster[[#This Row],[RK]],TableTEVORP[RK],0)),"")</f>
        <v>0.63992228390660533</v>
      </c>
      <c r="AN252" s="250"/>
      <c r="AO252" s="250">
        <v>251</v>
      </c>
      <c r="AP252" s="255" t="str">
        <f>IFERROR(INDEX(TableOverallMaster[OVERALL PLAYER],MATCH(TableOverallRank[[#This Row],[RK]],TableOverallMaster[OVR RK],0)),"")</f>
        <v>Tyrion Davis-Price</v>
      </c>
      <c r="AQ252" s="256" t="str">
        <f>IFERROR(INDEX(TableOverallMaster[POS RK],MATCH(TableOverallRank[[#This Row],[OVERALL PLAYER]],TableOverallMaster[OVERALL PLAYER],0)),"")</f>
        <v>RB74</v>
      </c>
      <c r="AR252" s="257">
        <f>IFERROR(INDEX(TableOverallMaster[BYE],MATCH(TableOverallRank[[#This Row],[OVERALL PLAYER]],TableOverallMaster[OVERALL PLAYER],0)),"")</f>
        <v>9</v>
      </c>
      <c r="AS252" s="258">
        <f>IFERROR(INDEX(TableOverallMaster[Custom],MATCH(TableOverallRank[[#This Row],[OVERALL PLAYER]],TableOverallMaster[OVERALL PLAYER],0)),"")</f>
        <v>36.149053134488504</v>
      </c>
      <c r="AT252" s="259">
        <f>IFERROR(INDEX(TableOverallMaster[VORP],MATCH(TableOverallRank[[#This Row],[OVERALL PLAYER]],TableOverallMaster[OVERALL PLAYER],0)),"")</f>
        <v>-0.64321605605163523</v>
      </c>
      <c r="AU252" s="250"/>
      <c r="AV252" s="246">
        <v>251</v>
      </c>
      <c r="AW252" s="260" t="str">
        <f>IFERROR(INDEX(TableWRTECalcPts[PLAYER],MATCH(TableWRTERank[[#This Row],[RK]],TableWRTECalcPts[RK],0)),"")</f>
        <v>Johnny Mundt</v>
      </c>
      <c r="AX252" s="260" t="str">
        <f>IFERROR(INDEX(TableWRTECalcPts[POS RK],MATCH(TableWRTERank[[#This Row],[WR and TE COMBINED]],TableWRTECalcPts[PLAYER],0)),"")</f>
        <v>TE75</v>
      </c>
      <c r="AY252" s="260">
        <f>IFERROR(INDEX(TableWRTECalcPts[BYE],MATCH(TableWRTERank[[#This Row],[RK]],TableWRTECalcPts[RK],0)),"")</f>
        <v>7</v>
      </c>
      <c r="AZ252" s="261">
        <f>IFERROR(INDEX(TableWRTECalcPts[Custom],MATCH(TableWRTERank[[#This Row],[RK]],TableWRTECalcPts[RK],0)),"")</f>
        <v>8.2190190845786351</v>
      </c>
      <c r="BA252" s="249">
        <f>IFERROR((TableWRTERank[[#This Row],[FPS]]-INDEX(TableWRTERank[FPS],MATCH(WRTEVORPCalc,TableWRTERank[RK],0)))/INDEX(TableWRTERank[FPS],MATCH(WRTEVORPCalc,TableWRTERank[RK],0)),"")</f>
        <v>-0.93078729874862931</v>
      </c>
      <c r="BC252" s="124" t="s">
        <v>10</v>
      </c>
      <c r="BD252" s="124">
        <v>51</v>
      </c>
      <c r="BE252" s="262">
        <f>RANK(TableWRTEMaster[[#This Row],[VORP]],TableWRTEMaster[VORP])+COUNTIF($BJ$2:BJ252,BJ252)-1</f>
        <v>176</v>
      </c>
      <c r="BF252" s="263" t="str">
        <f>IFERROR(INDEX(TableTEVORP[TIGHT END],MATCH(TableWRTEMaster[[#This Row],[RK]],TableTEVORP[RK],0)),"")</f>
        <v>Daniel Bellinger</v>
      </c>
      <c r="BG252" s="263" t="str">
        <f>_xlfn.CONCAT(TableWRTEMaster[[#This Row],[POS]],TableWRTEMaster[[#This Row],[RK]])</f>
        <v>TE51</v>
      </c>
      <c r="BH252" s="263">
        <f>IFERROR(INDEX(TableTEVORP[BYE],MATCH(TableWRTEMaster[[#This Row],[RK]],TableTEVORP[RK],0)),"")</f>
        <v>9</v>
      </c>
      <c r="BI252" s="264">
        <f>IFERROR(INDEX(TableTEVORP[FPS],MATCH(TableWRTEMaster[[#This Row],[RK]],TableTEVORP[RK],0)),"")</f>
        <v>21.689387265231311</v>
      </c>
      <c r="BJ252" s="254">
        <f>IFERROR(INDEX(TableTEVORP[VORP],MATCH(TableWRTEMaster[[#This Row],[RK]],TableTEVORP[RK],0)),"")</f>
        <v>-0.78829789515660931</v>
      </c>
    </row>
    <row r="253" spans="28:62" x14ac:dyDescent="0.3">
      <c r="AB253" s="246"/>
      <c r="AC253" s="250"/>
      <c r="AD253" s="250"/>
      <c r="AE253" s="250"/>
      <c r="AF253" s="250" t="s">
        <v>10</v>
      </c>
      <c r="AG253" s="250">
        <v>2</v>
      </c>
      <c r="AH253" s="251">
        <f>RANK(TableOverallMaster[[#This Row],[VORP]],TableOverallMaster[VORP])+COUNTIF($AM$2:AM253,AM253)-1</f>
        <v>42</v>
      </c>
      <c r="AI253" s="252" t="str">
        <f>IFERROR(INDEX(TableTEVORP[TIGHT END],MATCH(TableOverallMaster[[#This Row],[RK]],TableTEVORP[RK],0)),"")</f>
        <v>Mark Andrews</v>
      </c>
      <c r="AJ253" s="252" t="str">
        <f t="shared" si="3"/>
        <v>TE2</v>
      </c>
      <c r="AK253" s="252">
        <f>IFERROR(INDEX(TableTEVORP[BYE],MATCH(TableOverallMaster[[#This Row],[RK]],TableTEVORP[RK],0)),"")</f>
        <v>10</v>
      </c>
      <c r="AL253" s="253">
        <f>IFERROR(INDEX(TableTEVORP[FPS],MATCH(TableOverallMaster[[#This Row],[RK]],TableTEVORP[RK],0)),"")</f>
        <v>159.94886032288994</v>
      </c>
      <c r="AM253" s="254">
        <f>IFERROR(INDEX(TableTEVORP[VORP],MATCH(TableOverallMaster[[#This Row],[RK]],TableTEVORP[RK],0)),"")</f>
        <v>0.56120179807652848</v>
      </c>
      <c r="AN253" s="250"/>
      <c r="AO253" s="250">
        <v>252</v>
      </c>
      <c r="AP253" s="255" t="str">
        <f>IFERROR(INDEX(TableOverallMaster[OVERALL PLAYER],MATCH(TableOverallRank[[#This Row],[RK]],TableOverallMaster[OVR RK],0)),"")</f>
        <v>Calvin Austin</v>
      </c>
      <c r="AQ253" s="256" t="str">
        <f>IFERROR(INDEX(TableOverallMaster[POS RK],MATCH(TableOverallRank[[#This Row],[OVERALL PLAYER]],TableOverallMaster[OVERALL PLAYER],0)),"")</f>
        <v>WR107</v>
      </c>
      <c r="AR253" s="257">
        <f>IFERROR(INDEX(TableOverallMaster[BYE],MATCH(TableOverallRank[[#This Row],[OVERALL PLAYER]],TableOverallMaster[OVERALL PLAYER],0)),"")</f>
        <v>9</v>
      </c>
      <c r="AS253" s="258">
        <f>IFERROR(INDEX(TableOverallMaster[Custom],MATCH(TableOverallRank[[#This Row],[OVERALL PLAYER]],TableOverallMaster[OVERALL PLAYER],0)),"")</f>
        <v>38.631807132828371</v>
      </c>
      <c r="AT253" s="259">
        <f>IFERROR(INDEX(TableOverallMaster[VORP],MATCH(TableOverallRank[[#This Row],[OVERALL PLAYER]],TableOverallMaster[OVERALL PLAYER],0)),"")</f>
        <v>-0.64549028690775001</v>
      </c>
      <c r="AU253" s="250"/>
      <c r="AV253" s="246">
        <v>252</v>
      </c>
      <c r="AW253" s="260" t="str">
        <f>IFERROR(INDEX(TableWRTECalcPts[PLAYER],MATCH(TableWRTERank[[#This Row],[RK]],TableWRTECalcPts[RK],0)),"")</f>
        <v>Ross Dwelley</v>
      </c>
      <c r="AX253" s="260" t="str">
        <f>IFERROR(INDEX(TableWRTECalcPts[POS RK],MATCH(TableWRTERank[[#This Row],[WR and TE COMBINED]],TableWRTECalcPts[PLAYER],0)),"")</f>
        <v>TE76</v>
      </c>
      <c r="AY253" s="260">
        <f>IFERROR(INDEX(TableWRTECalcPts[BYE],MATCH(TableWRTERank[[#This Row],[RK]],TableWRTECalcPts[RK],0)),"")</f>
        <v>9</v>
      </c>
      <c r="AZ253" s="261">
        <f>IFERROR(INDEX(TableWRTECalcPts[Custom],MATCH(TableWRTERank[[#This Row],[RK]],TableWRTECalcPts[RK],0)),"")</f>
        <v>8.0552134352965439</v>
      </c>
      <c r="BA253" s="249">
        <f>IFERROR((TableWRTERank[[#This Row],[FPS]]-INDEX(TableWRTERank[FPS],MATCH(WRTEVORPCalc,TableWRTERank[RK],0)))/INDEX(TableWRTERank[FPS],MATCH(WRTEVORPCalc,TableWRTERank[RK],0)),"")</f>
        <v>-0.93216671292815367</v>
      </c>
      <c r="BC253" s="124" t="s">
        <v>10</v>
      </c>
      <c r="BD253" s="124">
        <v>52</v>
      </c>
      <c r="BE253" s="262">
        <f>RANK(TableWRTEMaster[[#This Row],[VORP]],TableWRTEMaster[VORP])+COUNTIF($BJ$2:BJ253,BJ253)-1</f>
        <v>178</v>
      </c>
      <c r="BF253" s="263" t="str">
        <f>IFERROR(INDEX(TableTEVORP[TIGHT END],MATCH(TableWRTEMaster[[#This Row],[RK]],TableTEVORP[RK],0)),"")</f>
        <v>Nick Boyle</v>
      </c>
      <c r="BG253" s="263" t="str">
        <f>_xlfn.CONCAT(TableWRTEMaster[[#This Row],[POS]],TableWRTEMaster[[#This Row],[RK]])</f>
        <v>TE52</v>
      </c>
      <c r="BH253" s="263">
        <f>IFERROR(INDEX(TableTEVORP[BYE],MATCH(TableWRTEMaster[[#This Row],[RK]],TableTEVORP[RK],0)),"")</f>
        <v>10</v>
      </c>
      <c r="BI253" s="264">
        <f>IFERROR(INDEX(TableTEVORP[FPS],MATCH(TableWRTEMaster[[#This Row],[RK]],TableTEVORP[RK],0)),"")</f>
        <v>21.097558218881776</v>
      </c>
      <c r="BJ253" s="254">
        <f>IFERROR(INDEX(TableTEVORP[VORP],MATCH(TableWRTEMaster[[#This Row],[RK]],TableTEVORP[RK],0)),"")</f>
        <v>-0.79407452006940715</v>
      </c>
    </row>
    <row r="254" spans="28:62" x14ac:dyDescent="0.3">
      <c r="AB254" s="246"/>
      <c r="AC254" s="250"/>
      <c r="AD254" s="250"/>
      <c r="AE254" s="250"/>
      <c r="AF254" s="250" t="s">
        <v>10</v>
      </c>
      <c r="AG254" s="250">
        <v>3</v>
      </c>
      <c r="AH254" s="251">
        <f>RANK(TableOverallMaster[[#This Row],[VORP]],TableOverallMaster[VORP])+COUNTIF($AM$2:AM254,AM254)-1</f>
        <v>45</v>
      </c>
      <c r="AI254" s="252" t="str">
        <f>IFERROR(INDEX(TableTEVORP[TIGHT END],MATCH(TableOverallMaster[[#This Row],[RK]],TableTEVORP[RK],0)),"")</f>
        <v>Kyle Pitts</v>
      </c>
      <c r="AJ254" s="252" t="str">
        <f t="shared" si="3"/>
        <v>TE3</v>
      </c>
      <c r="AK254" s="252">
        <f>IFERROR(INDEX(TableTEVORP[BYE],MATCH(TableOverallMaster[[#This Row],[RK]],TableTEVORP[RK],0)),"")</f>
        <v>14</v>
      </c>
      <c r="AL254" s="253">
        <f>IFERROR(INDEX(TableTEVORP[FPS],MATCH(TableOverallMaster[[#This Row],[RK]],TableTEVORP[RK],0)),"")</f>
        <v>156.30374171587718</v>
      </c>
      <c r="AM254" s="254">
        <f>IFERROR(INDEX(TableTEVORP[VORP],MATCH(TableOverallMaster[[#This Row],[RK]],TableTEVORP[RK],0)),"")</f>
        <v>0.52562314054822512</v>
      </c>
      <c r="AN254" s="250"/>
      <c r="AO254" s="250">
        <v>253</v>
      </c>
      <c r="AP254" s="255" t="str">
        <f>IFERROR(INDEX(TableOverallMaster[OVERALL PLAYER],MATCH(TableOverallRank[[#This Row],[RK]],TableOverallMaster[OVR RK],0)),"")</f>
        <v>Tony Jones</v>
      </c>
      <c r="AQ254" s="256" t="str">
        <f>IFERROR(INDEX(TableOverallMaster[POS RK],MATCH(TableOverallRank[[#This Row],[OVERALL PLAYER]],TableOverallMaster[OVERALL PLAYER],0)),"")</f>
        <v>RB75</v>
      </c>
      <c r="AR254" s="257">
        <f>IFERROR(INDEX(TableOverallMaster[BYE],MATCH(TableOverallRank[[#This Row],[OVERALL PLAYER]],TableOverallMaster[OVERALL PLAYER],0)),"")</f>
        <v>14</v>
      </c>
      <c r="AS254" s="258">
        <f>IFERROR(INDEX(TableOverallMaster[Custom],MATCH(TableOverallRank[[#This Row],[OVERALL PLAYER]],TableOverallMaster[OVERALL PLAYER],0)),"")</f>
        <v>35.395921736950839</v>
      </c>
      <c r="AT254" s="259">
        <f>IFERROR(INDEX(TableOverallMaster[VORP],MATCH(TableOverallRank[[#This Row],[OVERALL PLAYER]],TableOverallMaster[OVERALL PLAYER],0)),"")</f>
        <v>-0.65064931272159965</v>
      </c>
      <c r="AU254" s="250"/>
      <c r="AV254" s="246">
        <v>253</v>
      </c>
      <c r="AW254" s="260" t="str">
        <f>IFERROR(INDEX(TableWRTECalcPts[PLAYER],MATCH(TableWRTERank[[#This Row],[RK]],TableWRTECalcPts[RK],0)),"")</f>
        <v>Juwan Johnson</v>
      </c>
      <c r="AX254" s="260" t="str">
        <f>IFERROR(INDEX(TableWRTECalcPts[POS RK],MATCH(TableWRTERank[[#This Row],[WR and TE COMBINED]],TableWRTECalcPts[PLAYER],0)),"")</f>
        <v>TE77</v>
      </c>
      <c r="AY254" s="260">
        <f>IFERROR(INDEX(TableWRTECalcPts[BYE],MATCH(TableWRTERank[[#This Row],[RK]],TableWRTECalcPts[RK],0)),"")</f>
        <v>14</v>
      </c>
      <c r="AZ254" s="261">
        <f>IFERROR(INDEX(TableWRTECalcPts[Custom],MATCH(TableWRTERank[[#This Row],[RK]],TableWRTECalcPts[RK],0)),"")</f>
        <v>7.9065147190705183</v>
      </c>
      <c r="BA254" s="249">
        <f>IFERROR((TableWRTERank[[#This Row],[FPS]]-INDEX(TableWRTERank[FPS],MATCH(WRTEVORPCalc,TableWRTERank[RK],0)))/INDEX(TableWRTERank[FPS],MATCH(WRTEVORPCalc,TableWRTERank[RK],0)),"")</f>
        <v>-0.93341891099664631</v>
      </c>
      <c r="BC254" s="124" t="s">
        <v>10</v>
      </c>
      <c r="BD254" s="124">
        <v>53</v>
      </c>
      <c r="BE254" s="262">
        <f>RANK(TableWRTEMaster[[#This Row],[VORP]],TableWRTEMaster[VORP])+COUNTIF($BJ$2:BJ254,BJ254)-1</f>
        <v>183</v>
      </c>
      <c r="BF254" s="263" t="str">
        <f>IFERROR(INDEX(TableTEVORP[TIGHT END],MATCH(TableWRTEMaster[[#This Row],[RK]],TableTEVORP[RK],0)),"")</f>
        <v>Josiah Deguara</v>
      </c>
      <c r="BG254" s="263" t="str">
        <f>_xlfn.CONCAT(TableWRTEMaster[[#This Row],[POS]],TableWRTEMaster[[#This Row],[RK]])</f>
        <v>TE53</v>
      </c>
      <c r="BH254" s="263">
        <f>IFERROR(INDEX(TableTEVORP[BYE],MATCH(TableWRTEMaster[[#This Row],[RK]],TableTEVORP[RK],0)),"")</f>
        <v>14</v>
      </c>
      <c r="BI254" s="264">
        <f>IFERROR(INDEX(TableTEVORP[FPS],MATCH(TableWRTEMaster[[#This Row],[RK]],TableTEVORP[RK],0)),"")</f>
        <v>20.352829325983684</v>
      </c>
      <c r="BJ254" s="254">
        <f>IFERROR(INDEX(TableTEVORP[VORP],MATCH(TableWRTEMaster[[#This Row],[RK]],TableTEVORP[RK],0)),"")</f>
        <v>-0.80134354395819851</v>
      </c>
    </row>
    <row r="255" spans="28:62" x14ac:dyDescent="0.3">
      <c r="AB255" s="246"/>
      <c r="AC255" s="250"/>
      <c r="AD255" s="250"/>
      <c r="AE255" s="250"/>
      <c r="AF255" s="250" t="s">
        <v>10</v>
      </c>
      <c r="AG255" s="250">
        <v>4</v>
      </c>
      <c r="AH255" s="251">
        <f>RANK(TableOverallMaster[[#This Row],[VORP]],TableOverallMaster[VORP])+COUNTIF($AM$2:AM255,AM255)-1</f>
        <v>74</v>
      </c>
      <c r="AI255" s="252" t="str">
        <f>IFERROR(INDEX(TableTEVORP[TIGHT END],MATCH(TableOverallMaster[[#This Row],[RK]],TableTEVORP[RK],0)),"")</f>
        <v>Darren Waller</v>
      </c>
      <c r="AJ255" s="252" t="str">
        <f t="shared" si="3"/>
        <v>TE4</v>
      </c>
      <c r="AK255" s="252">
        <f>IFERROR(INDEX(TableTEVORP[BYE],MATCH(TableOverallMaster[[#This Row],[RK]],TableTEVORP[RK],0)),"")</f>
        <v>6</v>
      </c>
      <c r="AL255" s="253">
        <f>IFERROR(INDEX(TableTEVORP[FPS],MATCH(TableOverallMaster[[#This Row],[RK]],TableTEVORP[RK],0)),"")</f>
        <v>131.83146212938658</v>
      </c>
      <c r="AM255" s="254">
        <f>IFERROR(INDEX(TableTEVORP[VORP],MATCH(TableOverallMaster[[#This Row],[RK]],TableTEVORP[RK],0)),"")</f>
        <v>0.28675825075574035</v>
      </c>
      <c r="AN255" s="250"/>
      <c r="AO255" s="250">
        <v>254</v>
      </c>
      <c r="AP255" s="255" t="str">
        <f>IFERROR(INDEX(TableOverallMaster[OVERALL PLAYER],MATCH(TableOverallRank[[#This Row],[RK]],TableOverallMaster[OVR RK],0)),"")</f>
        <v>Chuba Hubbard</v>
      </c>
      <c r="AQ255" s="256" t="str">
        <f>IFERROR(INDEX(TableOverallMaster[POS RK],MATCH(TableOverallRank[[#This Row],[OVERALL PLAYER]],TableOverallMaster[OVERALL PLAYER],0)),"")</f>
        <v>RB76</v>
      </c>
      <c r="AR255" s="257">
        <f>IFERROR(INDEX(TableOverallMaster[BYE],MATCH(TableOverallRank[[#This Row],[OVERALL PLAYER]],TableOverallMaster[OVERALL PLAYER],0)),"")</f>
        <v>13</v>
      </c>
      <c r="AS255" s="258">
        <f>IFERROR(INDEX(TableOverallMaster[Custom],MATCH(TableOverallRank[[#This Row],[OVERALL PLAYER]],TableOverallMaster[OVERALL PLAYER],0)),"")</f>
        <v>35.014982512176438</v>
      </c>
      <c r="AT255" s="259">
        <f>IFERROR(INDEX(TableOverallMaster[VORP],MATCH(TableOverallRank[[#This Row],[OVERALL PLAYER]],TableOverallMaster[OVERALL PLAYER],0)),"")</f>
        <v>-0.65440910688588916</v>
      </c>
      <c r="AU255" s="250"/>
      <c r="AV255" s="246">
        <v>254</v>
      </c>
      <c r="AW255" s="260" t="str">
        <f>IFERROR(INDEX(TableWRTECalcPts[PLAYER],MATCH(TableWRTERank[[#This Row],[RK]],TableWRTECalcPts[RK],0)),"")</f>
        <v>Stanley Morgan</v>
      </c>
      <c r="AX255" s="260" t="str">
        <f>IFERROR(INDEX(TableWRTECalcPts[POS RK],MATCH(TableWRTERank[[#This Row],[WR and TE COMBINED]],TableWRTECalcPts[PLAYER],0)),"")</f>
        <v>WR177</v>
      </c>
      <c r="AY255" s="260">
        <f>IFERROR(INDEX(TableWRTECalcPts[BYE],MATCH(TableWRTERank[[#This Row],[RK]],TableWRTECalcPts[RK],0)),"")</f>
        <v>10</v>
      </c>
      <c r="AZ255" s="261">
        <f>IFERROR(INDEX(TableWRTECalcPts[Custom],MATCH(TableWRTERank[[#This Row],[RK]],TableWRTECalcPts[RK],0)),"")</f>
        <v>7.4273755350731978</v>
      </c>
      <c r="BA255" s="249">
        <f>IFERROR((TableWRTERank[[#This Row],[FPS]]-INDEX(TableWRTERank[FPS],MATCH(WRTEVORPCalc,TableWRTERank[RK],0)))/INDEX(TableWRTERank[FPS],MATCH(WRTEVORPCalc,TableWRTERank[RK],0)),"")</f>
        <v>-0.93745376197564634</v>
      </c>
      <c r="BC255" s="124" t="s">
        <v>10</v>
      </c>
      <c r="BD255" s="124">
        <v>54</v>
      </c>
      <c r="BE255" s="262">
        <f>RANK(TableWRTEMaster[[#This Row],[VORP]],TableWRTEMaster[VORP])+COUNTIF($BJ$2:BJ255,BJ255)-1</f>
        <v>184</v>
      </c>
      <c r="BF255" s="263" t="str">
        <f>IFERROR(INDEX(TableTEVORP[TIGHT END],MATCH(TableWRTEMaster[[#This Row],[RK]],TableTEVORP[RK],0)),"")</f>
        <v>James O'Shaughnessy</v>
      </c>
      <c r="BG255" s="263" t="str">
        <f>_xlfn.CONCAT(TableWRTEMaster[[#This Row],[POS]],TableWRTEMaster[[#This Row],[RK]])</f>
        <v>TE54</v>
      </c>
      <c r="BH255" s="263">
        <f>IFERROR(INDEX(TableTEVORP[BYE],MATCH(TableWRTEMaster[[#This Row],[RK]],TableTEVORP[RK],0)),"")</f>
        <v>14</v>
      </c>
      <c r="BI255" s="264">
        <f>IFERROR(INDEX(TableTEVORP[FPS],MATCH(TableWRTEMaster[[#This Row],[RK]],TableTEVORP[RK],0)),"")</f>
        <v>19.853140492818323</v>
      </c>
      <c r="BJ255" s="254">
        <f>IFERROR(INDEX(TableTEVORP[VORP],MATCH(TableWRTEMaster[[#This Row],[RK]],TableTEVORP[RK],0)),"")</f>
        <v>-0.80622082225353431</v>
      </c>
    </row>
    <row r="256" spans="28:62" x14ac:dyDescent="0.3">
      <c r="AB256" s="246"/>
      <c r="AC256" s="250"/>
      <c r="AD256" s="250"/>
      <c r="AE256" s="250"/>
      <c r="AF256" s="250" t="s">
        <v>10</v>
      </c>
      <c r="AG256" s="250">
        <v>5</v>
      </c>
      <c r="AH256" s="251">
        <f>RANK(TableOverallMaster[[#This Row],[VORP]],TableOverallMaster[VORP])+COUNTIF($AM$2:AM256,AM256)-1</f>
        <v>83</v>
      </c>
      <c r="AI256" s="252" t="str">
        <f>IFERROR(INDEX(TableTEVORP[TIGHT END],MATCH(TableOverallMaster[[#This Row],[RK]],TableTEVORP[RK],0)),"")</f>
        <v>George Kittle</v>
      </c>
      <c r="AJ256" s="252" t="str">
        <f t="shared" si="3"/>
        <v>TE5</v>
      </c>
      <c r="AK256" s="252">
        <f>IFERROR(INDEX(TableTEVORP[BYE],MATCH(TableOverallMaster[[#This Row],[RK]],TableTEVORP[RK],0)),"")</f>
        <v>9</v>
      </c>
      <c r="AL256" s="253">
        <f>IFERROR(INDEX(TableTEVORP[FPS],MATCH(TableOverallMaster[[#This Row],[RK]],TableTEVORP[RK],0)),"")</f>
        <v>126.30437701272027</v>
      </c>
      <c r="AM256" s="254">
        <f>IFERROR(INDEX(TableTEVORP[VORP],MATCH(TableOverallMaster[[#This Row],[RK]],TableTEVORP[RK],0)),"")</f>
        <v>0.23281041264772095</v>
      </c>
      <c r="AN256" s="250"/>
      <c r="AO256" s="250">
        <v>255</v>
      </c>
      <c r="AP256" s="255" t="str">
        <f>IFERROR(INDEX(TableOverallMaster[OVERALL PLAYER],MATCH(TableOverallRank[[#This Row],[RK]],TableOverallMaster[OVR RK],0)),"")</f>
        <v>O.J. Howard</v>
      </c>
      <c r="AQ256" s="256" t="str">
        <f>IFERROR(INDEX(TableOverallMaster[POS RK],MATCH(TableOverallRank[[#This Row],[OVERALL PLAYER]],TableOverallMaster[OVERALL PLAYER],0)),"")</f>
        <v>TE38</v>
      </c>
      <c r="AR256" s="257">
        <f>IFERROR(INDEX(TableOverallMaster[BYE],MATCH(TableOverallRank[[#This Row],[OVERALL PLAYER]],TableOverallMaster[OVERALL PLAYER],0)),"")</f>
        <v>7</v>
      </c>
      <c r="AS256" s="258">
        <f>IFERROR(INDEX(TableOverallMaster[Custom],MATCH(TableOverallRank[[#This Row],[OVERALL PLAYER]],TableOverallMaster[OVERALL PLAYER],0)),"")</f>
        <v>35.057279579450409</v>
      </c>
      <c r="AT256" s="259">
        <f>IFERROR(INDEX(TableOverallMaster[VORP],MATCH(TableOverallRank[[#This Row],[OVERALL PLAYER]],TableOverallMaster[OVERALL PLAYER],0)),"")</f>
        <v>-0.6578188315651472</v>
      </c>
      <c r="AU256" s="250"/>
      <c r="AV256" s="246">
        <v>255</v>
      </c>
      <c r="AW256" s="260" t="str">
        <f>IFERROR(INDEX(TableWRTECalcPts[PLAYER],MATCH(TableWRTERank[[#This Row],[RK]],TableWRTECalcPts[RK],0)),"")</f>
        <v>Chigoziem Okonkwo</v>
      </c>
      <c r="AX256" s="260" t="str">
        <f>IFERROR(INDEX(TableWRTECalcPts[POS RK],MATCH(TableWRTERank[[#This Row],[WR and TE COMBINED]],TableWRTECalcPts[PLAYER],0)),"")</f>
        <v>TE78</v>
      </c>
      <c r="AY256" s="260">
        <f>IFERROR(INDEX(TableWRTECalcPts[BYE],MATCH(TableWRTERank[[#This Row],[RK]],TableWRTECalcPts[RK],0)),"")</f>
        <v>6</v>
      </c>
      <c r="AZ256" s="261">
        <f>IFERROR(INDEX(TableWRTECalcPts[Custom],MATCH(TableWRTERank[[#This Row],[RK]],TableWRTECalcPts[RK],0)),"")</f>
        <v>7.3622479869012727</v>
      </c>
      <c r="BA256" s="249">
        <f>IFERROR((TableWRTERank[[#This Row],[FPS]]-INDEX(TableWRTERank[FPS],MATCH(WRTEVORPCalc,TableWRTERank[RK],0)))/INDEX(TableWRTERank[FPS],MATCH(WRTEVORPCalc,TableWRTERank[RK],0)),"")</f>
        <v>-0.93800220376516796</v>
      </c>
      <c r="BC256" s="124" t="s">
        <v>10</v>
      </c>
      <c r="BD256" s="124">
        <v>55</v>
      </c>
      <c r="BE256" s="262">
        <f>RANK(TableWRTEMaster[[#This Row],[VORP]],TableWRTEMaster[VORP])+COUNTIF($BJ$2:BJ256,BJ256)-1</f>
        <v>186</v>
      </c>
      <c r="BF256" s="263" t="str">
        <f>IFERROR(INDEX(TableTEVORP[TIGHT END],MATCH(TableWRTEMaster[[#This Row],[RK]],TableTEVORP[RK],0)),"")</f>
        <v>Brock Wright</v>
      </c>
      <c r="BG256" s="263" t="str">
        <f>_xlfn.CONCAT(TableWRTEMaster[[#This Row],[POS]],TableWRTEMaster[[#This Row],[RK]])</f>
        <v>TE55</v>
      </c>
      <c r="BH256" s="263">
        <f>IFERROR(INDEX(TableTEVORP[BYE],MATCH(TableWRTEMaster[[#This Row],[RK]],TableTEVORP[RK],0)),"")</f>
        <v>6</v>
      </c>
      <c r="BI256" s="264">
        <f>IFERROR(INDEX(TableTEVORP[FPS],MATCH(TableWRTEMaster[[#This Row],[RK]],TableTEVORP[RK],0)),"")</f>
        <v>19.603513944914454</v>
      </c>
      <c r="BJ256" s="254">
        <f>IFERROR(INDEX(TableTEVORP[VORP],MATCH(TableWRTEMaster[[#This Row],[RK]],TableTEVORP[RK],0)),"")</f>
        <v>-0.80865733486543057</v>
      </c>
    </row>
    <row r="257" spans="28:62" x14ac:dyDescent="0.3">
      <c r="AB257" s="246"/>
      <c r="AC257" s="250"/>
      <c r="AD257" s="250"/>
      <c r="AE257" s="250"/>
      <c r="AF257" s="250" t="s">
        <v>10</v>
      </c>
      <c r="AG257" s="250">
        <v>6</v>
      </c>
      <c r="AH257" s="251">
        <f>RANK(TableOverallMaster[[#This Row],[VORP]],TableOverallMaster[VORP])+COUNTIF($AM$2:AM257,AM257)-1</f>
        <v>96</v>
      </c>
      <c r="AI257" s="252" t="str">
        <f>IFERROR(INDEX(TableTEVORP[TIGHT END],MATCH(TableOverallMaster[[#This Row],[RK]],TableTEVORP[RK],0)),"")</f>
        <v>Dallas Goedert</v>
      </c>
      <c r="AJ257" s="252" t="str">
        <f t="shared" si="3"/>
        <v>TE6</v>
      </c>
      <c r="AK257" s="252">
        <f>IFERROR(INDEX(TableTEVORP[BYE],MATCH(TableOverallMaster[[#This Row],[RK]],TableTEVORP[RK],0)),"")</f>
        <v>7</v>
      </c>
      <c r="AL257" s="253">
        <f>IFERROR(INDEX(TableTEVORP[FPS],MATCH(TableOverallMaster[[#This Row],[RK]],TableTEVORP[RK],0)),"")</f>
        <v>119.68741678217346</v>
      </c>
      <c r="AM257" s="254">
        <f>IFERROR(INDEX(TableTEVORP[VORP],MATCH(TableOverallMaster[[#This Row],[RK]],TableTEVORP[RK],0)),"")</f>
        <v>0.16822470576067919</v>
      </c>
      <c r="AN257" s="250"/>
      <c r="AO257" s="250">
        <v>256</v>
      </c>
      <c r="AP257" s="255" t="str">
        <f>IFERROR(INDEX(TableOverallMaster[OVERALL PLAYER],MATCH(TableOverallRank[[#This Row],[RK]],TableOverallMaster[OVR RK],0)),"")</f>
        <v>Desmond Ridder</v>
      </c>
      <c r="AQ257" s="256" t="str">
        <f>IFERROR(INDEX(TableOverallMaster[POS RK],MATCH(TableOverallRank[[#This Row],[OVERALL PLAYER]],TableOverallMaster[OVERALL PLAYER],0)),"")</f>
        <v>QB35</v>
      </c>
      <c r="AR257" s="257">
        <f>IFERROR(INDEX(TableOverallMaster[BYE],MATCH(TableOverallRank[[#This Row],[OVERALL PLAYER]],TableOverallMaster[OVERALL PLAYER],0)),"")</f>
        <v>14</v>
      </c>
      <c r="AS257" s="258">
        <f>IFERROR(INDEX(TableOverallMaster[Custom],MATCH(TableOverallRank[[#This Row],[OVERALL PLAYER]],TableOverallMaster[OVERALL PLAYER],0)),"")</f>
        <v>87.369203460727817</v>
      </c>
      <c r="AT257" s="259">
        <f>IFERROR(INDEX(TableOverallMaster[VORP],MATCH(TableOverallRank[[#This Row],[OVERALL PLAYER]],TableOverallMaster[OVERALL PLAYER],0)),"")</f>
        <v>-0.67431747919598384</v>
      </c>
      <c r="AU257" s="250"/>
      <c r="AV257" s="246">
        <v>256</v>
      </c>
      <c r="AW257" s="260" t="str">
        <f>IFERROR(INDEX(TableWRTECalcPts[PLAYER],MATCH(TableWRTERank[[#This Row],[RK]],TableWRTECalcPts[RK],0)),"")</f>
        <v>Grant Calcaterra</v>
      </c>
      <c r="AX257" s="260" t="str">
        <f>IFERROR(INDEX(TableWRTECalcPts[POS RK],MATCH(TableWRTERank[[#This Row],[WR and TE COMBINED]],TableWRTECalcPts[PLAYER],0)),"")</f>
        <v>TE79</v>
      </c>
      <c r="AY257" s="260">
        <f>IFERROR(INDEX(TableWRTECalcPts[BYE],MATCH(TableWRTERank[[#This Row],[RK]],TableWRTECalcPts[RK],0)),"")</f>
        <v>7</v>
      </c>
      <c r="AZ257" s="261">
        <f>IFERROR(INDEX(TableWRTECalcPts[Custom],MATCH(TableWRTERank[[#This Row],[RK]],TableWRTECalcPts[RK],0)),"")</f>
        <v>7.3031380385457298</v>
      </c>
      <c r="BA257" s="249">
        <f>IFERROR((TableWRTERank[[#This Row],[FPS]]-INDEX(TableWRTERank[FPS],MATCH(WRTEVORPCalc,TableWRTERank[RK],0)))/INDEX(TableWRTERank[FPS],MATCH(WRTEVORPCalc,TableWRTERank[RK],0)),"")</f>
        <v>-0.93849997109657513</v>
      </c>
      <c r="BC257" s="124" t="s">
        <v>10</v>
      </c>
      <c r="BD257" s="124">
        <v>56</v>
      </c>
      <c r="BE257" s="262">
        <f>RANK(TableWRTEMaster[[#This Row],[VORP]],TableWRTEMaster[VORP])+COUNTIF($BJ$2:BJ257,BJ257)-1</f>
        <v>189</v>
      </c>
      <c r="BF257" s="263" t="str">
        <f>IFERROR(INDEX(TableTEVORP[TIGHT END],MATCH(TableWRTEMaster[[#This Row],[RK]],TableTEVORP[RK],0)),"")</f>
        <v>Hunter Long</v>
      </c>
      <c r="BG257" s="263" t="str">
        <f>_xlfn.CONCAT(TableWRTEMaster[[#This Row],[POS]],TableWRTEMaster[[#This Row],[RK]])</f>
        <v>TE56</v>
      </c>
      <c r="BH257" s="263">
        <f>IFERROR(INDEX(TableTEVORP[BYE],MATCH(TableWRTEMaster[[#This Row],[RK]],TableTEVORP[RK],0)),"")</f>
        <v>11</v>
      </c>
      <c r="BI257" s="264">
        <f>IFERROR(INDEX(TableTEVORP[FPS],MATCH(TableWRTEMaster[[#This Row],[RK]],TableTEVORP[RK],0)),"")</f>
        <v>19.12708902696637</v>
      </c>
      <c r="BJ257" s="254">
        <f>IFERROR(INDEX(TableTEVORP[VORP],MATCH(TableWRTEMaster[[#This Row],[RK]],TableTEVORP[RK],0)),"")</f>
        <v>-0.81330754266964689</v>
      </c>
    </row>
    <row r="258" spans="28:62" x14ac:dyDescent="0.3">
      <c r="AB258" s="246"/>
      <c r="AC258" s="250"/>
      <c r="AD258" s="250"/>
      <c r="AE258" s="250"/>
      <c r="AF258" s="250" t="s">
        <v>10</v>
      </c>
      <c r="AG258" s="250">
        <v>7</v>
      </c>
      <c r="AH258" s="251">
        <f>RANK(TableOverallMaster[[#This Row],[VORP]],TableOverallMaster[VORP])+COUNTIF($AM$2:AM258,AM258)-1</f>
        <v>97</v>
      </c>
      <c r="AI258" s="252" t="str">
        <f>IFERROR(INDEX(TableTEVORP[TIGHT END],MATCH(TableOverallMaster[[#This Row],[RK]],TableTEVORP[RK],0)),"")</f>
        <v>Dalton Schultz</v>
      </c>
      <c r="AJ258" s="252" t="str">
        <f t="shared" ref="AJ258:AJ301" si="4">CONCATENATE(AF258,AG258)</f>
        <v>TE7</v>
      </c>
      <c r="AK258" s="252">
        <f>IFERROR(INDEX(TableTEVORP[BYE],MATCH(TableOverallMaster[[#This Row],[RK]],TableTEVORP[RK],0)),"")</f>
        <v>9</v>
      </c>
      <c r="AL258" s="253">
        <f>IFERROR(INDEX(TableTEVORP[FPS],MATCH(TableOverallMaster[[#This Row],[RK]],TableTEVORP[RK],0)),"")</f>
        <v>119.58073410503061</v>
      </c>
      <c r="AM258" s="254">
        <f>IFERROR(INDEX(TableTEVORP[VORP],MATCH(TableOverallMaster[[#This Row],[RK]],TableTEVORP[RK],0)),"")</f>
        <v>0.16718341551926827</v>
      </c>
      <c r="AN258" s="250"/>
      <c r="AO258" s="250">
        <v>257</v>
      </c>
      <c r="AP258" s="255" t="str">
        <f>IFERROR(INDEX(TableOverallMaster[OVERALL PLAYER],MATCH(TableOverallRank[[#This Row],[RK]],TableOverallMaster[OVR RK],0)),"")</f>
        <v>Demarcus Robinson</v>
      </c>
      <c r="AQ258" s="256" t="str">
        <f>IFERROR(INDEX(TableOverallMaster[POS RK],MATCH(TableOverallRank[[#This Row],[OVERALL PLAYER]],TableOverallMaster[OVERALL PLAYER],0)),"")</f>
        <v>WR108</v>
      </c>
      <c r="AR258" s="257">
        <f>IFERROR(INDEX(TableOverallMaster[BYE],MATCH(TableOverallRank[[#This Row],[OVERALL PLAYER]],TableOverallMaster[OVERALL PLAYER],0)),"")</f>
        <v>6</v>
      </c>
      <c r="AS258" s="258">
        <f>IFERROR(INDEX(TableOverallMaster[Custom],MATCH(TableOverallRank[[#This Row],[OVERALL PLAYER]],TableOverallMaster[OVERALL PLAYER],0)),"")</f>
        <v>35.322918725494581</v>
      </c>
      <c r="AT258" s="259">
        <f>IFERROR(INDEX(TableOverallMaster[VORP],MATCH(TableOverallRank[[#This Row],[OVERALL PLAYER]],TableOverallMaster[OVERALL PLAYER],0)),"")</f>
        <v>-0.6758547240645445</v>
      </c>
      <c r="AU258" s="250"/>
      <c r="AV258" s="246">
        <v>257</v>
      </c>
      <c r="AW258" s="260" t="str">
        <f>IFERROR(INDEX(TableWRTECalcPts[PLAYER],MATCH(TableWRTERank[[#This Row],[RK]],TableWRTECalcPts[RK],0)),"")</f>
        <v>Dezmon Patmon</v>
      </c>
      <c r="AX258" s="260" t="str">
        <f>IFERROR(INDEX(TableWRTECalcPts[POS RK],MATCH(TableWRTERank[[#This Row],[WR and TE COMBINED]],TableWRTECalcPts[PLAYER],0)),"")</f>
        <v>WR178</v>
      </c>
      <c r="AY258" s="260">
        <f>IFERROR(INDEX(TableWRTECalcPts[BYE],MATCH(TableWRTERank[[#This Row],[RK]],TableWRTECalcPts[RK],0)),"")</f>
        <v>14</v>
      </c>
      <c r="AZ258" s="261">
        <f>IFERROR(INDEX(TableWRTECalcPts[Custom],MATCH(TableWRTERank[[#This Row],[RK]],TableWRTECalcPts[RK],0)),"")</f>
        <v>7.2893610559642825</v>
      </c>
      <c r="BA258" s="249">
        <f>IFERROR((TableWRTERank[[#This Row],[FPS]]-INDEX(TableWRTERank[FPS],MATCH(WRTEVORPCalc,TableWRTERank[RK],0)))/INDEX(TableWRTERank[FPS],MATCH(WRTEVORPCalc,TableWRTERank[RK],0)),"")</f>
        <v>-0.93861598763939402</v>
      </c>
      <c r="BC258" s="124" t="s">
        <v>10</v>
      </c>
      <c r="BD258" s="124">
        <v>57</v>
      </c>
      <c r="BE258" s="262">
        <f>RANK(TableWRTEMaster[[#This Row],[VORP]],TableWRTEMaster[VORP])+COUNTIF($BJ$2:BJ258,BJ258)-1</f>
        <v>190</v>
      </c>
      <c r="BF258" s="263" t="str">
        <f>IFERROR(INDEX(TableTEVORP[TIGHT END],MATCH(TableWRTEMaster[[#This Row],[RK]],TableTEVORP[RK],0)),"")</f>
        <v>Drew Sample</v>
      </c>
      <c r="BG258" s="263" t="str">
        <f>_xlfn.CONCAT(TableWRTEMaster[[#This Row],[POS]],TableWRTEMaster[[#This Row],[RK]])</f>
        <v>TE57</v>
      </c>
      <c r="BH258" s="263">
        <f>IFERROR(INDEX(TableTEVORP[BYE],MATCH(TableWRTEMaster[[#This Row],[RK]],TableTEVORP[RK],0)),"")</f>
        <v>10</v>
      </c>
      <c r="BI258" s="264">
        <f>IFERROR(INDEX(TableTEVORP[FPS],MATCH(TableWRTEMaster[[#This Row],[RK]],TableTEVORP[RK],0)),"")</f>
        <v>18.28922772536642</v>
      </c>
      <c r="BJ258" s="254">
        <f>IFERROR(INDEX(TableTEVORP[VORP],MATCH(TableWRTEMaster[[#This Row],[RK]],TableTEVORP[RK],0)),"")</f>
        <v>-0.82148559763018858</v>
      </c>
    </row>
    <row r="259" spans="28:62" x14ac:dyDescent="0.3">
      <c r="AB259" s="246"/>
      <c r="AC259" s="250"/>
      <c r="AD259" s="250"/>
      <c r="AE259" s="250"/>
      <c r="AF259" s="250" t="s">
        <v>10</v>
      </c>
      <c r="AG259" s="250">
        <v>8</v>
      </c>
      <c r="AH259" s="251">
        <f>RANK(TableOverallMaster[[#This Row],[VORP]],TableOverallMaster[VORP])+COUNTIF($AM$2:AM259,AM259)-1</f>
        <v>116</v>
      </c>
      <c r="AI259" s="252" t="str">
        <f>IFERROR(INDEX(TableTEVORP[TIGHT END],MATCH(TableOverallMaster[[#This Row],[RK]],TableTEVORP[RK],0)),"")</f>
        <v>Irv Smith</v>
      </c>
      <c r="AJ259" s="252" t="str">
        <f t="shared" si="4"/>
        <v>TE8</v>
      </c>
      <c r="AK259" s="252">
        <f>IFERROR(INDEX(TableTEVORP[BYE],MATCH(TableOverallMaster[[#This Row],[RK]],TableTEVORP[RK],0)),"")</f>
        <v>7</v>
      </c>
      <c r="AL259" s="253">
        <f>IFERROR(INDEX(TableTEVORP[FPS],MATCH(TableOverallMaster[[#This Row],[RK]],TableTEVORP[RK],0)),"")</f>
        <v>104.82297141661108</v>
      </c>
      <c r="AM259" s="254">
        <f>IFERROR(INDEX(TableTEVORP[VORP],MATCH(TableOverallMaster[[#This Row],[RK]],TableTEVORP[RK],0)),"")</f>
        <v>2.3138340123066176E-2</v>
      </c>
      <c r="AN259" s="250"/>
      <c r="AO259" s="250">
        <v>258</v>
      </c>
      <c r="AP259" s="255" t="str">
        <f>IFERROR(INDEX(TableOverallMaster[OVERALL PLAYER],MATCH(TableOverallRank[[#This Row],[RK]],TableOverallMaster[OVR RK],0)),"")</f>
        <v>Marquez Callaway</v>
      </c>
      <c r="AQ259" s="256" t="str">
        <f>IFERROR(INDEX(TableOverallMaster[POS RK],MATCH(TableOverallRank[[#This Row],[OVERALL PLAYER]],TableOverallMaster[OVERALL PLAYER],0)),"")</f>
        <v>WR109</v>
      </c>
      <c r="AR259" s="257">
        <f>IFERROR(INDEX(TableOverallMaster[BYE],MATCH(TableOverallRank[[#This Row],[OVERALL PLAYER]],TableOverallMaster[OVERALL PLAYER],0)),"")</f>
        <v>14</v>
      </c>
      <c r="AS259" s="258">
        <f>IFERROR(INDEX(TableOverallMaster[Custom],MATCH(TableOverallRank[[#This Row],[OVERALL PLAYER]],TableOverallMaster[OVERALL PLAYER],0)),"")</f>
        <v>35.071330105964549</v>
      </c>
      <c r="AT259" s="259">
        <f>IFERROR(INDEX(TableOverallMaster[VORP],MATCH(TableOverallRank[[#This Row],[OVERALL PLAYER]],TableOverallMaster[OVERALL PLAYER],0)),"")</f>
        <v>-0.67816345917031384</v>
      </c>
      <c r="AU259" s="250"/>
      <c r="AV259" s="246">
        <v>258</v>
      </c>
      <c r="AW259" s="260" t="str">
        <f>IFERROR(INDEX(TableWRTECalcPts[PLAYER],MATCH(TableWRTERank[[#This Row],[RK]],TableWRTECalcPts[RK],0)),"")</f>
        <v>Jaelon Darden</v>
      </c>
      <c r="AX259" s="260" t="str">
        <f>IFERROR(INDEX(TableWRTECalcPts[POS RK],MATCH(TableWRTERank[[#This Row],[WR and TE COMBINED]],TableWRTECalcPts[PLAYER],0)),"")</f>
        <v>WR179</v>
      </c>
      <c r="AY259" s="260">
        <f>IFERROR(INDEX(TableWRTECalcPts[BYE],MATCH(TableWRTERank[[#This Row],[RK]],TableWRTECalcPts[RK],0)),"")</f>
        <v>11</v>
      </c>
      <c r="AZ259" s="261">
        <f>IFERROR(INDEX(TableWRTECalcPts[Custom],MATCH(TableWRTERank[[#This Row],[RK]],TableWRTECalcPts[RK],0)),"")</f>
        <v>7.2374689311343037</v>
      </c>
      <c r="BA259" s="249">
        <f>IFERROR((TableWRTERank[[#This Row],[FPS]]-INDEX(TableWRTERank[FPS],MATCH(WRTEVORPCalc,TableWRTERank[RK],0)))/INDEX(TableWRTERank[FPS],MATCH(WRTEVORPCalc,TableWRTERank[RK],0)),"")</f>
        <v>-0.93905297337895688</v>
      </c>
      <c r="BC259" s="124" t="s">
        <v>10</v>
      </c>
      <c r="BD259" s="124">
        <v>58</v>
      </c>
      <c r="BE259" s="262">
        <f>RANK(TableWRTEMaster[[#This Row],[VORP]],TableWRTEMaster[VORP])+COUNTIF($BJ$2:BJ259,BJ259)-1</f>
        <v>195</v>
      </c>
      <c r="BF259" s="263" t="str">
        <f>IFERROR(INDEX(TableTEVORP[TIGHT END],MATCH(TableWRTEMaster[[#This Row],[RK]],TableTEVORP[RK],0)),"")</f>
        <v>Maxx Williams</v>
      </c>
      <c r="BG259" s="263" t="str">
        <f>_xlfn.CONCAT(TableWRTEMaster[[#This Row],[POS]],TableWRTEMaster[[#This Row],[RK]])</f>
        <v>TE58</v>
      </c>
      <c r="BH259" s="263">
        <f>IFERROR(INDEX(TableTEVORP[BYE],MATCH(TableWRTEMaster[[#This Row],[RK]],TableTEVORP[RK],0)),"")</f>
        <v>13</v>
      </c>
      <c r="BI259" s="264">
        <f>IFERROR(INDEX(TableTEVORP[FPS],MATCH(TableWRTEMaster[[#This Row],[RK]],TableTEVORP[RK],0)),"")</f>
        <v>17.246651607505306</v>
      </c>
      <c r="BJ259" s="254">
        <f>IFERROR(INDEX(TableTEVORP[VORP],MATCH(TableWRTEMaster[[#This Row],[RK]],TableTEVORP[RK],0)),"")</f>
        <v>-0.83166179836428966</v>
      </c>
    </row>
    <row r="260" spans="28:62" x14ac:dyDescent="0.3">
      <c r="AB260" s="246"/>
      <c r="AC260" s="250"/>
      <c r="AD260" s="250"/>
      <c r="AE260" s="250"/>
      <c r="AF260" s="250" t="s">
        <v>10</v>
      </c>
      <c r="AG260" s="250">
        <v>9</v>
      </c>
      <c r="AH260" s="251">
        <f>RANK(TableOverallMaster[[#This Row],[VORP]],TableOverallMaster[VORP])+COUNTIF($AM$2:AM260,AM260)-1</f>
        <v>120</v>
      </c>
      <c r="AI260" s="252" t="str">
        <f>IFERROR(INDEX(TableTEVORP[TIGHT END],MATCH(TableOverallMaster[[#This Row],[RK]],TableTEVORP[RK],0)),"")</f>
        <v>Dawson Knox</v>
      </c>
      <c r="AJ260" s="252" t="str">
        <f t="shared" si="4"/>
        <v>TE9</v>
      </c>
      <c r="AK260" s="252">
        <f>IFERROR(INDEX(TableTEVORP[BYE],MATCH(TableOverallMaster[[#This Row],[RK]],TableTEVORP[RK],0)),"")</f>
        <v>7</v>
      </c>
      <c r="AL260" s="253">
        <f>IFERROR(INDEX(TableTEVORP[FPS],MATCH(TableOverallMaster[[#This Row],[RK]],TableTEVORP[RK],0)),"")</f>
        <v>102.87952804843867</v>
      </c>
      <c r="AM260" s="254">
        <f>IFERROR(INDEX(TableTEVORP[VORP],MATCH(TableOverallMaster[[#This Row],[RK]],TableTEVORP[RK],0)),"")</f>
        <v>4.1691066147704807E-3</v>
      </c>
      <c r="AN260" s="250"/>
      <c r="AO260" s="250">
        <v>259</v>
      </c>
      <c r="AP260" s="255" t="str">
        <f>IFERROR(INDEX(TableOverallMaster[OVERALL PLAYER],MATCH(TableOverallRank[[#This Row],[RK]],TableOverallMaster[OVR RK],0)),"")</f>
        <v>Donald Parham</v>
      </c>
      <c r="AQ260" s="256" t="str">
        <f>IFERROR(INDEX(TableOverallMaster[POS RK],MATCH(TableOverallRank[[#This Row],[OVERALL PLAYER]],TableOverallMaster[OVERALL PLAYER],0)),"")</f>
        <v>TE39</v>
      </c>
      <c r="AR260" s="257">
        <f>IFERROR(INDEX(TableOverallMaster[BYE],MATCH(TableOverallRank[[#This Row],[OVERALL PLAYER]],TableOverallMaster[OVERALL PLAYER],0)),"")</f>
        <v>8</v>
      </c>
      <c r="AS260" s="258">
        <f>IFERROR(INDEX(TableOverallMaster[Custom],MATCH(TableOverallRank[[#This Row],[OVERALL PLAYER]],TableOverallMaster[OVERALL PLAYER],0)),"")</f>
        <v>32.820358387610085</v>
      </c>
      <c r="AT260" s="259">
        <f>IFERROR(INDEX(TableOverallMaster[VORP],MATCH(TableOverallRank[[#This Row],[OVERALL PLAYER]],TableOverallMaster[OVERALL PLAYER],0)),"")</f>
        <v>-0.67965259380519505</v>
      </c>
      <c r="AU260" s="250"/>
      <c r="AV260" s="246">
        <v>259</v>
      </c>
      <c r="AW260" s="260" t="str">
        <f>IFERROR(INDEX(TableWRTECalcPts[PLAYER],MATCH(TableWRTERank[[#This Row],[RK]],TableWRTECalcPts[RK],0)),"")</f>
        <v>Tylan Wallace</v>
      </c>
      <c r="AX260" s="260" t="str">
        <f>IFERROR(INDEX(TableWRTECalcPts[POS RK],MATCH(TableWRTERank[[#This Row],[WR and TE COMBINED]],TableWRTECalcPts[PLAYER],0)),"")</f>
        <v>WR180</v>
      </c>
      <c r="AY260" s="260">
        <f>IFERROR(INDEX(TableWRTECalcPts[BYE],MATCH(TableWRTERank[[#This Row],[RK]],TableWRTECalcPts[RK],0)),"")</f>
        <v>10</v>
      </c>
      <c r="AZ260" s="261">
        <f>IFERROR(INDEX(TableWRTECalcPts[Custom],MATCH(TableWRTERank[[#This Row],[RK]],TableWRTECalcPts[RK],0)),"")</f>
        <v>7.1753802088779821</v>
      </c>
      <c r="BA260" s="249">
        <f>IFERROR((TableWRTERank[[#This Row],[FPS]]-INDEX(TableWRTERank[FPS],MATCH(WRTEVORPCalc,TableWRTERank[RK],0)))/INDEX(TableWRTERank[FPS],MATCH(WRTEVORPCalc,TableWRTERank[RK],0)),"")</f>
        <v>-0.93957582508916515</v>
      </c>
      <c r="BC260" s="124" t="s">
        <v>10</v>
      </c>
      <c r="BD260" s="124">
        <v>59</v>
      </c>
      <c r="BE260" s="262">
        <f>RANK(TableWRTEMaster[[#This Row],[VORP]],TableWRTEMaster[VORP])+COUNTIF($BJ$2:BJ260,BJ260)-1</f>
        <v>197</v>
      </c>
      <c r="BF260" s="263" t="str">
        <f>IFERROR(INDEX(TableTEVORP[TIGHT END],MATCH(TableWRTEMaster[[#This Row],[RK]],TableTEVORP[RK],0)),"")</f>
        <v>Jelani Woods</v>
      </c>
      <c r="BG260" s="263" t="str">
        <f>_xlfn.CONCAT(TableWRTEMaster[[#This Row],[POS]],TableWRTEMaster[[#This Row],[RK]])</f>
        <v>TE59</v>
      </c>
      <c r="BH260" s="263">
        <f>IFERROR(INDEX(TableTEVORP[BYE],MATCH(TableWRTEMaster[[#This Row],[RK]],TableTEVORP[RK],0)),"")</f>
        <v>14</v>
      </c>
      <c r="BI260" s="264">
        <f>IFERROR(INDEX(TableTEVORP[FPS],MATCH(TableWRTEMaster[[#This Row],[RK]],TableTEVORP[RK],0)),"")</f>
        <v>17.171626089126345</v>
      </c>
      <c r="BJ260" s="254">
        <f>IFERROR(INDEX(TableTEVORP[VORP],MATCH(TableWRTEMaster[[#This Row],[RK]],TableTEVORP[RK],0)),"")</f>
        <v>-0.83239409476176562</v>
      </c>
    </row>
    <row r="261" spans="28:62" x14ac:dyDescent="0.3">
      <c r="AB261" s="246"/>
      <c r="AC261" s="250"/>
      <c r="AD261" s="250"/>
      <c r="AE261" s="250"/>
      <c r="AF261" s="250" t="s">
        <v>10</v>
      </c>
      <c r="AG261" s="250">
        <v>10</v>
      </c>
      <c r="AH261" s="251">
        <f>RANK(TableOverallMaster[[#This Row],[VORP]],TableOverallMaster[VORP])+COUNTIF($AM$2:AM261,AM261)-1</f>
        <v>123</v>
      </c>
      <c r="AI261" s="252" t="str">
        <f>IFERROR(INDEX(TableTEVORP[TIGHT END],MATCH(TableOverallMaster[[#This Row],[RK]],TableTEVORP[RK],0)),"")</f>
        <v>T.J. Hockenson</v>
      </c>
      <c r="AJ261" s="252" t="str">
        <f t="shared" si="4"/>
        <v>TE10</v>
      </c>
      <c r="AK261" s="252">
        <f>IFERROR(INDEX(TableTEVORP[BYE],MATCH(TableOverallMaster[[#This Row],[RK]],TableTEVORP[RK],0)),"")</f>
        <v>6</v>
      </c>
      <c r="AL261" s="253">
        <f>IFERROR(INDEX(TableTEVORP[FPS],MATCH(TableOverallMaster[[#This Row],[RK]],TableTEVORP[RK],0)),"")</f>
        <v>102.45239309867193</v>
      </c>
      <c r="AM261" s="254">
        <f>IFERROR(INDEX(TableTEVORP[VORP],MATCH(TableOverallMaster[[#This Row],[RK]],TableTEVORP[RK],0)),"")</f>
        <v>0</v>
      </c>
      <c r="AN261" s="250"/>
      <c r="AO261" s="250">
        <v>260</v>
      </c>
      <c r="AP261" s="255" t="str">
        <f>IFERROR(INDEX(TableOverallMaster[OVERALL PLAYER],MATCH(TableOverallRank[[#This Row],[RK]],TableOverallMaster[OVR RK],0)),"")</f>
        <v>Quez Watkins</v>
      </c>
      <c r="AQ261" s="256" t="str">
        <f>IFERROR(INDEX(TableOverallMaster[POS RK],MATCH(TableOverallRank[[#This Row],[OVERALL PLAYER]],TableOverallMaster[OVERALL PLAYER],0)),"")</f>
        <v>WR110</v>
      </c>
      <c r="AR261" s="257">
        <f>IFERROR(INDEX(TableOverallMaster[BYE],MATCH(TableOverallRank[[#This Row],[OVERALL PLAYER]],TableOverallMaster[OVERALL PLAYER],0)),"")</f>
        <v>7</v>
      </c>
      <c r="AS261" s="258">
        <f>IFERROR(INDEX(TableOverallMaster[Custom],MATCH(TableOverallRank[[#This Row],[OVERALL PLAYER]],TableOverallMaster[OVERALL PLAYER],0)),"")</f>
        <v>34.037529360914419</v>
      </c>
      <c r="AT261" s="259">
        <f>IFERROR(INDEX(TableOverallMaster[VORP],MATCH(TableOverallRank[[#This Row],[OVERALL PLAYER]],TableOverallMaster[OVERALL PLAYER],0)),"")</f>
        <v>-0.6876502637679387</v>
      </c>
      <c r="AU261" s="250"/>
      <c r="AV261" s="246">
        <v>260</v>
      </c>
      <c r="AW261" s="260" t="str">
        <f>IFERROR(INDEX(TableWRTECalcPts[PLAYER],MATCH(TableWRTERank[[#This Row],[RK]],TableWRTECalcPts[RK],0)),"")</f>
        <v>Ben Ellefson</v>
      </c>
      <c r="AX261" s="260" t="str">
        <f>IFERROR(INDEX(TableWRTECalcPts[POS RK],MATCH(TableWRTERank[[#This Row],[WR and TE COMBINED]],TableWRTECalcPts[PLAYER],0)),"")</f>
        <v>TE80</v>
      </c>
      <c r="AY261" s="260">
        <f>IFERROR(INDEX(TableWRTECalcPts[BYE],MATCH(TableWRTERank[[#This Row],[RK]],TableWRTECalcPts[RK],0)),"")</f>
        <v>7</v>
      </c>
      <c r="AZ261" s="261">
        <f>IFERROR(INDEX(TableWRTECalcPts[Custom],MATCH(TableWRTERank[[#This Row],[RK]],TableWRTECalcPts[RK],0)),"")</f>
        <v>7.1504475317791831</v>
      </c>
      <c r="BA261" s="249">
        <f>IFERROR((TableWRTERank[[#This Row],[FPS]]-INDEX(TableWRTERank[FPS],MATCH(WRTEVORPCalc,TableWRTERank[RK],0)))/INDEX(TableWRTERank[FPS],MATCH(WRTEVORPCalc,TableWRTERank[RK],0)),"")</f>
        <v>-0.93978578419908787</v>
      </c>
      <c r="BC261" s="124" t="s">
        <v>10</v>
      </c>
      <c r="BD261" s="124">
        <v>60</v>
      </c>
      <c r="BE261" s="262">
        <f>RANK(TableWRTEMaster[[#This Row],[VORP]],TableWRTEMaster[VORP])+COUNTIF($BJ$2:BJ261,BJ261)-1</f>
        <v>198</v>
      </c>
      <c r="BF261" s="263" t="str">
        <f>IFERROR(INDEX(TableTEVORP[TIGHT END],MATCH(TableWRTEMaster[[#This Row],[RK]],TableTEVORP[RK],0)),"")</f>
        <v>Ryan Griffin</v>
      </c>
      <c r="BG261" s="263" t="str">
        <f>_xlfn.CONCAT(TableWRTEMaster[[#This Row],[POS]],TableWRTEMaster[[#This Row],[RK]])</f>
        <v>TE60</v>
      </c>
      <c r="BH261" s="263">
        <f>IFERROR(INDEX(TableTEVORP[BYE],MATCH(TableWRTEMaster[[#This Row],[RK]],TableTEVORP[RK],0)),"")</f>
        <v>14</v>
      </c>
      <c r="BI261" s="264">
        <f>IFERROR(INDEX(TableTEVORP[FPS],MATCH(TableWRTEMaster[[#This Row],[RK]],TableTEVORP[RK],0)),"")</f>
        <v>16.703697622663206</v>
      </c>
      <c r="BJ261" s="254">
        <f>IFERROR(INDEX(TableTEVORP[VORP],MATCH(TableWRTEMaster[[#This Row],[RK]],TableTEVORP[RK],0)),"")</f>
        <v>-0.83696137183856822</v>
      </c>
    </row>
    <row r="262" spans="28:62" x14ac:dyDescent="0.3">
      <c r="AB262" s="246"/>
      <c r="AC262" s="250"/>
      <c r="AD262" s="250"/>
      <c r="AE262" s="250"/>
      <c r="AF262" s="250" t="s">
        <v>10</v>
      </c>
      <c r="AG262" s="250">
        <v>11</v>
      </c>
      <c r="AH262" s="251">
        <f>RANK(TableOverallMaster[[#This Row],[VORP]],TableOverallMaster[VORP])+COUNTIF($AM$2:AM262,AM262)-1</f>
        <v>132</v>
      </c>
      <c r="AI262" s="252" t="str">
        <f>IFERROR(INDEX(TableTEVORP[TIGHT END],MATCH(TableOverallMaster[[#This Row],[RK]],TableTEVORP[RK],0)),"")</f>
        <v>Zach Ertz</v>
      </c>
      <c r="AJ262" s="252" t="str">
        <f t="shared" si="4"/>
        <v>TE11</v>
      </c>
      <c r="AK262" s="252">
        <f>IFERROR(INDEX(TableTEVORP[BYE],MATCH(TableOverallMaster[[#This Row],[RK]],TableTEVORP[RK],0)),"")</f>
        <v>13</v>
      </c>
      <c r="AL262" s="253">
        <f>IFERROR(INDEX(TableTEVORP[FPS],MATCH(TableOverallMaster[[#This Row],[RK]],TableTEVORP[RK],0)),"")</f>
        <v>99.340220639314538</v>
      </c>
      <c r="AM262" s="254">
        <f>IFERROR(INDEX(TableTEVORP[VORP],MATCH(TableOverallMaster[[#This Row],[RK]],TableTEVORP[RK],0)),"")</f>
        <v>-3.0376766859511631E-2</v>
      </c>
      <c r="AN262" s="250"/>
      <c r="AO262" s="250">
        <v>261</v>
      </c>
      <c r="AP262" s="255" t="str">
        <f>IFERROR(INDEX(TableOverallMaster[OVERALL PLAYER],MATCH(TableOverallRank[[#This Row],[RK]],TableOverallMaster[OVR RK],0)),"")</f>
        <v>Jordan Akins</v>
      </c>
      <c r="AQ262" s="256" t="str">
        <f>IFERROR(INDEX(TableOverallMaster[POS RK],MATCH(TableOverallRank[[#This Row],[OVERALL PLAYER]],TableOverallMaster[OVERALL PLAYER],0)),"")</f>
        <v>TE40</v>
      </c>
      <c r="AR262" s="257">
        <f>IFERROR(INDEX(TableOverallMaster[BYE],MATCH(TableOverallRank[[#This Row],[OVERALL PLAYER]],TableOverallMaster[OVERALL PLAYER],0)),"")</f>
        <v>9</v>
      </c>
      <c r="AS262" s="258">
        <f>IFERROR(INDEX(TableOverallMaster[Custom],MATCH(TableOverallRank[[#This Row],[OVERALL PLAYER]],TableOverallMaster[OVERALL PLAYER],0)),"")</f>
        <v>31.016681903522954</v>
      </c>
      <c r="AT262" s="259">
        <f>IFERROR(INDEX(TableOverallMaster[VORP],MATCH(TableOverallRank[[#This Row],[OVERALL PLAYER]],TableOverallMaster[OVERALL PLAYER],0)),"")</f>
        <v>-0.6972576143375121</v>
      </c>
      <c r="AU262" s="250"/>
      <c r="AV262" s="246">
        <v>261</v>
      </c>
      <c r="AW262" s="260" t="str">
        <f>IFERROR(INDEX(TableWRTECalcPts[PLAYER],MATCH(TableWRTERank[[#This Row],[RK]],TableWRTECalcPts[RK],0)),"")</f>
        <v>Penny Hart</v>
      </c>
      <c r="AX262" s="260" t="str">
        <f>IFERROR(INDEX(TableWRTECalcPts[POS RK],MATCH(TableWRTERank[[#This Row],[WR and TE COMBINED]],TableWRTECalcPts[PLAYER],0)),"")</f>
        <v>WR181</v>
      </c>
      <c r="AY262" s="260">
        <f>IFERROR(INDEX(TableWRTECalcPts[BYE],MATCH(TableWRTERank[[#This Row],[RK]],TableWRTECalcPts[RK],0)),"")</f>
        <v>11</v>
      </c>
      <c r="AZ262" s="261">
        <f>IFERROR(INDEX(TableWRTECalcPts[Custom],MATCH(TableWRTERank[[#This Row],[RK]],TableWRTECalcPts[RK],0)),"")</f>
        <v>7.1095588047201934</v>
      </c>
      <c r="BA262" s="249">
        <f>IFERROR((TableWRTERank[[#This Row],[FPS]]-INDEX(TableWRTERank[FPS],MATCH(WRTEVORPCalc,TableWRTERank[RK],0)))/INDEX(TableWRTERank[FPS],MATCH(WRTEVORPCalc,TableWRTERank[RK],0)),"")</f>
        <v>-0.94013010986877665</v>
      </c>
      <c r="BC262" s="124" t="s">
        <v>10</v>
      </c>
      <c r="BD262" s="124">
        <v>61</v>
      </c>
      <c r="BE262" s="262">
        <f>RANK(TableWRTEMaster[[#This Row],[VORP]],TableWRTEMaster[VORP])+COUNTIF($BJ$2:BJ262,BJ262)-1</f>
        <v>199</v>
      </c>
      <c r="BF262" s="263" t="str">
        <f>IFERROR(INDEX(TableTEVORP[TIGHT END],MATCH(TableWRTEMaster[[#This Row],[RK]],TableTEVORP[RK],0)),"")</f>
        <v>Marcedes Lewis</v>
      </c>
      <c r="BG262" s="263" t="str">
        <f>_xlfn.CONCAT(TableWRTEMaster[[#This Row],[POS]],TableWRTEMaster[[#This Row],[RK]])</f>
        <v>TE61</v>
      </c>
      <c r="BH262" s="263">
        <f>IFERROR(INDEX(TableTEVORP[BYE],MATCH(TableWRTEMaster[[#This Row],[RK]],TableTEVORP[RK],0)),"")</f>
        <v>14</v>
      </c>
      <c r="BI262" s="264">
        <f>IFERROR(INDEX(TableTEVORP[FPS],MATCH(TableWRTEMaster[[#This Row],[RK]],TableTEVORP[RK],0)),"")</f>
        <v>16.650207266330391</v>
      </c>
      <c r="BJ262" s="254">
        <f>IFERROR(INDEX(TableTEVORP[VORP],MATCH(TableWRTEMaster[[#This Row],[RK]],TableTEVORP[RK],0)),"")</f>
        <v>-0.83748347146664914</v>
      </c>
    </row>
    <row r="263" spans="28:62" x14ac:dyDescent="0.3">
      <c r="AB263" s="246"/>
      <c r="AC263" s="250"/>
      <c r="AD263" s="250"/>
      <c r="AE263" s="250"/>
      <c r="AF263" s="250" t="s">
        <v>10</v>
      </c>
      <c r="AG263" s="250">
        <v>12</v>
      </c>
      <c r="AH263" s="251">
        <f>RANK(TableOverallMaster[[#This Row],[VORP]],TableOverallMaster[VORP])+COUNTIF($AM$2:AM263,AM263)-1</f>
        <v>133</v>
      </c>
      <c r="AI263" s="252" t="str">
        <f>IFERROR(INDEX(TableTEVORP[TIGHT END],MATCH(TableOverallMaster[[#This Row],[RK]],TableTEVORP[RK],0)),"")</f>
        <v>Cameron Brate</v>
      </c>
      <c r="AJ263" s="252" t="str">
        <f t="shared" si="4"/>
        <v>TE12</v>
      </c>
      <c r="AK263" s="252">
        <f>IFERROR(INDEX(TableTEVORP[BYE],MATCH(TableOverallMaster[[#This Row],[RK]],TableTEVORP[RK],0)),"")</f>
        <v>11</v>
      </c>
      <c r="AL263" s="253">
        <f>IFERROR(INDEX(TableTEVORP[FPS],MATCH(TableOverallMaster[[#This Row],[RK]],TableTEVORP[RK],0)),"")</f>
        <v>99.231125452288012</v>
      </c>
      <c r="AM263" s="254">
        <f>IFERROR(INDEX(TableTEVORP[VORP],MATCH(TableOverallMaster[[#This Row],[RK]],TableTEVORP[RK],0)),"")</f>
        <v>-3.1441604719584418E-2</v>
      </c>
      <c r="AN263" s="250"/>
      <c r="AO263" s="250">
        <v>262</v>
      </c>
      <c r="AP263" s="255" t="str">
        <f>IFERROR(INDEX(TableOverallMaster[OVERALL PLAYER],MATCH(TableOverallRank[[#This Row],[RK]],TableOverallMaster[OVR RK],0)),"")</f>
        <v>Foster Moreau</v>
      </c>
      <c r="AQ263" s="256" t="str">
        <f>IFERROR(INDEX(TableOverallMaster[POS RK],MATCH(TableOverallRank[[#This Row],[OVERALL PLAYER]],TableOverallMaster[OVERALL PLAYER],0)),"")</f>
        <v>TE41</v>
      </c>
      <c r="AR263" s="257">
        <f>IFERROR(INDEX(TableOverallMaster[BYE],MATCH(TableOverallRank[[#This Row],[OVERALL PLAYER]],TableOverallMaster[OVERALL PLAYER],0)),"")</f>
        <v>6</v>
      </c>
      <c r="AS263" s="258">
        <f>IFERROR(INDEX(TableOverallMaster[Custom],MATCH(TableOverallRank[[#This Row],[OVERALL PLAYER]],TableOverallMaster[OVERALL PLAYER],0)),"")</f>
        <v>29.607862319138633</v>
      </c>
      <c r="AT263" s="259">
        <f>IFERROR(INDEX(TableOverallMaster[VORP],MATCH(TableOverallRank[[#This Row],[OVERALL PLAYER]],TableOverallMaster[OVERALL PLAYER],0)),"")</f>
        <v>-0.71100858238983944</v>
      </c>
      <c r="AU263" s="250"/>
      <c r="AV263" s="246">
        <v>262</v>
      </c>
      <c r="AW263" s="260" t="str">
        <f>IFERROR(INDEX(TableWRTECalcPts[PLAYER],MATCH(TableWRTERank[[#This Row],[RK]],TableWRTECalcPts[RK],0)),"")</f>
        <v>Jeremy Sprinkle</v>
      </c>
      <c r="AX263" s="260" t="str">
        <f>IFERROR(INDEX(TableWRTECalcPts[POS RK],MATCH(TableWRTERank[[#This Row],[WR and TE COMBINED]],TableWRTECalcPts[PLAYER],0)),"")</f>
        <v>TE81</v>
      </c>
      <c r="AY263" s="260">
        <f>IFERROR(INDEX(TableWRTECalcPts[BYE],MATCH(TableWRTERank[[#This Row],[RK]],TableWRTECalcPts[RK],0)),"")</f>
        <v>9</v>
      </c>
      <c r="AZ263" s="261">
        <f>IFERROR(INDEX(TableWRTECalcPts[Custom],MATCH(TableWRTERank[[#This Row],[RK]],TableWRTECalcPts[RK],0)),"")</f>
        <v>7.0531397331118484</v>
      </c>
      <c r="BA263" s="249">
        <f>IFERROR((TableWRTERank[[#This Row],[FPS]]-INDEX(TableWRTERank[FPS],MATCH(WRTEVORPCalc,TableWRTERank[RK],0)))/INDEX(TableWRTERank[FPS],MATCH(WRTEVORPCalc,TableWRTERank[RK],0)),"")</f>
        <v>-0.94060521721527679</v>
      </c>
      <c r="BC263" s="124" t="s">
        <v>10</v>
      </c>
      <c r="BD263" s="124">
        <v>62</v>
      </c>
      <c r="BE263" s="262">
        <f>RANK(TableWRTEMaster[[#This Row],[VORP]],TableWRTEMaster[VORP])+COUNTIF($BJ$2:BJ263,BJ263)-1</f>
        <v>208</v>
      </c>
      <c r="BF263" s="263" t="str">
        <f>IFERROR(INDEX(TableTEVORP[TIGHT END],MATCH(TableWRTEMaster[[#This Row],[RK]],TableTEVORP[RK],0)),"")</f>
        <v>Brycen Hopkins</v>
      </c>
      <c r="BG263" s="263" t="str">
        <f>_xlfn.CONCAT(TableWRTEMaster[[#This Row],[POS]],TableWRTEMaster[[#This Row],[RK]])</f>
        <v>TE62</v>
      </c>
      <c r="BH263" s="263">
        <f>IFERROR(INDEX(TableTEVORP[BYE],MATCH(TableWRTEMaster[[#This Row],[RK]],TableTEVORP[RK],0)),"")</f>
        <v>7</v>
      </c>
      <c r="BI263" s="264">
        <f>IFERROR(INDEX(TableTEVORP[FPS],MATCH(TableWRTEMaster[[#This Row],[RK]],TableTEVORP[RK],0)),"")</f>
        <v>15.042983008922885</v>
      </c>
      <c r="BJ263" s="254">
        <f>IFERROR(INDEX(TableTEVORP[VORP],MATCH(TableWRTEMaster[[#This Row],[RK]],TableTEVORP[RK],0)),"")</f>
        <v>-0.85317099431308563</v>
      </c>
    </row>
    <row r="264" spans="28:62" x14ac:dyDescent="0.3">
      <c r="AB264" s="246"/>
      <c r="AC264" s="250"/>
      <c r="AD264" s="250"/>
      <c r="AE264" s="250"/>
      <c r="AF264" s="250" t="s">
        <v>10</v>
      </c>
      <c r="AG264" s="250">
        <v>13</v>
      </c>
      <c r="AH264" s="251">
        <f>RANK(TableOverallMaster[[#This Row],[VORP]],TableOverallMaster[VORP])+COUNTIF($AM$2:AM264,AM264)-1</f>
        <v>136</v>
      </c>
      <c r="AI264" s="252" t="str">
        <f>IFERROR(INDEX(TableTEVORP[TIGHT END],MATCH(TableOverallMaster[[#This Row],[RK]],TableTEVORP[RK],0)),"")</f>
        <v>David Njoku</v>
      </c>
      <c r="AJ264" s="252" t="str">
        <f t="shared" si="4"/>
        <v>TE13</v>
      </c>
      <c r="AK264" s="252">
        <f>IFERROR(INDEX(TableTEVORP[BYE],MATCH(TableOverallMaster[[#This Row],[RK]],TableTEVORP[RK],0)),"")</f>
        <v>9</v>
      </c>
      <c r="AL264" s="253">
        <f>IFERROR(INDEX(TableTEVORP[FPS],MATCH(TableOverallMaster[[#This Row],[RK]],TableTEVORP[RK],0)),"")</f>
        <v>98.103124524733062</v>
      </c>
      <c r="AM264" s="254">
        <f>IFERROR(INDEX(TableTEVORP[VORP],MATCH(TableOverallMaster[[#This Row],[RK]],TableTEVORP[RK],0)),"")</f>
        <v>-4.245160549593107E-2</v>
      </c>
      <c r="AN264" s="250"/>
      <c r="AO264" s="250">
        <v>263</v>
      </c>
      <c r="AP264" s="255" t="str">
        <f>IFERROR(INDEX(TableOverallMaster[OVERALL PLAYER],MATCH(TableOverallRank[[#This Row],[RK]],TableOverallMaster[OVR RK],0)),"")</f>
        <v>Tyler Conklin</v>
      </c>
      <c r="AQ264" s="256" t="str">
        <f>IFERROR(INDEX(TableOverallMaster[POS RK],MATCH(TableOverallRank[[#This Row],[OVERALL PLAYER]],TableOverallMaster[OVERALL PLAYER],0)),"")</f>
        <v>TE42</v>
      </c>
      <c r="AR264" s="257">
        <f>IFERROR(INDEX(TableOverallMaster[BYE],MATCH(TableOverallRank[[#This Row],[OVERALL PLAYER]],TableOverallMaster[OVERALL PLAYER],0)),"")</f>
        <v>10</v>
      </c>
      <c r="AS264" s="258">
        <f>IFERROR(INDEX(TableOverallMaster[Custom],MATCH(TableOverallRank[[#This Row],[OVERALL PLAYER]],TableOverallMaster[OVERALL PLAYER],0)),"")</f>
        <v>29.058916736132929</v>
      </c>
      <c r="AT264" s="259">
        <f>IFERROR(INDEX(TableOverallMaster[VORP],MATCH(TableOverallRank[[#This Row],[OVERALL PLAYER]],TableOverallMaster[OVERALL PLAYER],0)),"")</f>
        <v>-0.7163666376426534</v>
      </c>
      <c r="AU264" s="250"/>
      <c r="AV264" s="246">
        <v>263</v>
      </c>
      <c r="AW264" s="260" t="str">
        <f>IFERROR(INDEX(TableWRTECalcPts[PLAYER],MATCH(TableWRTERank[[#This Row],[RK]],TableWRTECalcPts[RK],0)),"")</f>
        <v>Jacob Hollister</v>
      </c>
      <c r="AX264" s="260" t="str">
        <f>IFERROR(INDEX(TableWRTECalcPts[POS RK],MATCH(TableWRTERank[[#This Row],[WR and TE COMBINED]],TableWRTECalcPts[PLAYER],0)),"")</f>
        <v>TE82</v>
      </c>
      <c r="AY264" s="260">
        <f>IFERROR(INDEX(TableWRTECalcPts[BYE],MATCH(TableWRTERank[[#This Row],[RK]],TableWRTECalcPts[RK],0)),"")</f>
        <v>6</v>
      </c>
      <c r="AZ264" s="261">
        <f>IFERROR(INDEX(TableWRTECalcPts[Custom],MATCH(TableWRTERank[[#This Row],[RK]],TableWRTECalcPts[RK],0)),"")</f>
        <v>6.6649667723753367</v>
      </c>
      <c r="BA264" s="249">
        <f>IFERROR((TableWRTERank[[#This Row],[FPS]]-INDEX(TableWRTERank[FPS],MATCH(WRTEVORPCalc,TableWRTERank[RK],0)))/INDEX(TableWRTERank[FPS],MATCH(WRTEVORPCalc,TableWRTERank[RK],0)),"")</f>
        <v>-0.94387403784810953</v>
      </c>
      <c r="BC264" s="124" t="s">
        <v>10</v>
      </c>
      <c r="BD264" s="124">
        <v>63</v>
      </c>
      <c r="BE264" s="262">
        <f>RANK(TableWRTEMaster[[#This Row],[VORP]],TableWRTEMaster[VORP])+COUNTIF($BJ$2:BJ264,BJ264)-1</f>
        <v>209</v>
      </c>
      <c r="BF264" s="263" t="str">
        <f>IFERROR(INDEX(TableTEVORP[TIGHT END],MATCH(TableWRTEMaster[[#This Row],[RK]],TableTEVORP[RK],0)),"")</f>
        <v>Nick Vannett</v>
      </c>
      <c r="BG264" s="263" t="str">
        <f>_xlfn.CONCAT(TableWRTEMaster[[#This Row],[POS]],TableWRTEMaster[[#This Row],[RK]])</f>
        <v>TE63</v>
      </c>
      <c r="BH264" s="263">
        <f>IFERROR(INDEX(TableTEVORP[BYE],MATCH(TableWRTEMaster[[#This Row],[RK]],TableTEVORP[RK],0)),"")</f>
        <v>14</v>
      </c>
      <c r="BI264" s="264">
        <f>IFERROR(INDEX(TableTEVORP[FPS],MATCH(TableWRTEMaster[[#This Row],[RK]],TableTEVORP[RK],0)),"")</f>
        <v>14.882710410612825</v>
      </c>
      <c r="BJ264" s="254">
        <f>IFERROR(INDEX(TableTEVORP[VORP],MATCH(TableWRTEMaster[[#This Row],[RK]],TableTEVORP[RK],0)),"")</f>
        <v>-0.85473535599818262</v>
      </c>
    </row>
    <row r="265" spans="28:62" x14ac:dyDescent="0.3">
      <c r="AB265" s="246"/>
      <c r="AC265" s="250"/>
      <c r="AD265" s="250"/>
      <c r="AE265" s="250"/>
      <c r="AF265" s="250" t="s">
        <v>10</v>
      </c>
      <c r="AG265" s="250">
        <v>14</v>
      </c>
      <c r="AH265" s="251">
        <f>RANK(TableOverallMaster[[#This Row],[VORP]],TableOverallMaster[VORP])+COUNTIF($AM$2:AM265,AM265)-1</f>
        <v>140</v>
      </c>
      <c r="AI265" s="252" t="str">
        <f>IFERROR(INDEX(TableTEVORP[TIGHT END],MATCH(TableOverallMaster[[#This Row],[RK]],TableTEVORP[RK],0)),"")</f>
        <v>Pat Freiermuth</v>
      </c>
      <c r="AJ265" s="252" t="str">
        <f t="shared" si="4"/>
        <v>TE14</v>
      </c>
      <c r="AK265" s="252">
        <f>IFERROR(INDEX(TableTEVORP[BYE],MATCH(TableOverallMaster[[#This Row],[RK]],TableTEVORP[RK],0)),"")</f>
        <v>9</v>
      </c>
      <c r="AL265" s="253">
        <f>IFERROR(INDEX(TableTEVORP[FPS],MATCH(TableOverallMaster[[#This Row],[RK]],TableTEVORP[RK],0)),"")</f>
        <v>95.849834967367968</v>
      </c>
      <c r="AM265" s="254">
        <f>IFERROR(INDEX(TableTEVORP[VORP],MATCH(TableOverallMaster[[#This Row],[RK]],TableTEVORP[RK],0)),"")</f>
        <v>-6.4445133311283806E-2</v>
      </c>
      <c r="AN265" s="250"/>
      <c r="AO265" s="250">
        <v>264</v>
      </c>
      <c r="AP265" s="255" t="str">
        <f>IFERROR(INDEX(TableOverallMaster[OVERALL PLAYER],MATCH(TableOverallRank[[#This Row],[RK]],TableOverallMaster[OVR RK],0)),"")</f>
        <v>Kyle Juszczyk</v>
      </c>
      <c r="AQ265" s="256" t="str">
        <f>IFERROR(INDEX(TableOverallMaster[POS RK],MATCH(TableOverallRank[[#This Row],[OVERALL PLAYER]],TableOverallMaster[OVERALL PLAYER],0)),"")</f>
        <v>RB77</v>
      </c>
      <c r="AR265" s="257">
        <f>IFERROR(INDEX(TableOverallMaster[BYE],MATCH(TableOverallRank[[#This Row],[OVERALL PLAYER]],TableOverallMaster[OVERALL PLAYER],0)),"")</f>
        <v>9</v>
      </c>
      <c r="AS265" s="258">
        <f>IFERROR(INDEX(TableOverallMaster[Custom],MATCH(TableOverallRank[[#This Row],[OVERALL PLAYER]],TableOverallMaster[OVERALL PLAYER],0)),"")</f>
        <v>28.443327184365195</v>
      </c>
      <c r="AT265" s="259">
        <f>IFERROR(INDEX(TableOverallMaster[VORP],MATCH(TableOverallRank[[#This Row],[OVERALL PLAYER]],TableOverallMaster[OVERALL PLAYER],0)),"")</f>
        <v>-0.71927003415285595</v>
      </c>
      <c r="AU265" s="250"/>
      <c r="AV265" s="246">
        <v>264</v>
      </c>
      <c r="AW265" s="260" t="str">
        <f>IFERROR(INDEX(TableWRTECalcPts[PLAYER],MATCH(TableWRTERank[[#This Row],[RK]],TableWRTECalcPts[RK],0)),"")</f>
        <v>Adam Shaheen</v>
      </c>
      <c r="AX265" s="260" t="str">
        <f>IFERROR(INDEX(TableWRTECalcPts[POS RK],MATCH(TableWRTERank[[#This Row],[WR and TE COMBINED]],TableWRTECalcPts[PLAYER],0)),"")</f>
        <v>TE83</v>
      </c>
      <c r="AY265" s="260">
        <f>IFERROR(INDEX(TableWRTECalcPts[BYE],MATCH(TableWRTERank[[#This Row],[RK]],TableWRTECalcPts[RK],0)),"")</f>
        <v>11</v>
      </c>
      <c r="AZ265" s="261">
        <f>IFERROR(INDEX(TableWRTECalcPts[Custom],MATCH(TableWRTERank[[#This Row],[RK]],TableWRTECalcPts[RK],0)),"")</f>
        <v>6.6432153022993292</v>
      </c>
      <c r="BA265" s="249">
        <f>IFERROR((TableWRTERank[[#This Row],[FPS]]-INDEX(TableWRTERank[FPS],MATCH(WRTEVORPCalc,TableWRTERank[RK],0)))/INDEX(TableWRTERank[FPS],MATCH(WRTEVORPCalc,TableWRTERank[RK],0)),"")</f>
        <v>-0.94405720788149872</v>
      </c>
      <c r="BC265" s="124" t="s">
        <v>10</v>
      </c>
      <c r="BD265" s="124">
        <v>64</v>
      </c>
      <c r="BE265" s="262">
        <f>RANK(TableWRTEMaster[[#This Row],[VORP]],TableWRTEMaster[VORP])+COUNTIF($BJ$2:BJ265,BJ265)-1</f>
        <v>210</v>
      </c>
      <c r="BF265" s="263" t="str">
        <f>IFERROR(INDEX(TableTEVORP[TIGHT END],MATCH(TableWRTEMaster[[#This Row],[RK]],TableTEVORP[RK],0)),"")</f>
        <v>Noah Gray</v>
      </c>
      <c r="BG265" s="263" t="str">
        <f>_xlfn.CONCAT(TableWRTEMaster[[#This Row],[POS]],TableWRTEMaster[[#This Row],[RK]])</f>
        <v>TE64</v>
      </c>
      <c r="BH265" s="263">
        <f>IFERROR(INDEX(TableTEVORP[BYE],MATCH(TableWRTEMaster[[#This Row],[RK]],TableTEVORP[RK],0)),"")</f>
        <v>8</v>
      </c>
      <c r="BI265" s="264">
        <f>IFERROR(INDEX(TableTEVORP[FPS],MATCH(TableWRTEMaster[[#This Row],[RK]],TableTEVORP[RK],0)),"")</f>
        <v>13.871069075680589</v>
      </c>
      <c r="BJ265" s="254">
        <f>IFERROR(INDEX(TableTEVORP[VORP],MATCH(TableWRTEMaster[[#This Row],[RK]],TableTEVORP[RK],0)),"")</f>
        <v>-0.86460961373228873</v>
      </c>
    </row>
    <row r="266" spans="28:62" x14ac:dyDescent="0.3">
      <c r="AB266" s="246"/>
      <c r="AC266" s="250"/>
      <c r="AD266" s="250"/>
      <c r="AE266" s="250"/>
      <c r="AF266" s="250" t="s">
        <v>10</v>
      </c>
      <c r="AG266" s="250">
        <v>15</v>
      </c>
      <c r="AH266" s="251">
        <f>RANK(TableOverallMaster[[#This Row],[VORP]],TableOverallMaster[VORP])+COUNTIF($AM$2:AM266,AM266)-1</f>
        <v>141</v>
      </c>
      <c r="AI266" s="252" t="str">
        <f>IFERROR(INDEX(TableTEVORP[TIGHT END],MATCH(TableOverallMaster[[#This Row],[RK]],TableTEVORP[RK],0)),"")</f>
        <v>Hunter Henry</v>
      </c>
      <c r="AJ266" s="252" t="str">
        <f t="shared" si="4"/>
        <v>TE15</v>
      </c>
      <c r="AK266" s="252">
        <f>IFERROR(INDEX(TableTEVORP[BYE],MATCH(TableOverallMaster[[#This Row],[RK]],TableTEVORP[RK],0)),"")</f>
        <v>10</v>
      </c>
      <c r="AL266" s="253">
        <f>IFERROR(INDEX(TableTEVORP[FPS],MATCH(TableOverallMaster[[#This Row],[RK]],TableTEVORP[RK],0)),"")</f>
        <v>95.676800335250789</v>
      </c>
      <c r="AM266" s="254">
        <f>IFERROR(INDEX(TableTEVORP[VORP],MATCH(TableOverallMaster[[#This Row],[RK]],TableTEVORP[RK],0)),"")</f>
        <v>-6.613406049867053E-2</v>
      </c>
      <c r="AN266" s="250"/>
      <c r="AO266" s="250">
        <v>265</v>
      </c>
      <c r="AP266" s="255" t="str">
        <f>IFERROR(INDEX(TableOverallMaster[OVERALL PLAYER],MATCH(TableOverallRank[[#This Row],[RK]],TableOverallMaster[OVR RK],0)),"")</f>
        <v>Kyren Williams</v>
      </c>
      <c r="AQ266" s="256" t="str">
        <f>IFERROR(INDEX(TableOverallMaster[POS RK],MATCH(TableOverallRank[[#This Row],[OVERALL PLAYER]],TableOverallMaster[OVERALL PLAYER],0)),"")</f>
        <v>RB78</v>
      </c>
      <c r="AR266" s="257">
        <f>IFERROR(INDEX(TableOverallMaster[BYE],MATCH(TableOverallRank[[#This Row],[OVERALL PLAYER]],TableOverallMaster[OVERALL PLAYER],0)),"")</f>
        <v>7</v>
      </c>
      <c r="AS266" s="258">
        <f>IFERROR(INDEX(TableOverallMaster[Custom],MATCH(TableOverallRank[[#This Row],[OVERALL PLAYER]],TableOverallMaster[OVERALL PLAYER],0)),"")</f>
        <v>28.393753218575068</v>
      </c>
      <c r="AT266" s="259">
        <f>IFERROR(INDEX(TableOverallMaster[VORP],MATCH(TableOverallRank[[#This Row],[OVERALL PLAYER]],TableOverallMaster[OVERALL PLAYER],0)),"")</f>
        <v>-0.71975931930690862</v>
      </c>
      <c r="AU266" s="250"/>
      <c r="AV266" s="246">
        <v>265</v>
      </c>
      <c r="AW266" s="260" t="str">
        <f>IFERROR(INDEX(TableWRTECalcPts[PLAYER],MATCH(TableWRTERank[[#This Row],[RK]],TableWRTECalcPts[RK],0)),"")</f>
        <v>Dax Milne</v>
      </c>
      <c r="AX266" s="260" t="str">
        <f>IFERROR(INDEX(TableWRTECalcPts[POS RK],MATCH(TableWRTERank[[#This Row],[WR and TE COMBINED]],TableWRTECalcPts[PLAYER],0)),"")</f>
        <v>WR182</v>
      </c>
      <c r="AY266" s="260">
        <f>IFERROR(INDEX(TableWRTECalcPts[BYE],MATCH(TableWRTERank[[#This Row],[RK]],TableWRTECalcPts[RK],0)),"")</f>
        <v>14</v>
      </c>
      <c r="AZ266" s="261">
        <f>IFERROR(INDEX(TableWRTECalcPts[Custom],MATCH(TableWRTERank[[#This Row],[RK]],TableWRTECalcPts[RK],0)),"")</f>
        <v>6.5362698121605209</v>
      </c>
      <c r="BA266" s="249">
        <f>IFERROR((TableWRTERank[[#This Row],[FPS]]-INDEX(TableWRTERank[FPS],MATCH(WRTEVORPCalc,TableWRTERank[RK],0)))/INDEX(TableWRTERank[FPS],MATCH(WRTEVORPCalc,TableWRTERank[RK],0)),"")</f>
        <v>-0.94495780029806176</v>
      </c>
      <c r="BC266" s="124" t="s">
        <v>10</v>
      </c>
      <c r="BD266" s="124">
        <v>65</v>
      </c>
      <c r="BE266" s="262">
        <f>RANK(TableWRTEMaster[[#This Row],[VORP]],TableWRTEMaster[VORP])+COUNTIF($BJ$2:BJ266,BJ266)-1</f>
        <v>211</v>
      </c>
      <c r="BF266" s="263" t="str">
        <f>IFERROR(INDEX(TableTEVORP[TIGHT END],MATCH(TableWRTEMaster[[#This Row],[RK]],TableTEVORP[RK],0)),"")</f>
        <v>Tre' McKitty</v>
      </c>
      <c r="BG266" s="263" t="str">
        <f>_xlfn.CONCAT(TableWRTEMaster[[#This Row],[POS]],TableWRTEMaster[[#This Row],[RK]])</f>
        <v>TE65</v>
      </c>
      <c r="BH266" s="263">
        <f>IFERROR(INDEX(TableTEVORP[BYE],MATCH(TableWRTEMaster[[#This Row],[RK]],TableTEVORP[RK],0)),"")</f>
        <v>8</v>
      </c>
      <c r="BI266" s="264">
        <f>IFERROR(INDEX(TableTEVORP[FPS],MATCH(TableWRTEMaster[[#This Row],[RK]],TableTEVORP[RK],0)),"")</f>
        <v>13.755391915959006</v>
      </c>
      <c r="BJ266" s="254">
        <f>IFERROR(INDEX(TableTEVORP[VORP],MATCH(TableWRTEMaster[[#This Row],[RK]],TableTEVORP[RK],0)),"")</f>
        <v>-0.86573869579882645</v>
      </c>
    </row>
    <row r="267" spans="28:62" x14ac:dyDescent="0.3">
      <c r="AB267" s="246"/>
      <c r="AC267" s="250"/>
      <c r="AD267" s="250"/>
      <c r="AE267" s="250"/>
      <c r="AF267" s="250" t="s">
        <v>10</v>
      </c>
      <c r="AG267" s="250">
        <v>16</v>
      </c>
      <c r="AH267" s="251">
        <f>RANK(TableOverallMaster[[#This Row],[VORP]],TableOverallMaster[VORP])+COUNTIF($AM$2:AM267,AM267)-1</f>
        <v>152</v>
      </c>
      <c r="AI267" s="252" t="str">
        <f>IFERROR(INDEX(TableTEVORP[TIGHT END],MATCH(TableOverallMaster[[#This Row],[RK]],TableTEVORP[RK],0)),"")</f>
        <v>Cole Kmet</v>
      </c>
      <c r="AJ267" s="252" t="str">
        <f t="shared" si="4"/>
        <v>TE16</v>
      </c>
      <c r="AK267" s="252">
        <f>IFERROR(INDEX(TableTEVORP[BYE],MATCH(TableOverallMaster[[#This Row],[RK]],TableTEVORP[RK],0)),"")</f>
        <v>14</v>
      </c>
      <c r="AL267" s="253">
        <f>IFERROR(INDEX(TableTEVORP[FPS],MATCH(TableOverallMaster[[#This Row],[RK]],TableTEVORP[RK],0)),"")</f>
        <v>92.695204078308137</v>
      </c>
      <c r="AM267" s="254">
        <f>IFERROR(INDEX(TableTEVORP[VORP],MATCH(TableOverallMaster[[#This Row],[RK]],TableTEVORP[RK],0)),"")</f>
        <v>-9.5236321234259944E-2</v>
      </c>
      <c r="AN267" s="250"/>
      <c r="AO267" s="250">
        <v>266</v>
      </c>
      <c r="AP267" s="255" t="str">
        <f>IFERROR(INDEX(TableOverallMaster[OVERALL PLAYER],MATCH(TableOverallRank[[#This Row],[RK]],TableOverallMaster[OVR RK],0)),"")</f>
        <v>Pharaoh Brown</v>
      </c>
      <c r="AQ267" s="256" t="str">
        <f>IFERROR(INDEX(TableOverallMaster[POS RK],MATCH(TableOverallRank[[#This Row],[OVERALL PLAYER]],TableOverallMaster[OVERALL PLAYER],0)),"")</f>
        <v>TE43</v>
      </c>
      <c r="AR267" s="257">
        <f>IFERROR(INDEX(TableOverallMaster[BYE],MATCH(TableOverallRank[[#This Row],[OVERALL PLAYER]],TableOverallMaster[OVERALL PLAYER],0)),"")</f>
        <v>6</v>
      </c>
      <c r="AS267" s="258">
        <f>IFERROR(INDEX(TableOverallMaster[Custom],MATCH(TableOverallRank[[#This Row],[OVERALL PLAYER]],TableOverallMaster[OVERALL PLAYER],0)),"")</f>
        <v>28.593766911205876</v>
      </c>
      <c r="AT267" s="259">
        <f>IFERROR(INDEX(TableOverallMaster[VORP],MATCH(TableOverallRank[[#This Row],[OVERALL PLAYER]],TableOverallMaster[OVERALL PLAYER],0)),"")</f>
        <v>-0.72090679342485242</v>
      </c>
      <c r="AU267" s="250"/>
      <c r="AV267" s="246">
        <v>266</v>
      </c>
      <c r="AW267" s="260" t="str">
        <f>IFERROR(INDEX(TableWRTECalcPts[PLAYER],MATCH(TableWRTERank[[#This Row],[RK]],TableWRTECalcPts[RK],0)),"")</f>
        <v>Charlie Woerner</v>
      </c>
      <c r="AX267" s="260" t="str">
        <f>IFERROR(INDEX(TableWRTECalcPts[POS RK],MATCH(TableWRTERank[[#This Row],[WR and TE COMBINED]],TableWRTECalcPts[PLAYER],0)),"")</f>
        <v>TE84</v>
      </c>
      <c r="AY267" s="260">
        <f>IFERROR(INDEX(TableWRTECalcPts[BYE],MATCH(TableWRTERank[[#This Row],[RK]],TableWRTECalcPts[RK],0)),"")</f>
        <v>9</v>
      </c>
      <c r="AZ267" s="261">
        <f>IFERROR(INDEX(TableWRTECalcPts[Custom],MATCH(TableWRTERank[[#This Row],[RK]],TableWRTECalcPts[RK],0)),"")</f>
        <v>6.2327979156029176</v>
      </c>
      <c r="BA267" s="249">
        <f>IFERROR((TableWRTERank[[#This Row],[FPS]]-INDEX(TableWRTERank[FPS],MATCH(WRTEVORPCalc,TableWRTERank[RK],0)))/INDEX(TableWRTERank[FPS],MATCH(WRTEVORPCalc,TableWRTERank[RK],0)),"")</f>
        <v>-0.94751334974970358</v>
      </c>
      <c r="BC267" s="124" t="s">
        <v>10</v>
      </c>
      <c r="BD267" s="124">
        <v>66</v>
      </c>
      <c r="BE267" s="262">
        <f>RANK(TableWRTEMaster[[#This Row],[VORP]],TableWRTEMaster[VORP])+COUNTIF($BJ$2:BJ267,BJ267)-1</f>
        <v>214</v>
      </c>
      <c r="BF267" s="263" t="str">
        <f>IFERROR(INDEX(TableTEVORP[TIGHT END],MATCH(TableWRTEMaster[[#This Row],[RK]],TableTEVORP[RK],0)),"")</f>
        <v>Jacob Harris</v>
      </c>
      <c r="BG267" s="263" t="str">
        <f>_xlfn.CONCAT(TableWRTEMaster[[#This Row],[POS]],TableWRTEMaster[[#This Row],[RK]])</f>
        <v>TE66</v>
      </c>
      <c r="BH267" s="263">
        <f>IFERROR(INDEX(TableTEVORP[BYE],MATCH(TableWRTEMaster[[#This Row],[RK]],TableTEVORP[RK],0)),"")</f>
        <v>7</v>
      </c>
      <c r="BI267" s="264">
        <f>IFERROR(INDEX(TableTEVORP[FPS],MATCH(TableWRTEMaster[[#This Row],[RK]],TableTEVORP[RK],0)),"")</f>
        <v>13.679370776556084</v>
      </c>
      <c r="BJ267" s="254">
        <f>IFERROR(INDEX(TableTEVORP[VORP],MATCH(TableWRTEMaster[[#This Row],[RK]],TableTEVORP[RK],0)),"")</f>
        <v>-0.86648071008569338</v>
      </c>
    </row>
    <row r="268" spans="28:62" x14ac:dyDescent="0.3">
      <c r="AB268" s="246"/>
      <c r="AC268" s="250"/>
      <c r="AD268" s="250"/>
      <c r="AE268" s="250"/>
      <c r="AF268" s="250" t="s">
        <v>10</v>
      </c>
      <c r="AG268" s="250">
        <v>17</v>
      </c>
      <c r="AH268" s="251">
        <f>RANK(TableOverallMaster[[#This Row],[VORP]],TableOverallMaster[VORP])+COUNTIF($AM$2:AM268,AM268)-1</f>
        <v>162</v>
      </c>
      <c r="AI268" s="252" t="str">
        <f>IFERROR(INDEX(TableTEVORP[TIGHT END],MATCH(TableOverallMaster[[#This Row],[RK]],TableTEVORP[RK],0)),"")</f>
        <v>Brevin Jordan</v>
      </c>
      <c r="AJ268" s="252" t="str">
        <f t="shared" si="4"/>
        <v>TE17</v>
      </c>
      <c r="AK268" s="252">
        <f>IFERROR(INDEX(TableTEVORP[BYE],MATCH(TableOverallMaster[[#This Row],[RK]],TableTEVORP[RK],0)),"")</f>
        <v>6</v>
      </c>
      <c r="AL268" s="253">
        <f>IFERROR(INDEX(TableTEVORP[FPS],MATCH(TableOverallMaster[[#This Row],[RK]],TableTEVORP[RK],0)),"")</f>
        <v>87.480985240276397</v>
      </c>
      <c r="AM268" s="254">
        <f>IFERROR(INDEX(TableTEVORP[VORP],MATCH(TableOverallMaster[[#This Row],[RK]],TableTEVORP[RK],0)),"")</f>
        <v>-0.14613038705671394</v>
      </c>
      <c r="AN268" s="250"/>
      <c r="AO268" s="250">
        <v>267</v>
      </c>
      <c r="AP268" s="255" t="str">
        <f>IFERROR(INDEX(TableOverallMaster[OVERALL PLAYER],MATCH(TableOverallRank[[#This Row],[RK]],TableOverallMaster[OVR RK],0)),"")</f>
        <v>John Bates</v>
      </c>
      <c r="AQ268" s="256" t="str">
        <f>IFERROR(INDEX(TableOverallMaster[POS RK],MATCH(TableOverallRank[[#This Row],[OVERALL PLAYER]],TableOverallMaster[OVERALL PLAYER],0)),"")</f>
        <v>TE44</v>
      </c>
      <c r="AR268" s="257">
        <f>IFERROR(INDEX(TableOverallMaster[BYE],MATCH(TableOverallRank[[#This Row],[OVERALL PLAYER]],TableOverallMaster[OVERALL PLAYER],0)),"")</f>
        <v>14</v>
      </c>
      <c r="AS268" s="258">
        <f>IFERROR(INDEX(TableOverallMaster[Custom],MATCH(TableOverallRank[[#This Row],[OVERALL PLAYER]],TableOverallMaster[OVERALL PLAYER],0)),"")</f>
        <v>28.379723029633141</v>
      </c>
      <c r="AT268" s="259">
        <f>IFERROR(INDEX(TableOverallMaster[VORP],MATCH(TableOverallRank[[#This Row],[OVERALL PLAYER]],TableOverallMaster[OVERALL PLAYER],0)),"")</f>
        <v>-0.72299599676211934</v>
      </c>
      <c r="AU268" s="250"/>
      <c r="AV268" s="246">
        <v>267</v>
      </c>
      <c r="AW268" s="260" t="str">
        <f>IFERROR(INDEX(TableWRTECalcPts[PLAYER],MATCH(TableWRTERank[[#This Row],[RK]],TableWRTECalcPts[RK],0)),"")</f>
        <v>Ko Kieft</v>
      </c>
      <c r="AX268" s="260" t="str">
        <f>IFERROR(INDEX(TableWRTECalcPts[POS RK],MATCH(TableWRTERank[[#This Row],[WR and TE COMBINED]],TableWRTECalcPts[PLAYER],0)),"")</f>
        <v>TE85</v>
      </c>
      <c r="AY268" s="260">
        <f>IFERROR(INDEX(TableWRTECalcPts[BYE],MATCH(TableWRTERank[[#This Row],[RK]],TableWRTECalcPts[RK],0)),"")</f>
        <v>11</v>
      </c>
      <c r="AZ268" s="261">
        <f>IFERROR(INDEX(TableWRTECalcPts[Custom],MATCH(TableWRTERank[[#This Row],[RK]],TableWRTECalcPts[RK],0)),"")</f>
        <v>6.0774354386616594</v>
      </c>
      <c r="BA268" s="249">
        <f>IFERROR((TableWRTERank[[#This Row],[FPS]]-INDEX(TableWRTERank[FPS],MATCH(WRTEVORPCalc,TableWRTERank[RK],0)))/INDEX(TableWRTERank[FPS],MATCH(WRTEVORPCalc,TableWRTERank[RK],0)),"")</f>
        <v>-0.94882166362409082</v>
      </c>
      <c r="BC268" s="124" t="s">
        <v>10</v>
      </c>
      <c r="BD268" s="124">
        <v>67</v>
      </c>
      <c r="BE268" s="262">
        <f>RANK(TableWRTEMaster[[#This Row],[VORP]],TableWRTEMaster[VORP])+COUNTIF($BJ$2:BJ268,BJ268)-1</f>
        <v>220</v>
      </c>
      <c r="BF268" s="263" t="str">
        <f>IFERROR(INDEX(TableTEVORP[TIGHT END],MATCH(TableWRTEMaster[[#This Row],[RK]],TableTEVORP[RK],0)),"")</f>
        <v>Tyree Jackson</v>
      </c>
      <c r="BG268" s="263" t="str">
        <f>_xlfn.CONCAT(TableWRTEMaster[[#This Row],[POS]],TableWRTEMaster[[#This Row],[RK]])</f>
        <v>TE67</v>
      </c>
      <c r="BH268" s="263">
        <f>IFERROR(INDEX(TableTEVORP[BYE],MATCH(TableWRTEMaster[[#This Row],[RK]],TableTEVORP[RK],0)),"")</f>
        <v>7</v>
      </c>
      <c r="BI268" s="264">
        <f>IFERROR(INDEX(TableTEVORP[FPS],MATCH(TableWRTEMaster[[#This Row],[RK]],TableTEVORP[RK],0)),"")</f>
        <v>12.58346719098485</v>
      </c>
      <c r="BJ268" s="254">
        <f>IFERROR(INDEX(TableTEVORP[VORP],MATCH(TableWRTEMaster[[#This Row],[RK]],TableTEVORP[RK],0)),"")</f>
        <v>-0.87717742055214165</v>
      </c>
    </row>
    <row r="269" spans="28:62" x14ac:dyDescent="0.3">
      <c r="AB269" s="246"/>
      <c r="AC269" s="250"/>
      <c r="AD269" s="250"/>
      <c r="AE269" s="250"/>
      <c r="AF269" s="250" t="s">
        <v>10</v>
      </c>
      <c r="AG269" s="250">
        <v>18</v>
      </c>
      <c r="AH269" s="251">
        <f>RANK(TableOverallMaster[[#This Row],[VORP]],TableOverallMaster[VORP])+COUNTIF($AM$2:AM269,AM269)-1</f>
        <v>164</v>
      </c>
      <c r="AI269" s="252" t="str">
        <f>IFERROR(INDEX(TableTEVORP[TIGHT END],MATCH(TableOverallMaster[[#This Row],[RK]],TableTEVORP[RK],0)),"")</f>
        <v>Gerald Everett</v>
      </c>
      <c r="AJ269" s="252" t="str">
        <f t="shared" si="4"/>
        <v>TE18</v>
      </c>
      <c r="AK269" s="252">
        <f>IFERROR(INDEX(TableTEVORP[BYE],MATCH(TableOverallMaster[[#This Row],[RK]],TableTEVORP[RK],0)),"")</f>
        <v>8</v>
      </c>
      <c r="AL269" s="253">
        <f>IFERROR(INDEX(TableTEVORP[FPS],MATCH(TableOverallMaster[[#This Row],[RK]],TableTEVORP[RK],0)),"")</f>
        <v>86.501515712526853</v>
      </c>
      <c r="AM269" s="254">
        <f>IFERROR(INDEX(TableTEVORP[VORP],MATCH(TableOverallMaster[[#This Row],[RK]],TableTEVORP[RK],0)),"")</f>
        <v>-0.15569062765359504</v>
      </c>
      <c r="AN269" s="250"/>
      <c r="AO269" s="250">
        <v>268</v>
      </c>
      <c r="AP269" s="255" t="str">
        <f>IFERROR(INDEX(TableOverallMaster[OVERALL PLAYER],MATCH(TableOverallRank[[#This Row],[RK]],TableOverallMaster[OVR RK],0)),"")</f>
        <v>Eno Benjamin</v>
      </c>
      <c r="AQ269" s="256" t="str">
        <f>IFERROR(INDEX(TableOverallMaster[POS RK],MATCH(TableOverallRank[[#This Row],[OVERALL PLAYER]],TableOverallMaster[OVERALL PLAYER],0)),"")</f>
        <v>RB79</v>
      </c>
      <c r="AR269" s="257">
        <f>IFERROR(INDEX(TableOverallMaster[BYE],MATCH(TableOverallRank[[#This Row],[OVERALL PLAYER]],TableOverallMaster[OVERALL PLAYER],0)),"")</f>
        <v>13</v>
      </c>
      <c r="AS269" s="258">
        <f>IFERROR(INDEX(TableOverallMaster[Custom],MATCH(TableOverallRank[[#This Row],[OVERALL PLAYER]],TableOverallMaster[OVERALL PLAYER],0)),"")</f>
        <v>27.91771576544798</v>
      </c>
      <c r="AT269" s="259">
        <f>IFERROR(INDEX(TableOverallMaster[VORP],MATCH(TableOverallRank[[#This Row],[OVERALL PLAYER]],TableOverallMaster[OVERALL PLAYER],0)),"")</f>
        <v>-0.72445771401622339</v>
      </c>
      <c r="AU269" s="250"/>
      <c r="AV269" s="246">
        <v>268</v>
      </c>
      <c r="AW269" s="260" t="str">
        <f>IFERROR(INDEX(TableWRTECalcPts[PLAYER],MATCH(TableWRTERank[[#This Row],[RK]],TableWRTECalcPts[RK],0)),"")</f>
        <v>Colby Parkinson</v>
      </c>
      <c r="AX269" s="260" t="str">
        <f>IFERROR(INDEX(TableWRTECalcPts[POS RK],MATCH(TableWRTERank[[#This Row],[WR and TE COMBINED]],TableWRTECalcPts[PLAYER],0)),"")</f>
        <v>TE86</v>
      </c>
      <c r="AY269" s="260">
        <f>IFERROR(INDEX(TableWRTECalcPts[BYE],MATCH(TableWRTERank[[#This Row],[RK]],TableWRTECalcPts[RK],0)),"")</f>
        <v>11</v>
      </c>
      <c r="AZ269" s="261">
        <f>IFERROR(INDEX(TableWRTECalcPts[Custom],MATCH(TableWRTERank[[#This Row],[RK]],TableWRTECalcPts[RK],0)),"")</f>
        <v>5.7870698924154205</v>
      </c>
      <c r="BA269" s="249">
        <f>IFERROR((TableWRTERank[[#This Row],[FPS]]-INDEX(TableWRTERank[FPS],MATCH(WRTEVORPCalc,TableWRTERank[RK],0)))/INDEX(TableWRTERank[FPS],MATCH(WRTEVORPCalc,TableWRTERank[RK],0)),"")</f>
        <v>-0.95126684395512817</v>
      </c>
      <c r="BC269" s="124" t="s">
        <v>10</v>
      </c>
      <c r="BD269" s="124">
        <v>68</v>
      </c>
      <c r="BE269" s="262">
        <f>RANK(TableWRTEMaster[[#This Row],[VORP]],TableWRTEMaster[VORP])+COUNTIF($BJ$2:BJ269,BJ269)-1</f>
        <v>228</v>
      </c>
      <c r="BF269" s="263" t="str">
        <f>IFERROR(INDEX(TableTEVORP[TIGHT END],MATCH(TableWRTEMaster[[#This Row],[RK]],TableTEVORP[RK],0)),"")</f>
        <v>Chris Manhertz</v>
      </c>
      <c r="BG269" s="263" t="str">
        <f>_xlfn.CONCAT(TableWRTEMaster[[#This Row],[POS]],TableWRTEMaster[[#This Row],[RK]])</f>
        <v>TE68</v>
      </c>
      <c r="BH269" s="263">
        <f>IFERROR(INDEX(TableTEVORP[BYE],MATCH(TableWRTEMaster[[#This Row],[RK]],TableTEVORP[RK],0)),"")</f>
        <v>11</v>
      </c>
      <c r="BI269" s="264">
        <f>IFERROR(INDEX(TableTEVORP[FPS],MATCH(TableWRTEMaster[[#This Row],[RK]],TableTEVORP[RK],0)),"")</f>
        <v>11.678836361164802</v>
      </c>
      <c r="BJ269" s="254">
        <f>IFERROR(INDEX(TableTEVORP[VORP],MATCH(TableWRTEMaster[[#This Row],[RK]],TableTEVORP[RK],0)),"")</f>
        <v>-0.88600718823700964</v>
      </c>
    </row>
    <row r="270" spans="28:62" x14ac:dyDescent="0.3">
      <c r="AB270" s="246"/>
      <c r="AC270" s="250"/>
      <c r="AD270" s="250"/>
      <c r="AE270" s="250"/>
      <c r="AF270" s="250" t="s">
        <v>10</v>
      </c>
      <c r="AG270" s="250">
        <v>19</v>
      </c>
      <c r="AH270" s="251">
        <f>RANK(TableOverallMaster[[#This Row],[VORP]],TableOverallMaster[VORP])+COUNTIF($AM$2:AM270,AM270)-1</f>
        <v>166</v>
      </c>
      <c r="AI270" s="252" t="str">
        <f>IFERROR(INDEX(TableTEVORP[TIGHT END],MATCH(TableOverallMaster[[#This Row],[RK]],TableTEVORP[RK],0)),"")</f>
        <v>Mike Gesicki</v>
      </c>
      <c r="AJ270" s="252" t="str">
        <f t="shared" si="4"/>
        <v>TE19</v>
      </c>
      <c r="AK270" s="252">
        <f>IFERROR(INDEX(TableTEVORP[BYE],MATCH(TableOverallMaster[[#This Row],[RK]],TableTEVORP[RK],0)),"")</f>
        <v>11</v>
      </c>
      <c r="AL270" s="253">
        <f>IFERROR(INDEX(TableTEVORP[FPS],MATCH(TableOverallMaster[[#This Row],[RK]],TableTEVORP[RK],0)),"")</f>
        <v>85.63439943178301</v>
      </c>
      <c r="AM270" s="254">
        <f>IFERROR(INDEX(TableTEVORP[VORP],MATCH(TableOverallMaster[[#This Row],[RK]],TableTEVORP[RK],0)),"")</f>
        <v>-0.16415422966930121</v>
      </c>
      <c r="AN270" s="250"/>
      <c r="AO270" s="250">
        <v>269</v>
      </c>
      <c r="AP270" s="255" t="str">
        <f>IFERROR(INDEX(TableOverallMaster[OVERALL PLAYER],MATCH(TableOverallRank[[#This Row],[RK]],TableOverallMaster[OVR RK],0)),"")</f>
        <v>Anthony Firkser</v>
      </c>
      <c r="AQ270" s="256" t="str">
        <f>IFERROR(INDEX(TableOverallMaster[POS RK],MATCH(TableOverallRank[[#This Row],[OVERALL PLAYER]],TableOverallMaster[OVERALL PLAYER],0)),"")</f>
        <v>TE45</v>
      </c>
      <c r="AR270" s="257">
        <f>IFERROR(INDEX(TableOverallMaster[BYE],MATCH(TableOverallRank[[#This Row],[OVERALL PLAYER]],TableOverallMaster[OVERALL PLAYER],0)),"")</f>
        <v>14</v>
      </c>
      <c r="AS270" s="258">
        <f>IFERROR(INDEX(TableOverallMaster[Custom],MATCH(TableOverallRank[[#This Row],[OVERALL PLAYER]],TableOverallMaster[OVERALL PLAYER],0)),"")</f>
        <v>27.919752297861926</v>
      </c>
      <c r="AT270" s="259">
        <f>IFERROR(INDEX(TableOverallMaster[VORP],MATCH(TableOverallRank[[#This Row],[OVERALL PLAYER]],TableOverallMaster[OVERALL PLAYER],0)),"")</f>
        <v>-0.72748560132731699</v>
      </c>
      <c r="AU270" s="250"/>
      <c r="AV270" s="246">
        <v>269</v>
      </c>
      <c r="AW270" s="260" t="str">
        <f>IFERROR(INDEX(TableWRTECalcPts[PLAYER],MATCH(TableWRTERank[[#This Row],[RK]],TableWRTECalcPts[RK],0)),"")</f>
        <v>Jalen Wydermyer</v>
      </c>
      <c r="AX270" s="260" t="str">
        <f>IFERROR(INDEX(TableWRTECalcPts[POS RK],MATCH(TableWRTERank[[#This Row],[WR and TE COMBINED]],TableWRTECalcPts[PLAYER],0)),"")</f>
        <v>TE87</v>
      </c>
      <c r="AY270" s="260">
        <f>IFERROR(INDEX(TableWRTECalcPts[BYE],MATCH(TableWRTERank[[#This Row],[RK]],TableWRTECalcPts[RK],0)),"")</f>
        <v>7</v>
      </c>
      <c r="AZ270" s="261">
        <f>IFERROR(INDEX(TableWRTECalcPts[Custom],MATCH(TableWRTERank[[#This Row],[RK]],TableWRTECalcPts[RK],0)),"")</f>
        <v>5.2497172267481558</v>
      </c>
      <c r="BA270" s="249">
        <f>IFERROR((TableWRTERank[[#This Row],[FPS]]-INDEX(TableWRTERank[FPS],MATCH(WRTEVORPCalc,TableWRTERank[RK],0)))/INDEX(TableWRTERank[FPS],MATCH(WRTEVORPCalc,TableWRTERank[RK],0)),"")</f>
        <v>-0.95579191308232347</v>
      </c>
      <c r="BC270" s="124" t="s">
        <v>10</v>
      </c>
      <c r="BD270" s="124">
        <v>69</v>
      </c>
      <c r="BE270" s="262">
        <f>RANK(TableWRTEMaster[[#This Row],[VORP]],TableWRTEMaster[VORP])+COUNTIF($BJ$2:BJ270,BJ270)-1</f>
        <v>230</v>
      </c>
      <c r="BF270" s="263" t="str">
        <f>IFERROR(INDEX(TableTEVORP[TIGHT END],MATCH(TableWRTEMaster[[#This Row],[RK]],TableTEVORP[RK],0)),"")</f>
        <v>Nick Eubanks</v>
      </c>
      <c r="BG270" s="263" t="str">
        <f>_xlfn.CONCAT(TableWRTEMaster[[#This Row],[POS]],TableWRTEMaster[[#This Row],[RK]])</f>
        <v>TE69</v>
      </c>
      <c r="BH270" s="263">
        <f>IFERROR(INDEX(TableTEVORP[BYE],MATCH(TableWRTEMaster[[#This Row],[RK]],TableTEVORP[RK],0)),"")</f>
        <v>10</v>
      </c>
      <c r="BI270" s="264">
        <f>IFERROR(INDEX(TableTEVORP[FPS],MATCH(TableWRTEMaster[[#This Row],[RK]],TableTEVORP[RK],0)),"")</f>
        <v>11.358717136259679</v>
      </c>
      <c r="BJ270" s="254">
        <f>IFERROR(INDEX(TableTEVORP[VORP],MATCH(TableWRTEMaster[[#This Row],[RK]],TableTEVORP[RK],0)),"")</f>
        <v>-0.88913175385449417</v>
      </c>
    </row>
    <row r="271" spans="28:62" x14ac:dyDescent="0.3">
      <c r="AB271" s="246"/>
      <c r="AC271" s="250"/>
      <c r="AD271" s="250"/>
      <c r="AE271" s="250"/>
      <c r="AF271" s="250" t="s">
        <v>10</v>
      </c>
      <c r="AG271" s="250">
        <v>20</v>
      </c>
      <c r="AH271" s="251">
        <f>RANK(TableOverallMaster[[#This Row],[VORP]],TableOverallMaster[VORP])+COUNTIF($AM$2:AM271,AM271)-1</f>
        <v>168</v>
      </c>
      <c r="AI271" s="252" t="str">
        <f>IFERROR(INDEX(TableTEVORP[TIGHT END],MATCH(TableOverallMaster[[#This Row],[RK]],TableTEVORP[RK],0)),"")</f>
        <v>Albert Okwuegbunam</v>
      </c>
      <c r="AJ271" s="252" t="str">
        <f t="shared" si="4"/>
        <v>TE20</v>
      </c>
      <c r="AK271" s="252">
        <f>IFERROR(INDEX(TableTEVORP[BYE],MATCH(TableOverallMaster[[#This Row],[RK]],TableTEVORP[RK],0)),"")</f>
        <v>9</v>
      </c>
      <c r="AL271" s="253">
        <f>IFERROR(INDEX(TableTEVORP[FPS],MATCH(TableOverallMaster[[#This Row],[RK]],TableTEVORP[RK],0)),"")</f>
        <v>85.353394830706264</v>
      </c>
      <c r="AM271" s="254">
        <f>IFERROR(INDEX(TableTEVORP[VORP],MATCH(TableOverallMaster[[#This Row],[RK]],TableTEVORP[RK],0)),"")</f>
        <v>-0.16689701187845968</v>
      </c>
      <c r="AN271" s="250"/>
      <c r="AO271" s="250">
        <v>270</v>
      </c>
      <c r="AP271" s="255" t="str">
        <f>IFERROR(INDEX(TableOverallMaster[OVERALL PLAYER],MATCH(TableOverallRank[[#This Row],[RK]],TableOverallMaster[OVR RK],0)),"")</f>
        <v>Matt Corral</v>
      </c>
      <c r="AQ271" s="256" t="str">
        <f>IFERROR(INDEX(TableOverallMaster[POS RK],MATCH(TableOverallRank[[#This Row],[OVERALL PLAYER]],TableOverallMaster[OVERALL PLAYER],0)),"")</f>
        <v>QB36</v>
      </c>
      <c r="AR271" s="257">
        <f>IFERROR(INDEX(TableOverallMaster[BYE],MATCH(TableOverallRank[[#This Row],[OVERALL PLAYER]],TableOverallMaster[OVERALL PLAYER],0)),"")</f>
        <v>13</v>
      </c>
      <c r="AS271" s="258">
        <f>IFERROR(INDEX(TableOverallMaster[Custom],MATCH(TableOverallRank[[#This Row],[OVERALL PLAYER]],TableOverallMaster[OVERALL PLAYER],0)),"")</f>
        <v>76.001794257808797</v>
      </c>
      <c r="AT271" s="259">
        <f>IFERROR(INDEX(TableOverallMaster[VORP],MATCH(TableOverallRank[[#This Row],[OVERALL PLAYER]],TableOverallMaster[OVERALL PLAYER],0)),"")</f>
        <v>-0.73189191398001041</v>
      </c>
      <c r="AU271" s="250"/>
      <c r="AV271" s="246">
        <v>270</v>
      </c>
      <c r="AW271" s="260" t="str">
        <f>IFERROR(INDEX(TableWRTECalcPts[PLAYER],MATCH(TableWRTERank[[#This Row],[RK]],TableWRTECalcPts[RK],0)),"")</f>
        <v>Devin Asiasi</v>
      </c>
      <c r="AX271" s="260" t="str">
        <f>IFERROR(INDEX(TableWRTECalcPts[POS RK],MATCH(TableWRTERank[[#This Row],[WR and TE COMBINED]],TableWRTECalcPts[PLAYER],0)),"")</f>
        <v>TE88</v>
      </c>
      <c r="AY271" s="260">
        <f>IFERROR(INDEX(TableWRTECalcPts[BYE],MATCH(TableWRTERank[[#This Row],[RK]],TableWRTECalcPts[RK],0)),"")</f>
        <v>10</v>
      </c>
      <c r="AZ271" s="261">
        <f>IFERROR(INDEX(TableWRTECalcPts[Custom],MATCH(TableWRTERank[[#This Row],[RK]],TableWRTECalcPts[RK],0)),"")</f>
        <v>5.165323273131186</v>
      </c>
      <c r="BA271" s="249">
        <f>IFERROR((TableWRTERank[[#This Row],[FPS]]-INDEX(TableWRTERank[FPS],MATCH(WRTEVORPCalc,TableWRTERank[RK],0)))/INDEX(TableWRTERank[FPS],MATCH(WRTEVORPCalc,TableWRTERank[RK],0)),"")</f>
        <v>-0.95650259807271043</v>
      </c>
      <c r="BC271" s="124" t="s">
        <v>10</v>
      </c>
      <c r="BD271" s="124">
        <v>70</v>
      </c>
      <c r="BE271" s="262">
        <f>RANK(TableWRTEMaster[[#This Row],[VORP]],TableWRTEMaster[VORP])+COUNTIF($BJ$2:BJ271,BJ271)-1</f>
        <v>232</v>
      </c>
      <c r="BF271" s="263" t="str">
        <f>IFERROR(INDEX(TableTEVORP[TIGHT END],MATCH(TableWRTEMaster[[#This Row],[RK]],TableTEVORP[RK],0)),"")</f>
        <v>Zach Gentry</v>
      </c>
      <c r="BG271" s="263" t="str">
        <f>_xlfn.CONCAT(TableWRTEMaster[[#This Row],[POS]],TableWRTEMaster[[#This Row],[RK]])</f>
        <v>TE70</v>
      </c>
      <c r="BH271" s="263">
        <f>IFERROR(INDEX(TableTEVORP[BYE],MATCH(TableWRTEMaster[[#This Row],[RK]],TableTEVORP[RK],0)),"")</f>
        <v>9</v>
      </c>
      <c r="BI271" s="264">
        <f>IFERROR(INDEX(TableTEVORP[FPS],MATCH(TableWRTEMaster[[#This Row],[RK]],TableTEVORP[RK],0)),"")</f>
        <v>10.814157745203755</v>
      </c>
      <c r="BJ271" s="254">
        <f>IFERROR(INDEX(TableTEVORP[VORP],MATCH(TableWRTEMaster[[#This Row],[RK]],TableTEVORP[RK],0)),"")</f>
        <v>-0.89444699710636688</v>
      </c>
    </row>
    <row r="272" spans="28:62" x14ac:dyDescent="0.3">
      <c r="AB272" s="246"/>
      <c r="AC272" s="250"/>
      <c r="AD272" s="250"/>
      <c r="AE272" s="250"/>
      <c r="AF272" s="250" t="s">
        <v>10</v>
      </c>
      <c r="AG272" s="250">
        <v>21</v>
      </c>
      <c r="AH272" s="251">
        <f>RANK(TableOverallMaster[[#This Row],[VORP]],TableOverallMaster[VORP])+COUNTIF($AM$2:AM272,AM272)-1</f>
        <v>170</v>
      </c>
      <c r="AI272" s="252" t="str">
        <f>IFERROR(INDEX(TableTEVORP[TIGHT END],MATCH(TableOverallMaster[[#This Row],[RK]],TableTEVORP[RK],0)),"")</f>
        <v>Noah Fant</v>
      </c>
      <c r="AJ272" s="252" t="str">
        <f t="shared" si="4"/>
        <v>TE21</v>
      </c>
      <c r="AK272" s="252">
        <f>IFERROR(INDEX(TableTEVORP[BYE],MATCH(TableOverallMaster[[#This Row],[RK]],TableTEVORP[RK],0)),"")</f>
        <v>11</v>
      </c>
      <c r="AL272" s="253">
        <f>IFERROR(INDEX(TableTEVORP[FPS],MATCH(TableOverallMaster[[#This Row],[RK]],TableTEVORP[RK],0)),"")</f>
        <v>84.555063158015798</v>
      </c>
      <c r="AM272" s="254">
        <f>IFERROR(INDEX(TableTEVORP[VORP],MATCH(TableOverallMaster[[#This Row],[RK]],TableTEVORP[RK],0)),"")</f>
        <v>-0.17468923271923195</v>
      </c>
      <c r="AN272" s="250"/>
      <c r="AO272" s="250">
        <v>271</v>
      </c>
      <c r="AP272" s="255" t="str">
        <f>IFERROR(INDEX(TableOverallMaster[OVERALL PLAYER],MATCH(TableOverallRank[[#This Row],[RK]],TableOverallMaster[OVR RK],0)),"")</f>
        <v>Kylen Granson</v>
      </c>
      <c r="AQ272" s="256" t="str">
        <f>IFERROR(INDEX(TableOverallMaster[POS RK],MATCH(TableOverallRank[[#This Row],[OVERALL PLAYER]],TableOverallMaster[OVERALL PLAYER],0)),"")</f>
        <v>TE46</v>
      </c>
      <c r="AR272" s="257">
        <f>IFERROR(INDEX(TableOverallMaster[BYE],MATCH(TableOverallRank[[#This Row],[OVERALL PLAYER]],TableOverallMaster[OVERALL PLAYER],0)),"")</f>
        <v>14</v>
      </c>
      <c r="AS272" s="258">
        <f>IFERROR(INDEX(TableOverallMaster[Custom],MATCH(TableOverallRank[[#This Row],[OVERALL PLAYER]],TableOverallMaster[OVERALL PLAYER],0)),"")</f>
        <v>27.433862445722774</v>
      </c>
      <c r="AT272" s="259">
        <f>IFERROR(INDEX(TableOverallMaster[VORP],MATCH(TableOverallRank[[#This Row],[OVERALL PLAYER]],TableOverallMaster[OVERALL PLAYER],0)),"")</f>
        <v>-0.73222819286123242</v>
      </c>
      <c r="AU272" s="250"/>
      <c r="AV272" s="246">
        <v>271</v>
      </c>
      <c r="AW272" s="260" t="str">
        <f>IFERROR(INDEX(TableWRTECalcPts[PLAYER],MATCH(TableWRTERank[[#This Row],[RK]],TableWRTECalcPts[RK],0)),"")</f>
        <v>Teagan Quitoriano</v>
      </c>
      <c r="AX272" s="260" t="str">
        <f>IFERROR(INDEX(TableWRTECalcPts[POS RK],MATCH(TableWRTERank[[#This Row],[WR and TE COMBINED]],TableWRTECalcPts[PLAYER],0)),"")</f>
        <v>TE89</v>
      </c>
      <c r="AY272" s="260">
        <f>IFERROR(INDEX(TableWRTECalcPts[BYE],MATCH(TableWRTERank[[#This Row],[RK]],TableWRTECalcPts[RK],0)),"")</f>
        <v>6</v>
      </c>
      <c r="AZ272" s="261">
        <f>IFERROR(INDEX(TableWRTECalcPts[Custom],MATCH(TableWRTERank[[#This Row],[RK]],TableWRTECalcPts[RK],0)),"")</f>
        <v>5.1320091913968939</v>
      </c>
      <c r="BA272" s="249">
        <f>IFERROR((TableWRTERank[[#This Row],[FPS]]-INDEX(TableWRTERank[FPS],MATCH(WRTEVORPCalc,TableWRTERank[RK],0)))/INDEX(TableWRTERank[FPS],MATCH(WRTEVORPCalc,TableWRTERank[RK],0)),"")</f>
        <v>-0.95678313733935672</v>
      </c>
      <c r="BC272" s="124" t="s">
        <v>10</v>
      </c>
      <c r="BD272" s="124">
        <v>71</v>
      </c>
      <c r="BE272" s="262">
        <f>RANK(TableWRTEMaster[[#This Row],[VORP]],TableWRTEMaster[VORP])+COUNTIF($BJ$2:BJ272,BJ272)-1</f>
        <v>236</v>
      </c>
      <c r="BF272" s="263" t="str">
        <f>IFERROR(INDEX(TableTEVORP[TIGHT END],MATCH(TableWRTEMaster[[#This Row],[RK]],TableTEVORP[RK],0)),"")</f>
        <v>Charlie Kolar</v>
      </c>
      <c r="BG272" s="263" t="str">
        <f>_xlfn.CONCAT(TableWRTEMaster[[#This Row],[POS]],TableWRTEMaster[[#This Row],[RK]])</f>
        <v>TE71</v>
      </c>
      <c r="BH272" s="263">
        <f>IFERROR(INDEX(TableTEVORP[BYE],MATCH(TableWRTEMaster[[#This Row],[RK]],TableTEVORP[RK],0)),"")</f>
        <v>10</v>
      </c>
      <c r="BI272" s="264">
        <f>IFERROR(INDEX(TableTEVORP[FPS],MATCH(TableWRTEMaster[[#This Row],[RK]],TableTEVORP[RK],0)),"")</f>
        <v>10.31898266790072</v>
      </c>
      <c r="BJ272" s="254">
        <f>IFERROR(INDEX(TableTEVORP[VORP],MATCH(TableWRTEMaster[[#This Row],[RK]],TableTEVORP[RK],0)),"")</f>
        <v>-0.8992802182964873</v>
      </c>
    </row>
    <row r="273" spans="28:62" x14ac:dyDescent="0.3">
      <c r="AB273" s="246"/>
      <c r="AC273" s="250"/>
      <c r="AD273" s="250"/>
      <c r="AE273" s="250"/>
      <c r="AF273" s="250" t="s">
        <v>10</v>
      </c>
      <c r="AG273" s="250">
        <v>22</v>
      </c>
      <c r="AH273" s="251">
        <f>RANK(TableOverallMaster[[#This Row],[VORP]],TableOverallMaster[VORP])+COUNTIF($AM$2:AM273,AM273)-1</f>
        <v>172</v>
      </c>
      <c r="AI273" s="252" t="str">
        <f>IFERROR(INDEX(TableTEVORP[TIGHT END],MATCH(TableOverallMaster[[#This Row],[RK]],TableTEVORP[RK],0)),"")</f>
        <v>Logan Thomas</v>
      </c>
      <c r="AJ273" s="252" t="str">
        <f t="shared" si="4"/>
        <v>TE22</v>
      </c>
      <c r="AK273" s="252">
        <f>IFERROR(INDEX(TableTEVORP[BYE],MATCH(TableOverallMaster[[#This Row],[RK]],TableTEVORP[RK],0)),"")</f>
        <v>14</v>
      </c>
      <c r="AL273" s="253">
        <f>IFERROR(INDEX(TableTEVORP[FPS],MATCH(TableOverallMaster[[#This Row],[RK]],TableTEVORP[RK],0)),"")</f>
        <v>84.483769417527256</v>
      </c>
      <c r="AM273" s="254">
        <f>IFERROR(INDEX(TableTEVORP[VORP],MATCH(TableOverallMaster[[#This Row],[RK]],TableTEVORP[RK],0)),"")</f>
        <v>-0.17538510460989515</v>
      </c>
      <c r="AN273" s="250"/>
      <c r="AO273" s="250">
        <v>272</v>
      </c>
      <c r="AP273" s="255" t="str">
        <f>IFERROR(INDEX(TableOverallMaster[OVERALL PLAYER],MATCH(TableOverallRank[[#This Row],[RK]],TableOverallMaster[OVR RK],0)),"")</f>
        <v>D'Ernest Johnson</v>
      </c>
      <c r="AQ273" s="256" t="str">
        <f>IFERROR(INDEX(TableOverallMaster[POS RK],MATCH(TableOverallRank[[#This Row],[OVERALL PLAYER]],TableOverallMaster[OVERALL PLAYER],0)),"")</f>
        <v>RB80</v>
      </c>
      <c r="AR273" s="257">
        <f>IFERROR(INDEX(TableOverallMaster[BYE],MATCH(TableOverallRank[[#This Row],[OVERALL PLAYER]],TableOverallMaster[OVERALL PLAYER],0)),"")</f>
        <v>9</v>
      </c>
      <c r="AS273" s="258">
        <f>IFERROR(INDEX(TableOverallMaster[Custom],MATCH(TableOverallRank[[#This Row],[OVERALL PLAYER]],TableOverallMaster[OVERALL PLAYER],0)),"")</f>
        <v>25.953807734595877</v>
      </c>
      <c r="AT273" s="259">
        <f>IFERROR(INDEX(TableOverallMaster[VORP],MATCH(TableOverallRank[[#This Row],[OVERALL PLAYER]],TableOverallMaster[OVERALL PLAYER],0)),"")</f>
        <v>-0.74384109454883196</v>
      </c>
      <c r="AU273" s="250"/>
      <c r="AV273" s="246">
        <v>272</v>
      </c>
      <c r="AW273" s="260" t="str">
        <f>IFERROR(INDEX(TableWRTECalcPts[PLAYER],MATCH(TableWRTERank[[#This Row],[RK]],TableWRTECalcPts[RK],0)),"")</f>
        <v>Cole Turner</v>
      </c>
      <c r="AX273" s="260" t="str">
        <f>IFERROR(INDEX(TableWRTECalcPts[POS RK],MATCH(TableWRTERank[[#This Row],[WR and TE COMBINED]],TableWRTECalcPts[PLAYER],0)),"")</f>
        <v>TE90</v>
      </c>
      <c r="AY273" s="260">
        <f>IFERROR(INDEX(TableWRTECalcPts[BYE],MATCH(TableWRTERank[[#This Row],[RK]],TableWRTECalcPts[RK],0)),"")</f>
        <v>14</v>
      </c>
      <c r="AZ273" s="261">
        <f>IFERROR(INDEX(TableWRTECalcPts[Custom],MATCH(TableWRTERank[[#This Row],[RK]],TableWRTECalcPts[RK],0)),"")</f>
        <v>4.9365385445064334</v>
      </c>
      <c r="BA273" s="249">
        <f>IFERROR((TableWRTERank[[#This Row],[FPS]]-INDEX(TableWRTERank[FPS],MATCH(WRTEVORPCalc,TableWRTERank[RK],0)))/INDEX(TableWRTERank[FPS],MATCH(WRTEVORPCalc,TableWRTERank[RK],0)),"")</f>
        <v>-0.9584292037795753</v>
      </c>
      <c r="BC273" s="124" t="s">
        <v>10</v>
      </c>
      <c r="BD273" s="124">
        <v>72</v>
      </c>
      <c r="BE273" s="262">
        <f>RANK(TableWRTEMaster[[#This Row],[VORP]],TableWRTEMaster[VORP])+COUNTIF($BJ$2:BJ273,BJ273)-1</f>
        <v>237</v>
      </c>
      <c r="BF273" s="263" t="str">
        <f>IFERROR(INDEX(TableTEVORP[TIGHT END],MATCH(TableWRTEMaster[[#This Row],[RK]],TableTEVORP[RK],0)),"")</f>
        <v>Blake Bell</v>
      </c>
      <c r="BG273" s="263" t="str">
        <f>_xlfn.CONCAT(TableWRTEMaster[[#This Row],[POS]],TableWRTEMaster[[#This Row],[RK]])</f>
        <v>TE72</v>
      </c>
      <c r="BH273" s="263">
        <f>IFERROR(INDEX(TableTEVORP[BYE],MATCH(TableWRTEMaster[[#This Row],[RK]],TableTEVORP[RK],0)),"")</f>
        <v>8</v>
      </c>
      <c r="BI273" s="264">
        <f>IFERROR(INDEX(TableTEVORP[FPS],MATCH(TableWRTEMaster[[#This Row],[RK]],TableTEVORP[RK],0)),"")</f>
        <v>10.307958659393259</v>
      </c>
      <c r="BJ273" s="254">
        <f>IFERROR(INDEX(TableTEVORP[VORP],MATCH(TableWRTEMaster[[#This Row],[RK]],TableTEVORP[RK],0)),"")</f>
        <v>-0.89938781957522784</v>
      </c>
    </row>
    <row r="274" spans="28:62" x14ac:dyDescent="0.3">
      <c r="AB274" s="246"/>
      <c r="AC274" s="250"/>
      <c r="AD274" s="250"/>
      <c r="AE274" s="250"/>
      <c r="AF274" s="250" t="s">
        <v>10</v>
      </c>
      <c r="AG274" s="250">
        <v>23</v>
      </c>
      <c r="AH274" s="251">
        <f>RANK(TableOverallMaster[[#This Row],[VORP]],TableOverallMaster[VORP])+COUNTIF($AM$2:AM274,AM274)-1</f>
        <v>177</v>
      </c>
      <c r="AI274" s="252" t="str">
        <f>IFERROR(INDEX(TableTEVORP[TIGHT END],MATCH(TableOverallMaster[[#This Row],[RK]],TableTEVORP[RK],0)),"")</f>
        <v>Robert Tonyan</v>
      </c>
      <c r="AJ274" s="252" t="str">
        <f t="shared" si="4"/>
        <v>TE23</v>
      </c>
      <c r="AK274" s="252">
        <f>IFERROR(INDEX(TableTEVORP[BYE],MATCH(TableOverallMaster[[#This Row],[RK]],TableTEVORP[RK],0)),"")</f>
        <v>14</v>
      </c>
      <c r="AL274" s="253">
        <f>IFERROR(INDEX(TableTEVORP[FPS],MATCH(TableOverallMaster[[#This Row],[RK]],TableTEVORP[RK],0)),"")</f>
        <v>81.128898794421957</v>
      </c>
      <c r="AM274" s="254">
        <f>IFERROR(INDEX(TableTEVORP[VORP],MATCH(TableOverallMaster[[#This Row],[RK]],TableTEVORP[RK],0)),"")</f>
        <v>-0.2081307586804079</v>
      </c>
      <c r="AN274" s="250"/>
      <c r="AO274" s="250">
        <v>273</v>
      </c>
      <c r="AP274" s="255" t="str">
        <f>IFERROR(INDEX(TableOverallMaster[OVERALL PLAYER],MATCH(TableOverallRank[[#This Row],[RK]],TableOverallMaster[OVR RK],0)),"")</f>
        <v>Phillip Lindsay</v>
      </c>
      <c r="AQ274" s="256" t="str">
        <f>IFERROR(INDEX(TableOverallMaster[POS RK],MATCH(TableOverallRank[[#This Row],[OVERALL PLAYER]],TableOverallMaster[OVERALL PLAYER],0)),"")</f>
        <v>RB81</v>
      </c>
      <c r="AR274" s="257">
        <f>IFERROR(INDEX(TableOverallMaster[BYE],MATCH(TableOverallRank[[#This Row],[OVERALL PLAYER]],TableOverallMaster[OVERALL PLAYER],0)),"")</f>
        <v>14</v>
      </c>
      <c r="AS274" s="258">
        <f>IFERROR(INDEX(TableOverallMaster[Custom],MATCH(TableOverallRank[[#This Row],[OVERALL PLAYER]],TableOverallMaster[OVERALL PLAYER],0)),"")</f>
        <v>25.892326524405973</v>
      </c>
      <c r="AT274" s="259">
        <f>IFERROR(INDEX(TableOverallMaster[VORP],MATCH(TableOverallRank[[#This Row],[OVERALL PLAYER]],TableOverallMaster[OVERALL PLAYER],0)),"")</f>
        <v>-0.74444790183002585</v>
      </c>
      <c r="AU274" s="250"/>
      <c r="AV274" s="246">
        <v>273</v>
      </c>
      <c r="AW274" s="260" t="str">
        <f>IFERROR(INDEX(TableWRTECalcPts[PLAYER],MATCH(TableWRTERank[[#This Row],[RK]],TableWRTECalcPts[RK],0)),"")</f>
        <v>Eric Tomlinson</v>
      </c>
      <c r="AX274" s="260" t="str">
        <f>IFERROR(INDEX(TableWRTECalcPts[POS RK],MATCH(TableWRTERank[[#This Row],[WR and TE COMBINED]],TableWRTECalcPts[PLAYER],0)),"")</f>
        <v>TE91</v>
      </c>
      <c r="AY274" s="260">
        <f>IFERROR(INDEX(TableWRTECalcPts[BYE],MATCH(TableWRTERank[[#This Row],[RK]],TableWRTECalcPts[RK],0)),"")</f>
        <v>9</v>
      </c>
      <c r="AZ274" s="261">
        <f>IFERROR(INDEX(TableWRTECalcPts[Custom],MATCH(TableWRTERank[[#This Row],[RK]],TableWRTECalcPts[RK],0)),"")</f>
        <v>4.8198354725770045</v>
      </c>
      <c r="BA274" s="249">
        <f>IFERROR((TableWRTERank[[#This Row],[FPS]]-INDEX(TableWRTERank[FPS],MATCH(WRTEVORPCalc,TableWRTERank[RK],0)))/INDEX(TableWRTERank[FPS],MATCH(WRTEVORPCalc,TableWRTERank[RK],0)),"")</f>
        <v>-0.95941196519787209</v>
      </c>
      <c r="BC274" s="124" t="s">
        <v>10</v>
      </c>
      <c r="BD274" s="124">
        <v>73</v>
      </c>
      <c r="BE274" s="262">
        <f>RANK(TableWRTEMaster[[#This Row],[VORP]],TableWRTEMaster[VORP])+COUNTIF($BJ$2:BJ274,BJ274)-1</f>
        <v>239</v>
      </c>
      <c r="BF274" s="263" t="str">
        <f>IFERROR(INDEX(TableTEVORP[TIGHT END],MATCH(TableWRTEMaster[[#This Row],[RK]],TableTEVORP[RK],0)),"")</f>
        <v>Jeremy Ruckert</v>
      </c>
      <c r="BG274" s="263" t="str">
        <f>_xlfn.CONCAT(TableWRTEMaster[[#This Row],[POS]],TableWRTEMaster[[#This Row],[RK]])</f>
        <v>TE73</v>
      </c>
      <c r="BH274" s="263">
        <f>IFERROR(INDEX(TableTEVORP[BYE],MATCH(TableWRTEMaster[[#This Row],[RK]],TableTEVORP[RK],0)),"")</f>
        <v>10</v>
      </c>
      <c r="BI274" s="264">
        <f>IFERROR(INDEX(TableTEVORP[FPS],MATCH(TableWRTEMaster[[#This Row],[RK]],TableTEVORP[RK],0)),"")</f>
        <v>9.9825376579927561</v>
      </c>
      <c r="BJ274" s="254">
        <f>IFERROR(INDEX(TableTEVORP[VORP],MATCH(TableWRTEMaster[[#This Row],[RK]],TableTEVORP[RK],0)),"")</f>
        <v>-0.90256413387651602</v>
      </c>
    </row>
    <row r="275" spans="28:62" x14ac:dyDescent="0.3">
      <c r="AB275" s="246"/>
      <c r="AC275" s="250"/>
      <c r="AD275" s="250"/>
      <c r="AE275" s="250"/>
      <c r="AF275" s="250" t="s">
        <v>10</v>
      </c>
      <c r="AG275" s="250">
        <v>24</v>
      </c>
      <c r="AH275" s="251">
        <f>RANK(TableOverallMaster[[#This Row],[VORP]],TableOverallMaster[VORP])+COUNTIF($AM$2:AM275,AM275)-1</f>
        <v>181</v>
      </c>
      <c r="AI275" s="252" t="str">
        <f>IFERROR(INDEX(TableTEVORP[TIGHT END],MATCH(TableOverallMaster[[#This Row],[RK]],TableTEVORP[RK],0)),"")</f>
        <v>Mo Alie-Cox</v>
      </c>
      <c r="AJ275" s="252" t="str">
        <f t="shared" si="4"/>
        <v>TE24</v>
      </c>
      <c r="AK275" s="252">
        <f>IFERROR(INDEX(TableTEVORP[BYE],MATCH(TableOverallMaster[[#This Row],[RK]],TableTEVORP[RK],0)),"")</f>
        <v>14</v>
      </c>
      <c r="AL275" s="253">
        <f>IFERROR(INDEX(TableTEVORP[FPS],MATCH(TableOverallMaster[[#This Row],[RK]],TableTEVORP[RK],0)),"")</f>
        <v>80.481520247403466</v>
      </c>
      <c r="AM275" s="254">
        <f>IFERROR(INDEX(TableTEVORP[VORP],MATCH(TableOverallMaster[[#This Row],[RK]],TableTEVORP[RK],0)),"")</f>
        <v>-0.21444958176924489</v>
      </c>
      <c r="AN275" s="250"/>
      <c r="AO275" s="250">
        <v>274</v>
      </c>
      <c r="AP275" s="255" t="str">
        <f>IFERROR(INDEX(TableOverallMaster[OVERALL PLAYER],MATCH(TableOverallRank[[#This Row],[RK]],TableOverallMaster[OVR RK],0)),"")</f>
        <v>Derrick Gore</v>
      </c>
      <c r="AQ275" s="256" t="str">
        <f>IFERROR(INDEX(TableOverallMaster[POS RK],MATCH(TableOverallRank[[#This Row],[OVERALL PLAYER]],TableOverallMaster[OVERALL PLAYER],0)),"")</f>
        <v>RB82</v>
      </c>
      <c r="AR275" s="257">
        <f>IFERROR(INDEX(TableOverallMaster[BYE],MATCH(TableOverallRank[[#This Row],[OVERALL PLAYER]],TableOverallMaster[OVERALL PLAYER],0)),"")</f>
        <v>8</v>
      </c>
      <c r="AS275" s="258">
        <f>IFERROR(INDEX(TableOverallMaster[Custom],MATCH(TableOverallRank[[#This Row],[OVERALL PLAYER]],TableOverallMaster[OVERALL PLAYER],0)),"")</f>
        <v>25.814833604161549</v>
      </c>
      <c r="AT275" s="259">
        <f>IFERROR(INDEX(TableOverallMaster[VORP],MATCH(TableOverallRank[[#This Row],[OVERALL PLAYER]],TableOverallMaster[OVERALL PLAYER],0)),"")</f>
        <v>-0.74521274149567407</v>
      </c>
      <c r="AU275" s="250"/>
      <c r="AV275" s="246">
        <v>274</v>
      </c>
      <c r="AW275" s="260" t="str">
        <f>IFERROR(INDEX(TableWRTECalcPts[PLAYER],MATCH(TableWRTERank[[#This Row],[RK]],TableWRTECalcPts[RK],0)),"")</f>
        <v>Montrell Washington</v>
      </c>
      <c r="AX275" s="260" t="str">
        <f>IFERROR(INDEX(TableWRTECalcPts[POS RK],MATCH(TableWRTERank[[#This Row],[WR and TE COMBINED]],TableWRTECalcPts[PLAYER],0)),"")</f>
        <v>WR183</v>
      </c>
      <c r="AY275" s="260">
        <f>IFERROR(INDEX(TableWRTECalcPts[BYE],MATCH(TableWRTERank[[#This Row],[RK]],TableWRTECalcPts[RK],0)),"")</f>
        <v>9</v>
      </c>
      <c r="AZ275" s="261">
        <f>IFERROR(INDEX(TableWRTECalcPts[Custom],MATCH(TableWRTERank[[#This Row],[RK]],TableWRTECalcPts[RK],0)),"")</f>
        <v>4.7618894716676774</v>
      </c>
      <c r="BA275" s="249">
        <f>IFERROR((TableWRTERank[[#This Row],[FPS]]-INDEX(TableWRTERank[FPS],MATCH(WRTEVORPCalc,TableWRTERank[RK],0)))/INDEX(TableWRTERank[FPS],MATCH(WRTEVORPCalc,TableWRTERank[RK],0)),"")</f>
        <v>-0.95989993087946712</v>
      </c>
      <c r="BC275" s="124" t="s">
        <v>10</v>
      </c>
      <c r="BD275" s="124">
        <v>74</v>
      </c>
      <c r="BE275" s="262">
        <f>RANK(TableWRTEMaster[[#This Row],[VORP]],TableWRTEMaster[VORP])+COUNTIF($BJ$2:BJ275,BJ275)-1</f>
        <v>240</v>
      </c>
      <c r="BF275" s="263" t="str">
        <f>IFERROR(INDEX(TableTEVORP[TIGHT END],MATCH(TableWRTEMaster[[#This Row],[RK]],TableTEVORP[RK],0)),"")</f>
        <v>Sean McKeon</v>
      </c>
      <c r="BG275" s="263" t="str">
        <f>_xlfn.CONCAT(TableWRTEMaster[[#This Row],[POS]],TableWRTEMaster[[#This Row],[RK]])</f>
        <v>TE74</v>
      </c>
      <c r="BH275" s="263">
        <f>IFERROR(INDEX(TableTEVORP[BYE],MATCH(TableWRTEMaster[[#This Row],[RK]],TableTEVORP[RK],0)),"")</f>
        <v>9</v>
      </c>
      <c r="BI275" s="264">
        <f>IFERROR(INDEX(TableTEVORP[FPS],MATCH(TableWRTEMaster[[#This Row],[RK]],TableTEVORP[RK],0)),"")</f>
        <v>9.6478881416634454</v>
      </c>
      <c r="BJ275" s="254">
        <f>IFERROR(INDEX(TableTEVORP[VORP],MATCH(TableWRTEMaster[[#This Row],[RK]],TableTEVORP[RK],0)),"")</f>
        <v>-0.9058305243063326</v>
      </c>
    </row>
    <row r="276" spans="28:62" x14ac:dyDescent="0.3">
      <c r="AB276" s="246"/>
      <c r="AC276" s="250"/>
      <c r="AD276" s="250"/>
      <c r="AE276" s="250"/>
      <c r="AF276" s="250" t="s">
        <v>10</v>
      </c>
      <c r="AG276" s="250">
        <v>25</v>
      </c>
      <c r="AH276" s="251">
        <f>RANK(TableOverallMaster[[#This Row],[VORP]],TableOverallMaster[VORP])+COUNTIF($AM$2:AM276,AM276)-1</f>
        <v>182</v>
      </c>
      <c r="AI276" s="252" t="str">
        <f>IFERROR(INDEX(TableTEVORP[TIGHT END],MATCH(TableOverallMaster[[#This Row],[RK]],TableTEVORP[RK],0)),"")</f>
        <v>Hayden Hurst</v>
      </c>
      <c r="AJ276" s="252" t="str">
        <f t="shared" si="4"/>
        <v>TE25</v>
      </c>
      <c r="AK276" s="252">
        <f>IFERROR(INDEX(TableTEVORP[BYE],MATCH(TableOverallMaster[[#This Row],[RK]],TableTEVORP[RK],0)),"")</f>
        <v>10</v>
      </c>
      <c r="AL276" s="253">
        <f>IFERROR(INDEX(TableTEVORP[FPS],MATCH(TableOverallMaster[[#This Row],[RK]],TableTEVORP[RK],0)),"")</f>
        <v>79.091408704172068</v>
      </c>
      <c r="AM276" s="254">
        <f>IFERROR(INDEX(TableTEVORP[VORP],MATCH(TableOverallMaster[[#This Row],[RK]],TableTEVORP[RK],0)),"")</f>
        <v>-0.22801794753589499</v>
      </c>
      <c r="AN276" s="250"/>
      <c r="AO276" s="250">
        <v>275</v>
      </c>
      <c r="AP276" s="255" t="str">
        <f>IFERROR(INDEX(TableOverallMaster[OVERALL PLAYER],MATCH(TableOverallRank[[#This Row],[RK]],TableOverallMaster[OVR RK],0)),"")</f>
        <v>Ian Thomas</v>
      </c>
      <c r="AQ276" s="256" t="str">
        <f>IFERROR(INDEX(TableOverallMaster[POS RK],MATCH(TableOverallRank[[#This Row],[OVERALL PLAYER]],TableOverallMaster[OVERALL PLAYER],0)),"")</f>
        <v>TE47</v>
      </c>
      <c r="AR276" s="257">
        <f>IFERROR(INDEX(TableOverallMaster[BYE],MATCH(TableOverallRank[[#This Row],[OVERALL PLAYER]],TableOverallMaster[OVERALL PLAYER],0)),"")</f>
        <v>13</v>
      </c>
      <c r="AS276" s="258">
        <f>IFERROR(INDEX(TableOverallMaster[Custom],MATCH(TableOverallRank[[#This Row],[OVERALL PLAYER]],TableOverallMaster[OVERALL PLAYER],0)),"")</f>
        <v>25.113022945980973</v>
      </c>
      <c r="AT276" s="259">
        <f>IFERROR(INDEX(TableOverallMaster[VORP],MATCH(TableOverallRank[[#This Row],[OVERALL PLAYER]],TableOverallMaster[OVERALL PLAYER],0)),"")</f>
        <v>-0.75488105073549028</v>
      </c>
      <c r="AU276" s="250"/>
      <c r="AV276" s="246">
        <v>275</v>
      </c>
      <c r="AW276" s="260" t="str">
        <f>IFERROR(INDEX(TableWRTECalcPts[PLAYER],MATCH(TableWRTERank[[#This Row],[RK]],TableWRTECalcPts[RK],0)),"")</f>
        <v>James Mitchell</v>
      </c>
      <c r="AX276" s="260" t="str">
        <f>IFERROR(INDEX(TableWRTECalcPts[POS RK],MATCH(TableWRTERank[[#This Row],[WR and TE COMBINED]],TableWRTECalcPts[PLAYER],0)),"")</f>
        <v>TE92</v>
      </c>
      <c r="AY276" s="260">
        <f>IFERROR(INDEX(TableWRTECalcPts[BYE],MATCH(TableWRTERank[[#This Row],[RK]],TableWRTECalcPts[RK],0)),"")</f>
        <v>6</v>
      </c>
      <c r="AZ276" s="261">
        <f>IFERROR(INDEX(TableWRTECalcPts[Custom],MATCH(TableWRTERank[[#This Row],[RK]],TableWRTECalcPts[RK],0)),"")</f>
        <v>4.2015634641319686</v>
      </c>
      <c r="BA276" s="249">
        <f>IFERROR((TableWRTERank[[#This Row],[FPS]]-INDEX(TableWRTERank[FPS],MATCH(WRTEVORPCalc,TableWRTERank[RK],0)))/INDEX(TableWRTERank[FPS],MATCH(WRTEVORPCalc,TableWRTERank[RK],0)),"")</f>
        <v>-0.96461845947319047</v>
      </c>
      <c r="BC276" s="124" t="s">
        <v>10</v>
      </c>
      <c r="BD276" s="124">
        <v>75</v>
      </c>
      <c r="BE276" s="262">
        <f>RANK(TableWRTEMaster[[#This Row],[VORP]],TableWRTEMaster[VORP])+COUNTIF($BJ$2:BJ276,BJ276)-1</f>
        <v>248</v>
      </c>
      <c r="BF276" s="263" t="str">
        <f>IFERROR(INDEX(TableTEVORP[TIGHT END],MATCH(TableWRTEMaster[[#This Row],[RK]],TableTEVORP[RK],0)),"")</f>
        <v>Johnny Mundt</v>
      </c>
      <c r="BG276" s="263" t="str">
        <f>_xlfn.CONCAT(TableWRTEMaster[[#This Row],[POS]],TableWRTEMaster[[#This Row],[RK]])</f>
        <v>TE75</v>
      </c>
      <c r="BH276" s="263">
        <f>IFERROR(INDEX(TableTEVORP[BYE],MATCH(TableWRTEMaster[[#This Row],[RK]],TableTEVORP[RK],0)),"")</f>
        <v>7</v>
      </c>
      <c r="BI276" s="264">
        <f>IFERROR(INDEX(TableTEVORP[FPS],MATCH(TableWRTEMaster[[#This Row],[RK]],TableTEVORP[RK],0)),"")</f>
        <v>8.2190190845786351</v>
      </c>
      <c r="BJ276" s="254">
        <f>IFERROR(INDEX(TableTEVORP[VORP],MATCH(TableWRTEMaster[[#This Row],[RK]],TableTEVORP[RK],0)),"")</f>
        <v>-0.91977718786263107</v>
      </c>
    </row>
    <row r="277" spans="28:62" x14ac:dyDescent="0.3">
      <c r="AB277" s="246"/>
      <c r="AC277" s="250"/>
      <c r="AD277" s="250"/>
      <c r="AE277" s="250"/>
      <c r="AF277" s="250" t="s">
        <v>10</v>
      </c>
      <c r="AG277" s="250">
        <v>26</v>
      </c>
      <c r="AH277" s="251">
        <f>RANK(TableOverallMaster[[#This Row],[VORP]],TableOverallMaster[VORP])+COUNTIF($AM$2:AM277,AM277)-1</f>
        <v>183</v>
      </c>
      <c r="AI277" s="252" t="str">
        <f>IFERROR(INDEX(TableTEVORP[TIGHT END],MATCH(TableOverallMaster[[#This Row],[RK]],TableTEVORP[RK],0)),"")</f>
        <v>Evan Engram</v>
      </c>
      <c r="AJ277" s="252" t="str">
        <f t="shared" si="4"/>
        <v>TE26</v>
      </c>
      <c r="AK277" s="252">
        <f>IFERROR(INDEX(TableTEVORP[BYE],MATCH(TableOverallMaster[[#This Row],[RK]],TableTEVORP[RK],0)),"")</f>
        <v>11</v>
      </c>
      <c r="AL277" s="253">
        <f>IFERROR(INDEX(TableTEVORP[FPS],MATCH(TableOverallMaster[[#This Row],[RK]],TableTEVORP[RK],0)),"")</f>
        <v>79.044237431345721</v>
      </c>
      <c r="AM277" s="254">
        <f>IFERROR(INDEX(TableTEVORP[VORP],MATCH(TableOverallMaster[[#This Row],[RK]],TableTEVORP[RK],0)),"")</f>
        <v>-0.22847836892186413</v>
      </c>
      <c r="AN277" s="250"/>
      <c r="AO277" s="250">
        <v>276</v>
      </c>
      <c r="AP277" s="255" t="str">
        <f>IFERROR(INDEX(TableOverallMaster[OVERALL PLAYER],MATCH(TableOverallRank[[#This Row],[RK]],TableOverallMaster[OVR RK],0)),"")</f>
        <v>Will Dissly</v>
      </c>
      <c r="AQ277" s="256" t="str">
        <f>IFERROR(INDEX(TableOverallMaster[POS RK],MATCH(TableOverallRank[[#This Row],[OVERALL PLAYER]],TableOverallMaster[OVERALL PLAYER],0)),"")</f>
        <v>TE48</v>
      </c>
      <c r="AR277" s="257">
        <f>IFERROR(INDEX(TableOverallMaster[BYE],MATCH(TableOverallRank[[#This Row],[OVERALL PLAYER]],TableOverallMaster[OVERALL PLAYER],0)),"")</f>
        <v>11</v>
      </c>
      <c r="AS277" s="258">
        <f>IFERROR(INDEX(TableOverallMaster[Custom],MATCH(TableOverallRank[[#This Row],[OVERALL PLAYER]],TableOverallMaster[OVERALL PLAYER],0)),"")</f>
        <v>24.755236021338916</v>
      </c>
      <c r="AT277" s="259">
        <f>IFERROR(INDEX(TableOverallMaster[VORP],MATCH(TableOverallRank[[#This Row],[OVERALL PLAYER]],TableOverallMaster[OVERALL PLAYER],0)),"")</f>
        <v>-0.75837327686921729</v>
      </c>
      <c r="AU277" s="250"/>
      <c r="AV277" s="246">
        <v>276</v>
      </c>
      <c r="AW277" s="260" t="str">
        <f>IFERROR(INDEX(TableWRTECalcPts[PLAYER],MATCH(TableWRTERank[[#This Row],[RK]],TableWRTECalcPts[RK],0)),"")</f>
        <v>Jeff Smith</v>
      </c>
      <c r="AX277" s="260" t="str">
        <f>IFERROR(INDEX(TableWRTECalcPts[POS RK],MATCH(TableWRTERank[[#This Row],[WR and TE COMBINED]],TableWRTECalcPts[PLAYER],0)),"")</f>
        <v>WR184</v>
      </c>
      <c r="AY277" s="260">
        <f>IFERROR(INDEX(TableWRTECalcPts[BYE],MATCH(TableWRTERank[[#This Row],[RK]],TableWRTECalcPts[RK],0)),"")</f>
        <v>10</v>
      </c>
      <c r="AZ277" s="261">
        <f>IFERROR(INDEX(TableWRTECalcPts[Custom],MATCH(TableWRTERank[[#This Row],[RK]],TableWRTECalcPts[RK],0)),"")</f>
        <v>3.9204597587547814</v>
      </c>
      <c r="BA277" s="249">
        <f>IFERROR((TableWRTERank[[#This Row],[FPS]]-INDEX(TableWRTERank[FPS],MATCH(WRTEVORPCalc,TableWRTERank[RK],0)))/INDEX(TableWRTERank[FPS],MATCH(WRTEVORPCalc,TableWRTERank[RK],0)),"")</f>
        <v>-0.96698564545739496</v>
      </c>
      <c r="BC277" s="124" t="s">
        <v>10</v>
      </c>
      <c r="BD277" s="124">
        <v>76</v>
      </c>
      <c r="BE277" s="262">
        <f>RANK(TableWRTEMaster[[#This Row],[VORP]],TableWRTEMaster[VORP])+COUNTIF($BJ$2:BJ277,BJ277)-1</f>
        <v>251</v>
      </c>
      <c r="BF277" s="263" t="str">
        <f>IFERROR(INDEX(TableTEVORP[TIGHT END],MATCH(TableWRTEMaster[[#This Row],[RK]],TableTEVORP[RK],0)),"")</f>
        <v>Ross Dwelley</v>
      </c>
      <c r="BG277" s="263" t="str">
        <f>_xlfn.CONCAT(TableWRTEMaster[[#This Row],[POS]],TableWRTEMaster[[#This Row],[RK]])</f>
        <v>TE76</v>
      </c>
      <c r="BH277" s="263">
        <f>IFERROR(INDEX(TableTEVORP[BYE],MATCH(TableWRTEMaster[[#This Row],[RK]],TableTEVORP[RK],0)),"")</f>
        <v>9</v>
      </c>
      <c r="BI277" s="264">
        <f>IFERROR(INDEX(TableTEVORP[FPS],MATCH(TableWRTEMaster[[#This Row],[RK]],TableTEVORP[RK],0)),"")</f>
        <v>8.0552134352965439</v>
      </c>
      <c r="BJ277" s="254">
        <f>IFERROR(INDEX(TableTEVORP[VORP],MATCH(TableWRTEMaster[[#This Row],[RK]],TableTEVORP[RK],0)),"")</f>
        <v>-0.92137603435442883</v>
      </c>
    </row>
    <row r="278" spans="28:62" x14ac:dyDescent="0.3">
      <c r="AB278" s="246"/>
      <c r="AC278" s="250"/>
      <c r="AD278" s="250"/>
      <c r="AE278" s="250"/>
      <c r="AF278" s="250" t="s">
        <v>10</v>
      </c>
      <c r="AG278" s="250">
        <v>27</v>
      </c>
      <c r="AH278" s="251">
        <f>RANK(TableOverallMaster[[#This Row],[VORP]],TableOverallMaster[VORP])+COUNTIF($AM$2:AM278,AM278)-1</f>
        <v>185</v>
      </c>
      <c r="AI278" s="252" t="str">
        <f>IFERROR(INDEX(TableTEVORP[TIGHT END],MATCH(TableOverallMaster[[#This Row],[RK]],TableTEVORP[RK],0)),"")</f>
        <v>Tyler Higbee</v>
      </c>
      <c r="AJ278" s="252" t="str">
        <f t="shared" si="4"/>
        <v>TE27</v>
      </c>
      <c r="AK278" s="252">
        <f>IFERROR(INDEX(TableTEVORP[BYE],MATCH(TableOverallMaster[[#This Row],[RK]],TableTEVORP[RK],0)),"")</f>
        <v>7</v>
      </c>
      <c r="AL278" s="253">
        <f>IFERROR(INDEX(TableTEVORP[FPS],MATCH(TableOverallMaster[[#This Row],[RK]],TableTEVORP[RK],0)),"")</f>
        <v>77.95767368469582</v>
      </c>
      <c r="AM278" s="254">
        <f>IFERROR(INDEX(TableTEVORP[VORP],MATCH(TableOverallMaster[[#This Row],[RK]],TableTEVORP[RK],0)),"")</f>
        <v>-0.23908391666737586</v>
      </c>
      <c r="AN278" s="250"/>
      <c r="AO278" s="250">
        <v>277</v>
      </c>
      <c r="AP278" s="255" t="str">
        <f>IFERROR(INDEX(TableOverallMaster[OVERALL PLAYER],MATCH(TableOverallRank[[#This Row],[RK]],TableOverallMaster[OVR RK],0)),"")</f>
        <v>Keaontay Ingram</v>
      </c>
      <c r="AQ278" s="256" t="str">
        <f>IFERROR(INDEX(TableOverallMaster[POS RK],MATCH(TableOverallRank[[#This Row],[OVERALL PLAYER]],TableOverallMaster[OVERALL PLAYER],0)),"")</f>
        <v>RB83</v>
      </c>
      <c r="AR278" s="257">
        <f>IFERROR(INDEX(TableOverallMaster[BYE],MATCH(TableOverallRank[[#This Row],[OVERALL PLAYER]],TableOverallMaster[OVERALL PLAYER],0)),"")</f>
        <v>13</v>
      </c>
      <c r="AS278" s="258">
        <f>IFERROR(INDEX(TableOverallMaster[Custom],MATCH(TableOverallRank[[#This Row],[OVERALL PLAYER]],TableOverallMaster[OVERALL PLAYER],0)),"")</f>
        <v>24.057012080374395</v>
      </c>
      <c r="AT278" s="259">
        <f>IFERROR(INDEX(TableOverallMaster[VORP],MATCH(TableOverallRank[[#This Row],[OVERALL PLAYER]],TableOverallMaster[OVERALL PLAYER],0)),"")</f>
        <v>-0.76256208931070035</v>
      </c>
      <c r="AU278" s="250"/>
      <c r="AV278" s="246">
        <v>277</v>
      </c>
      <c r="AW278" s="260" t="str">
        <f>IFERROR(INDEX(TableWRTECalcPts[PLAYER],MATCH(TableWRTERank[[#This Row],[RK]],TableWRTECalcPts[RK],0)),"")</f>
        <v>Makai Polk</v>
      </c>
      <c r="AX278" s="260" t="str">
        <f>IFERROR(INDEX(TableWRTECalcPts[POS RK],MATCH(TableWRTERank[[#This Row],[WR and TE COMBINED]],TableWRTECalcPts[PLAYER],0)),"")</f>
        <v>WR185</v>
      </c>
      <c r="AY278" s="260">
        <f>IFERROR(INDEX(TableWRTECalcPts[BYE],MATCH(TableWRTERank[[#This Row],[RK]],TableWRTECalcPts[RK],0)),"")</f>
        <v>10</v>
      </c>
      <c r="AZ278" s="261">
        <f>IFERROR(INDEX(TableWRTECalcPts[Custom],MATCH(TableWRTERank[[#This Row],[RK]],TableWRTECalcPts[RK],0)),"")</f>
        <v>1.6672180579530638</v>
      </c>
      <c r="BA278" s="249">
        <f>IFERROR((TableWRTERank[[#This Row],[FPS]]-INDEX(TableWRTERank[FPS],MATCH(WRTEVORPCalc,TableWRTERank[RK],0)))/INDEX(TableWRTERank[FPS],MATCH(WRTEVORPCalc,TableWRTERank[RK],0)),"")</f>
        <v>-0.98596028745297515</v>
      </c>
      <c r="BC278" s="124" t="s">
        <v>10</v>
      </c>
      <c r="BD278" s="124">
        <v>77</v>
      </c>
      <c r="BE278" s="262">
        <f>RANK(TableWRTEMaster[[#This Row],[VORP]],TableWRTEMaster[VORP])+COUNTIF($BJ$2:BJ278,BJ278)-1</f>
        <v>253</v>
      </c>
      <c r="BF278" s="263" t="str">
        <f>IFERROR(INDEX(TableTEVORP[TIGHT END],MATCH(TableWRTEMaster[[#This Row],[RK]],TableTEVORP[RK],0)),"")</f>
        <v>Juwan Johnson</v>
      </c>
      <c r="BG278" s="263" t="str">
        <f>_xlfn.CONCAT(TableWRTEMaster[[#This Row],[POS]],TableWRTEMaster[[#This Row],[RK]])</f>
        <v>TE77</v>
      </c>
      <c r="BH278" s="263">
        <f>IFERROR(INDEX(TableTEVORP[BYE],MATCH(TableWRTEMaster[[#This Row],[RK]],TableTEVORP[RK],0)),"")</f>
        <v>14</v>
      </c>
      <c r="BI278" s="264">
        <f>IFERROR(INDEX(TableTEVORP[FPS],MATCH(TableWRTEMaster[[#This Row],[RK]],TableTEVORP[RK],0)),"")</f>
        <v>7.9065147190705183</v>
      </c>
      <c r="BJ278" s="254">
        <f>IFERROR(INDEX(TableTEVORP[VORP],MATCH(TableWRTEMaster[[#This Row],[RK]],TableTEVORP[RK],0)),"")</f>
        <v>-0.92282742764772951</v>
      </c>
    </row>
    <row r="279" spans="28:62" x14ac:dyDescent="0.3">
      <c r="AB279" s="246"/>
      <c r="AC279" s="250"/>
      <c r="AD279" s="250"/>
      <c r="AE279" s="250"/>
      <c r="AF279" s="250" t="s">
        <v>10</v>
      </c>
      <c r="AG279" s="250">
        <v>28</v>
      </c>
      <c r="AH279" s="251">
        <f>RANK(TableOverallMaster[[#This Row],[VORP]],TableOverallMaster[VORP])+COUNTIF($AM$2:AM279,AM279)-1</f>
        <v>191</v>
      </c>
      <c r="AI279" s="252" t="str">
        <f>IFERROR(INDEX(TableTEVORP[TIGHT END],MATCH(TableOverallMaster[[#This Row],[RK]],TableTEVORP[RK],0)),"")</f>
        <v>Austin Hooper</v>
      </c>
      <c r="AJ279" s="252" t="str">
        <f t="shared" si="4"/>
        <v>TE28</v>
      </c>
      <c r="AK279" s="252">
        <f>IFERROR(INDEX(TableTEVORP[BYE],MATCH(TableOverallMaster[[#This Row],[RK]],TableTEVORP[RK],0)),"")</f>
        <v>6</v>
      </c>
      <c r="AL279" s="253">
        <f>IFERROR(INDEX(TableTEVORP[FPS],MATCH(TableOverallMaster[[#This Row],[RK]],TableTEVORP[RK],0)),"")</f>
        <v>74.609358572769963</v>
      </c>
      <c r="AM279" s="254">
        <f>IFERROR(INDEX(TableTEVORP[VORP],MATCH(TableOverallMaster[[#This Row],[RK]],TableTEVORP[RK],0)),"")</f>
        <v>-0.27176558481251223</v>
      </c>
      <c r="AN279" s="250"/>
      <c r="AO279" s="250">
        <v>278</v>
      </c>
      <c r="AP279" s="255" t="str">
        <f>IFERROR(INDEX(TableOverallMaster[OVERALL PLAYER],MATCH(TableOverallRank[[#This Row],[RK]],TableOverallMaster[OVR RK],0)),"")</f>
        <v>Duke Johnson</v>
      </c>
      <c r="AQ279" s="256" t="str">
        <f>IFERROR(INDEX(TableOverallMaster[POS RK],MATCH(TableOverallRank[[#This Row],[OVERALL PLAYER]],TableOverallMaster[OVERALL PLAYER],0)),"")</f>
        <v>RB84</v>
      </c>
      <c r="AR279" s="257">
        <f>IFERROR(INDEX(TableOverallMaster[BYE],MATCH(TableOverallRank[[#This Row],[OVERALL PLAYER]],TableOverallMaster[OVERALL PLAYER],0)),"")</f>
        <v>7</v>
      </c>
      <c r="AS279" s="258">
        <f>IFERROR(INDEX(TableOverallMaster[Custom],MATCH(TableOverallRank[[#This Row],[OVERALL PLAYER]],TableOverallMaster[OVERALL PLAYER],0)),"")</f>
        <v>23.791529259382088</v>
      </c>
      <c r="AT279" s="259">
        <f>IFERROR(INDEX(TableOverallMaster[VORP],MATCH(TableOverallRank[[#This Row],[OVERALL PLAYER]],TableOverallMaster[OVERALL PLAYER],0)),"")</f>
        <v>-0.76518235179923022</v>
      </c>
      <c r="AU279" s="250"/>
      <c r="AV279" s="246">
        <v>278</v>
      </c>
      <c r="AW279" s="260" t="str">
        <f>IFERROR(INDEX(TableWRTECalcPts[PLAYER],MATCH(TableWRTERank[[#This Row],[RK]],TableWRTECalcPts[RK],0)),"")</f>
        <v/>
      </c>
      <c r="AX279" s="260" t="str">
        <f>IFERROR(INDEX(TableWRTECalcPts[POS RK],MATCH(TableWRTERank[[#This Row],[WR and TE COMBINED]],TableWRTECalcPts[PLAYER],0)),"")</f>
        <v>TE93</v>
      </c>
      <c r="AY279" s="260" t="str">
        <f>IFERROR(INDEX(TableWRTECalcPts[BYE],MATCH(TableWRTERank[[#This Row],[RK]],TableWRTECalcPts[RK],0)),"")</f>
        <v/>
      </c>
      <c r="AZ279" s="261" t="str">
        <f>IFERROR(INDEX(TableWRTECalcPts[Custom],MATCH(TableWRTERank[[#This Row],[RK]],TableWRTECalcPts[RK],0)),"")</f>
        <v/>
      </c>
      <c r="BA279" s="249" t="str">
        <f>IFERROR((TableWRTERank[[#This Row],[FPS]]-INDEX(TableWRTERank[FPS],MATCH(WRTEVORPCalc,TableWRTERank[RK],0)))/INDEX(TableWRTERank[FPS],MATCH(WRTEVORPCalc,TableWRTERank[RK],0)),"")</f>
        <v/>
      </c>
      <c r="BC279" s="124" t="s">
        <v>10</v>
      </c>
      <c r="BD279" s="124">
        <v>78</v>
      </c>
      <c r="BE279" s="262">
        <f>RANK(TableWRTEMaster[[#This Row],[VORP]],TableWRTEMaster[VORP])+COUNTIF($BJ$2:BJ279,BJ279)-1</f>
        <v>254</v>
      </c>
      <c r="BF279" s="263" t="str">
        <f>IFERROR(INDEX(TableTEVORP[TIGHT END],MATCH(TableWRTEMaster[[#This Row],[RK]],TableTEVORP[RK],0)),"")</f>
        <v>Chigoziem Okonkwo</v>
      </c>
      <c r="BG279" s="263" t="str">
        <f>_xlfn.CONCAT(TableWRTEMaster[[#This Row],[POS]],TableWRTEMaster[[#This Row],[RK]])</f>
        <v>TE78</v>
      </c>
      <c r="BH279" s="263">
        <f>IFERROR(INDEX(TableTEVORP[BYE],MATCH(TableWRTEMaster[[#This Row],[RK]],TableTEVORP[RK],0)),"")</f>
        <v>6</v>
      </c>
      <c r="BI279" s="264">
        <f>IFERROR(INDEX(TableTEVORP[FPS],MATCH(TableWRTEMaster[[#This Row],[RK]],TableTEVORP[RK],0)),"")</f>
        <v>7.3622479869012727</v>
      </c>
      <c r="BJ279" s="254">
        <f>IFERROR(INDEX(TableTEVORP[VORP],MATCH(TableWRTEMaster[[#This Row],[RK]],TableTEVORP[RK],0)),"")</f>
        <v>-0.92813981436421222</v>
      </c>
    </row>
    <row r="280" spans="28:62" x14ac:dyDescent="0.3">
      <c r="AB280" s="246"/>
      <c r="AC280" s="250"/>
      <c r="AD280" s="250"/>
      <c r="AE280" s="250"/>
      <c r="AF280" s="250" t="s">
        <v>10</v>
      </c>
      <c r="AG280" s="250">
        <v>29</v>
      </c>
      <c r="AH280" s="251">
        <f>RANK(TableOverallMaster[[#This Row],[VORP]],TableOverallMaster[VORP])+COUNTIF($AM$2:AM280,AM280)-1</f>
        <v>204</v>
      </c>
      <c r="AI280" s="252" t="str">
        <f>IFERROR(INDEX(TableTEVORP[TIGHT END],MATCH(TableOverallMaster[[#This Row],[RK]],TableTEVORP[RK],0)),"")</f>
        <v>C.J. Uzomah</v>
      </c>
      <c r="AJ280" s="252" t="str">
        <f t="shared" si="4"/>
        <v>TE29</v>
      </c>
      <c r="AK280" s="252">
        <f>IFERROR(INDEX(TableTEVORP[BYE],MATCH(TableOverallMaster[[#This Row],[RK]],TableTEVORP[RK],0)),"")</f>
        <v>10</v>
      </c>
      <c r="AL280" s="253">
        <f>IFERROR(INDEX(TableTEVORP[FPS],MATCH(TableOverallMaster[[#This Row],[RK]],TableTEVORP[RK],0)),"")</f>
        <v>65.233312093704654</v>
      </c>
      <c r="AM280" s="254">
        <f>IFERROR(INDEX(TableTEVORP[VORP],MATCH(TableOverallMaster[[#This Row],[RK]],TableTEVORP[RK],0)),"")</f>
        <v>-0.36328171435801965</v>
      </c>
      <c r="AN280" s="250"/>
      <c r="AO280" s="250">
        <v>279</v>
      </c>
      <c r="AP280" s="255" t="str">
        <f>IFERROR(INDEX(TableOverallMaster[OVERALL PLAYER],MATCH(TableOverallRank[[#This Row],[RK]],TableOverallMaster[OVR RK],0)),"")</f>
        <v>Joshua Kelley</v>
      </c>
      <c r="AQ280" s="256" t="str">
        <f>IFERROR(INDEX(TableOverallMaster[POS RK],MATCH(TableOverallRank[[#This Row],[OVERALL PLAYER]],TableOverallMaster[OVERALL PLAYER],0)),"")</f>
        <v>RB85</v>
      </c>
      <c r="AR280" s="257">
        <f>IFERROR(INDEX(TableOverallMaster[BYE],MATCH(TableOverallRank[[#This Row],[OVERALL PLAYER]],TableOverallMaster[OVERALL PLAYER],0)),"")</f>
        <v>8</v>
      </c>
      <c r="AS280" s="258">
        <f>IFERROR(INDEX(TableOverallMaster[Custom],MATCH(TableOverallRank[[#This Row],[OVERALL PLAYER]],TableOverallMaster[OVERALL PLAYER],0)),"")</f>
        <v>22.922049210206108</v>
      </c>
      <c r="AT280" s="259">
        <f>IFERROR(INDEX(TableOverallMaster[VORP],MATCH(TableOverallRank[[#This Row],[OVERALL PLAYER]],TableOverallMaster[OVERALL PLAYER],0)),"")</f>
        <v>-0.77376394645332247</v>
      </c>
      <c r="AU280" s="250"/>
      <c r="AV280" s="246">
        <v>279</v>
      </c>
      <c r="AW280" s="260" t="str">
        <f>IFERROR(INDEX(TableWRTECalcPts[PLAYER],MATCH(TableWRTERank[[#This Row],[RK]],TableWRTECalcPts[RK],0)),"")</f>
        <v/>
      </c>
      <c r="AX280" s="260" t="str">
        <f>IFERROR(INDEX(TableWRTECalcPts[POS RK],MATCH(TableWRTERank[[#This Row],[WR and TE COMBINED]],TableWRTECalcPts[PLAYER],0)),"")</f>
        <v>TE93</v>
      </c>
      <c r="AY280" s="260" t="str">
        <f>IFERROR(INDEX(TableWRTECalcPts[BYE],MATCH(TableWRTERank[[#This Row],[RK]],TableWRTECalcPts[RK],0)),"")</f>
        <v/>
      </c>
      <c r="AZ280" s="261" t="str">
        <f>IFERROR(INDEX(TableWRTECalcPts[Custom],MATCH(TableWRTERank[[#This Row],[RK]],TableWRTECalcPts[RK],0)),"")</f>
        <v/>
      </c>
      <c r="BA280" s="249" t="str">
        <f>IFERROR((TableWRTERank[[#This Row],[FPS]]-INDEX(TableWRTERank[FPS],MATCH(WRTEVORPCalc,TableWRTERank[RK],0)))/INDEX(TableWRTERank[FPS],MATCH(WRTEVORPCalc,TableWRTERank[RK],0)),"")</f>
        <v/>
      </c>
      <c r="BC280" s="124" t="s">
        <v>10</v>
      </c>
      <c r="BD280" s="124">
        <v>79</v>
      </c>
      <c r="BE280" s="262">
        <f>RANK(TableWRTEMaster[[#This Row],[VORP]],TableWRTEMaster[VORP])+COUNTIF($BJ$2:BJ280,BJ280)-1</f>
        <v>255</v>
      </c>
      <c r="BF280" s="263" t="str">
        <f>IFERROR(INDEX(TableTEVORP[TIGHT END],MATCH(TableWRTEMaster[[#This Row],[RK]],TableTEVORP[RK],0)),"")</f>
        <v>Grant Calcaterra</v>
      </c>
      <c r="BG280" s="263" t="str">
        <f>_xlfn.CONCAT(TableWRTEMaster[[#This Row],[POS]],TableWRTEMaster[[#This Row],[RK]])</f>
        <v>TE79</v>
      </c>
      <c r="BH280" s="263">
        <f>IFERROR(INDEX(TableTEVORP[BYE],MATCH(TableWRTEMaster[[#This Row],[RK]],TableTEVORP[RK],0)),"")</f>
        <v>7</v>
      </c>
      <c r="BI280" s="264">
        <f>IFERROR(INDEX(TableTEVORP[FPS],MATCH(TableWRTEMaster[[#This Row],[RK]],TableTEVORP[RK],0)),"")</f>
        <v>7.3031380385457298</v>
      </c>
      <c r="BJ280" s="254">
        <f>IFERROR(INDEX(TableTEVORP[VORP],MATCH(TableWRTEMaster[[#This Row],[RK]],TableTEVORP[RK],0)),"")</f>
        <v>-0.92871676475617249</v>
      </c>
    </row>
    <row r="281" spans="28:62" x14ac:dyDescent="0.3">
      <c r="AB281" s="246"/>
      <c r="AC281" s="250"/>
      <c r="AD281" s="250"/>
      <c r="AE281" s="250"/>
      <c r="AF281" s="250" t="s">
        <v>10</v>
      </c>
      <c r="AG281" s="250">
        <v>30</v>
      </c>
      <c r="AH281" s="251">
        <f>RANK(TableOverallMaster[[#This Row],[VORP]],TableOverallMaster[VORP])+COUNTIF($AM$2:AM281,AM281)-1</f>
        <v>217</v>
      </c>
      <c r="AI281" s="252" t="str">
        <f>IFERROR(INDEX(TableTEVORP[TIGHT END],MATCH(TableOverallMaster[[#This Row],[RK]],TableTEVORP[RK],0)),"")</f>
        <v>Dan Arnold</v>
      </c>
      <c r="AJ281" s="252" t="str">
        <f t="shared" si="4"/>
        <v>TE30</v>
      </c>
      <c r="AK281" s="252">
        <f>IFERROR(INDEX(TableTEVORP[BYE],MATCH(TableOverallMaster[[#This Row],[RK]],TableTEVORP[RK],0)),"")</f>
        <v>11</v>
      </c>
      <c r="AL281" s="253">
        <f>IFERROR(INDEX(TableTEVORP[FPS],MATCH(TableOverallMaster[[#This Row],[RK]],TableTEVORP[RK],0)),"")</f>
        <v>54.026711510678737</v>
      </c>
      <c r="AM281" s="254">
        <f>IFERROR(INDEX(TableTEVORP[VORP],MATCH(TableOverallMaster[[#This Row],[RK]],TableTEVORP[RK],0)),"")</f>
        <v>-0.47266520696451086</v>
      </c>
      <c r="AN281" s="250"/>
      <c r="AO281" s="250">
        <v>280</v>
      </c>
      <c r="AP281" s="255" t="str">
        <f>IFERROR(INDEX(TableOverallMaster[OVERALL PLAYER],MATCH(TableOverallRank[[#This Row],[RK]],TableOverallMaster[OVR RK],0)),"")</f>
        <v>ZaQuandre White</v>
      </c>
      <c r="AQ281" s="256" t="str">
        <f>IFERROR(INDEX(TableOverallMaster[POS RK],MATCH(TableOverallRank[[#This Row],[OVERALL PLAYER]],TableOverallMaster[OVERALL PLAYER],0)),"")</f>
        <v>RB86</v>
      </c>
      <c r="AR281" s="257">
        <f>IFERROR(INDEX(TableOverallMaster[BYE],MATCH(TableOverallRank[[#This Row],[OVERALL PLAYER]],TableOverallMaster[OVERALL PLAYER],0)),"")</f>
        <v>11</v>
      </c>
      <c r="AS281" s="258">
        <f>IFERROR(INDEX(TableOverallMaster[Custom],MATCH(TableOverallRank[[#This Row],[OVERALL PLAYER]],TableOverallMaster[OVERALL PLAYER],0)),"")</f>
        <v>22.249247349411675</v>
      </c>
      <c r="AT281" s="259">
        <f>IFERROR(INDEX(TableOverallMaster[VORP],MATCH(TableOverallRank[[#This Row],[OVERALL PLAYER]],TableOverallMaster[OVERALL PLAYER],0)),"")</f>
        <v>-0.78040436661860246</v>
      </c>
      <c r="AU281" s="250"/>
      <c r="AV281" s="246">
        <v>280</v>
      </c>
      <c r="AW281" s="260" t="str">
        <f>IFERROR(INDEX(TableWRTECalcPts[PLAYER],MATCH(TableWRTERank[[#This Row],[RK]],TableWRTECalcPts[RK],0)),"")</f>
        <v/>
      </c>
      <c r="AX281" s="260" t="str">
        <f>IFERROR(INDEX(TableWRTECalcPts[POS RK],MATCH(TableWRTERank[[#This Row],[WR and TE COMBINED]],TableWRTECalcPts[PLAYER],0)),"")</f>
        <v>TE93</v>
      </c>
      <c r="AY281" s="260" t="str">
        <f>IFERROR(INDEX(TableWRTECalcPts[BYE],MATCH(TableWRTERank[[#This Row],[RK]],TableWRTECalcPts[RK],0)),"")</f>
        <v/>
      </c>
      <c r="AZ281" s="261" t="str">
        <f>IFERROR(INDEX(TableWRTECalcPts[Custom],MATCH(TableWRTERank[[#This Row],[RK]],TableWRTECalcPts[RK],0)),"")</f>
        <v/>
      </c>
      <c r="BA281" s="249" t="str">
        <f>IFERROR((TableWRTERank[[#This Row],[FPS]]-INDEX(TableWRTERank[FPS],MATCH(WRTEVORPCalc,TableWRTERank[RK],0)))/INDEX(TableWRTERank[FPS],MATCH(WRTEVORPCalc,TableWRTERank[RK],0)),"")</f>
        <v/>
      </c>
      <c r="BC281" s="124" t="s">
        <v>10</v>
      </c>
      <c r="BD281" s="124">
        <v>80</v>
      </c>
      <c r="BE281" s="262">
        <f>RANK(TableWRTEMaster[[#This Row],[VORP]],TableWRTEMaster[VORP])+COUNTIF($BJ$2:BJ281,BJ281)-1</f>
        <v>256</v>
      </c>
      <c r="BF281" s="263" t="str">
        <f>IFERROR(INDEX(TableTEVORP[TIGHT END],MATCH(TableWRTEMaster[[#This Row],[RK]],TableTEVORP[RK],0)),"")</f>
        <v>Ben Ellefson</v>
      </c>
      <c r="BG281" s="263" t="str">
        <f>_xlfn.CONCAT(TableWRTEMaster[[#This Row],[POS]],TableWRTEMaster[[#This Row],[RK]])</f>
        <v>TE80</v>
      </c>
      <c r="BH281" s="263">
        <f>IFERROR(INDEX(TableTEVORP[BYE],MATCH(TableWRTEMaster[[#This Row],[RK]],TableTEVORP[RK],0)),"")</f>
        <v>7</v>
      </c>
      <c r="BI281" s="264">
        <f>IFERROR(INDEX(TableTEVORP[FPS],MATCH(TableWRTEMaster[[#This Row],[RK]],TableTEVORP[RK],0)),"")</f>
        <v>7.1504475317791831</v>
      </c>
      <c r="BJ281" s="254">
        <f>IFERROR(INDEX(TableTEVORP[VORP],MATCH(TableWRTEMaster[[#This Row],[RK]],TableTEVORP[RK],0)),"")</f>
        <v>-0.93020712044380871</v>
      </c>
    </row>
    <row r="282" spans="28:62" x14ac:dyDescent="0.3">
      <c r="AB282" s="246"/>
      <c r="AC282" s="250"/>
      <c r="AD282" s="250"/>
      <c r="AE282" s="250"/>
      <c r="AF282" s="250" t="s">
        <v>10</v>
      </c>
      <c r="AG282" s="250">
        <v>31</v>
      </c>
      <c r="AH282" s="251">
        <f>RANK(TableOverallMaster[[#This Row],[VORP]],TableOverallMaster[VORP])+COUNTIF($AM$2:AM282,AM282)-1</f>
        <v>222</v>
      </c>
      <c r="AI282" s="252" t="str">
        <f>IFERROR(INDEX(TableTEVORP[TIGHT END],MATCH(TableOverallMaster[[#This Row],[RK]],TableTEVORP[RK],0)),"")</f>
        <v>Tommy Tremble</v>
      </c>
      <c r="AJ282" s="252" t="str">
        <f t="shared" si="4"/>
        <v>TE31</v>
      </c>
      <c r="AK282" s="252">
        <f>IFERROR(INDEX(TableTEVORP[BYE],MATCH(TableOverallMaster[[#This Row],[RK]],TableTEVORP[RK],0)),"")</f>
        <v>13</v>
      </c>
      <c r="AL282" s="253">
        <f>IFERROR(INDEX(TableTEVORP[FPS],MATCH(TableOverallMaster[[#This Row],[RK]],TableTEVORP[RK],0)),"")</f>
        <v>50.482570632097605</v>
      </c>
      <c r="AM282" s="254">
        <f>IFERROR(INDEX(TableTEVORP[VORP],MATCH(TableOverallMaster[[#This Row],[RK]],TableTEVORP[RK],0)),"")</f>
        <v>-0.50725825815041892</v>
      </c>
      <c r="AN282" s="250"/>
      <c r="AO282" s="250">
        <v>281</v>
      </c>
      <c r="AP282" s="255" t="str">
        <f>IFERROR(INDEX(TableOverallMaster[OVERALL PLAYER],MATCH(TableOverallRank[[#This Row],[RK]],TableOverallMaster[OVR RK],0)),"")</f>
        <v>Greg Dulcich</v>
      </c>
      <c r="AQ282" s="256" t="str">
        <f>IFERROR(INDEX(TableOverallMaster[POS RK],MATCH(TableOverallRank[[#This Row],[OVERALL PLAYER]],TableOverallMaster[OVERALL PLAYER],0)),"")</f>
        <v>TE49</v>
      </c>
      <c r="AR282" s="257">
        <f>IFERROR(INDEX(TableOverallMaster[BYE],MATCH(TableOverallRank[[#This Row],[OVERALL PLAYER]],TableOverallMaster[OVERALL PLAYER],0)),"")</f>
        <v>9</v>
      </c>
      <c r="AS282" s="258">
        <f>IFERROR(INDEX(TableOverallMaster[Custom],MATCH(TableOverallRank[[#This Row],[OVERALL PLAYER]],TableOverallMaster[OVERALL PLAYER],0)),"")</f>
        <v>22.454485484473569</v>
      </c>
      <c r="AT282" s="259">
        <f>IFERROR(INDEX(TableOverallMaster[VORP],MATCH(TableOverallRank[[#This Row],[OVERALL PLAYER]],TableOverallMaster[OVERALL PLAYER],0)),"")</f>
        <v>-0.78083005379046988</v>
      </c>
      <c r="AU282" s="250"/>
      <c r="AY282" s="268"/>
      <c r="AZ282" s="249"/>
    </row>
    <row r="283" spans="28:62" x14ac:dyDescent="0.3">
      <c r="AB283" s="246"/>
      <c r="AC283" s="250"/>
      <c r="AD283" s="250"/>
      <c r="AE283" s="250"/>
      <c r="AF283" s="250" t="s">
        <v>10</v>
      </c>
      <c r="AG283" s="250">
        <v>32</v>
      </c>
      <c r="AH283" s="251">
        <f>RANK(TableOverallMaster[[#This Row],[VORP]],TableOverallMaster[VORP])+COUNTIF($AM$2:AM283,AM283)-1</f>
        <v>223</v>
      </c>
      <c r="AI283" s="252" t="str">
        <f>IFERROR(INDEX(TableTEVORP[TIGHT END],MATCH(TableOverallMaster[[#This Row],[RK]],TableTEVORP[RK],0)),"")</f>
        <v>Adam Trautman</v>
      </c>
      <c r="AJ283" s="252" t="str">
        <f t="shared" si="4"/>
        <v>TE32</v>
      </c>
      <c r="AK283" s="252">
        <f>IFERROR(INDEX(TableTEVORP[BYE],MATCH(TableOverallMaster[[#This Row],[RK]],TableTEVORP[RK],0)),"")</f>
        <v>14</v>
      </c>
      <c r="AL283" s="253">
        <f>IFERROR(INDEX(TableTEVORP[FPS],MATCH(TableOverallMaster[[#This Row],[RK]],TableTEVORP[RK],0)),"")</f>
        <v>50.26987913575595</v>
      </c>
      <c r="AM283" s="254">
        <f>IFERROR(INDEX(TableTEVORP[VORP],MATCH(TableOverallMaster[[#This Row],[RK]],TableTEVORP[RK],0)),"")</f>
        <v>-0.50933426135452964</v>
      </c>
      <c r="AN283" s="250"/>
      <c r="AO283" s="250">
        <v>282</v>
      </c>
      <c r="AP283" s="255" t="str">
        <f>IFERROR(INDEX(TableOverallMaster[OVERALL PLAYER],MATCH(TableOverallRank[[#This Row],[RK]],TableOverallMaster[OVR RK],0)),"")</f>
        <v>Jeff Wilson</v>
      </c>
      <c r="AQ283" s="256" t="str">
        <f>IFERROR(INDEX(TableOverallMaster[POS RK],MATCH(TableOverallRank[[#This Row],[OVERALL PLAYER]],TableOverallMaster[OVERALL PLAYER],0)),"")</f>
        <v>RB87</v>
      </c>
      <c r="AR283" s="257">
        <f>IFERROR(INDEX(TableOverallMaster[BYE],MATCH(TableOverallRank[[#This Row],[OVERALL PLAYER]],TableOverallMaster[OVERALL PLAYER],0)),"")</f>
        <v>9</v>
      </c>
      <c r="AS283" s="258">
        <f>IFERROR(INDEX(TableOverallMaster[Custom],MATCH(TableOverallRank[[#This Row],[OVERALL PLAYER]],TableOverallMaster[OVERALL PLAYER],0)),"")</f>
        <v>22.176805142525897</v>
      </c>
      <c r="AT283" s="259">
        <f>IFERROR(INDEX(TableOverallMaster[VORP],MATCH(TableOverallRank[[#This Row],[OVERALL PLAYER]],TableOverallMaster[OVERALL PLAYER],0)),"")</f>
        <v>-0.78111935675084399</v>
      </c>
      <c r="AU283" s="250"/>
      <c r="AY283" s="268"/>
      <c r="AZ283" s="249"/>
    </row>
    <row r="284" spans="28:62" x14ac:dyDescent="0.3">
      <c r="AB284" s="246"/>
      <c r="AC284" s="250"/>
      <c r="AD284" s="250"/>
      <c r="AE284" s="250"/>
      <c r="AF284" s="250" t="s">
        <v>10</v>
      </c>
      <c r="AG284" s="250">
        <v>33</v>
      </c>
      <c r="AH284" s="251">
        <f>RANK(TableOverallMaster[[#This Row],[VORP]],TableOverallMaster[VORP])+COUNTIF($AM$2:AM284,AM284)-1</f>
        <v>237</v>
      </c>
      <c r="AI284" s="252" t="str">
        <f>IFERROR(INDEX(TableTEVORP[TIGHT END],MATCH(TableOverallMaster[[#This Row],[RK]],TableTEVORP[RK],0)),"")</f>
        <v>Ricky Seals-Jones</v>
      </c>
      <c r="AJ284" s="252" t="str">
        <f t="shared" si="4"/>
        <v>TE33</v>
      </c>
      <c r="AK284" s="252">
        <f>IFERROR(INDEX(TableTEVORP[BYE],MATCH(TableOverallMaster[[#This Row],[RK]],TableTEVORP[RK],0)),"")</f>
        <v>9</v>
      </c>
      <c r="AL284" s="253">
        <f>IFERROR(INDEX(TableTEVORP[FPS],MATCH(TableOverallMaster[[#This Row],[RK]],TableTEVORP[RK],0)),"")</f>
        <v>43.271345190999646</v>
      </c>
      <c r="AM284" s="254">
        <f>IFERROR(INDEX(TableTEVORP[VORP],MATCH(TableOverallMaster[[#This Row],[RK]],TableTEVORP[RK],0)),"")</f>
        <v>-0.57764436844998823</v>
      </c>
      <c r="AN284" s="250"/>
      <c r="AO284" s="250">
        <v>283</v>
      </c>
      <c r="AP284" s="255" t="str">
        <f>IFERROR(INDEX(TableOverallMaster[OVERALL PLAYER],MATCH(TableOverallRank[[#This Row],[RK]],TableOverallMaster[OVR RK],0)),"")</f>
        <v>Trey McBride</v>
      </c>
      <c r="AQ284" s="256" t="str">
        <f>IFERROR(INDEX(TableOverallMaster[POS RK],MATCH(TableOverallRank[[#This Row],[OVERALL PLAYER]],TableOverallMaster[OVERALL PLAYER],0)),"")</f>
        <v>TE50</v>
      </c>
      <c r="AR284" s="257">
        <f>IFERROR(INDEX(TableOverallMaster[BYE],MATCH(TableOverallRank[[#This Row],[OVERALL PLAYER]],TableOverallMaster[OVERALL PLAYER],0)),"")</f>
        <v>13</v>
      </c>
      <c r="AS284" s="258">
        <f>IFERROR(INDEX(TableOverallMaster[Custom],MATCH(TableOverallRank[[#This Row],[OVERALL PLAYER]],TableOverallMaster[OVERALL PLAYER],0)),"")</f>
        <v>22.020922347162873</v>
      </c>
      <c r="AT284" s="259">
        <f>IFERROR(INDEX(TableOverallMaster[VORP],MATCH(TableOverallRank[[#This Row],[OVERALL PLAYER]],TableOverallMaster[OVERALL PLAYER],0)),"")</f>
        <v>-0.78506190357159833</v>
      </c>
      <c r="AU284" s="250"/>
      <c r="AY284" s="268"/>
      <c r="AZ284" s="249"/>
    </row>
    <row r="285" spans="28:62" x14ac:dyDescent="0.3">
      <c r="AB285" s="246"/>
      <c r="AC285" s="250"/>
      <c r="AD285" s="250"/>
      <c r="AE285" s="250"/>
      <c r="AF285" s="250" t="s">
        <v>10</v>
      </c>
      <c r="AG285" s="250">
        <v>34</v>
      </c>
      <c r="AH285" s="251">
        <f>RANK(TableOverallMaster[[#This Row],[VORP]],TableOverallMaster[VORP])+COUNTIF($AM$2:AM285,AM285)-1</f>
        <v>240</v>
      </c>
      <c r="AI285" s="252" t="str">
        <f>IFERROR(INDEX(TableTEVORP[TIGHT END],MATCH(TableOverallMaster[[#This Row],[RK]],TableTEVORP[RK],0)),"")</f>
        <v>Jonnu Smith</v>
      </c>
      <c r="AJ285" s="252" t="str">
        <f t="shared" si="4"/>
        <v>TE34</v>
      </c>
      <c r="AK285" s="252">
        <f>IFERROR(INDEX(TableTEVORP[BYE],MATCH(TableOverallMaster[[#This Row],[RK]],TableTEVORP[RK],0)),"")</f>
        <v>10</v>
      </c>
      <c r="AL285" s="253">
        <f>IFERROR(INDEX(TableTEVORP[FPS],MATCH(TableOverallMaster[[#This Row],[RK]],TableTEVORP[RK],0)),"")</f>
        <v>41.486085433533724</v>
      </c>
      <c r="AM285" s="254">
        <f>IFERROR(INDEX(TableTEVORP[VORP],MATCH(TableOverallMaster[[#This Row],[RK]],TableTEVORP[RK],0)),"")</f>
        <v>-0.59506963011026537</v>
      </c>
      <c r="AN285" s="250"/>
      <c r="AO285" s="250">
        <v>284</v>
      </c>
      <c r="AP285" s="255" t="str">
        <f>IFERROR(INDEX(TableOverallMaster[OVERALL PLAYER],MATCH(TableOverallRank[[#This Row],[RK]],TableOverallMaster[OVR RK],0)),"")</f>
        <v>Ke'Shawn Vaughn</v>
      </c>
      <c r="AQ285" s="256" t="str">
        <f>IFERROR(INDEX(TableOverallMaster[POS RK],MATCH(TableOverallRank[[#This Row],[OVERALL PLAYER]],TableOverallMaster[OVERALL PLAYER],0)),"")</f>
        <v>RB88</v>
      </c>
      <c r="AR285" s="257">
        <f>IFERROR(INDEX(TableOverallMaster[BYE],MATCH(TableOverallRank[[#This Row],[OVERALL PLAYER]],TableOverallMaster[OVERALL PLAYER],0)),"")</f>
        <v>11</v>
      </c>
      <c r="AS285" s="258">
        <f>IFERROR(INDEX(TableOverallMaster[Custom],MATCH(TableOverallRank[[#This Row],[OVERALL PLAYER]],TableOverallMaster[OVERALL PLAYER],0)),"")</f>
        <v>21.745369875224792</v>
      </c>
      <c r="AT285" s="259">
        <f>IFERROR(INDEX(TableOverallMaster[VORP],MATCH(TableOverallRank[[#This Row],[OVERALL PLAYER]],TableOverallMaster[OVERALL PLAYER],0)),"")</f>
        <v>-0.78537753678265354</v>
      </c>
      <c r="AU285" s="250"/>
      <c r="AY285" s="268"/>
      <c r="AZ285" s="249"/>
    </row>
    <row r="286" spans="28:62" x14ac:dyDescent="0.3">
      <c r="AB286" s="246"/>
      <c r="AC286" s="250"/>
      <c r="AD286" s="250"/>
      <c r="AE286" s="250"/>
      <c r="AF286" s="250" t="s">
        <v>10</v>
      </c>
      <c r="AG286" s="250">
        <v>35</v>
      </c>
      <c r="AH286" s="251">
        <f>RANK(TableOverallMaster[[#This Row],[VORP]],TableOverallMaster[VORP])+COUNTIF($AM$2:AM286,AM286)-1</f>
        <v>246</v>
      </c>
      <c r="AI286" s="252" t="str">
        <f>IFERROR(INDEX(TableTEVORP[TIGHT END],MATCH(TableOverallMaster[[#This Row],[RK]],TableTEVORP[RK],0)),"")</f>
        <v>Cade Otton</v>
      </c>
      <c r="AJ286" s="252" t="str">
        <f t="shared" si="4"/>
        <v>TE35</v>
      </c>
      <c r="AK286" s="252">
        <f>IFERROR(INDEX(TableTEVORP[BYE],MATCH(TableOverallMaster[[#This Row],[RK]],TableTEVORP[RK],0)),"")</f>
        <v>11</v>
      </c>
      <c r="AL286" s="253">
        <f>IFERROR(INDEX(TableTEVORP[FPS],MATCH(TableOverallMaster[[#This Row],[RK]],TableTEVORP[RK],0)),"")</f>
        <v>38.578392188776903</v>
      </c>
      <c r="AM286" s="254">
        <f>IFERROR(INDEX(TableTEVORP[VORP],MATCH(TableOverallMaster[[#This Row],[RK]],TableTEVORP[RK],0)),"")</f>
        <v>-0.62345055081708012</v>
      </c>
      <c r="AN286" s="250"/>
      <c r="AO286" s="250">
        <v>285</v>
      </c>
      <c r="AP286" s="255" t="str">
        <f>IFERROR(INDEX(TableOverallMaster[OVERALL PLAYER],MATCH(TableOverallRank[[#This Row],[RK]],TableOverallMaster[OVR RK],0)),"")</f>
        <v>Jashaun Corbin</v>
      </c>
      <c r="AQ286" s="256" t="str">
        <f>IFERROR(INDEX(TableOverallMaster[POS RK],MATCH(TableOverallRank[[#This Row],[OVERALL PLAYER]],TableOverallMaster[OVERALL PLAYER],0)),"")</f>
        <v>RB89</v>
      </c>
      <c r="AR286" s="257">
        <f>IFERROR(INDEX(TableOverallMaster[BYE],MATCH(TableOverallRank[[#This Row],[OVERALL PLAYER]],TableOverallMaster[OVERALL PLAYER],0)),"")</f>
        <v>9</v>
      </c>
      <c r="AS286" s="258">
        <f>IFERROR(INDEX(TableOverallMaster[Custom],MATCH(TableOverallRank[[#This Row],[OVERALL PLAYER]],TableOverallMaster[OVERALL PLAYER],0)),"")</f>
        <v>21.05921723337142</v>
      </c>
      <c r="AT286" s="259">
        <f>IFERROR(INDEX(TableOverallMaster[VORP],MATCH(TableOverallRank[[#This Row],[OVERALL PLAYER]],TableOverallMaster[OVERALL PLAYER],0)),"")</f>
        <v>-0.79214972649396498</v>
      </c>
      <c r="AU286" s="250"/>
      <c r="AY286" s="268"/>
      <c r="AZ286" s="249"/>
    </row>
    <row r="287" spans="28:62" x14ac:dyDescent="0.3">
      <c r="AB287" s="246"/>
      <c r="AC287" s="250"/>
      <c r="AD287" s="250"/>
      <c r="AE287" s="250"/>
      <c r="AF287" s="250" t="s">
        <v>10</v>
      </c>
      <c r="AG287" s="250">
        <v>36</v>
      </c>
      <c r="AH287" s="251">
        <f>RANK(TableOverallMaster[[#This Row],[VORP]],TableOverallMaster[VORP])+COUNTIF($AM$2:AM287,AM287)-1</f>
        <v>247</v>
      </c>
      <c r="AI287" s="252" t="str">
        <f>IFERROR(INDEX(TableTEVORP[TIGHT END],MATCH(TableOverallMaster[[#This Row],[RK]],TableTEVORP[RK],0)),"")</f>
        <v>Geoff Swaim</v>
      </c>
      <c r="AJ287" s="252" t="str">
        <f t="shared" si="4"/>
        <v>TE36</v>
      </c>
      <c r="AK287" s="252">
        <f>IFERROR(INDEX(TableTEVORP[BYE],MATCH(TableOverallMaster[[#This Row],[RK]],TableTEVORP[RK],0)),"")</f>
        <v>6</v>
      </c>
      <c r="AL287" s="253">
        <f>IFERROR(INDEX(TableTEVORP[FPS],MATCH(TableOverallMaster[[#This Row],[RK]],TableTEVORP[RK],0)),"")</f>
        <v>38.183041253692494</v>
      </c>
      <c r="AM287" s="254">
        <f>IFERROR(INDEX(TableTEVORP[VORP],MATCH(TableOverallMaster[[#This Row],[RK]],TableTEVORP[RK],0)),"")</f>
        <v>-0.62730942539411072</v>
      </c>
      <c r="AN287" s="250"/>
      <c r="AO287" s="250">
        <v>286</v>
      </c>
      <c r="AP287" s="255" t="str">
        <f>IFERROR(INDEX(TableOverallMaster[OVERALL PLAYER],MATCH(TableOverallRank[[#This Row],[RK]],TableOverallMaster[OVR RK],0)),"")</f>
        <v>Mitchell Trubisky</v>
      </c>
      <c r="AQ287" s="256" t="str">
        <f>IFERROR(INDEX(TableOverallMaster[POS RK],MATCH(TableOverallRank[[#This Row],[OVERALL PLAYER]],TableOverallMaster[OVERALL PLAYER],0)),"")</f>
        <v>QB37</v>
      </c>
      <c r="AR287" s="257">
        <f>IFERROR(INDEX(TableOverallMaster[BYE],MATCH(TableOverallRank[[#This Row],[OVERALL PLAYER]],TableOverallMaster[OVERALL PLAYER],0)),"")</f>
        <v>9</v>
      </c>
      <c r="AS287" s="258">
        <f>IFERROR(INDEX(TableOverallMaster[Custom],MATCH(TableOverallRank[[#This Row],[OVERALL PLAYER]],TableOverallMaster[OVERALL PLAYER],0)),"")</f>
        <v>54.43495605827907</v>
      </c>
      <c r="AT287" s="259">
        <f>IFERROR(INDEX(TableOverallMaster[VORP],MATCH(TableOverallRank[[#This Row],[OVERALL PLAYER]],TableOverallMaster[OVERALL PLAYER],0)),"")</f>
        <v>-0.79464901590284676</v>
      </c>
      <c r="AU287" s="250"/>
      <c r="AY287" s="268"/>
      <c r="AZ287" s="249"/>
    </row>
    <row r="288" spans="28:62" x14ac:dyDescent="0.3">
      <c r="AB288" s="246"/>
      <c r="AC288" s="250"/>
      <c r="AD288" s="250"/>
      <c r="AE288" s="250"/>
      <c r="AF288" s="250" t="s">
        <v>10</v>
      </c>
      <c r="AG288" s="250">
        <v>37</v>
      </c>
      <c r="AH288" s="251">
        <f>RANK(TableOverallMaster[[#This Row],[VORP]],TableOverallMaster[VORP])+COUNTIF($AM$2:AM288,AM288)-1</f>
        <v>248</v>
      </c>
      <c r="AI288" s="252" t="str">
        <f>IFERROR(INDEX(TableTEVORP[TIGHT END],MATCH(TableOverallMaster[[#This Row],[RK]],TableTEVORP[RK],0)),"")</f>
        <v>Harrison Bryant</v>
      </c>
      <c r="AJ288" s="252" t="str">
        <f t="shared" si="4"/>
        <v>TE37</v>
      </c>
      <c r="AK288" s="252">
        <f>IFERROR(INDEX(TableTEVORP[BYE],MATCH(TableOverallMaster[[#This Row],[RK]],TableTEVORP[RK],0)),"")</f>
        <v>9</v>
      </c>
      <c r="AL288" s="253">
        <f>IFERROR(INDEX(TableTEVORP[FPS],MATCH(TableOverallMaster[[#This Row],[RK]],TableTEVORP[RK],0)),"")</f>
        <v>38.106607571611121</v>
      </c>
      <c r="AM288" s="254">
        <f>IFERROR(INDEX(TableTEVORP[VORP],MATCH(TableOverallMaster[[#This Row],[RK]],TableTEVORP[RK],0)),"")</f>
        <v>-0.62805546635781717</v>
      </c>
      <c r="AN288" s="250"/>
      <c r="AO288" s="250">
        <v>287</v>
      </c>
      <c r="AP288" s="255" t="str">
        <f>IFERROR(INDEX(TableOverallMaster[OVERALL PLAYER],MATCH(TableOverallRank[[#This Row],[RK]],TableOverallMaster[OVR RK],0)),"")</f>
        <v>Rico Dowdle</v>
      </c>
      <c r="AQ288" s="256" t="str">
        <f>IFERROR(INDEX(TableOverallMaster[POS RK],MATCH(TableOverallRank[[#This Row],[OVERALL PLAYER]],TableOverallMaster[OVERALL PLAYER],0)),"")</f>
        <v>RB90</v>
      </c>
      <c r="AR288" s="257">
        <f>IFERROR(INDEX(TableOverallMaster[BYE],MATCH(TableOverallRank[[#This Row],[OVERALL PLAYER]],TableOverallMaster[OVERALL PLAYER],0)),"")</f>
        <v>9</v>
      </c>
      <c r="AS288" s="258">
        <f>IFERROR(INDEX(TableOverallMaster[Custom],MATCH(TableOverallRank[[#This Row],[OVERALL PLAYER]],TableOverallMaster[OVERALL PLAYER],0)),"")</f>
        <v>20.267624726719617</v>
      </c>
      <c r="AT288" s="259">
        <f>IFERROR(INDEX(TableOverallMaster[VORP],MATCH(TableOverallRank[[#This Row],[OVERALL PLAYER]],TableOverallMaster[OVERALL PLAYER],0)),"")</f>
        <v>-0.79996258663922148</v>
      </c>
      <c r="AU288" s="250"/>
      <c r="AY288" s="268"/>
      <c r="AZ288" s="249"/>
    </row>
    <row r="289" spans="28:52" x14ac:dyDescent="0.3">
      <c r="AB289" s="246"/>
      <c r="AC289" s="250"/>
      <c r="AD289" s="250"/>
      <c r="AE289" s="250"/>
      <c r="AF289" s="250" t="s">
        <v>10</v>
      </c>
      <c r="AG289" s="250">
        <v>38</v>
      </c>
      <c r="AH289" s="251">
        <f>RANK(TableOverallMaster[[#This Row],[VORP]],TableOverallMaster[VORP])+COUNTIF($AM$2:AM289,AM289)-1</f>
        <v>255</v>
      </c>
      <c r="AI289" s="252" t="str">
        <f>IFERROR(INDEX(TableTEVORP[TIGHT END],MATCH(TableOverallMaster[[#This Row],[RK]],TableTEVORP[RK],0)),"")</f>
        <v>O.J. Howard</v>
      </c>
      <c r="AJ289" s="252" t="str">
        <f t="shared" si="4"/>
        <v>TE38</v>
      </c>
      <c r="AK289" s="252">
        <f>IFERROR(INDEX(TableTEVORP[BYE],MATCH(TableOverallMaster[[#This Row],[RK]],TableTEVORP[RK],0)),"")</f>
        <v>7</v>
      </c>
      <c r="AL289" s="253">
        <f>IFERROR(INDEX(TableTEVORP[FPS],MATCH(TableOverallMaster[[#This Row],[RK]],TableTEVORP[RK],0)),"")</f>
        <v>35.057279579450409</v>
      </c>
      <c r="AM289" s="254">
        <f>IFERROR(INDEX(TableTEVORP[VORP],MATCH(TableOverallMaster[[#This Row],[RK]],TableTEVORP[RK],0)),"")</f>
        <v>-0.6578188315651472</v>
      </c>
      <c r="AN289" s="250"/>
      <c r="AO289" s="250">
        <v>288</v>
      </c>
      <c r="AP289" s="255" t="str">
        <f>IFERROR(INDEX(TableOverallMaster[OVERALL PLAYER],MATCH(TableOverallRank[[#This Row],[RK]],TableOverallMaster[OVR RK],0)),"")</f>
        <v>Demetric Felton</v>
      </c>
      <c r="AQ289" s="256" t="str">
        <f>IFERROR(INDEX(TableOverallMaster[POS RK],MATCH(TableOverallRank[[#This Row],[OVERALL PLAYER]],TableOverallMaster[OVERALL PLAYER],0)),"")</f>
        <v>RB91</v>
      </c>
      <c r="AR289" s="257">
        <f>IFERROR(INDEX(TableOverallMaster[BYE],MATCH(TableOverallRank[[#This Row],[OVERALL PLAYER]],TableOverallMaster[OVERALL PLAYER],0)),"")</f>
        <v>9</v>
      </c>
      <c r="AS289" s="258">
        <f>IFERROR(INDEX(TableOverallMaster[Custom],MATCH(TableOverallRank[[#This Row],[OVERALL PLAYER]],TableOverallMaster[OVERALL PLAYER],0)),"")</f>
        <v>19.479398619282502</v>
      </c>
      <c r="AT289" s="259">
        <f>IFERROR(INDEX(TableOverallMaster[VORP],MATCH(TableOverallRank[[#This Row],[OVERALL PLAYER]],TableOverallMaster[OVERALL PLAYER],0)),"")</f>
        <v>-0.80774222109570948</v>
      </c>
      <c r="AU289" s="250"/>
      <c r="AY289" s="268"/>
      <c r="AZ289" s="249"/>
    </row>
    <row r="290" spans="28:52" x14ac:dyDescent="0.3">
      <c r="AB290" s="246"/>
      <c r="AC290" s="250"/>
      <c r="AD290" s="250"/>
      <c r="AE290" s="250"/>
      <c r="AF290" s="250" t="s">
        <v>10</v>
      </c>
      <c r="AG290" s="250">
        <v>39</v>
      </c>
      <c r="AH290" s="251">
        <f>RANK(TableOverallMaster[[#This Row],[VORP]],TableOverallMaster[VORP])+COUNTIF($AM$2:AM290,AM290)-1</f>
        <v>259</v>
      </c>
      <c r="AI290" s="252" t="str">
        <f>IFERROR(INDEX(TableTEVORP[TIGHT END],MATCH(TableOverallMaster[[#This Row],[RK]],TableTEVORP[RK],0)),"")</f>
        <v>Donald Parham</v>
      </c>
      <c r="AJ290" s="252" t="str">
        <f t="shared" si="4"/>
        <v>TE39</v>
      </c>
      <c r="AK290" s="252">
        <f>IFERROR(INDEX(TableTEVORP[BYE],MATCH(TableOverallMaster[[#This Row],[RK]],TableTEVORP[RK],0)),"")</f>
        <v>8</v>
      </c>
      <c r="AL290" s="253">
        <f>IFERROR(INDEX(TableTEVORP[FPS],MATCH(TableOverallMaster[[#This Row],[RK]],TableTEVORP[RK],0)),"")</f>
        <v>32.820358387610085</v>
      </c>
      <c r="AM290" s="254">
        <f>IFERROR(INDEX(TableTEVORP[VORP],MATCH(TableOverallMaster[[#This Row],[RK]],TableTEVORP[RK],0)),"")</f>
        <v>-0.67965259380519505</v>
      </c>
      <c r="AN290" s="250"/>
      <c r="AO290" s="250">
        <v>289</v>
      </c>
      <c r="AP290" s="255" t="str">
        <f>IFERROR(INDEX(TableOverallMaster[OVERALL PLAYER],MATCH(TableOverallRank[[#This Row],[RK]],TableOverallMaster[OVR RK],0)),"")</f>
        <v>Abram Smith</v>
      </c>
      <c r="AQ290" s="256" t="str">
        <f>IFERROR(INDEX(TableOverallMaster[POS RK],MATCH(TableOverallRank[[#This Row],[OVERALL PLAYER]],TableOverallMaster[OVERALL PLAYER],0)),"")</f>
        <v>RB92</v>
      </c>
      <c r="AR290" s="257">
        <f>IFERROR(INDEX(TableOverallMaster[BYE],MATCH(TableOverallRank[[#This Row],[OVERALL PLAYER]],TableOverallMaster[OVERALL PLAYER],0)),"")</f>
        <v>14</v>
      </c>
      <c r="AS290" s="258">
        <f>IFERROR(INDEX(TableOverallMaster[Custom],MATCH(TableOverallRank[[#This Row],[OVERALL PLAYER]],TableOverallMaster[OVERALL PLAYER],0)),"")</f>
        <v>19.140250585141398</v>
      </c>
      <c r="AT290" s="259">
        <f>IFERROR(INDEX(TableOverallMaster[VORP],MATCH(TableOverallRank[[#This Row],[OVERALL PLAYER]],TableOverallMaster[OVERALL PLAYER],0)),"")</f>
        <v>-0.81108954454434923</v>
      </c>
      <c r="AU290" s="250"/>
      <c r="AY290" s="268"/>
      <c r="AZ290" s="249"/>
    </row>
    <row r="291" spans="28:52" x14ac:dyDescent="0.3">
      <c r="AB291" s="246"/>
      <c r="AC291" s="250"/>
      <c r="AD291" s="250"/>
      <c r="AE291" s="250"/>
      <c r="AF291" s="250" t="s">
        <v>10</v>
      </c>
      <c r="AG291" s="250">
        <v>40</v>
      </c>
      <c r="AH291" s="251">
        <f>RANK(TableOverallMaster[[#This Row],[VORP]],TableOverallMaster[VORP])+COUNTIF($AM$2:AM291,AM291)-1</f>
        <v>261</v>
      </c>
      <c r="AI291" s="252" t="str">
        <f>IFERROR(INDEX(TableTEVORP[TIGHT END],MATCH(TableOverallMaster[[#This Row],[RK]],TableTEVORP[RK],0)),"")</f>
        <v>Jordan Akins</v>
      </c>
      <c r="AJ291" s="252" t="str">
        <f t="shared" si="4"/>
        <v>TE40</v>
      </c>
      <c r="AK291" s="252">
        <f>IFERROR(INDEX(TableTEVORP[BYE],MATCH(TableOverallMaster[[#This Row],[RK]],TableTEVORP[RK],0)),"")</f>
        <v>9</v>
      </c>
      <c r="AL291" s="253">
        <f>IFERROR(INDEX(TableTEVORP[FPS],MATCH(TableOverallMaster[[#This Row],[RK]],TableTEVORP[RK],0)),"")</f>
        <v>31.016681903522954</v>
      </c>
      <c r="AM291" s="254">
        <f>IFERROR(INDEX(TableTEVORP[VORP],MATCH(TableOverallMaster[[#This Row],[RK]],TableTEVORP[RK],0)),"")</f>
        <v>-0.6972576143375121</v>
      </c>
      <c r="AN291" s="250"/>
      <c r="AO291" s="250">
        <v>290</v>
      </c>
      <c r="AP291" s="255" t="str">
        <f>IFERROR(INDEX(TableOverallMaster[OVERALL PLAYER],MATCH(TableOverallRank[[#This Row],[RK]],TableOverallMaster[OVR RK],0)),"")</f>
        <v>Pierre Strong</v>
      </c>
      <c r="AQ291" s="256" t="str">
        <f>IFERROR(INDEX(TableOverallMaster[POS RK],MATCH(TableOverallRank[[#This Row],[OVERALL PLAYER]],TableOverallMaster[OVERALL PLAYER],0)),"")</f>
        <v>RB93</v>
      </c>
      <c r="AR291" s="257">
        <f>IFERROR(INDEX(TableOverallMaster[BYE],MATCH(TableOverallRank[[#This Row],[OVERALL PLAYER]],TableOverallMaster[OVERALL PLAYER],0)),"")</f>
        <v>10</v>
      </c>
      <c r="AS291" s="258">
        <f>IFERROR(INDEX(TableOverallMaster[Custom],MATCH(TableOverallRank[[#This Row],[OVERALL PLAYER]],TableOverallMaster[OVERALL PLAYER],0)),"")</f>
        <v>17.933487942625828</v>
      </c>
      <c r="AT291" s="259">
        <f>IFERROR(INDEX(TableOverallMaster[VORP],MATCH(TableOverallRank[[#This Row],[OVERALL PLAYER]],TableOverallMaster[OVERALL PLAYER],0)),"")</f>
        <v>-0.82300005111846142</v>
      </c>
      <c r="AU291" s="250"/>
      <c r="AY291" s="268"/>
      <c r="AZ291" s="249"/>
    </row>
    <row r="292" spans="28:52" x14ac:dyDescent="0.3">
      <c r="AB292" s="246"/>
      <c r="AC292" s="250"/>
      <c r="AD292" s="250"/>
      <c r="AE292" s="250"/>
      <c r="AF292" s="250" t="s">
        <v>10</v>
      </c>
      <c r="AG292" s="250">
        <v>41</v>
      </c>
      <c r="AH292" s="251">
        <f>RANK(TableOverallMaster[[#This Row],[VORP]],TableOverallMaster[VORP])+COUNTIF($AM$2:AM292,AM292)-1</f>
        <v>262</v>
      </c>
      <c r="AI292" s="252" t="str">
        <f>IFERROR(INDEX(TableTEVORP[TIGHT END],MATCH(TableOverallMaster[[#This Row],[RK]],TableTEVORP[RK],0)),"")</f>
        <v>Foster Moreau</v>
      </c>
      <c r="AJ292" s="252" t="str">
        <f t="shared" si="4"/>
        <v>TE41</v>
      </c>
      <c r="AK292" s="252">
        <f>IFERROR(INDEX(TableTEVORP[BYE],MATCH(TableOverallMaster[[#This Row],[RK]],TableTEVORP[RK],0)),"")</f>
        <v>6</v>
      </c>
      <c r="AL292" s="253">
        <f>IFERROR(INDEX(TableTEVORP[FPS],MATCH(TableOverallMaster[[#This Row],[RK]],TableTEVORP[RK],0)),"")</f>
        <v>29.607862319138633</v>
      </c>
      <c r="AM292" s="254">
        <f>IFERROR(INDEX(TableTEVORP[VORP],MATCH(TableOverallMaster[[#This Row],[RK]],TableTEVORP[RK],0)),"")</f>
        <v>-0.71100858238983944</v>
      </c>
      <c r="AN292" s="250"/>
      <c r="AO292" s="250">
        <v>291</v>
      </c>
      <c r="AP292" s="255" t="str">
        <f>IFERROR(INDEX(TableOverallMaster[OVERALL PLAYER],MATCH(TableOverallRank[[#This Row],[RK]],TableOverallMaster[OVR RK],0)),"")</f>
        <v>Benny Snell</v>
      </c>
      <c r="AQ292" s="256" t="str">
        <f>IFERROR(INDEX(TableOverallMaster[POS RK],MATCH(TableOverallRank[[#This Row],[OVERALL PLAYER]],TableOverallMaster[OVERALL PLAYER],0)),"")</f>
        <v>RB94</v>
      </c>
      <c r="AR292" s="257">
        <f>IFERROR(INDEX(TableOverallMaster[BYE],MATCH(TableOverallRank[[#This Row],[OVERALL PLAYER]],TableOverallMaster[OVERALL PLAYER],0)),"")</f>
        <v>9</v>
      </c>
      <c r="AS292" s="258">
        <f>IFERROR(INDEX(TableOverallMaster[Custom],MATCH(TableOverallRank[[#This Row],[OVERALL PLAYER]],TableOverallMaster[OVERALL PLAYER],0)),"")</f>
        <v>17.493678221063099</v>
      </c>
      <c r="AT292" s="259">
        <f>IFERROR(INDEX(TableOverallMaster[VORP],MATCH(TableOverallRank[[#This Row],[OVERALL PLAYER]],TableOverallMaster[OVERALL PLAYER],0)),"")</f>
        <v>-0.82734088534341865</v>
      </c>
      <c r="AU292" s="250"/>
      <c r="AY292" s="268"/>
      <c r="AZ292" s="249"/>
    </row>
    <row r="293" spans="28:52" x14ac:dyDescent="0.3">
      <c r="AB293" s="246"/>
      <c r="AC293" s="250"/>
      <c r="AD293" s="250"/>
      <c r="AE293" s="250"/>
      <c r="AF293" s="250" t="s">
        <v>10</v>
      </c>
      <c r="AG293" s="250">
        <v>42</v>
      </c>
      <c r="AH293" s="251">
        <f>RANK(TableOverallMaster[[#This Row],[VORP]],TableOverallMaster[VORP])+COUNTIF($AM$2:AM293,AM293)-1</f>
        <v>263</v>
      </c>
      <c r="AI293" s="252" t="str">
        <f>IFERROR(INDEX(TableTEVORP[TIGHT END],MATCH(TableOverallMaster[[#This Row],[RK]],TableTEVORP[RK],0)),"")</f>
        <v>Tyler Conklin</v>
      </c>
      <c r="AJ293" s="252" t="str">
        <f t="shared" si="4"/>
        <v>TE42</v>
      </c>
      <c r="AK293" s="252">
        <f>IFERROR(INDEX(TableTEVORP[BYE],MATCH(TableOverallMaster[[#This Row],[RK]],TableTEVORP[RK],0)),"")</f>
        <v>10</v>
      </c>
      <c r="AL293" s="253">
        <f>IFERROR(INDEX(TableTEVORP[FPS],MATCH(TableOverallMaster[[#This Row],[RK]],TableTEVORP[RK],0)),"")</f>
        <v>29.058916736132929</v>
      </c>
      <c r="AM293" s="254">
        <f>IFERROR(INDEX(TableTEVORP[VORP],MATCH(TableOverallMaster[[#This Row],[RK]],TableTEVORP[RK],0)),"")</f>
        <v>-0.7163666376426534</v>
      </c>
      <c r="AN293" s="250"/>
      <c r="AO293" s="250">
        <v>292</v>
      </c>
      <c r="AP293" s="255" t="str">
        <f>IFERROR(INDEX(TableOverallMaster[OVERALL PLAYER],MATCH(TableOverallRank[[#This Row],[RK]],TableOverallMaster[OVR RK],0)),"")</f>
        <v>Taysom Hill</v>
      </c>
      <c r="AQ293" s="256" t="str">
        <f>IFERROR(INDEX(TableOverallMaster[POS RK],MATCH(TableOverallRank[[#This Row],[OVERALL PLAYER]],TableOverallMaster[OVERALL PLAYER],0)),"")</f>
        <v>QB38</v>
      </c>
      <c r="AR293" s="257">
        <f>IFERROR(INDEX(TableOverallMaster[BYE],MATCH(TableOverallRank[[#This Row],[OVERALL PLAYER]],TableOverallMaster[OVERALL PLAYER],0)),"")</f>
        <v>14</v>
      </c>
      <c r="AS293" s="258">
        <f>IFERROR(INDEX(TableOverallMaster[Custom],MATCH(TableOverallRank[[#This Row],[OVERALL PLAYER]],TableOverallMaster[OVERALL PLAYER],0)),"")</f>
        <v>43.6576146450805</v>
      </c>
      <c r="AT293" s="259">
        <f>IFERROR(INDEX(TableOverallMaster[VORP],MATCH(TableOverallRank[[#This Row],[OVERALL PLAYER]],TableOverallMaster[OVERALL PLAYER],0)),"")</f>
        <v>-0.82790357148771931</v>
      </c>
      <c r="AU293" s="250"/>
      <c r="AY293" s="268"/>
      <c r="AZ293" s="249"/>
    </row>
    <row r="294" spans="28:52" x14ac:dyDescent="0.3">
      <c r="AB294" s="246"/>
      <c r="AC294" s="250"/>
      <c r="AD294" s="250"/>
      <c r="AE294" s="250"/>
      <c r="AF294" s="250" t="s">
        <v>10</v>
      </c>
      <c r="AG294" s="250">
        <v>43</v>
      </c>
      <c r="AH294" s="251">
        <f>RANK(TableOverallMaster[[#This Row],[VORP]],TableOverallMaster[VORP])+COUNTIF($AM$2:AM294,AM294)-1</f>
        <v>266</v>
      </c>
      <c r="AI294" s="252" t="str">
        <f>IFERROR(INDEX(TableTEVORP[TIGHT END],MATCH(TableOverallMaster[[#This Row],[RK]],TableTEVORP[RK],0)),"")</f>
        <v>Pharaoh Brown</v>
      </c>
      <c r="AJ294" s="252" t="str">
        <f t="shared" si="4"/>
        <v>TE43</v>
      </c>
      <c r="AK294" s="252">
        <f>IFERROR(INDEX(TableTEVORP[BYE],MATCH(TableOverallMaster[[#This Row],[RK]],TableTEVORP[RK],0)),"")</f>
        <v>6</v>
      </c>
      <c r="AL294" s="253">
        <f>IFERROR(INDEX(TableTEVORP[FPS],MATCH(TableOverallMaster[[#This Row],[RK]],TableTEVORP[RK],0)),"")</f>
        <v>28.593766911205876</v>
      </c>
      <c r="AM294" s="254">
        <f>IFERROR(INDEX(TableTEVORP[VORP],MATCH(TableOverallMaster[[#This Row],[RK]],TableTEVORP[RK],0)),"")</f>
        <v>-0.72090679342485242</v>
      </c>
      <c r="AN294" s="250"/>
      <c r="AO294" s="250">
        <v>293</v>
      </c>
      <c r="AP294" s="255" t="str">
        <f>IFERROR(INDEX(TableOverallMaster[OVERALL PLAYER],MATCH(TableOverallRank[[#This Row],[RK]],TableOverallMaster[OVR RK],0)),"")</f>
        <v>Snoop Conner</v>
      </c>
      <c r="AQ294" s="256" t="str">
        <f>IFERROR(INDEX(TableOverallMaster[POS RK],MATCH(TableOverallRank[[#This Row],[OVERALL PLAYER]],TableOverallMaster[OVERALL PLAYER],0)),"")</f>
        <v>RB95</v>
      </c>
      <c r="AR294" s="257">
        <f>IFERROR(INDEX(TableOverallMaster[BYE],MATCH(TableOverallRank[[#This Row],[OVERALL PLAYER]],TableOverallMaster[OVERALL PLAYER],0)),"")</f>
        <v>11</v>
      </c>
      <c r="AS294" s="258">
        <f>IFERROR(INDEX(TableOverallMaster[Custom],MATCH(TableOverallRank[[#This Row],[OVERALL PLAYER]],TableOverallMaster[OVERALL PLAYER],0)),"")</f>
        <v>17.168184838525917</v>
      </c>
      <c r="AT294" s="259">
        <f>IFERROR(INDEX(TableOverallMaster[VORP],MATCH(TableOverallRank[[#This Row],[OVERALL PLAYER]],TableOverallMaster[OVERALL PLAYER],0)),"")</f>
        <v>-0.83055344010435961</v>
      </c>
      <c r="AU294" s="250"/>
      <c r="AY294" s="268"/>
      <c r="AZ294" s="249"/>
    </row>
    <row r="295" spans="28:52" x14ac:dyDescent="0.3">
      <c r="AB295" s="246"/>
      <c r="AC295" s="250"/>
      <c r="AD295" s="250"/>
      <c r="AE295" s="250"/>
      <c r="AF295" s="250" t="s">
        <v>10</v>
      </c>
      <c r="AG295" s="250">
        <v>44</v>
      </c>
      <c r="AH295" s="251">
        <f>RANK(TableOverallMaster[[#This Row],[VORP]],TableOverallMaster[VORP])+COUNTIF($AM$2:AM295,AM295)-1</f>
        <v>267</v>
      </c>
      <c r="AI295" s="252" t="str">
        <f>IFERROR(INDEX(TableTEVORP[TIGHT END],MATCH(TableOverallMaster[[#This Row],[RK]],TableTEVORP[RK],0)),"")</f>
        <v>John Bates</v>
      </c>
      <c r="AJ295" s="252" t="str">
        <f t="shared" si="4"/>
        <v>TE44</v>
      </c>
      <c r="AK295" s="252">
        <f>IFERROR(INDEX(TableTEVORP[BYE],MATCH(TableOverallMaster[[#This Row],[RK]],TableTEVORP[RK],0)),"")</f>
        <v>14</v>
      </c>
      <c r="AL295" s="253">
        <f>IFERROR(INDEX(TableTEVORP[FPS],MATCH(TableOverallMaster[[#This Row],[RK]],TableTEVORP[RK],0)),"")</f>
        <v>28.379723029633141</v>
      </c>
      <c r="AM295" s="254">
        <f>IFERROR(INDEX(TableTEVORP[VORP],MATCH(TableOverallMaster[[#This Row],[RK]],TableTEVORP[RK],0)),"")</f>
        <v>-0.72299599676211934</v>
      </c>
      <c r="AN295" s="250"/>
      <c r="AO295" s="250">
        <v>294</v>
      </c>
      <c r="AP295" s="255" t="str">
        <f>IFERROR(INDEX(TableOverallMaster[OVERALL PLAYER],MATCH(TableOverallRank[[#This Row],[RK]],TableOverallMaster[OVR RK],0)),"")</f>
        <v>Jermar Jefferson</v>
      </c>
      <c r="AQ295" s="256" t="str">
        <f>IFERROR(INDEX(TableOverallMaster[POS RK],MATCH(TableOverallRank[[#This Row],[OVERALL PLAYER]],TableOverallMaster[OVERALL PLAYER],0)),"")</f>
        <v>RB96</v>
      </c>
      <c r="AR295" s="257">
        <f>IFERROR(INDEX(TableOverallMaster[BYE],MATCH(TableOverallRank[[#This Row],[OVERALL PLAYER]],TableOverallMaster[OVERALL PLAYER],0)),"")</f>
        <v>6</v>
      </c>
      <c r="AS295" s="258">
        <f>IFERROR(INDEX(TableOverallMaster[Custom],MATCH(TableOverallRank[[#This Row],[OVERALL PLAYER]],TableOverallMaster[OVERALL PLAYER],0)),"")</f>
        <v>16.461601927920299</v>
      </c>
      <c r="AT295" s="259">
        <f>IFERROR(INDEX(TableOverallMaster[VORP],MATCH(TableOverallRank[[#This Row],[OVERALL PLAYER]],TableOverallMaster[OVERALL PLAYER],0)),"")</f>
        <v>-0.83752727249312187</v>
      </c>
      <c r="AU295" s="250"/>
      <c r="AY295" s="268"/>
      <c r="AZ295" s="249"/>
    </row>
    <row r="296" spans="28:52" x14ac:dyDescent="0.3">
      <c r="AB296" s="246"/>
      <c r="AC296" s="250"/>
      <c r="AD296" s="250"/>
      <c r="AE296" s="250"/>
      <c r="AF296" s="250" t="s">
        <v>10</v>
      </c>
      <c r="AG296" s="250">
        <v>45</v>
      </c>
      <c r="AH296" s="251">
        <f>RANK(TableOverallMaster[[#This Row],[VORP]],TableOverallMaster[VORP])+COUNTIF($AM$2:AM296,AM296)-1</f>
        <v>269</v>
      </c>
      <c r="AI296" s="252" t="str">
        <f>IFERROR(INDEX(TableTEVORP[TIGHT END],MATCH(TableOverallMaster[[#This Row],[RK]],TableTEVORP[RK],0)),"")</f>
        <v>Anthony Firkser</v>
      </c>
      <c r="AJ296" s="252" t="str">
        <f t="shared" si="4"/>
        <v>TE45</v>
      </c>
      <c r="AK296" s="252">
        <f>IFERROR(INDEX(TableTEVORP[BYE],MATCH(TableOverallMaster[[#This Row],[RK]],TableTEVORP[RK],0)),"")</f>
        <v>14</v>
      </c>
      <c r="AL296" s="253">
        <f>IFERROR(INDEX(TableTEVORP[FPS],MATCH(TableOverallMaster[[#This Row],[RK]],TableTEVORP[RK],0)),"")</f>
        <v>27.919752297861926</v>
      </c>
      <c r="AM296" s="254">
        <f>IFERROR(INDEX(TableTEVORP[VORP],MATCH(TableOverallMaster[[#This Row],[RK]],TableTEVORP[RK],0)),"")</f>
        <v>-0.72748560132731699</v>
      </c>
      <c r="AN296" s="250"/>
      <c r="AO296" s="250">
        <v>295</v>
      </c>
      <c r="AP296" s="255" t="str">
        <f>IFERROR(INDEX(TableOverallMaster[OVERALL PLAYER],MATCH(TableOverallRank[[#This Row],[RK]],TableOverallMaster[OVR RK],0)),"")</f>
        <v>Dare Ogunbowale</v>
      </c>
      <c r="AQ296" s="256" t="str">
        <f>IFERROR(INDEX(TableOverallMaster[POS RK],MATCH(TableOverallRank[[#This Row],[OVERALL PLAYER]],TableOverallMaster[OVERALL PLAYER],0)),"")</f>
        <v>RB97</v>
      </c>
      <c r="AR296" s="257">
        <f>IFERROR(INDEX(TableOverallMaster[BYE],MATCH(TableOverallRank[[#This Row],[OVERALL PLAYER]],TableOverallMaster[OVERALL PLAYER],0)),"")</f>
        <v>6</v>
      </c>
      <c r="AS296" s="258">
        <f>IFERROR(INDEX(TableOverallMaster[Custom],MATCH(TableOverallRank[[#This Row],[OVERALL PLAYER]],TableOverallMaster[OVERALL PLAYER],0)),"")</f>
        <v>16.348073894509326</v>
      </c>
      <c r="AT296" s="259">
        <f>IFERROR(INDEX(TableOverallMaster[VORP],MATCH(TableOverallRank[[#This Row],[OVERALL PLAYER]],TableOverallMaster[OVERALL PLAYER],0)),"")</f>
        <v>-0.83864777153796199</v>
      </c>
      <c r="AU296" s="250"/>
      <c r="AY296" s="268"/>
      <c r="AZ296" s="249"/>
    </row>
    <row r="297" spans="28:52" x14ac:dyDescent="0.3">
      <c r="AB297" s="246"/>
      <c r="AC297" s="250"/>
      <c r="AD297" s="250"/>
      <c r="AE297" s="250"/>
      <c r="AF297" s="250" t="s">
        <v>10</v>
      </c>
      <c r="AG297" s="250">
        <v>46</v>
      </c>
      <c r="AH297" s="251">
        <f>RANK(TableOverallMaster[[#This Row],[VORP]],TableOverallMaster[VORP])+COUNTIF($AM$2:AM297,AM297)-1</f>
        <v>271</v>
      </c>
      <c r="AI297" s="252" t="str">
        <f>IFERROR(INDEX(TableTEVORP[TIGHT END],MATCH(TableOverallMaster[[#This Row],[RK]],TableTEVORP[RK],0)),"")</f>
        <v>Kylen Granson</v>
      </c>
      <c r="AJ297" s="252" t="str">
        <f t="shared" si="4"/>
        <v>TE46</v>
      </c>
      <c r="AK297" s="252">
        <f>IFERROR(INDEX(TableTEVORP[BYE],MATCH(TableOverallMaster[[#This Row],[RK]],TableTEVORP[RK],0)),"")</f>
        <v>14</v>
      </c>
      <c r="AL297" s="253">
        <f>IFERROR(INDEX(TableTEVORP[FPS],MATCH(TableOverallMaster[[#This Row],[RK]],TableTEVORP[RK],0)),"")</f>
        <v>27.433862445722774</v>
      </c>
      <c r="AM297" s="254">
        <f>IFERROR(INDEX(TableTEVORP[VORP],MATCH(TableOverallMaster[[#This Row],[RK]],TableTEVORP[RK],0)),"")</f>
        <v>-0.73222819286123242</v>
      </c>
      <c r="AN297" s="250"/>
      <c r="AO297" s="250">
        <v>296</v>
      </c>
      <c r="AP297" s="255" t="str">
        <f>IFERROR(INDEX(TableOverallMaster[OVERALL PLAYER],MATCH(TableOverallRank[[#This Row],[RK]],TableOverallMaster[OVR RK],0)),"")</f>
        <v>Mike Davis</v>
      </c>
      <c r="AQ297" s="256" t="str">
        <f>IFERROR(INDEX(TableOverallMaster[POS RK],MATCH(TableOverallRank[[#This Row],[OVERALL PLAYER]],TableOverallMaster[OVERALL PLAYER],0)),"")</f>
        <v>RB98</v>
      </c>
      <c r="AR297" s="257">
        <f>IFERROR(INDEX(TableOverallMaster[BYE],MATCH(TableOverallRank[[#This Row],[OVERALL PLAYER]],TableOverallMaster[OVERALL PLAYER],0)),"")</f>
        <v>10</v>
      </c>
      <c r="AS297" s="258">
        <f>IFERROR(INDEX(TableOverallMaster[Custom],MATCH(TableOverallRank[[#This Row],[OVERALL PLAYER]],TableOverallMaster[OVERALL PLAYER],0)),"")</f>
        <v>15.706408260384052</v>
      </c>
      <c r="AT297" s="259">
        <f>IFERROR(INDEX(TableOverallMaster[VORP],MATCH(TableOverallRank[[#This Row],[OVERALL PLAYER]],TableOverallMaster[OVERALL PLAYER],0)),"")</f>
        <v>-0.84498088335662058</v>
      </c>
      <c r="AU297" s="250"/>
      <c r="AY297" s="268"/>
      <c r="AZ297" s="249"/>
    </row>
    <row r="298" spans="28:52" x14ac:dyDescent="0.3">
      <c r="AB298" s="246"/>
      <c r="AC298" s="250"/>
      <c r="AD298" s="250"/>
      <c r="AE298" s="250"/>
      <c r="AF298" s="250" t="s">
        <v>10</v>
      </c>
      <c r="AG298" s="250">
        <v>47</v>
      </c>
      <c r="AH298" s="251">
        <f>RANK(TableOverallMaster[[#This Row],[VORP]],TableOverallMaster[VORP])+COUNTIF($AM$2:AM298,AM298)-1</f>
        <v>275</v>
      </c>
      <c r="AI298" s="252" t="str">
        <f>IFERROR(INDEX(TableTEVORP[TIGHT END],MATCH(TableOverallMaster[[#This Row],[RK]],TableTEVORP[RK],0)),"")</f>
        <v>Ian Thomas</v>
      </c>
      <c r="AJ298" s="252" t="str">
        <f t="shared" si="4"/>
        <v>TE47</v>
      </c>
      <c r="AK298" s="252">
        <f>IFERROR(INDEX(TableTEVORP[BYE],MATCH(TableOverallMaster[[#This Row],[RK]],TableTEVORP[RK],0)),"")</f>
        <v>13</v>
      </c>
      <c r="AL298" s="253">
        <f>IFERROR(INDEX(TableTEVORP[FPS],MATCH(TableOverallMaster[[#This Row],[RK]],TableTEVORP[RK],0)),"")</f>
        <v>25.113022945980973</v>
      </c>
      <c r="AM298" s="254">
        <f>IFERROR(INDEX(TableTEVORP[VORP],MATCH(TableOverallMaster[[#This Row],[RK]],TableTEVORP[RK],0)),"")</f>
        <v>-0.75488105073549028</v>
      </c>
      <c r="AN298" s="250"/>
      <c r="AO298" s="250">
        <v>297</v>
      </c>
      <c r="AP298" s="255" t="str">
        <f>IFERROR(INDEX(TableOverallMaster[OVERALL PLAYER],MATCH(TableOverallRank[[#This Row],[RK]],TableOverallMaster[OVR RK],0)),"")</f>
        <v>Darrynton Evans</v>
      </c>
      <c r="AQ298" s="256" t="str">
        <f>IFERROR(INDEX(TableOverallMaster[POS RK],MATCH(TableOverallRank[[#This Row],[OVERALL PLAYER]],TableOverallMaster[OVERALL PLAYER],0)),"")</f>
        <v>RB99</v>
      </c>
      <c r="AR298" s="257">
        <f>IFERROR(INDEX(TableOverallMaster[BYE],MATCH(TableOverallRank[[#This Row],[OVERALL PLAYER]],TableOverallMaster[OVERALL PLAYER],0)),"")</f>
        <v>14</v>
      </c>
      <c r="AS298" s="258">
        <f>IFERROR(INDEX(TableOverallMaster[Custom],MATCH(TableOverallRank[[#This Row],[OVERALL PLAYER]],TableOverallMaster[OVERALL PLAYER],0)),"")</f>
        <v>15.339572196945394</v>
      </c>
      <c r="AT298" s="259">
        <f>IFERROR(INDEX(TableOverallMaster[VORP],MATCH(TableOverallRank[[#This Row],[OVERALL PLAYER]],TableOverallMaster[OVERALL PLAYER],0)),"")</f>
        <v>-0.84860148213162045</v>
      </c>
      <c r="AU298" s="250"/>
      <c r="AY298" s="268"/>
      <c r="AZ298" s="249"/>
    </row>
    <row r="299" spans="28:52" x14ac:dyDescent="0.3">
      <c r="AB299" s="246"/>
      <c r="AC299" s="250"/>
      <c r="AD299" s="250"/>
      <c r="AE299" s="250"/>
      <c r="AF299" s="250" t="s">
        <v>10</v>
      </c>
      <c r="AG299" s="250">
        <v>48</v>
      </c>
      <c r="AH299" s="251">
        <f>RANK(TableOverallMaster[[#This Row],[VORP]],TableOverallMaster[VORP])+COUNTIF($AM$2:AM299,AM299)-1</f>
        <v>276</v>
      </c>
      <c r="AI299" s="252" t="str">
        <f>IFERROR(INDEX(TableTEVORP[TIGHT END],MATCH(TableOverallMaster[[#This Row],[RK]],TableTEVORP[RK],0)),"")</f>
        <v>Will Dissly</v>
      </c>
      <c r="AJ299" s="252" t="str">
        <f t="shared" si="4"/>
        <v>TE48</v>
      </c>
      <c r="AK299" s="252">
        <f>IFERROR(INDEX(TableTEVORP[BYE],MATCH(TableOverallMaster[[#This Row],[RK]],TableTEVORP[RK],0)),"")</f>
        <v>11</v>
      </c>
      <c r="AL299" s="253">
        <f>IFERROR(INDEX(TableTEVORP[FPS],MATCH(TableOverallMaster[[#This Row],[RK]],TableTEVORP[RK],0)),"")</f>
        <v>24.755236021338916</v>
      </c>
      <c r="AM299" s="254">
        <f>IFERROR(INDEX(TableTEVORP[VORP],MATCH(TableOverallMaster[[#This Row],[RK]],TableTEVORP[RK],0)),"")</f>
        <v>-0.75837327686921729</v>
      </c>
      <c r="AN299" s="250"/>
      <c r="AO299" s="250">
        <v>298</v>
      </c>
      <c r="AP299" s="255" t="str">
        <f>IFERROR(INDEX(TableOverallMaster[OVERALL PLAYER],MATCH(TableOverallRank[[#This Row],[RK]],TableOverallMaster[OVR RK],0)),"")</f>
        <v>Zack Moss</v>
      </c>
      <c r="AQ299" s="256" t="str">
        <f>IFERROR(INDEX(TableOverallMaster[POS RK],MATCH(TableOverallRank[[#This Row],[OVERALL PLAYER]],TableOverallMaster[OVERALL PLAYER],0)),"")</f>
        <v>RB100</v>
      </c>
      <c r="AR299" s="257">
        <f>IFERROR(INDEX(TableOverallMaster[BYE],MATCH(TableOverallRank[[#This Row],[OVERALL PLAYER]],TableOverallMaster[OVERALL PLAYER],0)),"")</f>
        <v>7</v>
      </c>
      <c r="AS299" s="258">
        <f>IFERROR(INDEX(TableOverallMaster[Custom],MATCH(TableOverallRank[[#This Row],[OVERALL PLAYER]],TableOverallMaster[OVERALL PLAYER],0)),"")</f>
        <v>14.671193693335264</v>
      </c>
      <c r="AT299" s="259">
        <f>IFERROR(INDEX(TableOverallMaster[VORP],MATCH(TableOverallRank[[#This Row],[OVERALL PLAYER]],TableOverallMaster[OVERALL PLAYER],0)),"")</f>
        <v>-0.85519824464379857</v>
      </c>
      <c r="AU299" s="250"/>
      <c r="AY299" s="268"/>
      <c r="AZ299" s="249"/>
    </row>
    <row r="300" spans="28:52" x14ac:dyDescent="0.3">
      <c r="AB300" s="246"/>
      <c r="AC300" s="250"/>
      <c r="AD300" s="250"/>
      <c r="AE300" s="250"/>
      <c r="AF300" s="250" t="s">
        <v>10</v>
      </c>
      <c r="AG300" s="250">
        <v>49</v>
      </c>
      <c r="AH300" s="251">
        <f>RANK(TableOverallMaster[[#This Row],[VORP]],TableOverallMaster[VORP])+COUNTIF($AM$2:AM300,AM300)-1</f>
        <v>281</v>
      </c>
      <c r="AI300" s="252" t="str">
        <f>IFERROR(INDEX(TableTEVORP[TIGHT END],MATCH(TableOverallMaster[[#This Row],[RK]],TableTEVORP[RK],0)),"")</f>
        <v>Greg Dulcich</v>
      </c>
      <c r="AJ300" s="252" t="str">
        <f t="shared" si="4"/>
        <v>TE49</v>
      </c>
      <c r="AK300" s="252">
        <f>IFERROR(INDEX(TableTEVORP[BYE],MATCH(TableOverallMaster[[#This Row],[RK]],TableTEVORP[RK],0)),"")</f>
        <v>9</v>
      </c>
      <c r="AL300" s="253">
        <f>IFERROR(INDEX(TableTEVORP[FPS],MATCH(TableOverallMaster[[#This Row],[RK]],TableTEVORP[RK],0)),"")</f>
        <v>22.454485484473569</v>
      </c>
      <c r="AM300" s="254">
        <f>IFERROR(INDEX(TableTEVORP[VORP],MATCH(TableOverallMaster[[#This Row],[RK]],TableTEVORP[RK],0)),"")</f>
        <v>-0.78083005379046988</v>
      </c>
      <c r="AN300" s="250"/>
      <c r="AO300" s="250">
        <v>299</v>
      </c>
      <c r="AP300" s="255" t="str">
        <f>IFERROR(INDEX(TableOverallMaster[OVERALL PLAYER],MATCH(TableOverallRank[[#This Row],[RK]],TableOverallMaster[OVR RK],0)),"")</f>
        <v>Tyrod Taylor</v>
      </c>
      <c r="AQ300" s="256" t="str">
        <f>IFERROR(INDEX(TableOverallMaster[POS RK],MATCH(TableOverallRank[[#This Row],[OVERALL PLAYER]],TableOverallMaster[OVERALL PLAYER],0)),"")</f>
        <v>QB39</v>
      </c>
      <c r="AR300" s="257">
        <f>IFERROR(INDEX(TableOverallMaster[BYE],MATCH(TableOverallRank[[#This Row],[OVERALL PLAYER]],TableOverallMaster[OVERALL PLAYER],0)),"")</f>
        <v>9</v>
      </c>
      <c r="AS300" s="258">
        <f>IFERROR(INDEX(TableOverallMaster[Custom],MATCH(TableOverallRank[[#This Row],[OVERALL PLAYER]],TableOverallMaster[OVERALL PLAYER],0)),"")</f>
        <v>28.036483896196742</v>
      </c>
      <c r="AT300" s="259">
        <f>IFERROR(INDEX(TableOverallMaster[VORP],MATCH(TableOverallRank[[#This Row],[OVERALL PLAYER]],TableOverallMaster[OVERALL PLAYER],0)),"")</f>
        <v>-0.89017388889965365</v>
      </c>
      <c r="AU300" s="250"/>
      <c r="AY300" s="268"/>
      <c r="AZ300" s="249"/>
    </row>
    <row r="301" spans="28:52" x14ac:dyDescent="0.3">
      <c r="AB301" s="246"/>
      <c r="AC301" s="250"/>
      <c r="AD301" s="250"/>
      <c r="AE301" s="250"/>
      <c r="AF301" s="250" t="s">
        <v>10</v>
      </c>
      <c r="AG301" s="250">
        <v>50</v>
      </c>
      <c r="AH301" s="251">
        <f>RANK(TableOverallMaster[[#This Row],[VORP]],TableOverallMaster[VORP])+COUNTIF($AM$2:AM301,AM301)-1</f>
        <v>283</v>
      </c>
      <c r="AI301" s="252" t="str">
        <f>IFERROR(INDEX(TableTEVORP[TIGHT END],MATCH(TableOverallMaster[[#This Row],[RK]],TableTEVORP[RK],0)),"")</f>
        <v>Trey McBride</v>
      </c>
      <c r="AJ301" s="252" t="str">
        <f t="shared" si="4"/>
        <v>TE50</v>
      </c>
      <c r="AK301" s="252">
        <f>IFERROR(INDEX(TableTEVORP[BYE],MATCH(TableOverallMaster[[#This Row],[RK]],TableTEVORP[RK],0)),"")</f>
        <v>13</v>
      </c>
      <c r="AL301" s="253">
        <f>IFERROR(INDEX(TableTEVORP[FPS],MATCH(TableOverallMaster[[#This Row],[RK]],TableTEVORP[RK],0)),"")</f>
        <v>22.020922347162873</v>
      </c>
      <c r="AM301" s="254">
        <f>IFERROR(INDEX(TableTEVORP[VORP],MATCH(TableOverallMaster[[#This Row],[RK]],TableTEVORP[RK],0)),"")</f>
        <v>-0.78506190357159833</v>
      </c>
      <c r="AN301" s="250"/>
      <c r="AO301" s="250">
        <v>300</v>
      </c>
      <c r="AP301" s="255" t="str">
        <f>IFERROR(INDEX(TableOverallMaster[OVERALL PLAYER],MATCH(TableOverallRank[[#This Row],[RK]],TableOverallMaster[OVR RK],0)),"")</f>
        <v>Gardner Minshew</v>
      </c>
      <c r="AQ301" s="256" t="str">
        <f>IFERROR(INDEX(TableOverallMaster[POS RK],MATCH(TableOverallRank[[#This Row],[OVERALL PLAYER]],TableOverallMaster[OVERALL PLAYER],0)),"")</f>
        <v>QB40</v>
      </c>
      <c r="AR301" s="257">
        <f>IFERROR(INDEX(TableOverallMaster[BYE],MATCH(TableOverallRank[[#This Row],[OVERALL PLAYER]],TableOverallMaster[OVERALL PLAYER],0)),"")</f>
        <v>7</v>
      </c>
      <c r="AS301" s="258">
        <f>IFERROR(INDEX(TableOverallMaster[Custom],MATCH(TableOverallRank[[#This Row],[OVERALL PLAYER]],TableOverallMaster[OVERALL PLAYER],0)),"")</f>
        <v>18.33636913744019</v>
      </c>
      <c r="AT301" s="259">
        <f>IFERROR(INDEX(TableOverallMaster[VORP],MATCH(TableOverallRank[[#This Row],[OVERALL PLAYER]],TableOverallMaster[OVERALL PLAYER],0)),"")</f>
        <v>-0.93733825300843077</v>
      </c>
      <c r="AU301" s="250"/>
      <c r="AY301" s="268"/>
      <c r="AZ301" s="249"/>
    </row>
    <row r="302" spans="28:52" x14ac:dyDescent="0.3">
      <c r="AU302" s="246"/>
      <c r="AY302" s="268"/>
      <c r="AZ302" s="249"/>
    </row>
    <row r="303" spans="28:52" x14ac:dyDescent="0.3">
      <c r="AU303" s="246"/>
      <c r="AY303" s="268"/>
      <c r="AZ303" s="249"/>
    </row>
    <row r="304" spans="28:52" x14ac:dyDescent="0.3">
      <c r="AU304" s="246"/>
      <c r="AY304" s="268"/>
      <c r="AZ304" s="249"/>
    </row>
    <row r="305" spans="47:52" x14ac:dyDescent="0.3">
      <c r="AU305" s="246"/>
      <c r="AY305" s="268"/>
      <c r="AZ305" s="249"/>
    </row>
    <row r="306" spans="47:52" x14ac:dyDescent="0.3">
      <c r="AU306" s="246"/>
      <c r="AY306" s="268"/>
      <c r="AZ306" s="249"/>
    </row>
    <row r="307" spans="47:52" x14ac:dyDescent="0.3">
      <c r="AU307" s="246"/>
    </row>
    <row r="308" spans="47:52" x14ac:dyDescent="0.3">
      <c r="AU308" s="246"/>
    </row>
    <row r="309" spans="47:52" x14ac:dyDescent="0.3">
      <c r="AU309" s="246"/>
    </row>
    <row r="310" spans="47:52" x14ac:dyDescent="0.3">
      <c r="AU310" s="246"/>
    </row>
    <row r="311" spans="47:52" x14ac:dyDescent="0.3">
      <c r="AU311" s="246"/>
    </row>
    <row r="312" spans="47:52" x14ac:dyDescent="0.3">
      <c r="AU312" s="246"/>
    </row>
    <row r="313" spans="47:52" x14ac:dyDescent="0.3">
      <c r="AU313" s="246"/>
    </row>
    <row r="314" spans="47:52" x14ac:dyDescent="0.3">
      <c r="AU314" s="246"/>
    </row>
    <row r="315" spans="47:52" x14ac:dyDescent="0.3">
      <c r="AU315" s="246"/>
    </row>
    <row r="316" spans="47:52" x14ac:dyDescent="0.3">
      <c r="AU316" s="246"/>
    </row>
    <row r="317" spans="47:52" x14ac:dyDescent="0.3">
      <c r="AU317" s="246"/>
    </row>
    <row r="318" spans="47:52" x14ac:dyDescent="0.3">
      <c r="AU318" s="246"/>
    </row>
    <row r="319" spans="47:52" x14ac:dyDescent="0.3">
      <c r="AU319" s="246"/>
    </row>
    <row r="320" spans="47:52" x14ac:dyDescent="0.3">
      <c r="AU320" s="246"/>
    </row>
    <row r="321" spans="47:47" x14ac:dyDescent="0.3">
      <c r="AU321" s="246"/>
    </row>
    <row r="322" spans="47:47" x14ac:dyDescent="0.3">
      <c r="AU322" s="246"/>
    </row>
    <row r="323" spans="47:47" x14ac:dyDescent="0.3">
      <c r="AU323" s="246"/>
    </row>
    <row r="324" spans="47:47" x14ac:dyDescent="0.3">
      <c r="AU324" s="246"/>
    </row>
    <row r="325" spans="47:47" x14ac:dyDescent="0.3">
      <c r="AU325" s="246"/>
    </row>
    <row r="326" spans="47:47" x14ac:dyDescent="0.3">
      <c r="AU326" s="246"/>
    </row>
  </sheetData>
  <sheetProtection sheet="1" objects="1" scenarios="1" sort="0" autoFilter="0"/>
  <protectedRanges>
    <protectedRange sqref="A1:AE239 AS1 AZ1" name="VORPSort"/>
  </protectedRanges>
  <sortState xmlns:xlrd2="http://schemas.microsoft.com/office/spreadsheetml/2017/richdata2" ref="AW2:AZ281">
    <sortCondition descending="1" ref="AZ2:AZ281"/>
  </sortState>
  <pageMargins left="0.7" right="0.7" top="0.75" bottom="0.75" header="0.3" footer="0.3"/>
  <pageSetup orientation="portrait" verticalDpi="90" r:id="rId1"/>
  <ignoredErrors>
    <ignoredError sqref="AI42:AI141 AI142:AI251 AI252:AI301 AL2:AL301 A2:A101 V2:V101 O2:O226 H2:H176" calculatedColumn="1"/>
  </ignoredErrors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/>
  <dimension ref="A1:AP327"/>
  <sheetViews>
    <sheetView showGridLines="0" zoomScale="85" zoomScaleNormal="85" workbookViewId="0">
      <pane ySplit="2" topLeftCell="A3" activePane="bottomLeft" state="frozen"/>
      <selection activeCell="A3" sqref="A3"/>
      <selection pane="bottomLeft" activeCell="A3" sqref="A3"/>
    </sheetView>
  </sheetViews>
  <sheetFormatPr defaultColWidth="5.6640625" defaultRowHeight="14.4" x14ac:dyDescent="0.3"/>
  <cols>
    <col min="1" max="1" width="3.5546875" style="189" bestFit="1" customWidth="1"/>
    <col min="2" max="2" width="5" style="189" customWidth="1"/>
    <col min="3" max="3" width="18.44140625" style="189" bestFit="1" customWidth="1"/>
    <col min="4" max="4" width="5.33203125" style="189" bestFit="1" customWidth="1"/>
    <col min="5" max="5" width="4.33203125" style="189" bestFit="1" customWidth="1"/>
    <col min="6" max="6" width="7.6640625" style="189" bestFit="1" customWidth="1"/>
    <col min="7" max="7" width="5.6640625" style="189"/>
    <col min="8" max="8" width="4.109375" style="189" bestFit="1" customWidth="1"/>
    <col min="9" max="9" width="6.44140625" style="189" customWidth="1"/>
    <col min="10" max="10" width="22.33203125" style="189" bestFit="1" customWidth="1"/>
    <col min="11" max="11" width="5.109375" style="189" bestFit="1" customWidth="1"/>
    <col min="12" max="12" width="4.33203125" style="189" bestFit="1" customWidth="1"/>
    <col min="13" max="13" width="7.6640625" style="189" bestFit="1" customWidth="1"/>
    <col min="14" max="14" width="5.6640625" style="189"/>
    <col min="15" max="15" width="4.109375" style="189" bestFit="1" customWidth="1"/>
    <col min="16" max="16" width="7.109375" style="189" bestFit="1" customWidth="1"/>
    <col min="17" max="17" width="25.5546875" style="189" bestFit="1" customWidth="1"/>
    <col min="18" max="18" width="5.33203125" style="189" bestFit="1" customWidth="1"/>
    <col min="19" max="19" width="4.33203125" style="189" bestFit="1" customWidth="1"/>
    <col min="20" max="20" width="7.6640625" style="189" bestFit="1" customWidth="1"/>
    <col min="21" max="21" width="5.6640625" style="189"/>
    <col min="22" max="22" width="3.5546875" style="189" bestFit="1" customWidth="1"/>
    <col min="23" max="23" width="6" style="189" bestFit="1" customWidth="1"/>
    <col min="24" max="24" width="21.44140625" style="189" bestFit="1" customWidth="1"/>
    <col min="25" max="25" width="5.33203125" style="189" bestFit="1" customWidth="1"/>
    <col min="26" max="26" width="4.33203125" style="189" bestFit="1" customWidth="1"/>
    <col min="27" max="27" width="7.6640625" style="189" bestFit="1" customWidth="1"/>
    <col min="28" max="28" width="5.6640625" style="189"/>
    <col min="29" max="29" width="3.5546875" style="189" bestFit="1" customWidth="1"/>
    <col min="30" max="30" width="7.44140625" style="189" bestFit="1" customWidth="1"/>
    <col min="31" max="31" width="26.6640625" style="189" bestFit="1" customWidth="1"/>
    <col min="32" max="32" width="4.33203125" style="189" bestFit="1" customWidth="1"/>
    <col min="33" max="33" width="7.6640625" style="189" bestFit="1" customWidth="1"/>
    <col min="34" max="34" width="5.6640625" style="189"/>
    <col min="35" max="35" width="4.5546875" style="189" bestFit="1" customWidth="1"/>
    <col min="36" max="36" width="4.109375" style="189" bestFit="1" customWidth="1"/>
    <col min="37" max="37" width="7.5546875" style="189" bestFit="1" customWidth="1"/>
    <col min="38" max="38" width="25.5546875" style="189" bestFit="1" customWidth="1"/>
    <col min="39" max="39" width="7.44140625" style="189" bestFit="1" customWidth="1"/>
    <col min="40" max="40" width="5.33203125" style="189" bestFit="1" customWidth="1"/>
    <col min="41" max="41" width="4.33203125" style="189" bestFit="1" customWidth="1"/>
    <col min="42" max="42" width="7.6640625" style="189" bestFit="1" customWidth="1"/>
    <col min="43" max="16384" width="5.6640625" style="189"/>
  </cols>
  <sheetData>
    <row r="1" spans="1:42" x14ac:dyDescent="0.3">
      <c r="B1" s="215" t="s">
        <v>560</v>
      </c>
    </row>
    <row r="2" spans="1:42" s="143" customFormat="1" x14ac:dyDescent="0.3">
      <c r="A2" s="143" t="s">
        <v>191</v>
      </c>
      <c r="B2" s="143" t="s">
        <v>542</v>
      </c>
      <c r="C2" s="143" t="s">
        <v>0</v>
      </c>
      <c r="D2" s="143" t="s">
        <v>136</v>
      </c>
      <c r="E2" s="143" t="s">
        <v>174</v>
      </c>
      <c r="F2" s="143" t="s">
        <v>503</v>
      </c>
      <c r="H2" s="143" t="s">
        <v>191</v>
      </c>
      <c r="I2" s="143" t="s">
        <v>543</v>
      </c>
      <c r="J2" s="143" t="s">
        <v>0</v>
      </c>
      <c r="K2" s="143" t="s">
        <v>136</v>
      </c>
      <c r="L2" s="143" t="s">
        <v>174</v>
      </c>
      <c r="M2" s="143" t="s">
        <v>503</v>
      </c>
      <c r="O2" s="143" t="s">
        <v>191</v>
      </c>
      <c r="P2" s="143" t="s">
        <v>544</v>
      </c>
      <c r="Q2" s="143" t="s">
        <v>0</v>
      </c>
      <c r="R2" s="143" t="s">
        <v>136</v>
      </c>
      <c r="S2" s="143" t="s">
        <v>174</v>
      </c>
      <c r="T2" s="143" t="s">
        <v>503</v>
      </c>
      <c r="V2" s="143" t="s">
        <v>191</v>
      </c>
      <c r="W2" s="143" t="s">
        <v>545</v>
      </c>
      <c r="X2" s="143" t="s">
        <v>0</v>
      </c>
      <c r="Y2" s="143" t="s">
        <v>136</v>
      </c>
      <c r="Z2" s="143" t="s">
        <v>174</v>
      </c>
      <c r="AA2" s="143" t="s">
        <v>503</v>
      </c>
      <c r="AC2" s="143" t="s">
        <v>191</v>
      </c>
      <c r="AD2" s="143" t="s">
        <v>546</v>
      </c>
      <c r="AE2" s="143" t="s">
        <v>0</v>
      </c>
      <c r="AF2" s="143" t="s">
        <v>174</v>
      </c>
      <c r="AG2" s="143" t="s">
        <v>503</v>
      </c>
      <c r="AI2" s="143" t="s">
        <v>8</v>
      </c>
      <c r="AJ2" s="143" t="s">
        <v>191</v>
      </c>
      <c r="AK2" s="143" t="s">
        <v>562</v>
      </c>
      <c r="AL2" s="143" t="s">
        <v>0</v>
      </c>
      <c r="AM2" s="143" t="s">
        <v>561</v>
      </c>
      <c r="AN2" s="143" t="s">
        <v>136</v>
      </c>
      <c r="AO2" s="143" t="s">
        <v>174</v>
      </c>
      <c r="AP2" s="143" t="s">
        <v>503</v>
      </c>
    </row>
    <row r="3" spans="1:42" x14ac:dyDescent="0.3">
      <c r="A3" s="198">
        <f>IFERROR(RANK(TableQBCalcPts[[#This Row],[Custom]],TableQBCalcPts[Custom])+COUNTIF($F$3:F3,F3)-1,"")</f>
        <v>7</v>
      </c>
      <c r="B3" s="189">
        <v>1</v>
      </c>
      <c r="C3" s="189" t="str">
        <f>IFERROR(INDEX(TableQBMaster[Player],MATCH(TableQBCalcPts[[#This Row],[QBRef]],TableQBMaster[QBRef],0)),"")</f>
        <v>Kyler Murray</v>
      </c>
      <c r="D3" s="189" t="str">
        <f>IFERROR(INDEX(TableQBMaster[TM],MATCH(TableQBCalcPts[[#This Row],[QBRef]],TableQBMaster[QBRef],0)),"")</f>
        <v>ARI</v>
      </c>
      <c r="E3" s="189">
        <f>IFERROR(INDEX(TableQBMaster[BYE],MATCH(TableQBCalcPts[[#This Row],[QBRef]],TableQBMaster[QBRef],0)),"")</f>
        <v>13</v>
      </c>
      <c r="F3" s="191">
        <f>IFERROR(INDEX(TableQBMaster[Custom],MATCH(TableQBCalcPts[[#This Row],[QBRef]],TableQBMaster[QBRef],0)),"")</f>
        <v>353.57371760134686</v>
      </c>
      <c r="H3" s="189">
        <f>IFERROR(RANK(TableRBCalcPts[[#This Row],[Custom]],TableRBCalcPts[Custom])+COUNTIF($M$3:M3,M3)-1,"")</f>
        <v>9</v>
      </c>
      <c r="I3" s="189">
        <v>1</v>
      </c>
      <c r="J3" s="189" t="str">
        <f>IFERROR(INDEX(TableRBMaster[Player],MATCH(TableRBCalcPts[[#This Row],[RBRef]],TableRBMaster[RBRef],0)),"")</f>
        <v>James Conner</v>
      </c>
      <c r="K3" s="189" t="str">
        <f>IFERROR(INDEX(TableRBMaster[TM],MATCH(TableRBCalcPts[[#This Row],[RBRef]],TableRBMaster[RBRef],0)),"")</f>
        <v>ARI</v>
      </c>
      <c r="L3" s="189">
        <f>IFERROR(INDEX(TableRBMaster[BYE],MATCH(TableRBCalcPts[[#This Row],[RBRef]],TableRBMaster[RBRef],0)),"")</f>
        <v>13</v>
      </c>
      <c r="M3" s="191">
        <f>IFERROR(INDEX(TableRBMaster[Custom],MATCH(TableRBCalcPts[[#This Row],[RBRef]],TableRBMaster[RBRef],0)),"")</f>
        <v>210.93892537574453</v>
      </c>
      <c r="O3" s="189">
        <f>IFERROR(RANK(TableWRCalcPts[[#This Row],[Custom]],TableWRCalcPts[Custom])+COUNTIF($T$3:T3,T3)-1,"")</f>
        <v>56</v>
      </c>
      <c r="P3" s="189">
        <v>1</v>
      </c>
      <c r="Q3" s="189" t="str">
        <f>IFERROR(INDEX(TableWRMaster[Player],MATCH(TableWRCalcPts[[#This Row],[WRRef]],TableWRMaster[WRRef],0)),"")</f>
        <v>DeAndre Hopkins</v>
      </c>
      <c r="R3" s="189" t="str">
        <f>IFERROR(INDEX(TableWRMaster[TM],MATCH(TableWRCalcPts[[#This Row],[WRRef]],TableWRMaster[WRRef],0)),"")</f>
        <v>ARI</v>
      </c>
      <c r="S3" s="189">
        <f>IFERROR(INDEX(TableWRMaster[BYE],MATCH(TableWRCalcPts[[#This Row],[WRRef]],TableWRMaster[WRRef],0)),"")</f>
        <v>13</v>
      </c>
      <c r="T3" s="191">
        <f>IFERROR(INDEX(TableWRMaster[Custom],MATCH(TableWRCalcPts[[#This Row],[WRRef]],TableWRMaster[WRRef],0)),"")</f>
        <v>101.49414320839625</v>
      </c>
      <c r="V3" s="189">
        <f>IFERROR(RANK(TableTECalcPts[[#This Row],[Custom]],TableTECalcPts[Custom])+COUNTIF($AA$3:AA3,AA3)-1,"")</f>
        <v>11</v>
      </c>
      <c r="W3" s="189">
        <v>1</v>
      </c>
      <c r="X3" s="189" t="str">
        <f>IFERROR(INDEX(TableTEMaster[Player],MATCH(TableTECalcPts[[#This Row],[TERef]],TableTEMaster[TERef],0)),"")</f>
        <v>Zach Ertz</v>
      </c>
      <c r="Y3" s="189" t="str">
        <f>IFERROR(INDEX(TableTEMaster[TM],MATCH(TableTECalcPts[[#This Row],[TERef]],TableTEMaster[TERef],0)),"")</f>
        <v>ARI</v>
      </c>
      <c r="Z3" s="189">
        <f>IFERROR(INDEX(TableTEMaster[BYE],MATCH(TableTECalcPts[[#This Row],[TERef]],TableTEMaster[TERef],0)),"")</f>
        <v>13</v>
      </c>
      <c r="AA3" s="191">
        <f>IFERROR(INDEX(TableTEMaster[Custom],MATCH(TableTECalcPts[[#This Row],[TERef]],TableTEMaster[TERef],0)),"")</f>
        <v>99.340220639314538</v>
      </c>
      <c r="AC3" s="189">
        <f>IFERROR(RANK(TableDSTCalcPts[[#This Row],[Custom]],TableDSTCalcPts[Custom],0),"")</f>
        <v>10</v>
      </c>
      <c r="AD3" s="189">
        <v>1</v>
      </c>
      <c r="AE3" s="189" t="str">
        <f>IFERROR(INDEX(TableDSTMaster[Player],MATCH(TableDSTCalcPts[[#This Row],[DSTRef]],TableDSTMaster[DSTRef],0)),"")</f>
        <v>Arizona Cardinals</v>
      </c>
      <c r="AF3" s="189">
        <f>IFERROR(INDEX(TableDSTMaster[BYE],MATCH(TableDSTCalcPts[[#This Row],[DSTRef]],TableDSTMaster[DSTRef],0)),"")</f>
        <v>13</v>
      </c>
      <c r="AG3" s="191">
        <f>IFERROR(INDEX(TableDSTMaster[Custom],MATCH(TableDSTCalcPts[[#This Row],[DSTRef]],TableDSTMaster[DSTRef],0)),"")</f>
        <v>124.21505030262492</v>
      </c>
      <c r="AI3" s="221" t="s">
        <v>10</v>
      </c>
      <c r="AJ3" s="189">
        <f>IFERROR(RANK(TableWRTECalcPts[[#This Row],[Custom]],TableWRTECalcPts[Custom])+COUNTIF($AP$3:AP3,AP3)-1,"")</f>
        <v>69</v>
      </c>
      <c r="AK3" s="189">
        <v>1</v>
      </c>
      <c r="AL3" s="189" t="str">
        <f>IFERROR(INDEX(TableTEMaster[Player],MATCH(TableWRTECalcPts[[#This Row],[POSRef]],TableTEMaster[TERef],0)),"")</f>
        <v>Zach Ertz</v>
      </c>
      <c r="AM3" s="189" t="str">
        <f>IFERROR(_xlfn.CONCAT(TableWRTECalcPts[[#This Row],[POS]],INDEX(TableTERanks[RK],MATCH(TableWRTECalcPts[[#This Row],[PLAYER]],TableTERanks[Player],0))),"")</f>
        <v>TE11</v>
      </c>
      <c r="AN3" s="189" t="str">
        <f>IFERROR(INDEX(TableTEMaster[TM],MATCH(TableWRTECalcPts[[#This Row],[POSRef]],TableTEMaster[TERef],0)),"")</f>
        <v>ARI</v>
      </c>
      <c r="AO3" s="189">
        <f>IFERROR(INDEX(TableTEMaster[BYE],MATCH(TableWRTECalcPts[[#This Row],[POSRef]],TableTEMaster[TERef],0)),"")</f>
        <v>13</v>
      </c>
      <c r="AP3" s="191">
        <f>IFERROR(INDEX(TableTEMaster[Custom],MATCH(TableWRTECalcPts[[#This Row],[POSRef]],TableTEMaster[TERef],0)),"")</f>
        <v>99.340220639314538</v>
      </c>
    </row>
    <row r="4" spans="1:42" x14ac:dyDescent="0.3">
      <c r="A4" s="198">
        <f>IFERROR(RANK(TableQBCalcPts[[#This Row],[Custom]],TableQBCalcPts[Custom])+COUNTIF($F$3:F4,F4)-1,"")</f>
        <v>52</v>
      </c>
      <c r="B4" s="189">
        <v>2</v>
      </c>
      <c r="C4" s="189" t="str">
        <f>IFERROR(INDEX(TableQBMaster[Player],MATCH(TableQBCalcPts[[#This Row],[QBRef]],TableQBMaster[QBRef],0)),"")</f>
        <v>Colt McCoy</v>
      </c>
      <c r="D4" s="189" t="str">
        <f>IFERROR(INDEX(TableQBMaster[TM],MATCH(TableQBCalcPts[[#This Row],[QBRef]],TableQBMaster[QBRef],0)),"")</f>
        <v>ARI</v>
      </c>
      <c r="E4" s="189">
        <f>IFERROR(INDEX(TableQBMaster[BYE],MATCH(TableQBCalcPts[[#This Row],[QBRef]],TableQBMaster[QBRef],0)),"")</f>
        <v>13</v>
      </c>
      <c r="F4" s="191">
        <f>IFERROR(INDEX(TableQBMaster[Custom],MATCH(TableQBCalcPts[[#This Row],[QBRef]],TableQBMaster[QBRef],0)),"")</f>
        <v>7.8973327406755809</v>
      </c>
      <c r="H4" s="189">
        <f>IFERROR(RANK(TableRBCalcPts[[#This Row],[Custom]],TableRBCalcPts[Custom])+COUNTIF($M$3:M4,M4)-1,"")</f>
        <v>57</v>
      </c>
      <c r="I4" s="189">
        <v>2</v>
      </c>
      <c r="J4" s="189" t="str">
        <f>IFERROR(INDEX(TableRBMaster[Player],MATCH(TableRBCalcPts[[#This Row],[RBRef]],TableRBMaster[RBRef],0)),"")</f>
        <v>Darrel Williams</v>
      </c>
      <c r="K4" s="189" t="str">
        <f>IFERROR(INDEX(TableRBMaster[TM],MATCH(TableRBCalcPts[[#This Row],[RBRef]],TableRBMaster[RBRef],0)),"")</f>
        <v>ARI</v>
      </c>
      <c r="L4" s="189">
        <f>IFERROR(INDEX(TableRBMaster[BYE],MATCH(TableRBCalcPts[[#This Row],[RBRef]],TableRBMaster[RBRef],0)),"")</f>
        <v>13</v>
      </c>
      <c r="M4" s="191">
        <f>IFERROR(INDEX(TableRBMaster[Custom],MATCH(TableRBCalcPts[[#This Row],[RBRef]],TableRBMaster[RBRef],0)),"")</f>
        <v>84.070806040109474</v>
      </c>
      <c r="O4" s="189">
        <f>IFERROR(RANK(TableWRCalcPts[[#This Row],[Custom]],TableWRCalcPts[Custom])+COUNTIF($T$3:T4,T4)-1,"")</f>
        <v>37</v>
      </c>
      <c r="P4" s="189">
        <v>2</v>
      </c>
      <c r="Q4" s="189" t="str">
        <f>IFERROR(INDEX(TableWRMaster[Player],MATCH(TableWRCalcPts[[#This Row],[WRRef]],TableWRMaster[WRRef],0)),"")</f>
        <v>Marquise Brown</v>
      </c>
      <c r="R4" s="189" t="str">
        <f>IFERROR(INDEX(TableWRMaster[TM],MATCH(TableWRCalcPts[[#This Row],[WRRef]],TableWRMaster[WRRef],0)),"")</f>
        <v>ARI</v>
      </c>
      <c r="S4" s="189">
        <f>IFERROR(INDEX(TableWRMaster[BYE],MATCH(TableWRCalcPts[[#This Row],[WRRef]],TableWRMaster[WRRef],0)),"")</f>
        <v>13</v>
      </c>
      <c r="T4" s="191">
        <f>IFERROR(INDEX(TableWRMaster[Custom],MATCH(TableWRCalcPts[[#This Row],[WRRef]],TableWRMaster[WRRef],0)),"")</f>
        <v>131.59638525679199</v>
      </c>
      <c r="V4" s="189">
        <f>IFERROR(RANK(TableTECalcPts[[#This Row],[Custom]],TableTECalcPts[Custom])+COUNTIF($AA$3:AA4,AA4)-1,"")</f>
        <v>50</v>
      </c>
      <c r="W4" s="189">
        <v>2</v>
      </c>
      <c r="X4" s="189" t="str">
        <f>IFERROR(INDEX(TableTEMaster[Player],MATCH(TableTECalcPts[[#This Row],[TERef]],TableTEMaster[TERef],0)),"")</f>
        <v>Trey McBride</v>
      </c>
      <c r="Y4" s="189" t="str">
        <f>IFERROR(INDEX(TableTEMaster[TM],MATCH(TableTECalcPts[[#This Row],[TERef]],TableTEMaster[TERef],0)),"")</f>
        <v>ARI</v>
      </c>
      <c r="Z4" s="189">
        <f>IFERROR(INDEX(TableTEMaster[BYE],MATCH(TableTECalcPts[[#This Row],[TERef]],TableTEMaster[TERef],0)),"")</f>
        <v>13</v>
      </c>
      <c r="AA4" s="191">
        <f>IFERROR(INDEX(TableTEMaster[Custom],MATCH(TableTECalcPts[[#This Row],[TERef]],TableTEMaster[TERef],0)),"")</f>
        <v>22.020922347162873</v>
      </c>
      <c r="AC4" s="189">
        <f>IFERROR(RANK(TableDSTCalcPts[[#This Row],[Custom]],TableDSTCalcPts[Custom],0),"")</f>
        <v>31</v>
      </c>
      <c r="AD4" s="189">
        <v>2</v>
      </c>
      <c r="AE4" s="189" t="str">
        <f>IFERROR(INDEX(TableDSTMaster[Player],MATCH(TableDSTCalcPts[[#This Row],[DSTRef]],TableDSTMaster[DSTRef],0)),"")</f>
        <v>Atlanta Falcons</v>
      </c>
      <c r="AF4" s="189">
        <f>IFERROR(INDEX(TableDSTMaster[BYE],MATCH(TableDSTCalcPts[[#This Row],[DSTRef]],TableDSTMaster[DSTRef],0)),"")</f>
        <v>14</v>
      </c>
      <c r="AG4" s="191">
        <f>IFERROR(INDEX(TableDSTMaster[Custom],MATCH(TableDSTCalcPts[[#This Row],[DSTRef]],TableDSTMaster[DSTRef],0)),"")</f>
        <v>102.28070325616474</v>
      </c>
      <c r="AI4" s="221" t="s">
        <v>10</v>
      </c>
      <c r="AJ4" s="189">
        <f>IFERROR(RANK(TableWRTECalcPts[[#This Row],[Custom]],TableWRTECalcPts[Custom])+COUNTIF($AP$3:AP4,AP4)-1,"")</f>
        <v>179</v>
      </c>
      <c r="AK4" s="189">
        <v>2</v>
      </c>
      <c r="AL4" s="189" t="str">
        <f>IFERROR(INDEX(TableTEMaster[Player],MATCH(TableWRTECalcPts[[#This Row],[POSRef]],TableTEMaster[TERef],0)),"")</f>
        <v>Trey McBride</v>
      </c>
      <c r="AM4" s="189" t="str">
        <f>IFERROR(_xlfn.CONCAT(TableWRTECalcPts[[#This Row],[POS]],INDEX(TableTERanks[RK],MATCH(TableWRTECalcPts[[#This Row],[PLAYER]],TableTERanks[Player],0))),"")</f>
        <v>TE50</v>
      </c>
      <c r="AN4" s="189" t="str">
        <f>IFERROR(INDEX(TableTEMaster[TM],MATCH(TableWRTECalcPts[[#This Row],[POSRef]],TableTEMaster[TERef],0)),"")</f>
        <v>ARI</v>
      </c>
      <c r="AO4" s="189">
        <f>IFERROR(INDEX(TableTEMaster[BYE],MATCH(TableWRTECalcPts[[#This Row],[POSRef]],TableTEMaster[TERef],0)),"")</f>
        <v>13</v>
      </c>
      <c r="AP4" s="191">
        <f>IFERROR(INDEX(TableTEMaster[Custom],MATCH(TableWRTECalcPts[[#This Row],[POSRef]],TableTEMaster[TERef],0)),"")</f>
        <v>22.020922347162873</v>
      </c>
    </row>
    <row r="5" spans="1:42" x14ac:dyDescent="0.3">
      <c r="A5" s="198">
        <f>IFERROR(RANK(TableQBCalcPts[[#This Row],[Custom]],TableQBCalcPts[Custom])+COUNTIF($F$3:F5,F5)-1,"")</f>
        <v>30</v>
      </c>
      <c r="B5" s="189">
        <v>3</v>
      </c>
      <c r="C5" s="189" t="str">
        <f>IFERROR(INDEX(TableQBMaster[Player],MATCH(TableQBCalcPts[[#This Row],[QBRef]],TableQBMaster[QBRef],0)),"")</f>
        <v>Marcus Mariota</v>
      </c>
      <c r="D5" s="189" t="str">
        <f>IFERROR(INDEX(TableQBMaster[TM],MATCH(TableQBCalcPts[[#This Row],[QBRef]],TableQBMaster[QBRef],0)),"")</f>
        <v>ATL</v>
      </c>
      <c r="E5" s="189">
        <f>IFERROR(INDEX(TableQBMaster[BYE],MATCH(TableQBCalcPts[[#This Row],[QBRef]],TableQBMaster[QBRef],0)),"")</f>
        <v>14</v>
      </c>
      <c r="F5" s="191">
        <f>IFERROR(INDEX(TableQBMaster[Custom],MATCH(TableQBCalcPts[[#This Row],[QBRef]],TableQBMaster[QBRef],0)),"")</f>
        <v>209.13869454613715</v>
      </c>
      <c r="H5" s="189">
        <f>IFERROR(RANK(TableRBCalcPts[[#This Row],[Custom]],TableRBCalcPts[Custom])+COUNTIF($M$3:M5,M5)-1,"")</f>
        <v>79</v>
      </c>
      <c r="I5" s="189">
        <v>3</v>
      </c>
      <c r="J5" s="189" t="str">
        <f>IFERROR(INDEX(TableRBMaster[Player],MATCH(TableRBCalcPts[[#This Row],[RBRef]],TableRBMaster[RBRef],0)),"")</f>
        <v>Eno Benjamin</v>
      </c>
      <c r="K5" s="189" t="str">
        <f>IFERROR(INDEX(TableRBMaster[TM],MATCH(TableRBCalcPts[[#This Row],[RBRef]],TableRBMaster[RBRef],0)),"")</f>
        <v>ARI</v>
      </c>
      <c r="L5" s="189">
        <f>IFERROR(INDEX(TableRBMaster[BYE],MATCH(TableRBCalcPts[[#This Row],[RBRef]],TableRBMaster[RBRef],0)),"")</f>
        <v>13</v>
      </c>
      <c r="M5" s="191">
        <f>IFERROR(INDEX(TableRBMaster[Custom],MATCH(TableRBCalcPts[[#This Row],[RBRef]],TableRBMaster[RBRef],0)),"")</f>
        <v>27.91771576544798</v>
      </c>
      <c r="O5" s="189">
        <f>IFERROR(RANK(TableWRCalcPts[[#This Row],[Custom]],TableWRCalcPts[Custom])+COUNTIF($T$3:T5,T5)-1,"")</f>
        <v>65</v>
      </c>
      <c r="P5" s="189">
        <v>3</v>
      </c>
      <c r="Q5" s="189" t="str">
        <f>IFERROR(INDEX(TableWRMaster[Player],MATCH(TableWRCalcPts[[#This Row],[WRRef]],TableWRMaster[WRRef],0)),"")</f>
        <v>Rondale Moore</v>
      </c>
      <c r="R5" s="189" t="str">
        <f>IFERROR(INDEX(TableWRMaster[TM],MATCH(TableWRCalcPts[[#This Row],[WRRef]],TableWRMaster[WRRef],0)),"")</f>
        <v>ARI</v>
      </c>
      <c r="S5" s="189">
        <f>IFERROR(INDEX(TableWRMaster[BYE],MATCH(TableWRCalcPts[[#This Row],[WRRef]],TableWRMaster[WRRef],0)),"")</f>
        <v>13</v>
      </c>
      <c r="T5" s="191">
        <f>IFERROR(INDEX(TableWRMaster[Custom],MATCH(TableWRCalcPts[[#This Row],[WRRef]],TableWRMaster[WRRef],0)),"")</f>
        <v>92.583937690627096</v>
      </c>
      <c r="V5" s="189">
        <f>IFERROR(RANK(TableTECalcPts[[#This Row],[Custom]],TableTECalcPts[Custom])+COUNTIF($AA$3:AA5,AA5)-1,"")</f>
        <v>58</v>
      </c>
      <c r="W5" s="189">
        <v>3</v>
      </c>
      <c r="X5" s="189" t="str">
        <f>IFERROR(INDEX(TableTEMaster[Player],MATCH(TableTECalcPts[[#This Row],[TERef]],TableTEMaster[TERef],0)),"")</f>
        <v>Maxx Williams</v>
      </c>
      <c r="Y5" s="189" t="str">
        <f>IFERROR(INDEX(TableTEMaster[TM],MATCH(TableTECalcPts[[#This Row],[TERef]],TableTEMaster[TERef],0)),"")</f>
        <v>ARI</v>
      </c>
      <c r="Z5" s="189">
        <f>IFERROR(INDEX(TableTEMaster[BYE],MATCH(TableTECalcPts[[#This Row],[TERef]],TableTEMaster[TERef],0)),"")</f>
        <v>13</v>
      </c>
      <c r="AA5" s="191">
        <f>IFERROR(INDEX(TableTEMaster[Custom],MATCH(TableTECalcPts[[#This Row],[TERef]],TableTEMaster[TERef],0)),"")</f>
        <v>17.246651607505306</v>
      </c>
      <c r="AC5" s="189">
        <f>IFERROR(RANK(TableDSTCalcPts[[#This Row],[Custom]],TableDSTCalcPts[Custom],0),"")</f>
        <v>7</v>
      </c>
      <c r="AD5" s="189">
        <v>3</v>
      </c>
      <c r="AE5" s="189" t="str">
        <f>IFERROR(INDEX(TableDSTMaster[Player],MATCH(TableDSTCalcPts[[#This Row],[DSTRef]],TableDSTMaster[DSTRef],0)),"")</f>
        <v>Baltimore Ravens</v>
      </c>
      <c r="AF5" s="189">
        <f>IFERROR(INDEX(TableDSTMaster[BYE],MATCH(TableDSTCalcPts[[#This Row],[DSTRef]],TableDSTMaster[DSTRef],0)),"")</f>
        <v>10</v>
      </c>
      <c r="AG5" s="191">
        <f>IFERROR(INDEX(TableDSTMaster[Custom],MATCH(TableDSTCalcPts[[#This Row],[DSTRef]],TableDSTMaster[DSTRef],0)),"")</f>
        <v>125.6491890968727</v>
      </c>
      <c r="AI5" s="221" t="s">
        <v>10</v>
      </c>
      <c r="AJ5" s="189">
        <f>IFERROR(RANK(TableWRTECalcPts[[#This Row],[Custom]],TableWRTECalcPts[Custom])+COUNTIF($AP$3:AP5,AP5)-1,"")</f>
        <v>199</v>
      </c>
      <c r="AK5" s="189">
        <v>3</v>
      </c>
      <c r="AL5" s="189" t="str">
        <f>IFERROR(INDEX(TableTEMaster[Player],MATCH(TableWRTECalcPts[[#This Row],[POSRef]],TableTEMaster[TERef],0)),"")</f>
        <v>Maxx Williams</v>
      </c>
      <c r="AM5" s="189" t="str">
        <f>IFERROR(_xlfn.CONCAT(TableWRTECalcPts[[#This Row],[POS]],INDEX(TableTERanks[RK],MATCH(TableWRTECalcPts[[#This Row],[PLAYER]],TableTERanks[Player],0))),"")</f>
        <v>TE58</v>
      </c>
      <c r="AN5" s="189" t="str">
        <f>IFERROR(INDEX(TableTEMaster[TM],MATCH(TableWRTECalcPts[[#This Row],[POSRef]],TableTEMaster[TERef],0)),"")</f>
        <v>ARI</v>
      </c>
      <c r="AO5" s="189">
        <f>IFERROR(INDEX(TableTEMaster[BYE],MATCH(TableWRTECalcPts[[#This Row],[POSRef]],TableTEMaster[TERef],0)),"")</f>
        <v>13</v>
      </c>
      <c r="AP5" s="191">
        <f>IFERROR(INDEX(TableTEMaster[Custom],MATCH(TableWRTECalcPts[[#This Row],[POSRef]],TableTEMaster[TERef],0)),"")</f>
        <v>17.246651607505306</v>
      </c>
    </row>
    <row r="6" spans="1:42" x14ac:dyDescent="0.3">
      <c r="A6" s="198">
        <f>IFERROR(RANK(TableQBCalcPts[[#This Row],[Custom]],TableQBCalcPts[Custom])+COUNTIF($F$3:F6,F6)-1,"")</f>
        <v>35</v>
      </c>
      <c r="B6" s="189">
        <v>4</v>
      </c>
      <c r="C6" s="189" t="str">
        <f>IFERROR(INDEX(TableQBMaster[Player],MATCH(TableQBCalcPts[[#This Row],[QBRef]],TableQBMaster[QBRef],0)),"")</f>
        <v>Desmond Ridder</v>
      </c>
      <c r="D6" s="189" t="str">
        <f>IFERROR(INDEX(TableQBMaster[TM],MATCH(TableQBCalcPts[[#This Row],[QBRef]],TableQBMaster[QBRef],0)),"")</f>
        <v>ATL</v>
      </c>
      <c r="E6" s="189">
        <f>IFERROR(INDEX(TableQBMaster[BYE],MATCH(TableQBCalcPts[[#This Row],[QBRef]],TableQBMaster[QBRef],0)),"")</f>
        <v>14</v>
      </c>
      <c r="F6" s="191">
        <f>IFERROR(INDEX(TableQBMaster[Custom],MATCH(TableQBCalcPts[[#This Row],[QBRef]],TableQBMaster[QBRef],0)),"")</f>
        <v>87.369203460727817</v>
      </c>
      <c r="H6" s="189">
        <f>IFERROR(RANK(TableRBCalcPts[[#This Row],[Custom]],TableRBCalcPts[Custom])+COUNTIF($M$3:M6,M6)-1,"")</f>
        <v>83</v>
      </c>
      <c r="I6" s="189">
        <v>4</v>
      </c>
      <c r="J6" s="189" t="str">
        <f>IFERROR(INDEX(TableRBMaster[Player],MATCH(TableRBCalcPts[[#This Row],[RBRef]],TableRBMaster[RBRef],0)),"")</f>
        <v>Keaontay Ingram</v>
      </c>
      <c r="K6" s="189" t="str">
        <f>IFERROR(INDEX(TableRBMaster[TM],MATCH(TableRBCalcPts[[#This Row],[RBRef]],TableRBMaster[RBRef],0)),"")</f>
        <v>ARI</v>
      </c>
      <c r="L6" s="189">
        <f>IFERROR(INDEX(TableRBMaster[BYE],MATCH(TableRBCalcPts[[#This Row],[RBRef]],TableRBMaster[RBRef],0)),"")</f>
        <v>13</v>
      </c>
      <c r="M6" s="191">
        <f>IFERROR(INDEX(TableRBMaster[Custom],MATCH(TableRBCalcPts[[#This Row],[RBRef]],TableRBMaster[RBRef],0)),"")</f>
        <v>24.057012080374395</v>
      </c>
      <c r="O6" s="189">
        <f>IFERROR(RANK(TableWRCalcPts[[#This Row],[Custom]],TableWRCalcPts[Custom])+COUNTIF($T$3:T6,T6)-1,"")</f>
        <v>93</v>
      </c>
      <c r="P6" s="189">
        <v>4</v>
      </c>
      <c r="Q6" s="189" t="str">
        <f>IFERROR(INDEX(TableWRMaster[Player],MATCH(TableWRCalcPts[[#This Row],[WRRef]],TableWRMaster[WRRef],0)),"")</f>
        <v>A.J. Green</v>
      </c>
      <c r="R6" s="189" t="str">
        <f>IFERROR(INDEX(TableWRMaster[TM],MATCH(TableWRCalcPts[[#This Row],[WRRef]],TableWRMaster[WRRef],0)),"")</f>
        <v>ARI</v>
      </c>
      <c r="S6" s="189">
        <f>IFERROR(INDEX(TableWRMaster[BYE],MATCH(TableWRCalcPts[[#This Row],[WRRef]],TableWRMaster[WRRef],0)),"")</f>
        <v>13</v>
      </c>
      <c r="T6" s="191">
        <f>IFERROR(INDEX(TableWRMaster[Custom],MATCH(TableWRCalcPts[[#This Row],[WRRef]],TableWRMaster[WRRef],0)),"")</f>
        <v>54.6611752499904</v>
      </c>
      <c r="V6" s="189">
        <f>IFERROR(RANK(TableTECalcPts[[#This Row],[Custom]],TableTECalcPts[Custom])+COUNTIF($AA$3:AA6,AA6)-1,"")</f>
        <v>3</v>
      </c>
      <c r="W6" s="189">
        <v>4</v>
      </c>
      <c r="X6" s="189" t="str">
        <f>IFERROR(INDEX(TableTEMaster[Player],MATCH(TableTECalcPts[[#This Row],[TERef]],TableTEMaster[TERef],0)),"")</f>
        <v>Kyle Pitts</v>
      </c>
      <c r="Y6" s="189" t="str">
        <f>IFERROR(INDEX(TableTEMaster[TM],MATCH(TableTECalcPts[[#This Row],[TERef]],TableTEMaster[TERef],0)),"")</f>
        <v>ATL</v>
      </c>
      <c r="Z6" s="189">
        <f>IFERROR(INDEX(TableTEMaster[BYE],MATCH(TableTECalcPts[[#This Row],[TERef]],TableTEMaster[TERef],0)),"")</f>
        <v>14</v>
      </c>
      <c r="AA6" s="191">
        <f>IFERROR(INDEX(TableTEMaster[Custom],MATCH(TableTECalcPts[[#This Row],[TERef]],TableTEMaster[TERef],0)),"")</f>
        <v>156.30374171587718</v>
      </c>
      <c r="AC6" s="189">
        <f>IFERROR(RANK(TableDSTCalcPts[[#This Row],[Custom]],TableDSTCalcPts[Custom],0),"")</f>
        <v>1</v>
      </c>
      <c r="AD6" s="189">
        <v>4</v>
      </c>
      <c r="AE6" s="189" t="str">
        <f>IFERROR(INDEX(TableDSTMaster[Player],MATCH(TableDSTCalcPts[[#This Row],[DSTRef]],TableDSTMaster[DSTRef],0)),"")</f>
        <v>Buffalo Bills</v>
      </c>
      <c r="AF6" s="189">
        <f>IFERROR(INDEX(TableDSTMaster[BYE],MATCH(TableDSTCalcPts[[#This Row],[DSTRef]],TableDSTMaster[DSTRef],0)),"")</f>
        <v>7</v>
      </c>
      <c r="AG6" s="191">
        <f>IFERROR(INDEX(TableDSTMaster[Custom],MATCH(TableDSTCalcPts[[#This Row],[DSTRef]],TableDSTMaster[DSTRef],0)),"")</f>
        <v>135.60936444729785</v>
      </c>
      <c r="AI6" s="221" t="s">
        <v>10</v>
      </c>
      <c r="AJ6" s="189">
        <f>IFERROR(RANK(TableWRTECalcPts[[#This Row],[Custom]],TableWRTECalcPts[Custom])+COUNTIF($AP$3:AP6,AP6)-1,"")</f>
        <v>17</v>
      </c>
      <c r="AK6" s="189">
        <v>4</v>
      </c>
      <c r="AL6" s="189" t="str">
        <f>IFERROR(INDEX(TableTEMaster[Player],MATCH(TableWRTECalcPts[[#This Row],[POSRef]],TableTEMaster[TERef],0)),"")</f>
        <v>Kyle Pitts</v>
      </c>
      <c r="AM6" s="189" t="str">
        <f>IFERROR(_xlfn.CONCAT(TableWRTECalcPts[[#This Row],[POS]],INDEX(TableTERanks[RK],MATCH(TableWRTECalcPts[[#This Row],[PLAYER]],TableTERanks[Player],0))),"")</f>
        <v>TE3</v>
      </c>
      <c r="AN6" s="189" t="str">
        <f>IFERROR(INDEX(TableTEMaster[TM],MATCH(TableWRTECalcPts[[#This Row],[POSRef]],TableTEMaster[TERef],0)),"")</f>
        <v>ATL</v>
      </c>
      <c r="AO6" s="189">
        <f>IFERROR(INDEX(TableTEMaster[BYE],MATCH(TableWRTECalcPts[[#This Row],[POSRef]],TableTEMaster[TERef],0)),"")</f>
        <v>14</v>
      </c>
      <c r="AP6" s="191">
        <f>IFERROR(INDEX(TableTEMaster[Custom],MATCH(TableWRTECalcPts[[#This Row],[POSRef]],TableTEMaster[TERef],0)),"")</f>
        <v>156.30374171587718</v>
      </c>
    </row>
    <row r="7" spans="1:42" x14ac:dyDescent="0.3">
      <c r="A7" s="198">
        <f>IFERROR(RANK(TableQBCalcPts[[#This Row],[Custom]],TableQBCalcPts[Custom])+COUNTIF($F$3:F7,F7)-1,"")</f>
        <v>5</v>
      </c>
      <c r="B7" s="189">
        <v>5</v>
      </c>
      <c r="C7" s="189" t="str">
        <f>IFERROR(INDEX(TableQBMaster[Player],MATCH(TableQBCalcPts[[#This Row],[QBRef]],TableQBMaster[QBRef],0)),"")</f>
        <v>Lamar Jackson</v>
      </c>
      <c r="D7" s="189" t="str">
        <f>IFERROR(INDEX(TableQBMaster[TM],MATCH(TableQBCalcPts[[#This Row],[QBRef]],TableQBMaster[QBRef],0)),"")</f>
        <v>BAL</v>
      </c>
      <c r="E7" s="189">
        <f>IFERROR(INDEX(TableQBMaster[BYE],MATCH(TableQBCalcPts[[#This Row],[QBRef]],TableQBMaster[QBRef],0)),"")</f>
        <v>10</v>
      </c>
      <c r="F7" s="191">
        <f>IFERROR(INDEX(TableQBMaster[Custom],MATCH(TableQBCalcPts[[#This Row],[QBRef]],TableQBMaster[QBRef],0)),"")</f>
        <v>381.77774616144228</v>
      </c>
      <c r="H7" s="189">
        <f>IFERROR(RANK(TableRBCalcPts[[#This Row],[Custom]],TableRBCalcPts[Custom])+COUNTIF($M$3:M7,M7)-1,"")</f>
        <v>30</v>
      </c>
      <c r="I7" s="189">
        <v>5</v>
      </c>
      <c r="J7" s="189" t="str">
        <f>IFERROR(INDEX(TableRBMaster[Player],MATCH(TableRBCalcPts[[#This Row],[RBRef]],TableRBMaster[RBRef],0)),"")</f>
        <v>Cordarrelle Patterson</v>
      </c>
      <c r="K7" s="189" t="str">
        <f>IFERROR(INDEX(TableRBMaster[TM],MATCH(TableRBCalcPts[[#This Row],[RBRef]],TableRBMaster[RBRef],0)),"")</f>
        <v>ATL</v>
      </c>
      <c r="L7" s="189">
        <f>IFERROR(INDEX(TableRBMaster[BYE],MATCH(TableRBCalcPts[[#This Row],[RBRef]],TableRBMaster[RBRef],0)),"")</f>
        <v>14</v>
      </c>
      <c r="M7" s="191">
        <f>IFERROR(INDEX(TableRBMaster[Custom],MATCH(TableRBCalcPts[[#This Row],[RBRef]],TableRBMaster[RBRef],0)),"")</f>
        <v>136.0108356235321</v>
      </c>
      <c r="O7" s="189">
        <f>IFERROR(RANK(TableWRCalcPts[[#This Row],[Custom]],TableWRCalcPts[Custom])+COUNTIF($T$3:T7,T7)-1,"")</f>
        <v>149</v>
      </c>
      <c r="P7" s="189">
        <v>5</v>
      </c>
      <c r="Q7" s="189" t="str">
        <f>IFERROR(INDEX(TableWRMaster[Player],MATCH(TableWRCalcPts[[#This Row],[WRRef]],TableWRMaster[WRRef],0)),"")</f>
        <v>Andy Isabella</v>
      </c>
      <c r="R7" s="189" t="str">
        <f>IFERROR(INDEX(TableWRMaster[TM],MATCH(TableWRCalcPts[[#This Row],[WRRef]],TableWRMaster[WRRef],0)),"")</f>
        <v>ARI</v>
      </c>
      <c r="S7" s="189">
        <f>IFERROR(INDEX(TableWRMaster[BYE],MATCH(TableWRCalcPts[[#This Row],[WRRef]],TableWRMaster[WRRef],0)),"")</f>
        <v>13</v>
      </c>
      <c r="T7" s="191">
        <f>IFERROR(INDEX(TableWRMaster[Custom],MATCH(TableWRCalcPts[[#This Row],[WRRef]],TableWRMaster[WRRef],0)),"")</f>
        <v>14.509907838994287</v>
      </c>
      <c r="V7" s="189">
        <f>IFERROR(RANK(TableTECalcPts[[#This Row],[Custom]],TableTECalcPts[Custom])+COUNTIF($AA$3:AA7,AA7)-1,"")</f>
        <v>45</v>
      </c>
      <c r="W7" s="189">
        <v>5</v>
      </c>
      <c r="X7" s="189" t="str">
        <f>IFERROR(INDEX(TableTEMaster[Player],MATCH(TableTECalcPts[[#This Row],[TERef]],TableTEMaster[TERef],0)),"")</f>
        <v>Anthony Firkser</v>
      </c>
      <c r="Y7" s="189" t="str">
        <f>IFERROR(INDEX(TableTEMaster[TM],MATCH(TableTECalcPts[[#This Row],[TERef]],TableTEMaster[TERef],0)),"")</f>
        <v>ATL</v>
      </c>
      <c r="Z7" s="189">
        <f>IFERROR(INDEX(TableTEMaster[BYE],MATCH(TableTECalcPts[[#This Row],[TERef]],TableTEMaster[TERef],0)),"")</f>
        <v>14</v>
      </c>
      <c r="AA7" s="191">
        <f>IFERROR(INDEX(TableTEMaster[Custom],MATCH(TableTECalcPts[[#This Row],[TERef]],TableTEMaster[TERef],0)),"")</f>
        <v>27.919752297861926</v>
      </c>
      <c r="AC7" s="189">
        <f>IFERROR(RANK(TableDSTCalcPts[[#This Row],[Custom]],TableDSTCalcPts[Custom],0),"")</f>
        <v>23</v>
      </c>
      <c r="AD7" s="189">
        <v>5</v>
      </c>
      <c r="AE7" s="189" t="str">
        <f>IFERROR(INDEX(TableDSTMaster[Player],MATCH(TableDSTCalcPts[[#This Row],[DSTRef]],TableDSTMaster[DSTRef],0)),"")</f>
        <v>Carolina Panthers</v>
      </c>
      <c r="AF7" s="189">
        <f>IFERROR(INDEX(TableDSTMaster[BYE],MATCH(TableDSTCalcPts[[#This Row],[DSTRef]],TableDSTMaster[DSTRef],0)),"")</f>
        <v>13</v>
      </c>
      <c r="AG7" s="191">
        <f>IFERROR(INDEX(TableDSTMaster[Custom],MATCH(TableDSTCalcPts[[#This Row],[DSTRef]],TableDSTMaster[DSTRef],0)),"")</f>
        <v>113.06478718285221</v>
      </c>
      <c r="AI7" s="221" t="s">
        <v>10</v>
      </c>
      <c r="AJ7" s="189">
        <f>IFERROR(RANK(TableWRTECalcPts[[#This Row],[Custom]],TableWRTECalcPts[Custom])+COUNTIF($AP$3:AP7,AP7)-1,"")</f>
        <v>160</v>
      </c>
      <c r="AK7" s="189">
        <v>5</v>
      </c>
      <c r="AL7" s="189" t="str">
        <f>IFERROR(INDEX(TableTEMaster[Player],MATCH(TableWRTECalcPts[[#This Row],[POSRef]],TableTEMaster[TERef],0)),"")</f>
        <v>Anthony Firkser</v>
      </c>
      <c r="AM7" s="189" t="str">
        <f>IFERROR(_xlfn.CONCAT(TableWRTECalcPts[[#This Row],[POS]],INDEX(TableTERanks[RK],MATCH(TableWRTECalcPts[[#This Row],[PLAYER]],TableTERanks[Player],0))),"")</f>
        <v>TE45</v>
      </c>
      <c r="AN7" s="189" t="str">
        <f>IFERROR(INDEX(TableTEMaster[TM],MATCH(TableWRTECalcPts[[#This Row],[POSRef]],TableTEMaster[TERef],0)),"")</f>
        <v>ATL</v>
      </c>
      <c r="AO7" s="189">
        <f>IFERROR(INDEX(TableTEMaster[BYE],MATCH(TableWRTECalcPts[[#This Row],[POSRef]],TableTEMaster[TERef],0)),"")</f>
        <v>14</v>
      </c>
      <c r="AP7" s="191">
        <f>IFERROR(INDEX(TableTEMaster[Custom],MATCH(TableWRTECalcPts[[#This Row],[POSRef]],TableTEMaster[TERef],0)),"")</f>
        <v>27.919752297861926</v>
      </c>
    </row>
    <row r="8" spans="1:42" x14ac:dyDescent="0.3">
      <c r="A8" s="198">
        <f>IFERROR(RANK(TableQBCalcPts[[#This Row],[Custom]],TableQBCalcPts[Custom])+COUNTIF($F$3:F8,F8)-1,"")</f>
        <v>41</v>
      </c>
      <c r="B8" s="189">
        <v>6</v>
      </c>
      <c r="C8" s="189" t="str">
        <f>IFERROR(INDEX(TableQBMaster[Player],MATCH(TableQBCalcPts[[#This Row],[QBRef]],TableQBMaster[QBRef],0)),"")</f>
        <v>Tyler Huntley</v>
      </c>
      <c r="D8" s="189" t="str">
        <f>IFERROR(INDEX(TableQBMaster[TM],MATCH(TableQBCalcPts[[#This Row],[QBRef]],TableQBMaster[QBRef],0)),"")</f>
        <v>BAL</v>
      </c>
      <c r="E8" s="189">
        <f>IFERROR(INDEX(TableQBMaster[BYE],MATCH(TableQBCalcPts[[#This Row],[QBRef]],TableQBMaster[QBRef],0)),"")</f>
        <v>10</v>
      </c>
      <c r="F8" s="191">
        <f>IFERROR(INDEX(TableQBMaster[Custom],MATCH(TableQBCalcPts[[#This Row],[QBRef]],TableQBMaster[QBRef],0)),"")</f>
        <v>12.528292274562727</v>
      </c>
      <c r="H8" s="189">
        <f>IFERROR(RANK(TableRBCalcPts[[#This Row],[Custom]],TableRBCalcPts[Custom])+COUNTIF($M$3:M8,M8)-1,"")</f>
        <v>60</v>
      </c>
      <c r="I8" s="189">
        <v>6</v>
      </c>
      <c r="J8" s="189" t="str">
        <f>IFERROR(INDEX(TableRBMaster[Player],MATCH(TableRBCalcPts[[#This Row],[RBRef]],TableRBMaster[RBRef],0)),"")</f>
        <v>Damien Williams</v>
      </c>
      <c r="K8" s="189" t="str">
        <f>IFERROR(INDEX(TableRBMaster[TM],MATCH(TableRBCalcPts[[#This Row],[RBRef]],TableRBMaster[RBRef],0)),"")</f>
        <v>ATL</v>
      </c>
      <c r="L8" s="189">
        <f>IFERROR(INDEX(TableRBMaster[BYE],MATCH(TableRBCalcPts[[#This Row],[RBRef]],TableRBMaster[RBRef],0)),"")</f>
        <v>14</v>
      </c>
      <c r="M8" s="191">
        <f>IFERROR(INDEX(TableRBMaster[Custom],MATCH(TableRBCalcPts[[#This Row],[RBRef]],TableRBMaster[RBRef],0)),"")</f>
        <v>75.751015049197633</v>
      </c>
      <c r="O8" s="189">
        <f>IFERROR(RANK(TableWRCalcPts[[#This Row],[Custom]],TableWRCalcPts[Custom])+COUNTIF($T$3:T8,T8)-1,"")</f>
        <v>160</v>
      </c>
      <c r="P8" s="189">
        <v>6</v>
      </c>
      <c r="Q8" s="189" t="str">
        <f>IFERROR(INDEX(TableWRMaster[Player],MATCH(TableWRCalcPts[[#This Row],[WRRef]],TableWRMaster[WRRef],0)),"")</f>
        <v>Antoine Wesley</v>
      </c>
      <c r="R8" s="189" t="str">
        <f>IFERROR(INDEX(TableWRMaster[TM],MATCH(TableWRCalcPts[[#This Row],[WRRef]],TableWRMaster[WRRef],0)),"")</f>
        <v>ARI</v>
      </c>
      <c r="S8" s="189">
        <f>IFERROR(INDEX(TableWRMaster[BYE],MATCH(TableWRCalcPts[[#This Row],[WRRef]],TableWRMaster[WRRef],0)),"")</f>
        <v>13</v>
      </c>
      <c r="T8" s="191">
        <f>IFERROR(INDEX(TableWRMaster[Custom],MATCH(TableWRCalcPts[[#This Row],[WRRef]],TableWRMaster[WRRef],0)),"")</f>
        <v>12.486852153852277</v>
      </c>
      <c r="V8" s="189">
        <f>IFERROR(RANK(TableTECalcPts[[#This Row],[Custom]],TableTECalcPts[Custom])+COUNTIF($AA$3:AA8,AA8)-1,"")</f>
        <v>2</v>
      </c>
      <c r="W8" s="189">
        <v>6</v>
      </c>
      <c r="X8" s="189" t="str">
        <f>IFERROR(INDEX(TableTEMaster[Player],MATCH(TableTECalcPts[[#This Row],[TERef]],TableTEMaster[TERef],0)),"")</f>
        <v>Mark Andrews</v>
      </c>
      <c r="Y8" s="189" t="str">
        <f>IFERROR(INDEX(TableTEMaster[TM],MATCH(TableTECalcPts[[#This Row],[TERef]],TableTEMaster[TERef],0)),"")</f>
        <v>BAL</v>
      </c>
      <c r="Z8" s="189">
        <f>IFERROR(INDEX(TableTEMaster[BYE],MATCH(TableTECalcPts[[#This Row],[TERef]],TableTEMaster[TERef],0)),"")</f>
        <v>10</v>
      </c>
      <c r="AA8" s="191">
        <f>IFERROR(INDEX(TableTEMaster[Custom],MATCH(TableTECalcPts[[#This Row],[TERef]],TableTEMaster[TERef],0)),"")</f>
        <v>159.94886032288994</v>
      </c>
      <c r="AC8" s="189">
        <f>IFERROR(RANK(TableDSTCalcPts[[#This Row],[Custom]],TableDSTCalcPts[Custom],0),"")</f>
        <v>19</v>
      </c>
      <c r="AD8" s="189">
        <v>6</v>
      </c>
      <c r="AE8" s="189" t="str">
        <f>IFERROR(INDEX(TableDSTMaster[Player],MATCH(TableDSTCalcPts[[#This Row],[DSTRef]],TableDSTMaster[DSTRef],0)),"")</f>
        <v>Chicago Bears</v>
      </c>
      <c r="AF8" s="189">
        <f>IFERROR(INDEX(TableDSTMaster[BYE],MATCH(TableDSTCalcPts[[#This Row],[DSTRef]],TableDSTMaster[DSTRef],0)),"")</f>
        <v>14</v>
      </c>
      <c r="AG8" s="191">
        <f>IFERROR(INDEX(TableDSTMaster[Custom],MATCH(TableDSTCalcPts[[#This Row],[DSTRef]],TableDSTMaster[DSTRef],0)),"")</f>
        <v>118.04415989333287</v>
      </c>
      <c r="AI8" s="221" t="s">
        <v>10</v>
      </c>
      <c r="AJ8" s="189">
        <f>IFERROR(RANK(TableWRTECalcPts[[#This Row],[Custom]],TableWRTECalcPts[Custom])+COUNTIF($AP$3:AP8,AP8)-1,"")</f>
        <v>14</v>
      </c>
      <c r="AK8" s="189">
        <v>6</v>
      </c>
      <c r="AL8" s="189" t="str">
        <f>IFERROR(INDEX(TableTEMaster[Player],MATCH(TableWRTECalcPts[[#This Row],[POSRef]],TableTEMaster[TERef],0)),"")</f>
        <v>Mark Andrews</v>
      </c>
      <c r="AM8" s="189" t="str">
        <f>IFERROR(_xlfn.CONCAT(TableWRTECalcPts[[#This Row],[POS]],INDEX(TableTERanks[RK],MATCH(TableWRTECalcPts[[#This Row],[PLAYER]],TableTERanks[Player],0))),"")</f>
        <v>TE2</v>
      </c>
      <c r="AN8" s="189" t="str">
        <f>IFERROR(INDEX(TableTEMaster[TM],MATCH(TableWRTECalcPts[[#This Row],[POSRef]],TableTEMaster[TERef],0)),"")</f>
        <v>BAL</v>
      </c>
      <c r="AO8" s="189">
        <f>IFERROR(INDEX(TableTEMaster[BYE],MATCH(TableWRTECalcPts[[#This Row],[POSRef]],TableTEMaster[TERef],0)),"")</f>
        <v>10</v>
      </c>
      <c r="AP8" s="191">
        <f>IFERROR(INDEX(TableTEMaster[Custom],MATCH(TableWRTECalcPts[[#This Row],[POSRef]],TableTEMaster[TERef],0)),"")</f>
        <v>159.94886032288994</v>
      </c>
    </row>
    <row r="9" spans="1:42" x14ac:dyDescent="0.3">
      <c r="A9" s="198">
        <f>IFERROR(RANK(TableQBCalcPts[[#This Row],[Custom]],TableQBCalcPts[Custom])+COUNTIF($F$3:F9,F9)-1,"")</f>
        <v>1</v>
      </c>
      <c r="B9" s="189">
        <v>7</v>
      </c>
      <c r="C9" s="189" t="str">
        <f>IFERROR(INDEX(TableQBMaster[Player],MATCH(TableQBCalcPts[[#This Row],[QBRef]],TableQBMaster[QBRef],0)),"")</f>
        <v>Josh Allen</v>
      </c>
      <c r="D9" s="189" t="str">
        <f>IFERROR(INDEX(TableQBMaster[TM],MATCH(TableQBCalcPts[[#This Row],[QBRef]],TableQBMaster[QBRef],0)),"")</f>
        <v>BUF</v>
      </c>
      <c r="E9" s="189">
        <f>IFERROR(INDEX(TableQBMaster[BYE],MATCH(TableQBCalcPts[[#This Row],[QBRef]],TableQBMaster[QBRef],0)),"")</f>
        <v>7</v>
      </c>
      <c r="F9" s="191">
        <f>IFERROR(INDEX(TableQBMaster[Custom],MATCH(TableQBCalcPts[[#This Row],[QBRef]],TableQBMaster[QBRef],0)),"")</f>
        <v>421.90619014402529</v>
      </c>
      <c r="H9" s="189">
        <f>IFERROR(RANK(TableRBCalcPts[[#This Row],[Custom]],TableRBCalcPts[Custom])+COUNTIF($M$3:M9,M9)-1,"")</f>
        <v>49</v>
      </c>
      <c r="I9" s="189">
        <v>7</v>
      </c>
      <c r="J9" s="189" t="str">
        <f>IFERROR(INDEX(TableRBMaster[Player],MATCH(TableRBCalcPts[[#This Row],[RBRef]],TableRBMaster[RBRef],0)),"")</f>
        <v>Tyler Allgeier</v>
      </c>
      <c r="K9" s="189" t="str">
        <f>IFERROR(INDEX(TableRBMaster[TM],MATCH(TableRBCalcPts[[#This Row],[RBRef]],TableRBMaster[RBRef],0)),"")</f>
        <v>ATL</v>
      </c>
      <c r="L9" s="189">
        <f>IFERROR(INDEX(TableRBMaster[BYE],MATCH(TableRBCalcPts[[#This Row],[RBRef]],TableRBMaster[RBRef],0)),"")</f>
        <v>14</v>
      </c>
      <c r="M9" s="191">
        <f>IFERROR(INDEX(TableRBMaster[Custom],MATCH(TableRBCalcPts[[#This Row],[RBRef]],TableRBMaster[RBRef],0)),"")</f>
        <v>93.945519105220711</v>
      </c>
      <c r="O9" s="189">
        <f>IFERROR(RANK(TableWRCalcPts[[#This Row],[Custom]],TableWRCalcPts[Custom])+COUNTIF($T$3:T9,T9)-1,"")</f>
        <v>33</v>
      </c>
      <c r="P9" s="189">
        <v>7</v>
      </c>
      <c r="Q9" s="189" t="str">
        <f>IFERROR(INDEX(TableWRMaster[Player],MATCH(TableWRCalcPts[[#This Row],[WRRef]],TableWRMaster[WRRef],0)),"")</f>
        <v>Drake London</v>
      </c>
      <c r="R9" s="189" t="str">
        <f>IFERROR(INDEX(TableWRMaster[TM],MATCH(TableWRCalcPts[[#This Row],[WRRef]],TableWRMaster[WRRef],0)),"")</f>
        <v>ATL</v>
      </c>
      <c r="S9" s="189">
        <f>IFERROR(INDEX(TableWRMaster[BYE],MATCH(TableWRCalcPts[[#This Row],[WRRef]],TableWRMaster[WRRef],0)),"")</f>
        <v>14</v>
      </c>
      <c r="T9" s="191">
        <f>IFERROR(INDEX(TableWRMaster[Custom],MATCH(TableWRCalcPts[[#This Row],[WRRef]],TableWRMaster[WRRef],0)),"")</f>
        <v>133.93393650127959</v>
      </c>
      <c r="V9" s="189">
        <f>IFERROR(RANK(TableTECalcPts[[#This Row],[Custom]],TableTECalcPts[Custom])+COUNTIF($AA$3:AA9,AA9)-1,"")</f>
        <v>52</v>
      </c>
      <c r="W9" s="189">
        <v>7</v>
      </c>
      <c r="X9" s="189" t="str">
        <f>IFERROR(INDEX(TableTEMaster[Player],MATCH(TableTECalcPts[[#This Row],[TERef]],TableTEMaster[TERef],0)),"")</f>
        <v>Nick Boyle</v>
      </c>
      <c r="Y9" s="189" t="str">
        <f>IFERROR(INDEX(TableTEMaster[TM],MATCH(TableTECalcPts[[#This Row],[TERef]],TableTEMaster[TERef],0)),"")</f>
        <v>BAL</v>
      </c>
      <c r="Z9" s="189">
        <f>IFERROR(INDEX(TableTEMaster[BYE],MATCH(TableTECalcPts[[#This Row],[TERef]],TableTEMaster[TERef],0)),"")</f>
        <v>10</v>
      </c>
      <c r="AA9" s="191">
        <f>IFERROR(INDEX(TableTEMaster[Custom],MATCH(TableTECalcPts[[#This Row],[TERef]],TableTEMaster[TERef],0)),"")</f>
        <v>21.097558218881776</v>
      </c>
      <c r="AC9" s="189">
        <f>IFERROR(RANK(TableDSTCalcPts[[#This Row],[Custom]],TableDSTCalcPts[Custom],0),"")</f>
        <v>20</v>
      </c>
      <c r="AD9" s="189">
        <v>7</v>
      </c>
      <c r="AE9" s="189" t="str">
        <f>IFERROR(INDEX(TableDSTMaster[Player],MATCH(TableDSTCalcPts[[#This Row],[DSTRef]],TableDSTMaster[DSTRef],0)),"")</f>
        <v>Cincinnati Bengals</v>
      </c>
      <c r="AF9" s="189">
        <f>IFERROR(INDEX(TableDSTMaster[BYE],MATCH(TableDSTCalcPts[[#This Row],[DSTRef]],TableDSTMaster[DSTRef],0)),"")</f>
        <v>10</v>
      </c>
      <c r="AG9" s="191">
        <f>IFERROR(INDEX(TableDSTMaster[Custom],MATCH(TableDSTCalcPts[[#This Row],[DSTRef]],TableDSTMaster[DSTRef],0)),"")</f>
        <v>117.70189775776983</v>
      </c>
      <c r="AI9" s="221" t="s">
        <v>10</v>
      </c>
      <c r="AJ9" s="189">
        <f>IFERROR(RANK(TableWRTECalcPts[[#This Row],[Custom]],TableWRTECalcPts[Custom])+COUNTIF($AP$3:AP9,AP9)-1,"")</f>
        <v>182</v>
      </c>
      <c r="AK9" s="189">
        <v>7</v>
      </c>
      <c r="AL9" s="189" t="str">
        <f>IFERROR(INDEX(TableTEMaster[Player],MATCH(TableWRTECalcPts[[#This Row],[POSRef]],TableTEMaster[TERef],0)),"")</f>
        <v>Nick Boyle</v>
      </c>
      <c r="AM9" s="189" t="str">
        <f>IFERROR(_xlfn.CONCAT(TableWRTECalcPts[[#This Row],[POS]],INDEX(TableTERanks[RK],MATCH(TableWRTECalcPts[[#This Row],[PLAYER]],TableTERanks[Player],0))),"")</f>
        <v>TE52</v>
      </c>
      <c r="AN9" s="189" t="str">
        <f>IFERROR(INDEX(TableTEMaster[TM],MATCH(TableWRTECalcPts[[#This Row],[POSRef]],TableTEMaster[TERef],0)),"")</f>
        <v>BAL</v>
      </c>
      <c r="AO9" s="189">
        <f>IFERROR(INDEX(TableTEMaster[BYE],MATCH(TableWRTECalcPts[[#This Row],[POSRef]],TableTEMaster[TERef],0)),"")</f>
        <v>10</v>
      </c>
      <c r="AP9" s="191">
        <f>IFERROR(INDEX(TableTEMaster[Custom],MATCH(TableWRTECalcPts[[#This Row],[POSRef]],TableTEMaster[TERef],0)),"")</f>
        <v>21.097558218881776</v>
      </c>
    </row>
    <row r="10" spans="1:42" x14ac:dyDescent="0.3">
      <c r="A10" s="198">
        <f>IFERROR(RANK(TableQBCalcPts[[#This Row],[Custom]],TableQBCalcPts[Custom])+COUNTIF($F$3:F10,F10)-1,"")</f>
        <v>59</v>
      </c>
      <c r="B10" s="189">
        <v>8</v>
      </c>
      <c r="C10" s="189" t="str">
        <f>IFERROR(INDEX(TableQBMaster[Player],MATCH(TableQBCalcPts[[#This Row],[QBRef]],TableQBMaster[QBRef],0)),"")</f>
        <v>Case Keenum</v>
      </c>
      <c r="D10" s="189" t="str">
        <f>IFERROR(INDEX(TableQBMaster[TM],MATCH(TableQBCalcPts[[#This Row],[QBRef]],TableQBMaster[QBRef],0)),"")</f>
        <v>BUF</v>
      </c>
      <c r="E10" s="189">
        <f>IFERROR(INDEX(TableQBMaster[BYE],MATCH(TableQBCalcPts[[#This Row],[QBRef]],TableQBMaster[QBRef],0)),"")</f>
        <v>7</v>
      </c>
      <c r="F10" s="191">
        <f>IFERROR(INDEX(TableQBMaster[Custom],MATCH(TableQBCalcPts[[#This Row],[QBRef]],TableQBMaster[QBRef],0)),"")</f>
        <v>3.446918512326516</v>
      </c>
      <c r="H10" s="189">
        <f>IFERROR(RANK(TableRBCalcPts[[#This Row],[Custom]],TableRBCalcPts[Custom])+COUNTIF($M$3:M10,M10)-1,"")</f>
        <v>109</v>
      </c>
      <c r="I10" s="189">
        <v>8</v>
      </c>
      <c r="J10" s="189" t="str">
        <f>IFERROR(INDEX(TableRBMaster[Player],MATCH(TableRBCalcPts[[#This Row],[RBRef]],TableRBMaster[RBRef],0)),"")</f>
        <v>Qadree Ollison</v>
      </c>
      <c r="K10" s="189" t="str">
        <f>IFERROR(INDEX(TableRBMaster[TM],MATCH(TableRBCalcPts[[#This Row],[RBRef]],TableRBMaster[RBRef],0)),"")</f>
        <v>ATL</v>
      </c>
      <c r="L10" s="189">
        <f>IFERROR(INDEX(TableRBMaster[BYE],MATCH(TableRBCalcPts[[#This Row],[RBRef]],TableRBMaster[RBRef],0)),"")</f>
        <v>14</v>
      </c>
      <c r="M10" s="191">
        <f>IFERROR(INDEX(TableRBMaster[Custom],MATCH(TableRBCalcPts[[#This Row],[RBRef]],TableRBMaster[RBRef],0)),"")</f>
        <v>11.487398298172863</v>
      </c>
      <c r="O10" s="189">
        <f>IFERROR(RANK(TableWRCalcPts[[#This Row],[Custom]],TableWRCalcPts[Custom])+COUNTIF($T$3:T10,T10)-1,"")</f>
        <v>99</v>
      </c>
      <c r="P10" s="189">
        <v>8</v>
      </c>
      <c r="Q10" s="189" t="str">
        <f>IFERROR(INDEX(TableWRMaster[Player],MATCH(TableWRCalcPts[[#This Row],[WRRef]],TableWRMaster[WRRef],0)),"")</f>
        <v>Bryan Edwards</v>
      </c>
      <c r="R10" s="189" t="str">
        <f>IFERROR(INDEX(TableWRMaster[TM],MATCH(TableWRCalcPts[[#This Row],[WRRef]],TableWRMaster[WRRef],0)),"")</f>
        <v>ATL</v>
      </c>
      <c r="S10" s="189">
        <f>IFERROR(INDEX(TableWRMaster[BYE],MATCH(TableWRCalcPts[[#This Row],[WRRef]],TableWRMaster[WRRef],0)),"")</f>
        <v>14</v>
      </c>
      <c r="T10" s="191">
        <f>IFERROR(INDEX(TableWRMaster[Custom],MATCH(TableWRCalcPts[[#This Row],[WRRef]],TableWRMaster[WRRef],0)),"")</f>
        <v>47.814013950587054</v>
      </c>
      <c r="V10" s="189">
        <f>IFERROR(RANK(TableTECalcPts[[#This Row],[Custom]],TableTECalcPts[Custom])+COUNTIF($AA$3:AA10,AA10)-1,"")</f>
        <v>71</v>
      </c>
      <c r="W10" s="189">
        <v>8</v>
      </c>
      <c r="X10" s="189" t="str">
        <f>IFERROR(INDEX(TableTEMaster[Player],MATCH(TableTECalcPts[[#This Row],[TERef]],TableTEMaster[TERef],0)),"")</f>
        <v>Charlie Kolar</v>
      </c>
      <c r="Y10" s="189" t="str">
        <f>IFERROR(INDEX(TableTEMaster[TM],MATCH(TableTECalcPts[[#This Row],[TERef]],TableTEMaster[TERef],0)),"")</f>
        <v>BAL</v>
      </c>
      <c r="Z10" s="189">
        <f>IFERROR(INDEX(TableTEMaster[BYE],MATCH(TableTECalcPts[[#This Row],[TERef]],TableTEMaster[TERef],0)),"")</f>
        <v>10</v>
      </c>
      <c r="AA10" s="191">
        <f>IFERROR(INDEX(TableTEMaster[Custom],MATCH(TableTECalcPts[[#This Row],[TERef]],TableTEMaster[TERef],0)),"")</f>
        <v>10.31898266790072</v>
      </c>
      <c r="AC10" s="189">
        <f>IFERROR(RANK(TableDSTCalcPts[[#This Row],[Custom]],TableDSTCalcPts[Custom],0),"")</f>
        <v>15</v>
      </c>
      <c r="AD10" s="189">
        <v>8</v>
      </c>
      <c r="AE10" s="189" t="str">
        <f>IFERROR(INDEX(TableDSTMaster[Player],MATCH(TableDSTCalcPts[[#This Row],[DSTRef]],TableDSTMaster[DSTRef],0)),"")</f>
        <v>Cleveland Browns</v>
      </c>
      <c r="AF10" s="189">
        <f>IFERROR(INDEX(TableDSTMaster[BYE],MATCH(TableDSTCalcPts[[#This Row],[DSTRef]],TableDSTMaster[DSTRef],0)),"")</f>
        <v>9</v>
      </c>
      <c r="AG10" s="191">
        <f>IFERROR(INDEX(TableDSTMaster[Custom],MATCH(TableDSTCalcPts[[#This Row],[DSTRef]],TableDSTMaster[DSTRef],0)),"")</f>
        <v>121.27147995232988</v>
      </c>
      <c r="AI10" s="221" t="s">
        <v>10</v>
      </c>
      <c r="AJ10" s="189">
        <f>IFERROR(RANK(TableWRTECalcPts[[#This Row],[Custom]],TableWRTECalcPts[Custom])+COUNTIF($AP$3:AP10,AP10)-1,"")</f>
        <v>237</v>
      </c>
      <c r="AK10" s="189">
        <v>8</v>
      </c>
      <c r="AL10" s="189" t="str">
        <f>IFERROR(INDEX(TableTEMaster[Player],MATCH(TableWRTECalcPts[[#This Row],[POSRef]],TableTEMaster[TERef],0)),"")</f>
        <v>Charlie Kolar</v>
      </c>
      <c r="AM10" s="189" t="str">
        <f>IFERROR(_xlfn.CONCAT(TableWRTECalcPts[[#This Row],[POS]],INDEX(TableTERanks[RK],MATCH(TableWRTECalcPts[[#This Row],[PLAYER]],TableTERanks[Player],0))),"")</f>
        <v>TE71</v>
      </c>
      <c r="AN10" s="189" t="str">
        <f>IFERROR(INDEX(TableTEMaster[TM],MATCH(TableWRTECalcPts[[#This Row],[POSRef]],TableTEMaster[TERef],0)),"")</f>
        <v>BAL</v>
      </c>
      <c r="AO10" s="189">
        <f>IFERROR(INDEX(TableTEMaster[BYE],MATCH(TableWRTECalcPts[[#This Row],[POSRef]],TableTEMaster[TERef],0)),"")</f>
        <v>10</v>
      </c>
      <c r="AP10" s="191">
        <f>IFERROR(INDEX(TableTEMaster[Custom],MATCH(TableWRTECalcPts[[#This Row],[POSRef]],TableTEMaster[TERef],0)),"")</f>
        <v>10.31898266790072</v>
      </c>
    </row>
    <row r="11" spans="1:42" x14ac:dyDescent="0.3">
      <c r="A11" s="198">
        <f>IFERROR(RANK(TableQBCalcPts[[#This Row],[Custom]],TableQBCalcPts[Custom])+COUNTIF($F$3:F11,F11)-1,"")</f>
        <v>31</v>
      </c>
      <c r="B11" s="189">
        <v>9</v>
      </c>
      <c r="C11" s="189" t="str">
        <f>IFERROR(INDEX(TableQBMaster[Player],MATCH(TableQBCalcPts[[#This Row],[QBRef]],TableQBMaster[QBRef],0)),"")</f>
        <v>Sam Darnold</v>
      </c>
      <c r="D11" s="189" t="str">
        <f>IFERROR(INDEX(TableQBMaster[TM],MATCH(TableQBCalcPts[[#This Row],[QBRef]],TableQBMaster[QBRef],0)),"")</f>
        <v>CAR</v>
      </c>
      <c r="E11" s="189">
        <f>IFERROR(INDEX(TableQBMaster[BYE],MATCH(TableQBCalcPts[[#This Row],[QBRef]],TableQBMaster[QBRef],0)),"")</f>
        <v>13</v>
      </c>
      <c r="F11" s="191">
        <f>IFERROR(INDEX(TableQBMaster[Custom],MATCH(TableQBCalcPts[[#This Row],[QBRef]],TableQBMaster[QBRef],0)),"")</f>
        <v>182.36501795271968</v>
      </c>
      <c r="H11" s="189">
        <f>IFERROR(RANK(TableRBCalcPts[[#This Row],[Custom]],TableRBCalcPts[Custom])+COUNTIF($M$3:M11,M11)-1,"")</f>
        <v>12</v>
      </c>
      <c r="I11" s="189">
        <v>9</v>
      </c>
      <c r="J11" s="189" t="str">
        <f>IFERROR(INDEX(TableRBMaster[Player],MATCH(TableRBCalcPts[[#This Row],[RBRef]],TableRBMaster[RBRef],0)),"")</f>
        <v>J.K. Dobbins</v>
      </c>
      <c r="K11" s="189" t="str">
        <f>IFERROR(INDEX(TableRBMaster[TM],MATCH(TableRBCalcPts[[#This Row],[RBRef]],TableRBMaster[RBRef],0)),"")</f>
        <v>BAL</v>
      </c>
      <c r="L11" s="189">
        <f>IFERROR(INDEX(TableRBMaster[BYE],MATCH(TableRBCalcPts[[#This Row],[RBRef]],TableRBMaster[RBRef],0)),"")</f>
        <v>10</v>
      </c>
      <c r="M11" s="191">
        <f>IFERROR(INDEX(TableRBMaster[Custom],MATCH(TableRBCalcPts[[#This Row],[RBRef]],TableRBMaster[RBRef],0)),"")</f>
        <v>200.29881530397194</v>
      </c>
      <c r="O11" s="189">
        <f>IFERROR(RANK(TableWRCalcPts[[#This Row],[Custom]],TableWRCalcPts[Custom])+COUNTIF($T$3:T11,T11)-1,"")</f>
        <v>96</v>
      </c>
      <c r="P11" s="189">
        <v>9</v>
      </c>
      <c r="Q11" s="189" t="str">
        <f>IFERROR(INDEX(TableWRMaster[Player],MATCH(TableWRCalcPts[[#This Row],[WRRef]],TableWRMaster[WRRef],0)),"")</f>
        <v>Olamide Zaccheaus</v>
      </c>
      <c r="R11" s="189" t="str">
        <f>IFERROR(INDEX(TableWRMaster[TM],MATCH(TableWRCalcPts[[#This Row],[WRRef]],TableWRMaster[WRRef],0)),"")</f>
        <v>ATL</v>
      </c>
      <c r="S11" s="189">
        <f>IFERROR(INDEX(TableWRMaster[BYE],MATCH(TableWRCalcPts[[#This Row],[WRRef]],TableWRMaster[WRRef],0)),"")</f>
        <v>14</v>
      </c>
      <c r="T11" s="191">
        <f>IFERROR(INDEX(TableWRMaster[Custom],MATCH(TableWRCalcPts[[#This Row],[WRRef]],TableWRMaster[WRRef],0)),"")</f>
        <v>51.177073421678053</v>
      </c>
      <c r="V11" s="189">
        <f>IFERROR(RANK(TableTECalcPts[[#This Row],[Custom]],TableTECalcPts[Custom])+COUNTIF($AA$3:AA11,AA11)-1,"")</f>
        <v>9</v>
      </c>
      <c r="W11" s="189">
        <v>9</v>
      </c>
      <c r="X11" s="189" t="str">
        <f>IFERROR(INDEX(TableTEMaster[Player],MATCH(TableTECalcPts[[#This Row],[TERef]],TableTEMaster[TERef],0)),"")</f>
        <v>Dawson Knox</v>
      </c>
      <c r="Y11" s="189" t="str">
        <f>IFERROR(INDEX(TableTEMaster[TM],MATCH(TableTECalcPts[[#This Row],[TERef]],TableTEMaster[TERef],0)),"")</f>
        <v>BUF</v>
      </c>
      <c r="Z11" s="189">
        <f>IFERROR(INDEX(TableTEMaster[BYE],MATCH(TableTECalcPts[[#This Row],[TERef]],TableTEMaster[TERef],0)),"")</f>
        <v>7</v>
      </c>
      <c r="AA11" s="191">
        <f>IFERROR(INDEX(TableTEMaster[Custom],MATCH(TableTECalcPts[[#This Row],[TERef]],TableTEMaster[TERef],0)),"")</f>
        <v>102.87952804843867</v>
      </c>
      <c r="AC11" s="189">
        <f>IFERROR(RANK(TableDSTCalcPts[[#This Row],[Custom]],TableDSTCalcPts[Custom],0),"")</f>
        <v>6</v>
      </c>
      <c r="AD11" s="189">
        <v>9</v>
      </c>
      <c r="AE11" s="189" t="str">
        <f>IFERROR(INDEX(TableDSTMaster[Player],MATCH(TableDSTCalcPts[[#This Row],[DSTRef]],TableDSTMaster[DSTRef],0)),"")</f>
        <v>Dallas Cowboys</v>
      </c>
      <c r="AF11" s="189">
        <f>IFERROR(INDEX(TableDSTMaster[BYE],MATCH(TableDSTCalcPts[[#This Row],[DSTRef]],TableDSTMaster[DSTRef],0)),"")</f>
        <v>9</v>
      </c>
      <c r="AG11" s="191">
        <f>IFERROR(INDEX(TableDSTMaster[Custom],MATCH(TableDSTCalcPts[[#This Row],[DSTRef]],TableDSTMaster[DSTRef],0)),"")</f>
        <v>126.65112288747655</v>
      </c>
      <c r="AI11" s="221" t="s">
        <v>10</v>
      </c>
      <c r="AJ11" s="189">
        <f>IFERROR(RANK(TableWRTECalcPts[[#This Row],[Custom]],TableWRTECalcPts[Custom])+COUNTIF($AP$3:AP11,AP11)-1,"")</f>
        <v>64</v>
      </c>
      <c r="AK11" s="189">
        <v>9</v>
      </c>
      <c r="AL11" s="189" t="str">
        <f>IFERROR(INDEX(TableTEMaster[Player],MATCH(TableWRTECalcPts[[#This Row],[POSRef]],TableTEMaster[TERef],0)),"")</f>
        <v>Dawson Knox</v>
      </c>
      <c r="AM11" s="189" t="str">
        <f>IFERROR(_xlfn.CONCAT(TableWRTECalcPts[[#This Row],[POS]],INDEX(TableTERanks[RK],MATCH(TableWRTECalcPts[[#This Row],[PLAYER]],TableTERanks[Player],0))),"")</f>
        <v>TE9</v>
      </c>
      <c r="AN11" s="189" t="str">
        <f>IFERROR(INDEX(TableTEMaster[TM],MATCH(TableWRTECalcPts[[#This Row],[POSRef]],TableTEMaster[TERef],0)),"")</f>
        <v>BUF</v>
      </c>
      <c r="AO11" s="189">
        <f>IFERROR(INDEX(TableTEMaster[BYE],MATCH(TableWRTECalcPts[[#This Row],[POSRef]],TableTEMaster[TERef],0)),"")</f>
        <v>7</v>
      </c>
      <c r="AP11" s="191">
        <f>IFERROR(INDEX(TableTEMaster[Custom],MATCH(TableWRTECalcPts[[#This Row],[POSRef]],TableTEMaster[TERef],0)),"")</f>
        <v>102.87952804843867</v>
      </c>
    </row>
    <row r="12" spans="1:42" x14ac:dyDescent="0.3">
      <c r="A12" s="198">
        <f>IFERROR(RANK(TableQBCalcPts[[#This Row],[Custom]],TableQBCalcPts[Custom])+COUNTIF($F$3:F12,F12)-1,"")</f>
        <v>36</v>
      </c>
      <c r="B12" s="189">
        <v>10</v>
      </c>
      <c r="C12" s="189" t="str">
        <f>IFERROR(INDEX(TableQBMaster[Player],MATCH(TableQBCalcPts[[#This Row],[QBRef]],TableQBMaster[QBRef],0)),"")</f>
        <v>Matt Corral</v>
      </c>
      <c r="D12" s="189" t="str">
        <f>IFERROR(INDEX(TableQBMaster[TM],MATCH(TableQBCalcPts[[#This Row],[QBRef]],TableQBMaster[QBRef],0)),"")</f>
        <v>CAR</v>
      </c>
      <c r="E12" s="189">
        <f>IFERROR(INDEX(TableQBMaster[BYE],MATCH(TableQBCalcPts[[#This Row],[QBRef]],TableQBMaster[QBRef],0)),"")</f>
        <v>13</v>
      </c>
      <c r="F12" s="191">
        <f>IFERROR(INDEX(TableQBMaster[Custom],MATCH(TableQBCalcPts[[#This Row],[QBRef]],TableQBMaster[QBRef],0)),"")</f>
        <v>76.001794257808797</v>
      </c>
      <c r="H12" s="189">
        <f>IFERROR(RANK(TableRBCalcPts[[#This Row],[Custom]],TableRBCalcPts[Custom])+COUNTIF($M$3:M12,M12)-1,"")</f>
        <v>37</v>
      </c>
      <c r="I12" s="189">
        <v>10</v>
      </c>
      <c r="J12" s="189" t="str">
        <f>IFERROR(INDEX(TableRBMaster[Player],MATCH(TableRBCalcPts[[#This Row],[RBRef]],TableRBMaster[RBRef],0)),"")</f>
        <v>Gus Edwards</v>
      </c>
      <c r="K12" s="189" t="str">
        <f>IFERROR(INDEX(TableRBMaster[TM],MATCH(TableRBCalcPts[[#This Row],[RBRef]],TableRBMaster[RBRef],0)),"")</f>
        <v>BAL</v>
      </c>
      <c r="L12" s="189">
        <f>IFERROR(INDEX(TableRBMaster[BYE],MATCH(TableRBCalcPts[[#This Row],[RBRef]],TableRBMaster[RBRef],0)),"")</f>
        <v>10</v>
      </c>
      <c r="M12" s="191">
        <f>IFERROR(INDEX(TableRBMaster[Custom],MATCH(TableRBCalcPts[[#This Row],[RBRef]],TableRBMaster[RBRef],0)),"")</f>
        <v>115.70214139841576</v>
      </c>
      <c r="O12" s="189">
        <f>IFERROR(RANK(TableWRCalcPts[[#This Row],[Custom]],TableWRCalcPts[Custom])+COUNTIF($T$3:T12,T12)-1,"")</f>
        <v>128</v>
      </c>
      <c r="P12" s="189">
        <v>10</v>
      </c>
      <c r="Q12" s="189" t="str">
        <f>IFERROR(INDEX(TableWRMaster[Player],MATCH(TableWRCalcPts[[#This Row],[WRRef]],TableWRMaster[WRRef],0)),"")</f>
        <v>KhaDarel Hodge</v>
      </c>
      <c r="R12" s="189" t="str">
        <f>IFERROR(INDEX(TableWRMaster[TM],MATCH(TableWRCalcPts[[#This Row],[WRRef]],TableWRMaster[WRRef],0)),"")</f>
        <v>ATL</v>
      </c>
      <c r="S12" s="189">
        <f>IFERROR(INDEX(TableWRMaster[BYE],MATCH(TableWRCalcPts[[#This Row],[WRRef]],TableWRMaster[WRRef],0)),"")</f>
        <v>14</v>
      </c>
      <c r="T12" s="191">
        <f>IFERROR(INDEX(TableWRMaster[Custom],MATCH(TableWRCalcPts[[#This Row],[WRRef]],TableWRMaster[WRRef],0)),"")</f>
        <v>22.265489269749821</v>
      </c>
      <c r="V12" s="189">
        <f>IFERROR(RANK(TableTECalcPts[[#This Row],[Custom]],TableTECalcPts[Custom])+COUNTIF($AA$3:AA12,AA12)-1,"")</f>
        <v>38</v>
      </c>
      <c r="W12" s="189">
        <v>10</v>
      </c>
      <c r="X12" s="189" t="str">
        <f>IFERROR(INDEX(TableTEMaster[Player],MATCH(TableTECalcPts[[#This Row],[TERef]],TableTEMaster[TERef],0)),"")</f>
        <v>O.J. Howard</v>
      </c>
      <c r="Y12" s="189" t="str">
        <f>IFERROR(INDEX(TableTEMaster[TM],MATCH(TableTECalcPts[[#This Row],[TERef]],TableTEMaster[TERef],0)),"")</f>
        <v>BUF</v>
      </c>
      <c r="Z12" s="189">
        <f>IFERROR(INDEX(TableTEMaster[BYE],MATCH(TableTECalcPts[[#This Row],[TERef]],TableTEMaster[TERef],0)),"")</f>
        <v>7</v>
      </c>
      <c r="AA12" s="191">
        <f>IFERROR(INDEX(TableTEMaster[Custom],MATCH(TableTECalcPts[[#This Row],[TERef]],TableTEMaster[TERef],0)),"")</f>
        <v>35.057279579450409</v>
      </c>
      <c r="AC12" s="189">
        <f>IFERROR(RANK(TableDSTCalcPts[[#This Row],[Custom]],TableDSTCalcPts[Custom],0),"")</f>
        <v>16</v>
      </c>
      <c r="AD12" s="189">
        <v>10</v>
      </c>
      <c r="AE12" s="189" t="str">
        <f>IFERROR(INDEX(TableDSTMaster[Player],MATCH(TableDSTCalcPts[[#This Row],[DSTRef]],TableDSTMaster[DSTRef],0)),"")</f>
        <v>Denver Broncos</v>
      </c>
      <c r="AF12" s="189">
        <f>IFERROR(INDEX(TableDSTMaster[BYE],MATCH(TableDSTCalcPts[[#This Row],[DSTRef]],TableDSTMaster[DSTRef],0)),"")</f>
        <v>9</v>
      </c>
      <c r="AG12" s="191">
        <f>IFERROR(INDEX(TableDSTMaster[Custom],MATCH(TableDSTCalcPts[[#This Row],[DSTRef]],TableDSTMaster[DSTRef],0)),"")</f>
        <v>120.32839499657774</v>
      </c>
      <c r="AI12" s="221" t="s">
        <v>10</v>
      </c>
      <c r="AJ12" s="189">
        <f>IFERROR(RANK(TableWRTECalcPts[[#This Row],[Custom]],TableWRTECalcPts[Custom])+COUNTIF($AP$3:AP12,AP12)-1,"")</f>
        <v>147</v>
      </c>
      <c r="AK12" s="189">
        <v>10</v>
      </c>
      <c r="AL12" s="189" t="str">
        <f>IFERROR(INDEX(TableTEMaster[Player],MATCH(TableWRTECalcPts[[#This Row],[POSRef]],TableTEMaster[TERef],0)),"")</f>
        <v>O.J. Howard</v>
      </c>
      <c r="AM12" s="189" t="str">
        <f>IFERROR(_xlfn.CONCAT(TableWRTECalcPts[[#This Row],[POS]],INDEX(TableTERanks[RK],MATCH(TableWRTECalcPts[[#This Row],[PLAYER]],TableTERanks[Player],0))),"")</f>
        <v>TE38</v>
      </c>
      <c r="AN12" s="189" t="str">
        <f>IFERROR(INDEX(TableTEMaster[TM],MATCH(TableWRTECalcPts[[#This Row],[POSRef]],TableTEMaster[TERef],0)),"")</f>
        <v>BUF</v>
      </c>
      <c r="AO12" s="189">
        <f>IFERROR(INDEX(TableTEMaster[BYE],MATCH(TableWRTECalcPts[[#This Row],[POSRef]],TableTEMaster[TERef],0)),"")</f>
        <v>7</v>
      </c>
      <c r="AP12" s="191">
        <f>IFERROR(INDEX(TableTEMaster[Custom],MATCH(TableWRTECalcPts[[#This Row],[POSRef]],TableTEMaster[TERef],0)),"")</f>
        <v>35.057279579450409</v>
      </c>
    </row>
    <row r="13" spans="1:42" x14ac:dyDescent="0.3">
      <c r="A13" s="198">
        <f>IFERROR(RANK(TableQBCalcPts[[#This Row],[Custom]],TableQBCalcPts[Custom])+COUNTIF($F$3:F13,F13)-1,"")</f>
        <v>15</v>
      </c>
      <c r="B13" s="189">
        <v>11</v>
      </c>
      <c r="C13" s="189" t="str">
        <f>IFERROR(INDEX(TableQBMaster[Player],MATCH(TableQBCalcPts[[#This Row],[QBRef]],TableQBMaster[QBRef],0)),"")</f>
        <v>Justin Fields</v>
      </c>
      <c r="D13" s="189" t="str">
        <f>IFERROR(INDEX(TableQBMaster[TM],MATCH(TableQBCalcPts[[#This Row],[QBRef]],TableQBMaster[QBRef],0)),"")</f>
        <v>CHI</v>
      </c>
      <c r="E13" s="189">
        <f>IFERROR(INDEX(TableQBMaster[BYE],MATCH(TableQBCalcPts[[#This Row],[QBRef]],TableQBMaster[QBRef],0)),"")</f>
        <v>14</v>
      </c>
      <c r="F13" s="191">
        <f>IFERROR(INDEX(TableQBMaster[Custom],MATCH(TableQBCalcPts[[#This Row],[QBRef]],TableQBMaster[QBRef],0)),"")</f>
        <v>309.50928958655686</v>
      </c>
      <c r="H13" s="189">
        <f>IFERROR(RANK(TableRBCalcPts[[#This Row],[Custom]],TableRBCalcPts[Custom])+COUNTIF($M$3:M13,M13)-1,"")</f>
        <v>98</v>
      </c>
      <c r="I13" s="189">
        <v>11</v>
      </c>
      <c r="J13" s="189" t="str">
        <f>IFERROR(INDEX(TableRBMaster[Player],MATCH(TableRBCalcPts[[#This Row],[RBRef]],TableRBMaster[RBRef],0)),"")</f>
        <v>Mike Davis</v>
      </c>
      <c r="K13" s="189" t="str">
        <f>IFERROR(INDEX(TableRBMaster[TM],MATCH(TableRBCalcPts[[#This Row],[RBRef]],TableRBMaster[RBRef],0)),"")</f>
        <v>BAL</v>
      </c>
      <c r="L13" s="189">
        <f>IFERROR(INDEX(TableRBMaster[BYE],MATCH(TableRBCalcPts[[#This Row],[RBRef]],TableRBMaster[RBRef],0)),"")</f>
        <v>10</v>
      </c>
      <c r="M13" s="191">
        <f>IFERROR(INDEX(TableRBMaster[Custom],MATCH(TableRBCalcPts[[#This Row],[RBRef]],TableRBMaster[RBRef],0)),"")</f>
        <v>15.706408260384052</v>
      </c>
      <c r="O13" s="189">
        <f>IFERROR(RANK(TableWRCalcPts[[#This Row],[Custom]],TableWRCalcPts[Custom])+COUNTIF($T$3:T13,T13)-1,"")</f>
        <v>126</v>
      </c>
      <c r="P13" s="189">
        <v>11</v>
      </c>
      <c r="Q13" s="189" t="str">
        <f>IFERROR(INDEX(TableWRMaster[Player],MATCH(TableWRCalcPts[[#This Row],[WRRef]],TableWRMaster[WRRef],0)),"")</f>
        <v>Auden Tate</v>
      </c>
      <c r="R13" s="189" t="str">
        <f>IFERROR(INDEX(TableWRMaster[TM],MATCH(TableWRCalcPts[[#This Row],[WRRef]],TableWRMaster[WRRef],0)),"")</f>
        <v>ATL</v>
      </c>
      <c r="S13" s="189">
        <f>IFERROR(INDEX(TableWRMaster[BYE],MATCH(TableWRCalcPts[[#This Row],[WRRef]],TableWRMaster[WRRef],0)),"")</f>
        <v>14</v>
      </c>
      <c r="T13" s="191">
        <f>IFERROR(INDEX(TableWRMaster[Custom],MATCH(TableWRCalcPts[[#This Row],[WRRef]],TableWRMaster[WRRef],0)),"")</f>
        <v>22.711400034276718</v>
      </c>
      <c r="V13" s="189">
        <f>IFERROR(RANK(TableTECalcPts[[#This Row],[Custom]],TableTECalcPts[Custom])+COUNTIF($AA$3:AA13,AA13)-1,"")</f>
        <v>87</v>
      </c>
      <c r="W13" s="189">
        <v>11</v>
      </c>
      <c r="X13" s="189" t="str">
        <f>IFERROR(INDEX(TableTEMaster[Player],MATCH(TableTECalcPts[[#This Row],[TERef]],TableTEMaster[TERef],0)),"")</f>
        <v>Jalen Wydermyer</v>
      </c>
      <c r="Y13" s="189" t="str">
        <f>IFERROR(INDEX(TableTEMaster[TM],MATCH(TableTECalcPts[[#This Row],[TERef]],TableTEMaster[TERef],0)),"")</f>
        <v>BUF</v>
      </c>
      <c r="Z13" s="189">
        <f>IFERROR(INDEX(TableTEMaster[BYE],MATCH(TableTECalcPts[[#This Row],[TERef]],TableTEMaster[TERef],0)),"")</f>
        <v>7</v>
      </c>
      <c r="AA13" s="191">
        <f>IFERROR(INDEX(TableTEMaster[Custom],MATCH(TableTECalcPts[[#This Row],[TERef]],TableTEMaster[TERef],0)),"")</f>
        <v>5.2497172267481558</v>
      </c>
      <c r="AC13" s="189">
        <f>IFERROR(RANK(TableDSTCalcPts[[#This Row],[Custom]],TableDSTCalcPts[Custom],0),"")</f>
        <v>27</v>
      </c>
      <c r="AD13" s="189">
        <v>11</v>
      </c>
      <c r="AE13" s="189" t="str">
        <f>IFERROR(INDEX(TableDSTMaster[Player],MATCH(TableDSTCalcPts[[#This Row],[DSTRef]],TableDSTMaster[DSTRef],0)),"")</f>
        <v>Detroit Lions</v>
      </c>
      <c r="AF13" s="189">
        <f>IFERROR(INDEX(TableDSTMaster[BYE],MATCH(TableDSTCalcPts[[#This Row],[DSTRef]],TableDSTMaster[DSTRef],0)),"")</f>
        <v>6</v>
      </c>
      <c r="AG13" s="191">
        <f>IFERROR(INDEX(TableDSTMaster[Custom],MATCH(TableDSTCalcPts[[#This Row],[DSTRef]],TableDSTMaster[DSTRef],0)),"")</f>
        <v>105.66883121378228</v>
      </c>
      <c r="AI13" s="221" t="s">
        <v>10</v>
      </c>
      <c r="AJ13" s="189">
        <f>IFERROR(RANK(TableWRTECalcPts[[#This Row],[Custom]],TableWRTECalcPts[Custom])+COUNTIF($AP$3:AP13,AP13)-1,"")</f>
        <v>269</v>
      </c>
      <c r="AK13" s="189">
        <v>11</v>
      </c>
      <c r="AL13" s="189" t="str">
        <f>IFERROR(INDEX(TableTEMaster[Player],MATCH(TableWRTECalcPts[[#This Row],[POSRef]],TableTEMaster[TERef],0)),"")</f>
        <v>Jalen Wydermyer</v>
      </c>
      <c r="AM13" s="189" t="str">
        <f>IFERROR(_xlfn.CONCAT(TableWRTECalcPts[[#This Row],[POS]],INDEX(TableTERanks[RK],MATCH(TableWRTECalcPts[[#This Row],[PLAYER]],TableTERanks[Player],0))),"")</f>
        <v>TE87</v>
      </c>
      <c r="AN13" s="189" t="str">
        <f>IFERROR(INDEX(TableTEMaster[TM],MATCH(TableWRTECalcPts[[#This Row],[POSRef]],TableTEMaster[TERef],0)),"")</f>
        <v>BUF</v>
      </c>
      <c r="AO13" s="189">
        <f>IFERROR(INDEX(TableTEMaster[BYE],MATCH(TableWRTECalcPts[[#This Row],[POSRef]],TableTEMaster[TERef],0)),"")</f>
        <v>7</v>
      </c>
      <c r="AP13" s="191">
        <f>IFERROR(INDEX(TableTEMaster[Custom],MATCH(TableWRTECalcPts[[#This Row],[POSRef]],TableTEMaster[TERef],0)),"")</f>
        <v>5.2497172267481558</v>
      </c>
    </row>
    <row r="14" spans="1:42" x14ac:dyDescent="0.3">
      <c r="A14" s="198">
        <f>IFERROR(RANK(TableQBCalcPts[[#This Row],[Custom]],TableQBCalcPts[Custom])+COUNTIF($F$3:F14,F14)-1,"")</f>
        <v>45</v>
      </c>
      <c r="B14" s="189">
        <v>12</v>
      </c>
      <c r="C14" s="189" t="str">
        <f>IFERROR(INDEX(TableQBMaster[Player],MATCH(TableQBCalcPts[[#This Row],[QBRef]],TableQBMaster[QBRef],0)),"")</f>
        <v>Trevor Siemian</v>
      </c>
      <c r="D14" s="189" t="str">
        <f>IFERROR(INDEX(TableQBMaster[TM],MATCH(TableQBCalcPts[[#This Row],[QBRef]],TableQBMaster[QBRef],0)),"")</f>
        <v>CHI</v>
      </c>
      <c r="E14" s="189">
        <f>IFERROR(INDEX(TableQBMaster[BYE],MATCH(TableQBCalcPts[[#This Row],[QBRef]],TableQBMaster[QBRef],0)),"")</f>
        <v>14</v>
      </c>
      <c r="F14" s="191">
        <f>IFERROR(INDEX(TableQBMaster[Custom],MATCH(TableQBCalcPts[[#This Row],[QBRef]],TableQBMaster[QBRef],0)),"")</f>
        <v>11.507443866290711</v>
      </c>
      <c r="H14" s="189">
        <f>IFERROR(RANK(TableRBCalcPts[[#This Row],[Custom]],TableRBCalcPts[Custom])+COUNTIF($M$3:M14,M14)-1,"")</f>
        <v>106</v>
      </c>
      <c r="I14" s="189">
        <v>12</v>
      </c>
      <c r="J14" s="189" t="str">
        <f>IFERROR(INDEX(TableRBMaster[Player],MATCH(TableRBCalcPts[[#This Row],[RBRef]],TableRBMaster[RBRef],0)),"")</f>
        <v>Tyler Badie</v>
      </c>
      <c r="K14" s="189" t="str">
        <f>IFERROR(INDEX(TableRBMaster[TM],MATCH(TableRBCalcPts[[#This Row],[RBRef]],TableRBMaster[RBRef],0)),"")</f>
        <v>BAL</v>
      </c>
      <c r="L14" s="189">
        <f>IFERROR(INDEX(TableRBMaster[BYE],MATCH(TableRBCalcPts[[#This Row],[RBRef]],TableRBMaster[RBRef],0)),"")</f>
        <v>10</v>
      </c>
      <c r="M14" s="191">
        <f>IFERROR(INDEX(TableRBMaster[Custom],MATCH(TableRBCalcPts[[#This Row],[RBRef]],TableRBMaster[RBRef],0)),"")</f>
        <v>12.577174465298361</v>
      </c>
      <c r="O14" s="189">
        <f>IFERROR(RANK(TableWRCalcPts[[#This Row],[Custom]],TableWRCalcPts[Custom])+COUNTIF($T$3:T14,T14)-1,"")</f>
        <v>116</v>
      </c>
      <c r="P14" s="189">
        <v>12</v>
      </c>
      <c r="Q14" s="189" t="str">
        <f>IFERROR(INDEX(TableWRMaster[Player],MATCH(TableWRCalcPts[[#This Row],[WRRef]],TableWRMaster[WRRef],0)),"")</f>
        <v>Damiere Byrd</v>
      </c>
      <c r="R14" s="189" t="str">
        <f>IFERROR(INDEX(TableWRMaster[TM],MATCH(TableWRCalcPts[[#This Row],[WRRef]],TableWRMaster[WRRef],0)),"")</f>
        <v>ATL</v>
      </c>
      <c r="S14" s="189">
        <f>IFERROR(INDEX(TableWRMaster[BYE],MATCH(TableWRCalcPts[[#This Row],[WRRef]],TableWRMaster[WRRef],0)),"")</f>
        <v>14</v>
      </c>
      <c r="T14" s="191">
        <f>IFERROR(INDEX(TableWRMaster[Custom],MATCH(TableWRCalcPts[[#This Row],[WRRef]],TableWRMaster[WRRef],0)),"")</f>
        <v>26.381639591041044</v>
      </c>
      <c r="V14" s="189">
        <f>IFERROR(RANK(TableTECalcPts[[#This Row],[Custom]],TableTECalcPts[Custom])+COUNTIF($AA$3:AA14,AA14)-1,"")</f>
        <v>31</v>
      </c>
      <c r="W14" s="189">
        <v>12</v>
      </c>
      <c r="X14" s="189" t="str">
        <f>IFERROR(INDEX(TableTEMaster[Player],MATCH(TableTECalcPts[[#This Row],[TERef]],TableTEMaster[TERef],0)),"")</f>
        <v>Tommy Tremble</v>
      </c>
      <c r="Y14" s="189" t="str">
        <f>IFERROR(INDEX(TableTEMaster[TM],MATCH(TableTECalcPts[[#This Row],[TERef]],TableTEMaster[TERef],0)),"")</f>
        <v>CAR</v>
      </c>
      <c r="Z14" s="189">
        <f>IFERROR(INDEX(TableTEMaster[BYE],MATCH(TableTECalcPts[[#This Row],[TERef]],TableTEMaster[TERef],0)),"")</f>
        <v>13</v>
      </c>
      <c r="AA14" s="191">
        <f>IFERROR(INDEX(TableTEMaster[Custom],MATCH(TableTECalcPts[[#This Row],[TERef]],TableTEMaster[TERef],0)),"")</f>
        <v>50.482570632097605</v>
      </c>
      <c r="AC14" s="189">
        <f>IFERROR(RANK(TableDSTCalcPts[[#This Row],[Custom]],TableDSTCalcPts[Custom],0),"")</f>
        <v>12</v>
      </c>
      <c r="AD14" s="189">
        <v>12</v>
      </c>
      <c r="AE14" s="189" t="str">
        <f>IFERROR(INDEX(TableDSTMaster[Player],MATCH(TableDSTCalcPts[[#This Row],[DSTRef]],TableDSTMaster[DSTRef],0)),"")</f>
        <v>Green Bay Packers</v>
      </c>
      <c r="AF14" s="189">
        <f>IFERROR(INDEX(TableDSTMaster[BYE],MATCH(TableDSTCalcPts[[#This Row],[DSTRef]],TableDSTMaster[DSTRef],0)),"")</f>
        <v>14</v>
      </c>
      <c r="AG14" s="191">
        <f>IFERROR(INDEX(TableDSTMaster[Custom],MATCH(TableDSTCalcPts[[#This Row],[DSTRef]],TableDSTMaster[DSTRef],0)),"")</f>
        <v>123.90086431811162</v>
      </c>
      <c r="AI14" s="221" t="s">
        <v>10</v>
      </c>
      <c r="AJ14" s="189">
        <f>IFERROR(RANK(TableWRTECalcPts[[#This Row],[Custom]],TableWRTECalcPts[Custom])+COUNTIF($AP$3:AP14,AP14)-1,"")</f>
        <v>127</v>
      </c>
      <c r="AK14" s="189">
        <v>12</v>
      </c>
      <c r="AL14" s="189" t="str">
        <f>IFERROR(INDEX(TableTEMaster[Player],MATCH(TableWRTECalcPts[[#This Row],[POSRef]],TableTEMaster[TERef],0)),"")</f>
        <v>Tommy Tremble</v>
      </c>
      <c r="AM14" s="189" t="str">
        <f>IFERROR(_xlfn.CONCAT(TableWRTECalcPts[[#This Row],[POS]],INDEX(TableTERanks[RK],MATCH(TableWRTECalcPts[[#This Row],[PLAYER]],TableTERanks[Player],0))),"")</f>
        <v>TE31</v>
      </c>
      <c r="AN14" s="189" t="str">
        <f>IFERROR(INDEX(TableTEMaster[TM],MATCH(TableWRTECalcPts[[#This Row],[POSRef]],TableTEMaster[TERef],0)),"")</f>
        <v>CAR</v>
      </c>
      <c r="AO14" s="189">
        <f>IFERROR(INDEX(TableTEMaster[BYE],MATCH(TableWRTECalcPts[[#This Row],[POSRef]],TableTEMaster[TERef],0)),"")</f>
        <v>13</v>
      </c>
      <c r="AP14" s="191">
        <f>IFERROR(INDEX(TableTEMaster[Custom],MATCH(TableWRTECalcPts[[#This Row],[POSRef]],TableTEMaster[TERef],0)),"")</f>
        <v>50.482570632097605</v>
      </c>
    </row>
    <row r="15" spans="1:42" x14ac:dyDescent="0.3">
      <c r="A15" s="198">
        <f>IFERROR(RANK(TableQBCalcPts[[#This Row],[Custom]],TableQBCalcPts[Custom])+COUNTIF($F$3:F15,F15)-1,"")</f>
        <v>6</v>
      </c>
      <c r="B15" s="189">
        <v>13</v>
      </c>
      <c r="C15" s="189" t="str">
        <f>IFERROR(INDEX(TableQBMaster[Player],MATCH(TableQBCalcPts[[#This Row],[QBRef]],TableQBMaster[QBRef],0)),"")</f>
        <v>Joe Burrow</v>
      </c>
      <c r="D15" s="189" t="str">
        <f>IFERROR(INDEX(TableQBMaster[TM],MATCH(TableQBCalcPts[[#This Row],[QBRef]],TableQBMaster[QBRef],0)),"")</f>
        <v>CIN</v>
      </c>
      <c r="E15" s="189">
        <f>IFERROR(INDEX(TableQBMaster[BYE],MATCH(TableQBCalcPts[[#This Row],[QBRef]],TableQBMaster[QBRef],0)),"")</f>
        <v>10</v>
      </c>
      <c r="F15" s="191">
        <f>IFERROR(INDEX(TableQBMaster[Custom],MATCH(TableQBCalcPts[[#This Row],[QBRef]],TableQBMaster[QBRef],0)),"")</f>
        <v>361.68235807563957</v>
      </c>
      <c r="H15" s="189">
        <f>IFERROR(RANK(TableRBCalcPts[[#This Row],[Custom]],TableRBCalcPts[Custom])+COUNTIF($M$3:M15,M15)-1,"")</f>
        <v>31</v>
      </c>
      <c r="I15" s="189">
        <v>13</v>
      </c>
      <c r="J15" s="189" t="str">
        <f>IFERROR(INDEX(TableRBMaster[Player],MATCH(TableRBCalcPts[[#This Row],[RBRef]],TableRBMaster[RBRef],0)),"")</f>
        <v>Devin Singletary</v>
      </c>
      <c r="K15" s="189" t="str">
        <f>IFERROR(INDEX(TableRBMaster[TM],MATCH(TableRBCalcPts[[#This Row],[RBRef]],TableRBMaster[RBRef],0)),"")</f>
        <v>BUF</v>
      </c>
      <c r="L15" s="189">
        <f>IFERROR(INDEX(TableRBMaster[BYE],MATCH(TableRBCalcPts[[#This Row],[RBRef]],TableRBMaster[RBRef],0)),"")</f>
        <v>7</v>
      </c>
      <c r="M15" s="191">
        <f>IFERROR(INDEX(TableRBMaster[Custom],MATCH(TableRBCalcPts[[#This Row],[RBRef]],TableRBMaster[RBRef],0)),"")</f>
        <v>134.98798518855412</v>
      </c>
      <c r="O15" s="189">
        <f>IFERROR(RANK(TableWRCalcPts[[#This Row],[Custom]],TableWRCalcPts[Custom])+COUNTIF($T$3:T15,T15)-1,"")</f>
        <v>20</v>
      </c>
      <c r="P15" s="189">
        <v>13</v>
      </c>
      <c r="Q15" s="189" t="str">
        <f>IFERROR(INDEX(TableWRMaster[Player],MATCH(TableWRCalcPts[[#This Row],[WRRef]],TableWRMaster[WRRef],0)),"")</f>
        <v>Rashod Bateman</v>
      </c>
      <c r="R15" s="189" t="str">
        <f>IFERROR(INDEX(TableWRMaster[TM],MATCH(TableWRCalcPts[[#This Row],[WRRef]],TableWRMaster[WRRef],0)),"")</f>
        <v>BAL</v>
      </c>
      <c r="S15" s="189">
        <f>IFERROR(INDEX(TableWRMaster[BYE],MATCH(TableWRCalcPts[[#This Row],[WRRef]],TableWRMaster[WRRef],0)),"")</f>
        <v>10</v>
      </c>
      <c r="T15" s="191">
        <f>IFERROR(INDEX(TableWRMaster[Custom],MATCH(TableWRCalcPts[[#This Row],[WRRef]],TableWRMaster[WRRef],0)),"")</f>
        <v>148.63992321748958</v>
      </c>
      <c r="V15" s="189">
        <f>IFERROR(RANK(TableTECalcPts[[#This Row],[Custom]],TableTECalcPts[Custom])+COUNTIF($AA$3:AA15,AA15)-1,"")</f>
        <v>47</v>
      </c>
      <c r="W15" s="189">
        <v>13</v>
      </c>
      <c r="X15" s="189" t="str">
        <f>IFERROR(INDEX(TableTEMaster[Player],MATCH(TableTECalcPts[[#This Row],[TERef]],TableTEMaster[TERef],0)),"")</f>
        <v>Ian Thomas</v>
      </c>
      <c r="Y15" s="189" t="str">
        <f>IFERROR(INDEX(TableTEMaster[TM],MATCH(TableTECalcPts[[#This Row],[TERef]],TableTEMaster[TERef],0)),"")</f>
        <v>CAR</v>
      </c>
      <c r="Z15" s="189">
        <f>IFERROR(INDEX(TableTEMaster[BYE],MATCH(TableTECalcPts[[#This Row],[TERef]],TableTEMaster[TERef],0)),"")</f>
        <v>13</v>
      </c>
      <c r="AA15" s="191">
        <f>IFERROR(INDEX(TableTEMaster[Custom],MATCH(TableTECalcPts[[#This Row],[TERef]],TableTEMaster[TERef],0)),"")</f>
        <v>25.113022945980973</v>
      </c>
      <c r="AC15" s="189">
        <f>IFERROR(RANK(TableDSTCalcPts[[#This Row],[Custom]],TableDSTCalcPts[Custom],0),"")</f>
        <v>25</v>
      </c>
      <c r="AD15" s="189">
        <v>13</v>
      </c>
      <c r="AE15" s="189" t="str">
        <f>IFERROR(INDEX(TableDSTMaster[Player],MATCH(TableDSTCalcPts[[#This Row],[DSTRef]],TableDSTMaster[DSTRef],0)),"")</f>
        <v>Houston Texans</v>
      </c>
      <c r="AF15" s="189">
        <f>IFERROR(INDEX(TableDSTMaster[BYE],MATCH(TableDSTCalcPts[[#This Row],[DSTRef]],TableDSTMaster[DSTRef],0)),"")</f>
        <v>6</v>
      </c>
      <c r="AG15" s="191">
        <f>IFERROR(INDEX(TableDSTMaster[Custom],MATCH(TableDSTCalcPts[[#This Row],[DSTRef]],TableDSTMaster[DSTRef],0)),"")</f>
        <v>106.81867080778713</v>
      </c>
      <c r="AI15" s="221" t="s">
        <v>10</v>
      </c>
      <c r="AJ15" s="189">
        <f>IFERROR(RANK(TableWRTECalcPts[[#This Row],[Custom]],TableWRTECalcPts[Custom])+COUNTIF($AP$3:AP15,AP15)-1,"")</f>
        <v>166</v>
      </c>
      <c r="AK15" s="189">
        <v>13</v>
      </c>
      <c r="AL15" s="189" t="str">
        <f>IFERROR(INDEX(TableTEMaster[Player],MATCH(TableWRTECalcPts[[#This Row],[POSRef]],TableTEMaster[TERef],0)),"")</f>
        <v>Ian Thomas</v>
      </c>
      <c r="AM15" s="189" t="str">
        <f>IFERROR(_xlfn.CONCAT(TableWRTECalcPts[[#This Row],[POS]],INDEX(TableTERanks[RK],MATCH(TableWRTECalcPts[[#This Row],[PLAYER]],TableTERanks[Player],0))),"")</f>
        <v>TE47</v>
      </c>
      <c r="AN15" s="189" t="str">
        <f>IFERROR(INDEX(TableTEMaster[TM],MATCH(TableWRTECalcPts[[#This Row],[POSRef]],TableTEMaster[TERef],0)),"")</f>
        <v>CAR</v>
      </c>
      <c r="AO15" s="189">
        <f>IFERROR(INDEX(TableTEMaster[BYE],MATCH(TableWRTECalcPts[[#This Row],[POSRef]],TableTEMaster[TERef],0)),"")</f>
        <v>13</v>
      </c>
      <c r="AP15" s="191">
        <f>IFERROR(INDEX(TableTEMaster[Custom],MATCH(TableWRTECalcPts[[#This Row],[POSRef]],TableTEMaster[TERef],0)),"")</f>
        <v>25.113022945980973</v>
      </c>
    </row>
    <row r="16" spans="1:42" x14ac:dyDescent="0.3">
      <c r="A16" s="198">
        <f>IFERROR(RANK(TableQBCalcPts[[#This Row],[Custom]],TableQBCalcPts[Custom])+COUNTIF($F$3:F16,F16)-1,"")</f>
        <v>63</v>
      </c>
      <c r="B16" s="189">
        <v>14</v>
      </c>
      <c r="C16" s="189" t="str">
        <f>IFERROR(INDEX(TableQBMaster[Player],MATCH(TableQBCalcPts[[#This Row],[QBRef]],TableQBMaster[QBRef],0)),"")</f>
        <v>Brandon Allen</v>
      </c>
      <c r="D16" s="189" t="str">
        <f>IFERROR(INDEX(TableQBMaster[TM],MATCH(TableQBCalcPts[[#This Row],[QBRef]],TableQBMaster[QBRef],0)),"")</f>
        <v>CIN</v>
      </c>
      <c r="E16" s="189">
        <f>IFERROR(INDEX(TableQBMaster[BYE],MATCH(TableQBCalcPts[[#This Row],[QBRef]],TableQBMaster[QBRef],0)),"")</f>
        <v>10</v>
      </c>
      <c r="F16" s="191">
        <f>IFERROR(INDEX(TableQBMaster[Custom],MATCH(TableQBCalcPts[[#This Row],[QBRef]],TableQBMaster[QBRef],0)),"")</f>
        <v>2.8531185766886535</v>
      </c>
      <c r="H16" s="189">
        <f>IFERROR(RANK(TableRBCalcPts[[#This Row],[Custom]],TableRBCalcPts[Custom])+COUNTIF($M$3:M16,M16)-1,"")</f>
        <v>44</v>
      </c>
      <c r="I16" s="189">
        <v>14</v>
      </c>
      <c r="J16" s="189" t="str">
        <f>IFERROR(INDEX(TableRBMaster[Player],MATCH(TableRBCalcPts[[#This Row],[RBRef]],TableRBMaster[RBRef],0)),"")</f>
        <v>James Cook</v>
      </c>
      <c r="K16" s="189" t="str">
        <f>IFERROR(INDEX(TableRBMaster[TM],MATCH(TableRBCalcPts[[#This Row],[RBRef]],TableRBMaster[RBRef],0)),"")</f>
        <v>BUF</v>
      </c>
      <c r="L16" s="189">
        <f>IFERROR(INDEX(TableRBMaster[BYE],MATCH(TableRBCalcPts[[#This Row],[RBRef]],TableRBMaster[RBRef],0)),"")</f>
        <v>7</v>
      </c>
      <c r="M16" s="191">
        <f>IFERROR(INDEX(TableRBMaster[Custom],MATCH(TableRBCalcPts[[#This Row],[RBRef]],TableRBMaster[RBRef],0)),"")</f>
        <v>98.453293591470882</v>
      </c>
      <c r="O16" s="189">
        <f>IFERROR(RANK(TableWRCalcPts[[#This Row],[Custom]],TableWRCalcPts[Custom])+COUNTIF($T$3:T16,T16)-1,"")</f>
        <v>79</v>
      </c>
      <c r="P16" s="189">
        <v>14</v>
      </c>
      <c r="Q16" s="189" t="str">
        <f>IFERROR(INDEX(TableWRMaster[Player],MATCH(TableWRCalcPts[[#This Row],[WRRef]],TableWRMaster[WRRef],0)),"")</f>
        <v>Devin Duvernay</v>
      </c>
      <c r="R16" s="189" t="str">
        <f>IFERROR(INDEX(TableWRMaster[TM],MATCH(TableWRCalcPts[[#This Row],[WRRef]],TableWRMaster[WRRef],0)),"")</f>
        <v>BAL</v>
      </c>
      <c r="S16" s="189">
        <f>IFERROR(INDEX(TableWRMaster[BYE],MATCH(TableWRCalcPts[[#This Row],[WRRef]],TableWRMaster[WRRef],0)),"")</f>
        <v>10</v>
      </c>
      <c r="T16" s="191">
        <f>IFERROR(INDEX(TableWRMaster[Custom],MATCH(TableWRCalcPts[[#This Row],[WRRef]],TableWRMaster[WRRef],0)),"")</f>
        <v>74.782966884277229</v>
      </c>
      <c r="V16" s="189">
        <f>IFERROR(RANK(TableTECalcPts[[#This Row],[Custom]],TableTECalcPts[Custom])+COUNTIF($AA$3:AA16,AA16)-1,"")</f>
        <v>16</v>
      </c>
      <c r="W16" s="189">
        <v>14</v>
      </c>
      <c r="X16" s="189" t="str">
        <f>IFERROR(INDEX(TableTEMaster[Player],MATCH(TableTECalcPts[[#This Row],[TERef]],TableTEMaster[TERef],0)),"")</f>
        <v>Cole Kmet</v>
      </c>
      <c r="Y16" s="189" t="str">
        <f>IFERROR(INDEX(TableTEMaster[TM],MATCH(TableTECalcPts[[#This Row],[TERef]],TableTEMaster[TERef],0)),"")</f>
        <v>CHI</v>
      </c>
      <c r="Z16" s="189">
        <f>IFERROR(INDEX(TableTEMaster[BYE],MATCH(TableTECalcPts[[#This Row],[TERef]],TableTEMaster[TERef],0)),"")</f>
        <v>14</v>
      </c>
      <c r="AA16" s="191">
        <f>IFERROR(INDEX(TableTEMaster[Custom],MATCH(TableTECalcPts[[#This Row],[TERef]],TableTEMaster[TERef],0)),"")</f>
        <v>92.695204078308137</v>
      </c>
      <c r="AC16" s="189">
        <f>IFERROR(RANK(TableDSTCalcPts[[#This Row],[Custom]],TableDSTCalcPts[Custom],0),"")</f>
        <v>9</v>
      </c>
      <c r="AD16" s="189">
        <v>14</v>
      </c>
      <c r="AE16" s="189" t="str">
        <f>IFERROR(INDEX(TableDSTMaster[Player],MATCH(TableDSTCalcPts[[#This Row],[DSTRef]],TableDSTMaster[DSTRef],0)),"")</f>
        <v>Indianapolis Colts</v>
      </c>
      <c r="AF16" s="189">
        <f>IFERROR(INDEX(TableDSTMaster[BYE],MATCH(TableDSTCalcPts[[#This Row],[DSTRef]],TableDSTMaster[DSTRef],0)),"")</f>
        <v>14</v>
      </c>
      <c r="AG16" s="191">
        <f>IFERROR(INDEX(TableDSTMaster[Custom],MATCH(TableDSTCalcPts[[#This Row],[DSTRef]],TableDSTMaster[DSTRef],0)),"")</f>
        <v>124.55475841840658</v>
      </c>
      <c r="AI16" s="221" t="s">
        <v>10</v>
      </c>
      <c r="AJ16" s="189">
        <f>IFERROR(RANK(TableWRTECalcPts[[#This Row],[Custom]],TableWRTECalcPts[Custom])+COUNTIF($AP$3:AP16,AP16)-1,"")</f>
        <v>80</v>
      </c>
      <c r="AK16" s="189">
        <v>14</v>
      </c>
      <c r="AL16" s="189" t="str">
        <f>IFERROR(INDEX(TableTEMaster[Player],MATCH(TableWRTECalcPts[[#This Row],[POSRef]],TableTEMaster[TERef],0)),"")</f>
        <v>Cole Kmet</v>
      </c>
      <c r="AM16" s="189" t="str">
        <f>IFERROR(_xlfn.CONCAT(TableWRTECalcPts[[#This Row],[POS]],INDEX(TableTERanks[RK],MATCH(TableWRTECalcPts[[#This Row],[PLAYER]],TableTERanks[Player],0))),"")</f>
        <v>TE16</v>
      </c>
      <c r="AN16" s="189" t="str">
        <f>IFERROR(INDEX(TableTEMaster[TM],MATCH(TableWRTECalcPts[[#This Row],[POSRef]],TableTEMaster[TERef],0)),"")</f>
        <v>CHI</v>
      </c>
      <c r="AO16" s="189">
        <f>IFERROR(INDEX(TableTEMaster[BYE],MATCH(TableWRTECalcPts[[#This Row],[POSRef]],TableTEMaster[TERef],0)),"")</f>
        <v>14</v>
      </c>
      <c r="AP16" s="191">
        <f>IFERROR(INDEX(TableTEMaster[Custom],MATCH(TableWRTECalcPts[[#This Row],[POSRef]],TableTEMaster[TERef],0)),"")</f>
        <v>92.695204078308137</v>
      </c>
    </row>
    <row r="17" spans="1:42" x14ac:dyDescent="0.3">
      <c r="A17" s="198">
        <f>IFERROR(RANK(TableQBCalcPts[[#This Row],[Custom]],TableQBCalcPts[Custom])+COUNTIF($F$3:F17,F17)-1,"")</f>
        <v>29</v>
      </c>
      <c r="B17" s="189">
        <v>15</v>
      </c>
      <c r="C17" s="189" t="str">
        <f>IFERROR(INDEX(TableQBMaster[Player],MATCH(TableQBCalcPts[[#This Row],[QBRef]],TableQBMaster[QBRef],0)),"")</f>
        <v>Deshaun Watson</v>
      </c>
      <c r="D17" s="189" t="str">
        <f>IFERROR(INDEX(TableQBMaster[TM],MATCH(TableQBCalcPts[[#This Row],[QBRef]],TableQBMaster[QBRef],0)),"")</f>
        <v>CLE</v>
      </c>
      <c r="E17" s="189">
        <f>IFERROR(INDEX(TableQBMaster[BYE],MATCH(TableQBCalcPts[[#This Row],[QBRef]],TableQBMaster[QBRef],0)),"")</f>
        <v>9</v>
      </c>
      <c r="F17" s="191">
        <f>IFERROR(INDEX(TableQBMaster[Custom],MATCH(TableQBCalcPts[[#This Row],[QBRef]],TableQBMaster[QBRef],0)),"")</f>
        <v>211.65472751779441</v>
      </c>
      <c r="H17" s="189">
        <f>IFERROR(RANK(TableRBCalcPts[[#This Row],[Custom]],TableRBCalcPts[Custom])+COUNTIF($M$3:M17,M17)-1,"")</f>
        <v>84</v>
      </c>
      <c r="I17" s="189">
        <v>15</v>
      </c>
      <c r="J17" s="189" t="str">
        <f>IFERROR(INDEX(TableRBMaster[Player],MATCH(TableRBCalcPts[[#This Row],[RBRef]],TableRBMaster[RBRef],0)),"")</f>
        <v>Duke Johnson</v>
      </c>
      <c r="K17" s="189" t="str">
        <f>IFERROR(INDEX(TableRBMaster[TM],MATCH(TableRBCalcPts[[#This Row],[RBRef]],TableRBMaster[RBRef],0)),"")</f>
        <v>BUF</v>
      </c>
      <c r="L17" s="189">
        <f>IFERROR(INDEX(TableRBMaster[BYE],MATCH(TableRBCalcPts[[#This Row],[RBRef]],TableRBMaster[RBRef],0)),"")</f>
        <v>7</v>
      </c>
      <c r="M17" s="191">
        <f>IFERROR(INDEX(TableRBMaster[Custom],MATCH(TableRBCalcPts[[#This Row],[RBRef]],TableRBMaster[RBRef],0)),"")</f>
        <v>23.791529259382088</v>
      </c>
      <c r="O17" s="189">
        <f>IFERROR(RANK(TableWRCalcPts[[#This Row],[Custom]],TableWRCalcPts[Custom])+COUNTIF($T$3:T17,T17)-1,"")</f>
        <v>102</v>
      </c>
      <c r="P17" s="189">
        <v>15</v>
      </c>
      <c r="Q17" s="189" t="str">
        <f>IFERROR(INDEX(TableWRMaster[Player],MATCH(TableWRCalcPts[[#This Row],[WRRef]],TableWRMaster[WRRef],0)),"")</f>
        <v>James Proche</v>
      </c>
      <c r="R17" s="189" t="str">
        <f>IFERROR(INDEX(TableWRMaster[TM],MATCH(TableWRCalcPts[[#This Row],[WRRef]],TableWRMaster[WRRef],0)),"")</f>
        <v>BAL</v>
      </c>
      <c r="S17" s="189">
        <f>IFERROR(INDEX(TableWRMaster[BYE],MATCH(TableWRCalcPts[[#This Row],[WRRef]],TableWRMaster[WRRef],0)),"")</f>
        <v>10</v>
      </c>
      <c r="T17" s="191">
        <f>IFERROR(INDEX(TableWRMaster[Custom],MATCH(TableWRCalcPts[[#This Row],[WRRef]],TableWRMaster[WRRef],0)),"")</f>
        <v>46.152657475365487</v>
      </c>
      <c r="V17" s="189">
        <f>IFERROR(RANK(TableTECalcPts[[#This Row],[Custom]],TableTECalcPts[Custom])+COUNTIF($AA$3:AA17,AA17)-1,"")</f>
        <v>60</v>
      </c>
      <c r="W17" s="189">
        <v>15</v>
      </c>
      <c r="X17" s="189" t="str">
        <f>IFERROR(INDEX(TableTEMaster[Player],MATCH(TableTECalcPts[[#This Row],[TERef]],TableTEMaster[TERef],0)),"")</f>
        <v>Ryan Griffin</v>
      </c>
      <c r="Y17" s="189" t="str">
        <f>IFERROR(INDEX(TableTEMaster[TM],MATCH(TableTECalcPts[[#This Row],[TERef]],TableTEMaster[TERef],0)),"")</f>
        <v>CHI</v>
      </c>
      <c r="Z17" s="189">
        <f>IFERROR(INDEX(TableTEMaster[BYE],MATCH(TableTECalcPts[[#This Row],[TERef]],TableTEMaster[TERef],0)),"")</f>
        <v>14</v>
      </c>
      <c r="AA17" s="191">
        <f>IFERROR(INDEX(TableTEMaster[Custom],MATCH(TableTECalcPts[[#This Row],[TERef]],TableTEMaster[TERef],0)),"")</f>
        <v>16.703697622663206</v>
      </c>
      <c r="AC17" s="189">
        <f>IFERROR(RANK(TableDSTCalcPts[[#This Row],[Custom]],TableDSTCalcPts[Custom],0),"")</f>
        <v>32</v>
      </c>
      <c r="AD17" s="189">
        <v>15</v>
      </c>
      <c r="AE17" s="189" t="str">
        <f>IFERROR(INDEX(TableDSTMaster[Player],MATCH(TableDSTCalcPts[[#This Row],[DSTRef]],TableDSTMaster[DSTRef],0)),"")</f>
        <v>Jacksonville Jaguars</v>
      </c>
      <c r="AF17" s="189">
        <f>IFERROR(INDEX(TableDSTMaster[BYE],MATCH(TableDSTCalcPts[[#This Row],[DSTRef]],TableDSTMaster[DSTRef],0)),"")</f>
        <v>11</v>
      </c>
      <c r="AG17" s="191">
        <f>IFERROR(INDEX(TableDSTMaster[Custom],MATCH(TableDSTCalcPts[[#This Row],[DSTRef]],TableDSTMaster[DSTRef],0)),"")</f>
        <v>98.455899727230161</v>
      </c>
      <c r="AI17" s="221" t="s">
        <v>10</v>
      </c>
      <c r="AJ17" s="189">
        <f>IFERROR(RANK(TableWRTECalcPts[[#This Row],[Custom]],TableWRTECalcPts[Custom])+COUNTIF($AP$3:AP17,AP17)-1,"")</f>
        <v>203</v>
      </c>
      <c r="AK17" s="189">
        <v>15</v>
      </c>
      <c r="AL17" s="189" t="str">
        <f>IFERROR(INDEX(TableTEMaster[Player],MATCH(TableWRTECalcPts[[#This Row],[POSRef]],TableTEMaster[TERef],0)),"")</f>
        <v>Ryan Griffin</v>
      </c>
      <c r="AM17" s="189" t="str">
        <f>IFERROR(_xlfn.CONCAT(TableWRTECalcPts[[#This Row],[POS]],INDEX(TableTERanks[RK],MATCH(TableWRTECalcPts[[#This Row],[PLAYER]],TableTERanks[Player],0))),"")</f>
        <v>TE60</v>
      </c>
      <c r="AN17" s="189" t="str">
        <f>IFERROR(INDEX(TableTEMaster[TM],MATCH(TableWRTECalcPts[[#This Row],[POSRef]],TableTEMaster[TERef],0)),"")</f>
        <v>CHI</v>
      </c>
      <c r="AO17" s="189">
        <f>IFERROR(INDEX(TableTEMaster[BYE],MATCH(TableWRTECalcPts[[#This Row],[POSRef]],TableTEMaster[TERef],0)),"")</f>
        <v>14</v>
      </c>
      <c r="AP17" s="191">
        <f>IFERROR(INDEX(TableTEMaster[Custom],MATCH(TableWRTECalcPts[[#This Row],[POSRef]],TableTEMaster[TERef],0)),"")</f>
        <v>16.703697622663206</v>
      </c>
    </row>
    <row r="18" spans="1:42" x14ac:dyDescent="0.3">
      <c r="A18" s="198">
        <f>IFERROR(RANK(TableQBCalcPts[[#This Row],[Custom]],TableQBCalcPts[Custom])+COUNTIF($F$3:F18,F18)-1,"")</f>
        <v>33</v>
      </c>
      <c r="B18" s="189">
        <v>16</v>
      </c>
      <c r="C18" s="189" t="str">
        <f>IFERROR(INDEX(TableQBMaster[Player],MATCH(TableQBCalcPts[[#This Row],[QBRef]],TableQBMaster[QBRef],0)),"")</f>
        <v>Jacoby Brissett</v>
      </c>
      <c r="D18" s="189" t="str">
        <f>IFERROR(INDEX(TableQBMaster[TM],MATCH(TableQBCalcPts[[#This Row],[QBRef]],TableQBMaster[QBRef],0)),"")</f>
        <v>CLE</v>
      </c>
      <c r="E18" s="189">
        <f>IFERROR(INDEX(TableQBMaster[BYE],MATCH(TableQBCalcPts[[#This Row],[QBRef]],TableQBMaster[QBRef],0)),"")</f>
        <v>9</v>
      </c>
      <c r="F18" s="191">
        <f>IFERROR(INDEX(TableQBMaster[Custom],MATCH(TableQBCalcPts[[#This Row],[QBRef]],TableQBMaster[QBRef],0)),"")</f>
        <v>134.63847628568968</v>
      </c>
      <c r="H18" s="189">
        <f>IFERROR(RANK(TableRBCalcPts[[#This Row],[Custom]],TableRBCalcPts[Custom])+COUNTIF($M$3:M18,M18)-1,"")</f>
        <v>100</v>
      </c>
      <c r="I18" s="189">
        <v>16</v>
      </c>
      <c r="J18" s="189" t="str">
        <f>IFERROR(INDEX(TableRBMaster[Player],MATCH(TableRBCalcPts[[#This Row],[RBRef]],TableRBMaster[RBRef],0)),"")</f>
        <v>Zack Moss</v>
      </c>
      <c r="K18" s="189" t="str">
        <f>IFERROR(INDEX(TableRBMaster[TM],MATCH(TableRBCalcPts[[#This Row],[RBRef]],TableRBMaster[RBRef],0)),"")</f>
        <v>BUF</v>
      </c>
      <c r="L18" s="189">
        <f>IFERROR(INDEX(TableRBMaster[BYE],MATCH(TableRBCalcPts[[#This Row],[RBRef]],TableRBMaster[RBRef],0)),"")</f>
        <v>7</v>
      </c>
      <c r="M18" s="191">
        <f>IFERROR(INDEX(TableRBMaster[Custom],MATCH(TableRBCalcPts[[#This Row],[RBRef]],TableRBMaster[RBRef],0)),"")</f>
        <v>14.671193693335264</v>
      </c>
      <c r="O18" s="189">
        <f>IFERROR(RANK(TableWRCalcPts[[#This Row],[Custom]],TableWRCalcPts[Custom])+COUNTIF($T$3:T18,T18)-1,"")</f>
        <v>180</v>
      </c>
      <c r="P18" s="189">
        <v>16</v>
      </c>
      <c r="Q18" s="189" t="str">
        <f>IFERROR(INDEX(TableWRMaster[Player],MATCH(TableWRCalcPts[[#This Row],[WRRef]],TableWRMaster[WRRef],0)),"")</f>
        <v>Tylan Wallace</v>
      </c>
      <c r="R18" s="189" t="str">
        <f>IFERROR(INDEX(TableWRMaster[TM],MATCH(TableWRCalcPts[[#This Row],[WRRef]],TableWRMaster[WRRef],0)),"")</f>
        <v>BAL</v>
      </c>
      <c r="S18" s="189">
        <f>IFERROR(INDEX(TableWRMaster[BYE],MATCH(TableWRCalcPts[[#This Row],[WRRef]],TableWRMaster[WRRef],0)),"")</f>
        <v>10</v>
      </c>
      <c r="T18" s="191">
        <f>IFERROR(INDEX(TableWRMaster[Custom],MATCH(TableWRCalcPts[[#This Row],[WRRef]],TableWRMaster[WRRef],0)),"")</f>
        <v>7.1753802088779821</v>
      </c>
      <c r="V18" s="189">
        <f>IFERROR(RANK(TableTECalcPts[[#This Row],[Custom]],TableTECalcPts[Custom])+COUNTIF($AA$3:AA18,AA18)-1,"")</f>
        <v>54</v>
      </c>
      <c r="W18" s="189">
        <v>16</v>
      </c>
      <c r="X18" s="189" t="str">
        <f>IFERROR(INDEX(TableTEMaster[Player],MATCH(TableTECalcPts[[#This Row],[TERef]],TableTEMaster[TERef],0)),"")</f>
        <v>James O'Shaughnessy</v>
      </c>
      <c r="Y18" s="189" t="str">
        <f>IFERROR(INDEX(TableTEMaster[TM],MATCH(TableTECalcPts[[#This Row],[TERef]],TableTEMaster[TERef],0)),"")</f>
        <v>CHI</v>
      </c>
      <c r="Z18" s="189">
        <f>IFERROR(INDEX(TableTEMaster[BYE],MATCH(TableTECalcPts[[#This Row],[TERef]],TableTEMaster[TERef],0)),"")</f>
        <v>14</v>
      </c>
      <c r="AA18" s="191">
        <f>IFERROR(INDEX(TableTEMaster[Custom],MATCH(TableTECalcPts[[#This Row],[TERef]],TableTEMaster[TERef],0)),"")</f>
        <v>19.853140492818323</v>
      </c>
      <c r="AC18" s="189">
        <f>IFERROR(RANK(TableDSTCalcPts[[#This Row],[Custom]],TableDSTCalcPts[Custom],0),"")</f>
        <v>17</v>
      </c>
      <c r="AD18" s="189">
        <v>16</v>
      </c>
      <c r="AE18" s="189" t="str">
        <f>IFERROR(INDEX(TableDSTMaster[Player],MATCH(TableDSTCalcPts[[#This Row],[DSTRef]],TableDSTMaster[DSTRef],0)),"")</f>
        <v>Kansas City Chiefs</v>
      </c>
      <c r="AF18" s="189">
        <f>IFERROR(INDEX(TableDSTMaster[BYE],MATCH(TableDSTCalcPts[[#This Row],[DSTRef]],TableDSTMaster[DSTRef],0)),"")</f>
        <v>8</v>
      </c>
      <c r="AG18" s="191">
        <f>IFERROR(INDEX(TableDSTMaster[Custom],MATCH(TableDSTCalcPts[[#This Row],[DSTRef]],TableDSTMaster[DSTRef],0)),"")</f>
        <v>119.51396935667663</v>
      </c>
      <c r="AI18" s="221" t="s">
        <v>10</v>
      </c>
      <c r="AJ18" s="189">
        <f>IFERROR(RANK(TableWRTECalcPts[[#This Row],[Custom]],TableWRTECalcPts[Custom])+COUNTIF($AP$3:AP18,AP18)-1,"")</f>
        <v>187</v>
      </c>
      <c r="AK18" s="189">
        <v>16</v>
      </c>
      <c r="AL18" s="189" t="str">
        <f>IFERROR(INDEX(TableTEMaster[Player],MATCH(TableWRTECalcPts[[#This Row],[POSRef]],TableTEMaster[TERef],0)),"")</f>
        <v>James O'Shaughnessy</v>
      </c>
      <c r="AM18" s="189" t="str">
        <f>IFERROR(_xlfn.CONCAT(TableWRTECalcPts[[#This Row],[POS]],INDEX(TableTERanks[RK],MATCH(TableWRTECalcPts[[#This Row],[PLAYER]],TableTERanks[Player],0))),"")</f>
        <v>TE54</v>
      </c>
      <c r="AN18" s="189" t="str">
        <f>IFERROR(INDEX(TableTEMaster[TM],MATCH(TableWRTECalcPts[[#This Row],[POSRef]],TableTEMaster[TERef],0)),"")</f>
        <v>CHI</v>
      </c>
      <c r="AO18" s="189">
        <f>IFERROR(INDEX(TableTEMaster[BYE],MATCH(TableWRTECalcPts[[#This Row],[POSRef]],TableTEMaster[TERef],0)),"")</f>
        <v>14</v>
      </c>
      <c r="AP18" s="191">
        <f>IFERROR(INDEX(TableTEMaster[Custom],MATCH(TableWRTECalcPts[[#This Row],[POSRef]],TableTEMaster[TERef],0)),"")</f>
        <v>19.853140492818323</v>
      </c>
    </row>
    <row r="19" spans="1:42" x14ac:dyDescent="0.3">
      <c r="A19" s="198">
        <f>IFERROR(RANK(TableQBCalcPts[[#This Row],[Custom]],TableQBCalcPts[Custom])+COUNTIF($F$3:F19,F19)-1,"")</f>
        <v>11</v>
      </c>
      <c r="B19" s="189">
        <v>17</v>
      </c>
      <c r="C19" s="189" t="str">
        <f>IFERROR(INDEX(TableQBMaster[Player],MATCH(TableQBCalcPts[[#This Row],[QBRef]],TableQBMaster[QBRef],0)),"")</f>
        <v>Dak Prescott</v>
      </c>
      <c r="D19" s="189" t="str">
        <f>IFERROR(INDEX(TableQBMaster[TM],MATCH(TableQBCalcPts[[#This Row],[QBRef]],TableQBMaster[QBRef],0)),"")</f>
        <v>DAL</v>
      </c>
      <c r="E19" s="189">
        <f>IFERROR(INDEX(TableQBMaster[BYE],MATCH(TableQBCalcPts[[#This Row],[QBRef]],TableQBMaster[QBRef],0)),"")</f>
        <v>9</v>
      </c>
      <c r="F19" s="191">
        <f>IFERROR(INDEX(TableQBMaster[Custom],MATCH(TableQBCalcPts[[#This Row],[QBRef]],TableQBMaster[QBRef],0)),"")</f>
        <v>334.42955697750307</v>
      </c>
      <c r="H19" s="189">
        <f>IFERROR(RANK(TableRBCalcPts[[#This Row],[Custom]],TableRBCalcPts[Custom])+COUNTIF($M$3:M19,M19)-1,"")</f>
        <v>3</v>
      </c>
      <c r="I19" s="189">
        <v>17</v>
      </c>
      <c r="J19" s="189" t="str">
        <f>IFERROR(INDEX(TableRBMaster[Player],MATCH(TableRBCalcPts[[#This Row],[RBRef]],TableRBMaster[RBRef],0)),"")</f>
        <v>Christian McCaffrey</v>
      </c>
      <c r="K19" s="189" t="str">
        <f>IFERROR(INDEX(TableRBMaster[TM],MATCH(TableRBCalcPts[[#This Row],[RBRef]],TableRBMaster[RBRef],0)),"")</f>
        <v>CAR</v>
      </c>
      <c r="L19" s="189">
        <f>IFERROR(INDEX(TableRBMaster[BYE],MATCH(TableRBCalcPts[[#This Row],[RBRef]],TableRBMaster[RBRef],0)),"")</f>
        <v>13</v>
      </c>
      <c r="M19" s="191">
        <f>IFERROR(INDEX(TableRBMaster[Custom],MATCH(TableRBCalcPts[[#This Row],[RBRef]],TableRBMaster[RBRef],0)),"")</f>
        <v>266.50050594933555</v>
      </c>
      <c r="O19" s="189">
        <f>IFERROR(RANK(TableWRCalcPts[[#This Row],[Custom]],TableWRCalcPts[Custom])+COUNTIF($T$3:T19,T19)-1,"")</f>
        <v>185</v>
      </c>
      <c r="P19" s="189">
        <v>17</v>
      </c>
      <c r="Q19" s="189" t="str">
        <f>IFERROR(INDEX(TableWRMaster[Player],MATCH(TableWRCalcPts[[#This Row],[WRRef]],TableWRMaster[WRRef],0)),"")</f>
        <v>Makai Polk</v>
      </c>
      <c r="R19" s="189" t="str">
        <f>IFERROR(INDEX(TableWRMaster[TM],MATCH(TableWRCalcPts[[#This Row],[WRRef]],TableWRMaster[WRRef],0)),"")</f>
        <v>BAL</v>
      </c>
      <c r="S19" s="189">
        <f>IFERROR(INDEX(TableWRMaster[BYE],MATCH(TableWRCalcPts[[#This Row],[WRRef]],TableWRMaster[WRRef],0)),"")</f>
        <v>10</v>
      </c>
      <c r="T19" s="191">
        <f>IFERROR(INDEX(TableWRMaster[Custom],MATCH(TableWRCalcPts[[#This Row],[WRRef]],TableWRMaster[WRRef],0)),"")</f>
        <v>1.6672180579530638</v>
      </c>
      <c r="V19" s="189">
        <f>IFERROR(RANK(TableTECalcPts[[#This Row],[Custom]],TableTECalcPts[Custom])+COUNTIF($AA$3:AA19,AA19)-1,"")</f>
        <v>25</v>
      </c>
      <c r="W19" s="189">
        <v>17</v>
      </c>
      <c r="X19" s="189" t="str">
        <f>IFERROR(INDEX(TableTEMaster[Player],MATCH(TableTECalcPts[[#This Row],[TERef]],TableTEMaster[TERef],0)),"")</f>
        <v>Hayden Hurst</v>
      </c>
      <c r="Y19" s="189" t="str">
        <f>IFERROR(INDEX(TableTEMaster[TM],MATCH(TableTECalcPts[[#This Row],[TERef]],TableTEMaster[TERef],0)),"")</f>
        <v>CIN</v>
      </c>
      <c r="Z19" s="189">
        <f>IFERROR(INDEX(TableTEMaster[BYE],MATCH(TableTECalcPts[[#This Row],[TERef]],TableTEMaster[TERef],0)),"")</f>
        <v>10</v>
      </c>
      <c r="AA19" s="191">
        <f>IFERROR(INDEX(TableTEMaster[Custom],MATCH(TableTECalcPts[[#This Row],[TERef]],TableTEMaster[TERef],0)),"")</f>
        <v>79.091408704172068</v>
      </c>
      <c r="AC19" s="189">
        <f>IFERROR(RANK(TableDSTCalcPts[[#This Row],[Custom]],TableDSTCalcPts[Custom],0),"")</f>
        <v>26</v>
      </c>
      <c r="AD19" s="189">
        <v>17</v>
      </c>
      <c r="AE19" s="189" t="str">
        <f>IFERROR(INDEX(TableDSTMaster[Player],MATCH(TableDSTCalcPts[[#This Row],[DSTRef]],TableDSTMaster[DSTRef],0)),"")</f>
        <v>Las Vegas Raiders</v>
      </c>
      <c r="AF19" s="189">
        <f>IFERROR(INDEX(TableDSTMaster[BYE],MATCH(TableDSTCalcPts[[#This Row],[DSTRef]],TableDSTMaster[DSTRef],0)),"")</f>
        <v>6</v>
      </c>
      <c r="AG19" s="191">
        <f>IFERROR(INDEX(TableDSTMaster[Custom],MATCH(TableDSTCalcPts[[#This Row],[DSTRef]],TableDSTMaster[DSTRef],0)),"")</f>
        <v>105.71020167625841</v>
      </c>
      <c r="AI19" s="221" t="s">
        <v>10</v>
      </c>
      <c r="AJ19" s="189">
        <f>IFERROR(RANK(TableWRTECalcPts[[#This Row],[Custom]],TableWRTECalcPts[Custom])+COUNTIF($AP$3:AP19,AP19)-1,"")</f>
        <v>100</v>
      </c>
      <c r="AK19" s="189">
        <v>17</v>
      </c>
      <c r="AL19" s="189" t="str">
        <f>IFERROR(INDEX(TableTEMaster[Player],MATCH(TableWRTECalcPts[[#This Row],[POSRef]],TableTEMaster[TERef],0)),"")</f>
        <v>Hayden Hurst</v>
      </c>
      <c r="AM19" s="189" t="str">
        <f>IFERROR(_xlfn.CONCAT(TableWRTECalcPts[[#This Row],[POS]],INDEX(TableTERanks[RK],MATCH(TableWRTECalcPts[[#This Row],[PLAYER]],TableTERanks[Player],0))),"")</f>
        <v>TE25</v>
      </c>
      <c r="AN19" s="189" t="str">
        <f>IFERROR(INDEX(TableTEMaster[TM],MATCH(TableWRTECalcPts[[#This Row],[POSRef]],TableTEMaster[TERef],0)),"")</f>
        <v>CIN</v>
      </c>
      <c r="AO19" s="189">
        <f>IFERROR(INDEX(TableTEMaster[BYE],MATCH(TableWRTECalcPts[[#This Row],[POSRef]],TableTEMaster[TERef],0)),"")</f>
        <v>10</v>
      </c>
      <c r="AP19" s="191">
        <f>IFERROR(INDEX(TableTEMaster[Custom],MATCH(TableWRTECalcPts[[#This Row],[POSRef]],TableTEMaster[TERef],0)),"")</f>
        <v>79.091408704172068</v>
      </c>
    </row>
    <row r="20" spans="1:42" x14ac:dyDescent="0.3">
      <c r="A20" s="198">
        <f>IFERROR(RANK(TableQBCalcPts[[#This Row],[Custom]],TableQBCalcPts[Custom])+COUNTIF($F$3:F20,F20)-1,"")</f>
        <v>43</v>
      </c>
      <c r="B20" s="189">
        <v>18</v>
      </c>
      <c r="C20" s="189" t="str">
        <f>IFERROR(INDEX(TableQBMaster[Player],MATCH(TableQBCalcPts[[#This Row],[QBRef]],TableQBMaster[QBRef],0)),"")</f>
        <v>Cooper Rush</v>
      </c>
      <c r="D20" s="189" t="str">
        <f>IFERROR(INDEX(TableQBMaster[TM],MATCH(TableQBCalcPts[[#This Row],[QBRef]],TableQBMaster[QBRef],0)),"")</f>
        <v>DAL</v>
      </c>
      <c r="E20" s="189">
        <f>IFERROR(INDEX(TableQBMaster[BYE],MATCH(TableQBCalcPts[[#This Row],[QBRef]],TableQBMaster[QBRef],0)),"")</f>
        <v>9</v>
      </c>
      <c r="F20" s="191">
        <f>IFERROR(INDEX(TableQBMaster[Custom],MATCH(TableQBCalcPts[[#This Row],[QBRef]],TableQBMaster[QBRef],0)),"")</f>
        <v>12.262783830998966</v>
      </c>
      <c r="H20" s="189">
        <f>IFERROR(RANK(TableRBCalcPts[[#This Row],[Custom]],TableRBCalcPts[Custom])+COUNTIF($M$3:M20,M20)-1,"")</f>
        <v>68</v>
      </c>
      <c r="I20" s="189">
        <v>18</v>
      </c>
      <c r="J20" s="189" t="str">
        <f>IFERROR(INDEX(TableRBMaster[Player],MATCH(TableRBCalcPts[[#This Row],[RBRef]],TableRBMaster[RBRef],0)),"")</f>
        <v>D'Onta Foreman</v>
      </c>
      <c r="K20" s="189" t="str">
        <f>IFERROR(INDEX(TableRBMaster[TM],MATCH(TableRBCalcPts[[#This Row],[RBRef]],TableRBMaster[RBRef],0)),"")</f>
        <v>CAR</v>
      </c>
      <c r="L20" s="189">
        <f>IFERROR(INDEX(TableRBMaster[BYE],MATCH(TableRBCalcPts[[#This Row],[RBRef]],TableRBMaster[RBRef],0)),"")</f>
        <v>13</v>
      </c>
      <c r="M20" s="191">
        <f>IFERROR(INDEX(TableRBMaster[Custom],MATCH(TableRBCalcPts[[#This Row],[RBRef]],TableRBMaster[RBRef],0)),"")</f>
        <v>44.950911550462322</v>
      </c>
      <c r="O20" s="189">
        <f>IFERROR(RANK(TableWRCalcPts[[#This Row],[Custom]],TableWRCalcPts[Custom])+COUNTIF($T$3:T20,T20)-1,"")</f>
        <v>123</v>
      </c>
      <c r="P20" s="189">
        <v>18</v>
      </c>
      <c r="Q20" s="189" t="str">
        <f>IFERROR(INDEX(TableWRMaster[Player],MATCH(TableWRCalcPts[[#This Row],[WRRef]],TableWRMaster[WRRef],0)),"")</f>
        <v>Jaylon Moore</v>
      </c>
      <c r="R20" s="189" t="str">
        <f>IFERROR(INDEX(TableWRMaster[TM],MATCH(TableWRCalcPts[[#This Row],[WRRef]],TableWRMaster[WRRef],0)),"")</f>
        <v>BAL</v>
      </c>
      <c r="S20" s="189">
        <f>IFERROR(INDEX(TableWRMaster[BYE],MATCH(TableWRCalcPts[[#This Row],[WRRef]],TableWRMaster[WRRef],0)),"")</f>
        <v>10</v>
      </c>
      <c r="T20" s="191">
        <f>IFERROR(INDEX(TableWRMaster[Custom],MATCH(TableWRCalcPts[[#This Row],[WRRef]],TableWRMaster[WRRef],0)),"")</f>
        <v>23.760689221327276</v>
      </c>
      <c r="V20" s="189">
        <f>IFERROR(RANK(TableTECalcPts[[#This Row],[Custom]],TableTECalcPts[Custom])+COUNTIF($AA$3:AA20,AA20)-1,"")</f>
        <v>57</v>
      </c>
      <c r="W20" s="189">
        <v>18</v>
      </c>
      <c r="X20" s="189" t="str">
        <f>IFERROR(INDEX(TableTEMaster[Player],MATCH(TableTECalcPts[[#This Row],[TERef]],TableTEMaster[TERef],0)),"")</f>
        <v>Drew Sample</v>
      </c>
      <c r="Y20" s="189" t="str">
        <f>IFERROR(INDEX(TableTEMaster[TM],MATCH(TableTECalcPts[[#This Row],[TERef]],TableTEMaster[TERef],0)),"")</f>
        <v>CIN</v>
      </c>
      <c r="Z20" s="189">
        <f>IFERROR(INDEX(TableTEMaster[BYE],MATCH(TableTECalcPts[[#This Row],[TERef]],TableTEMaster[TERef],0)),"")</f>
        <v>10</v>
      </c>
      <c r="AA20" s="191">
        <f>IFERROR(INDEX(TableTEMaster[Custom],MATCH(TableTECalcPts[[#This Row],[TERef]],TableTEMaster[TERef],0)),"")</f>
        <v>18.28922772536642</v>
      </c>
      <c r="AC20" s="189">
        <f>IFERROR(RANK(TableDSTCalcPts[[#This Row],[Custom]],TableDSTCalcPts[Custom],0),"")</f>
        <v>5</v>
      </c>
      <c r="AD20" s="189">
        <v>18</v>
      </c>
      <c r="AE20" s="189" t="str">
        <f>IFERROR(INDEX(TableDSTMaster[Player],MATCH(TableDSTCalcPts[[#This Row],[DSTRef]],TableDSTMaster[DSTRef],0)),"")</f>
        <v>Los Angeles Chargers</v>
      </c>
      <c r="AF20" s="189">
        <f>IFERROR(INDEX(TableDSTMaster[BYE],MATCH(TableDSTCalcPts[[#This Row],[DSTRef]],TableDSTMaster[DSTRef],0)),"")</f>
        <v>8</v>
      </c>
      <c r="AG20" s="191">
        <f>IFERROR(INDEX(TableDSTMaster[Custom],MATCH(TableDSTCalcPts[[#This Row],[DSTRef]],TableDSTMaster[DSTRef],0)),"")</f>
        <v>127.27911970423864</v>
      </c>
      <c r="AI20" s="221" t="s">
        <v>10</v>
      </c>
      <c r="AJ20" s="189">
        <f>IFERROR(RANK(TableWRTECalcPts[[#This Row],[Custom]],TableWRTECalcPts[Custom])+COUNTIF($AP$3:AP20,AP20)-1,"")</f>
        <v>195</v>
      </c>
      <c r="AK20" s="189">
        <v>18</v>
      </c>
      <c r="AL20" s="189" t="str">
        <f>IFERROR(INDEX(TableTEMaster[Player],MATCH(TableWRTECalcPts[[#This Row],[POSRef]],TableTEMaster[TERef],0)),"")</f>
        <v>Drew Sample</v>
      </c>
      <c r="AM20" s="189" t="str">
        <f>IFERROR(_xlfn.CONCAT(TableWRTECalcPts[[#This Row],[POS]],INDEX(TableTERanks[RK],MATCH(TableWRTECalcPts[[#This Row],[PLAYER]],TableTERanks[Player],0))),"")</f>
        <v>TE57</v>
      </c>
      <c r="AN20" s="189" t="str">
        <f>IFERROR(INDEX(TableTEMaster[TM],MATCH(TableWRTECalcPts[[#This Row],[POSRef]],TableTEMaster[TERef],0)),"")</f>
        <v>CIN</v>
      </c>
      <c r="AO20" s="189">
        <f>IFERROR(INDEX(TableTEMaster[BYE],MATCH(TableWRTECalcPts[[#This Row],[POSRef]],TableTEMaster[TERef],0)),"")</f>
        <v>10</v>
      </c>
      <c r="AP20" s="191">
        <f>IFERROR(INDEX(TableTEMaster[Custom],MATCH(TableWRTECalcPts[[#This Row],[POSRef]],TableTEMaster[TERef],0)),"")</f>
        <v>18.28922772536642</v>
      </c>
    </row>
    <row r="21" spans="1:42" x14ac:dyDescent="0.3">
      <c r="A21" s="198">
        <f>IFERROR(RANK(TableQBCalcPts[[#This Row],[Custom]],TableQBCalcPts[Custom])+COUNTIF($F$3:F21,F21)-1,"")</f>
        <v>13</v>
      </c>
      <c r="B21" s="189">
        <v>19</v>
      </c>
      <c r="C21" s="189" t="str">
        <f>IFERROR(INDEX(TableQBMaster[Player],MATCH(TableQBCalcPts[[#This Row],[QBRef]],TableQBMaster[QBRef],0)),"")</f>
        <v>Russell Wilson</v>
      </c>
      <c r="D21" s="189" t="str">
        <f>IFERROR(INDEX(TableQBMaster[TM],MATCH(TableQBCalcPts[[#This Row],[QBRef]],TableQBMaster[QBRef],0)),"")</f>
        <v>DEN</v>
      </c>
      <c r="E21" s="189">
        <f>IFERROR(INDEX(TableQBMaster[BYE],MATCH(TableQBCalcPts[[#This Row],[QBRef]],TableQBMaster[QBRef],0)),"")</f>
        <v>9</v>
      </c>
      <c r="F21" s="191">
        <f>IFERROR(INDEX(TableQBMaster[Custom],MATCH(TableQBCalcPts[[#This Row],[QBRef]],TableQBMaster[QBRef],0)),"")</f>
        <v>321.28473990032666</v>
      </c>
      <c r="H21" s="189">
        <f>IFERROR(RANK(TableRBCalcPts[[#This Row],[Custom]],TableRBCalcPts[Custom])+COUNTIF($M$3:M21,M21)-1,"")</f>
        <v>76</v>
      </c>
      <c r="I21" s="189">
        <v>19</v>
      </c>
      <c r="J21" s="189" t="str">
        <f>IFERROR(INDEX(TableRBMaster[Player],MATCH(TableRBCalcPts[[#This Row],[RBRef]],TableRBMaster[RBRef],0)),"")</f>
        <v>Chuba Hubbard</v>
      </c>
      <c r="K21" s="189" t="str">
        <f>IFERROR(INDEX(TableRBMaster[TM],MATCH(TableRBCalcPts[[#This Row],[RBRef]],TableRBMaster[RBRef],0)),"")</f>
        <v>CAR</v>
      </c>
      <c r="L21" s="189">
        <f>IFERROR(INDEX(TableRBMaster[BYE],MATCH(TableRBCalcPts[[#This Row],[RBRef]],TableRBMaster[RBRef],0)),"")</f>
        <v>13</v>
      </c>
      <c r="M21" s="191">
        <f>IFERROR(INDEX(TableRBMaster[Custom],MATCH(TableRBCalcPts[[#This Row],[RBRef]],TableRBMaster[RBRef],0)),"")</f>
        <v>35.014982512176438</v>
      </c>
      <c r="O21" s="189">
        <f>IFERROR(RANK(TableWRCalcPts[[#This Row],[Custom]],TableWRCalcPts[Custom])+COUNTIF($T$3:T21,T21)-1,"")</f>
        <v>5</v>
      </c>
      <c r="P21" s="189">
        <v>19</v>
      </c>
      <c r="Q21" s="189" t="str">
        <f>IFERROR(INDEX(TableWRMaster[Player],MATCH(TableWRCalcPts[[#This Row],[WRRef]],TableWRMaster[WRRef],0)),"")</f>
        <v>Stefon Diggs</v>
      </c>
      <c r="R21" s="189" t="str">
        <f>IFERROR(INDEX(TableWRMaster[TM],MATCH(TableWRCalcPts[[#This Row],[WRRef]],TableWRMaster[WRRef],0)),"")</f>
        <v>BUF</v>
      </c>
      <c r="S21" s="189">
        <f>IFERROR(INDEX(TableWRMaster[BYE],MATCH(TableWRCalcPts[[#This Row],[WRRef]],TableWRMaster[WRRef],0)),"")</f>
        <v>7</v>
      </c>
      <c r="T21" s="191">
        <f>IFERROR(INDEX(TableWRMaster[Custom],MATCH(TableWRCalcPts[[#This Row],[WRRef]],TableWRMaster[WRRef],0)),"")</f>
        <v>187.79224518431042</v>
      </c>
      <c r="V21" s="189">
        <f>IFERROR(RANK(TableTECalcPts[[#This Row],[Custom]],TableTECalcPts[Custom])+COUNTIF($AA$3:AA21,AA21)-1,"")</f>
        <v>69</v>
      </c>
      <c r="W21" s="189">
        <v>19</v>
      </c>
      <c r="X21" s="189" t="str">
        <f>IFERROR(INDEX(TableTEMaster[Player],MATCH(TableTECalcPts[[#This Row],[TERef]],TableTEMaster[TERef],0)),"")</f>
        <v>Nick Eubanks</v>
      </c>
      <c r="Y21" s="189" t="str">
        <f>IFERROR(INDEX(TableTEMaster[TM],MATCH(TableTECalcPts[[#This Row],[TERef]],TableTEMaster[TERef],0)),"")</f>
        <v>CIN</v>
      </c>
      <c r="Z21" s="189">
        <f>IFERROR(INDEX(TableTEMaster[BYE],MATCH(TableTECalcPts[[#This Row],[TERef]],TableTEMaster[TERef],0)),"")</f>
        <v>10</v>
      </c>
      <c r="AA21" s="191">
        <f>IFERROR(INDEX(TableTEMaster[Custom],MATCH(TableTECalcPts[[#This Row],[TERef]],TableTEMaster[TERef],0)),"")</f>
        <v>11.358717136259679</v>
      </c>
      <c r="AC21" s="189">
        <f>IFERROR(RANK(TableDSTCalcPts[[#This Row],[Custom]],TableDSTCalcPts[Custom],0),"")</f>
        <v>14</v>
      </c>
      <c r="AD21" s="189">
        <v>19</v>
      </c>
      <c r="AE21" s="189" t="str">
        <f>IFERROR(INDEX(TableDSTMaster[Player],MATCH(TableDSTCalcPts[[#This Row],[DSTRef]],TableDSTMaster[DSTRef],0)),"")</f>
        <v>Los Angeles Rams</v>
      </c>
      <c r="AF21" s="189">
        <f>IFERROR(INDEX(TableDSTMaster[BYE],MATCH(TableDSTCalcPts[[#This Row],[DSTRef]],TableDSTMaster[DSTRef],0)),"")</f>
        <v>7</v>
      </c>
      <c r="AG21" s="191">
        <f>IFERROR(INDEX(TableDSTMaster[Custom],MATCH(TableDSTCalcPts[[#This Row],[DSTRef]],TableDSTMaster[DSTRef],0)),"")</f>
        <v>122.17576203614043</v>
      </c>
      <c r="AI21" s="221" t="s">
        <v>10</v>
      </c>
      <c r="AJ21" s="189">
        <f>IFERROR(RANK(TableWRTECalcPts[[#This Row],[Custom]],TableWRTECalcPts[Custom])+COUNTIF($AP$3:AP21,AP21)-1,"")</f>
        <v>232</v>
      </c>
      <c r="AK21" s="189">
        <v>19</v>
      </c>
      <c r="AL21" s="189" t="str">
        <f>IFERROR(INDEX(TableTEMaster[Player],MATCH(TableWRTECalcPts[[#This Row],[POSRef]],TableTEMaster[TERef],0)),"")</f>
        <v>Nick Eubanks</v>
      </c>
      <c r="AM21" s="189" t="str">
        <f>IFERROR(_xlfn.CONCAT(TableWRTECalcPts[[#This Row],[POS]],INDEX(TableTERanks[RK],MATCH(TableWRTECalcPts[[#This Row],[PLAYER]],TableTERanks[Player],0))),"")</f>
        <v>TE69</v>
      </c>
      <c r="AN21" s="189" t="str">
        <f>IFERROR(INDEX(TableTEMaster[TM],MATCH(TableWRTECalcPts[[#This Row],[POSRef]],TableTEMaster[TERef],0)),"")</f>
        <v>CIN</v>
      </c>
      <c r="AO21" s="189">
        <f>IFERROR(INDEX(TableTEMaster[BYE],MATCH(TableWRTECalcPts[[#This Row],[POSRef]],TableTEMaster[TERef],0)),"")</f>
        <v>10</v>
      </c>
      <c r="AP21" s="191">
        <f>IFERROR(INDEX(TableTEMaster[Custom],MATCH(TableWRTECalcPts[[#This Row],[POSRef]],TableTEMaster[TERef],0)),"")</f>
        <v>11.358717136259679</v>
      </c>
    </row>
    <row r="22" spans="1:42" x14ac:dyDescent="0.3">
      <c r="A22" s="198">
        <f>IFERROR(RANK(TableQBCalcPts[[#This Row],[Custom]],TableQBCalcPts[Custom])+COUNTIF($F$3:F22,F22)-1,"")</f>
        <v>54</v>
      </c>
      <c r="B22" s="189">
        <v>20</v>
      </c>
      <c r="C22" s="189" t="str">
        <f>IFERROR(INDEX(TableQBMaster[Player],MATCH(TableQBCalcPts[[#This Row],[QBRef]],TableQBMaster[QBRef],0)),"")</f>
        <v>Brett Rypien</v>
      </c>
      <c r="D22" s="189" t="str">
        <f>IFERROR(INDEX(TableQBMaster[TM],MATCH(TableQBCalcPts[[#This Row],[QBRef]],TableQBMaster[QBRef],0)),"")</f>
        <v>DEN</v>
      </c>
      <c r="E22" s="189">
        <f>IFERROR(INDEX(TableQBMaster[BYE],MATCH(TableQBCalcPts[[#This Row],[QBRef]],TableQBMaster[QBRef],0)),"")</f>
        <v>9</v>
      </c>
      <c r="F22" s="191">
        <f>IFERROR(INDEX(TableQBMaster[Custom],MATCH(TableQBCalcPts[[#This Row],[QBRef]],TableQBMaster[QBRef],0)),"")</f>
        <v>5.5620737105150848</v>
      </c>
      <c r="H22" s="189">
        <f>IFERROR(RANK(TableRBCalcPts[[#This Row],[Custom]],TableRBCalcPts[Custom])+COUNTIF($M$3:M22,M22)-1,"")</f>
        <v>23</v>
      </c>
      <c r="I22" s="189">
        <v>20</v>
      </c>
      <c r="J22" s="189" t="str">
        <f>IFERROR(INDEX(TableRBMaster[Player],MATCH(TableRBCalcPts[[#This Row],[RBRef]],TableRBMaster[RBRef],0)),"")</f>
        <v>David Montgomery</v>
      </c>
      <c r="K22" s="189" t="str">
        <f>IFERROR(INDEX(TableRBMaster[TM],MATCH(TableRBCalcPts[[#This Row],[RBRef]],TableRBMaster[RBRef],0)),"")</f>
        <v>CHI</v>
      </c>
      <c r="L22" s="189">
        <f>IFERROR(INDEX(TableRBMaster[BYE],MATCH(TableRBCalcPts[[#This Row],[RBRef]],TableRBMaster[RBRef],0)),"")</f>
        <v>14</v>
      </c>
      <c r="M22" s="191">
        <f>IFERROR(INDEX(TableRBMaster[Custom],MATCH(TableRBCalcPts[[#This Row],[RBRef]],TableRBMaster[RBRef],0)),"")</f>
        <v>161.24434243597648</v>
      </c>
      <c r="O22" s="189">
        <f>IFERROR(RANK(TableWRCalcPts[[#This Row],[Custom]],TableWRCalcPts[Custom])+COUNTIF($T$3:T22,T22)-1,"")</f>
        <v>19</v>
      </c>
      <c r="P22" s="189">
        <v>20</v>
      </c>
      <c r="Q22" s="189" t="str">
        <f>IFERROR(INDEX(TableWRMaster[Player],MATCH(TableWRCalcPts[[#This Row],[WRRef]],TableWRMaster[WRRef],0)),"")</f>
        <v>Gabriel Davis</v>
      </c>
      <c r="R22" s="189" t="str">
        <f>IFERROR(INDEX(TableWRMaster[TM],MATCH(TableWRCalcPts[[#This Row],[WRRef]],TableWRMaster[WRRef],0)),"")</f>
        <v>BUF</v>
      </c>
      <c r="S22" s="189">
        <f>IFERROR(INDEX(TableWRMaster[BYE],MATCH(TableWRCalcPts[[#This Row],[WRRef]],TableWRMaster[WRRef],0)),"")</f>
        <v>7</v>
      </c>
      <c r="T22" s="191">
        <f>IFERROR(INDEX(TableWRMaster[Custom],MATCH(TableWRCalcPts[[#This Row],[WRRef]],TableWRMaster[WRRef],0)),"")</f>
        <v>149.8562933454524</v>
      </c>
      <c r="V22" s="189">
        <f>IFERROR(RANK(TableTECalcPts[[#This Row],[Custom]],TableTECalcPts[Custom])+COUNTIF($AA$3:AA22,AA22)-1,"")</f>
        <v>13</v>
      </c>
      <c r="W22" s="189">
        <v>20</v>
      </c>
      <c r="X22" s="189" t="str">
        <f>IFERROR(INDEX(TableTEMaster[Player],MATCH(TableTECalcPts[[#This Row],[TERef]],TableTEMaster[TERef],0)),"")</f>
        <v>David Njoku</v>
      </c>
      <c r="Y22" s="189" t="str">
        <f>IFERROR(INDEX(TableTEMaster[TM],MATCH(TableTECalcPts[[#This Row],[TERef]],TableTEMaster[TERef],0)),"")</f>
        <v>CLE</v>
      </c>
      <c r="Z22" s="189">
        <f>IFERROR(INDEX(TableTEMaster[BYE],MATCH(TableTECalcPts[[#This Row],[TERef]],TableTEMaster[TERef],0)),"")</f>
        <v>9</v>
      </c>
      <c r="AA22" s="191">
        <f>IFERROR(INDEX(TableTEMaster[Custom],MATCH(TableTECalcPts[[#This Row],[TERef]],TableTEMaster[TERef],0)),"")</f>
        <v>98.103124524733062</v>
      </c>
      <c r="AC22" s="189">
        <f>IFERROR(RANK(TableDSTCalcPts[[#This Row],[Custom]],TableDSTCalcPts[Custom],0),"")</f>
        <v>8</v>
      </c>
      <c r="AD22" s="189">
        <v>20</v>
      </c>
      <c r="AE22" s="189" t="str">
        <f>IFERROR(INDEX(TableDSTMaster[Player],MATCH(TableDSTCalcPts[[#This Row],[DSTRef]],TableDSTMaster[DSTRef],0)),"")</f>
        <v>Miami Dolphins</v>
      </c>
      <c r="AF22" s="189">
        <f>IFERROR(INDEX(TableDSTMaster[BYE],MATCH(TableDSTCalcPts[[#This Row],[DSTRef]],TableDSTMaster[DSTRef],0)),"")</f>
        <v>11</v>
      </c>
      <c r="AG22" s="191">
        <f>IFERROR(INDEX(TableDSTMaster[Custom],MATCH(TableDSTCalcPts[[#This Row],[DSTRef]],TableDSTMaster[DSTRef],0)),"")</f>
        <v>124.74974042430634</v>
      </c>
      <c r="AI22" s="221" t="s">
        <v>10</v>
      </c>
      <c r="AJ22" s="189">
        <f>IFERROR(RANK(TableWRTECalcPts[[#This Row],[Custom]],TableWRTECalcPts[Custom])+COUNTIF($AP$3:AP22,AP22)-1,"")</f>
        <v>72</v>
      </c>
      <c r="AK22" s="189">
        <v>20</v>
      </c>
      <c r="AL22" s="189" t="str">
        <f>IFERROR(INDEX(TableTEMaster[Player],MATCH(TableWRTECalcPts[[#This Row],[POSRef]],TableTEMaster[TERef],0)),"")</f>
        <v>David Njoku</v>
      </c>
      <c r="AM22" s="189" t="str">
        <f>IFERROR(_xlfn.CONCAT(TableWRTECalcPts[[#This Row],[POS]],INDEX(TableTERanks[RK],MATCH(TableWRTECalcPts[[#This Row],[PLAYER]],TableTERanks[Player],0))),"")</f>
        <v>TE13</v>
      </c>
      <c r="AN22" s="189" t="str">
        <f>IFERROR(INDEX(TableTEMaster[TM],MATCH(TableWRTECalcPts[[#This Row],[POSRef]],TableTEMaster[TERef],0)),"")</f>
        <v>CLE</v>
      </c>
      <c r="AO22" s="189">
        <f>IFERROR(INDEX(TableTEMaster[BYE],MATCH(TableWRTECalcPts[[#This Row],[POSRef]],TableTEMaster[TERef],0)),"")</f>
        <v>9</v>
      </c>
      <c r="AP22" s="191">
        <f>IFERROR(INDEX(TableTEMaster[Custom],MATCH(TableWRTECalcPts[[#This Row],[POSRef]],TableTEMaster[TERef],0)),"")</f>
        <v>98.103124524733062</v>
      </c>
    </row>
    <row r="23" spans="1:42" x14ac:dyDescent="0.3">
      <c r="A23" s="198">
        <f>IFERROR(RANK(TableQBCalcPts[[#This Row],[Custom]],TableQBCalcPts[Custom])+COUNTIF($F$3:F23,F23)-1,"")</f>
        <v>24</v>
      </c>
      <c r="B23" s="189">
        <v>21</v>
      </c>
      <c r="C23" s="189" t="str">
        <f>IFERROR(INDEX(TableQBMaster[Player],MATCH(TableQBCalcPts[[#This Row],[QBRef]],TableQBMaster[QBRef],0)),"")</f>
        <v>Jared Goff</v>
      </c>
      <c r="D23" s="189" t="str">
        <f>IFERROR(INDEX(TableQBMaster[TM],MATCH(TableQBCalcPts[[#This Row],[QBRef]],TableQBMaster[QBRef],0)),"")</f>
        <v>DET</v>
      </c>
      <c r="E23" s="189">
        <f>IFERROR(INDEX(TableQBMaster[BYE],MATCH(TableQBCalcPts[[#This Row],[QBRef]],TableQBMaster[QBRef],0)),"")</f>
        <v>6</v>
      </c>
      <c r="F23" s="191">
        <f>IFERROR(INDEX(TableQBMaster[Custom],MATCH(TableQBCalcPts[[#This Row],[QBRef]],TableQBMaster[QBRef],0)),"")</f>
        <v>258.14716946765958</v>
      </c>
      <c r="H23" s="189">
        <f>IFERROR(RANK(TableRBCalcPts[[#This Row],[Custom]],TableRBCalcPts[Custom])+COUNTIF($M$3:M23,M23)-1,"")</f>
        <v>41</v>
      </c>
      <c r="I23" s="189">
        <v>21</v>
      </c>
      <c r="J23" s="189" t="str">
        <f>IFERROR(INDEX(TableRBMaster[Player],MATCH(TableRBCalcPts[[#This Row],[RBRef]],TableRBMaster[RBRef],0)),"")</f>
        <v>Khalil Herbert</v>
      </c>
      <c r="K23" s="189" t="str">
        <f>IFERROR(INDEX(TableRBMaster[TM],MATCH(TableRBCalcPts[[#This Row],[RBRef]],TableRBMaster[RBRef],0)),"")</f>
        <v>CHI</v>
      </c>
      <c r="L23" s="189">
        <f>IFERROR(INDEX(TableRBMaster[BYE],MATCH(TableRBCalcPts[[#This Row],[RBRef]],TableRBMaster[RBRef],0)),"")</f>
        <v>14</v>
      </c>
      <c r="M23" s="191">
        <f>IFERROR(INDEX(TableRBMaster[Custom],MATCH(TableRBCalcPts[[#This Row],[RBRef]],TableRBMaster[RBRef],0)),"")</f>
        <v>104.34152696576828</v>
      </c>
      <c r="O23" s="189">
        <f>IFERROR(RANK(TableWRCalcPts[[#This Row],[Custom]],TableWRCalcPts[Custom])+COUNTIF($T$3:T23,T23)-1,"")</f>
        <v>176</v>
      </c>
      <c r="P23" s="189">
        <v>21</v>
      </c>
      <c r="Q23" s="189" t="str">
        <f>IFERROR(INDEX(TableWRMaster[Player],MATCH(TableWRCalcPts[[#This Row],[WRRef]],TableWRMaster[WRRef],0)),"")</f>
        <v>Marquez Stevenson</v>
      </c>
      <c r="R23" s="189" t="str">
        <f>IFERROR(INDEX(TableWRMaster[TM],MATCH(TableWRCalcPts[[#This Row],[WRRef]],TableWRMaster[WRRef],0)),"")</f>
        <v>BUF</v>
      </c>
      <c r="S23" s="189">
        <f>IFERROR(INDEX(TableWRMaster[BYE],MATCH(TableWRCalcPts[[#This Row],[WRRef]],TableWRMaster[WRRef],0)),"")</f>
        <v>7</v>
      </c>
      <c r="T23" s="191">
        <f>IFERROR(INDEX(TableWRMaster[Custom],MATCH(TableWRCalcPts[[#This Row],[WRRef]],TableWRMaster[WRRef],0)),"")</f>
        <v>8.566595854902161</v>
      </c>
      <c r="V23" s="189">
        <f>IFERROR(RANK(TableTECalcPts[[#This Row],[Custom]],TableTECalcPts[Custom])+COUNTIF($AA$3:AA23,AA23)-1,"")</f>
        <v>37</v>
      </c>
      <c r="W23" s="189">
        <v>21</v>
      </c>
      <c r="X23" s="189" t="str">
        <f>IFERROR(INDEX(TableTEMaster[Player],MATCH(TableTECalcPts[[#This Row],[TERef]],TableTEMaster[TERef],0)),"")</f>
        <v>Harrison Bryant</v>
      </c>
      <c r="Y23" s="189" t="str">
        <f>IFERROR(INDEX(TableTEMaster[TM],MATCH(TableTECalcPts[[#This Row],[TERef]],TableTEMaster[TERef],0)),"")</f>
        <v>CLE</v>
      </c>
      <c r="Z23" s="189">
        <f>IFERROR(INDEX(TableTEMaster[BYE],MATCH(TableTECalcPts[[#This Row],[TERef]],TableTEMaster[TERef],0)),"")</f>
        <v>9</v>
      </c>
      <c r="AA23" s="191">
        <f>IFERROR(INDEX(TableTEMaster[Custom],MATCH(TableTECalcPts[[#This Row],[TERef]],TableTEMaster[TERef],0)),"")</f>
        <v>38.106607571611121</v>
      </c>
      <c r="AC23" s="189">
        <f>IFERROR(RANK(TableDSTCalcPts[[#This Row],[Custom]],TableDSTCalcPts[Custom],0),"")</f>
        <v>13</v>
      </c>
      <c r="AD23" s="189">
        <v>21</v>
      </c>
      <c r="AE23" s="189" t="str">
        <f>IFERROR(INDEX(TableDSTMaster[Player],MATCH(TableDSTCalcPts[[#This Row],[DSTRef]],TableDSTMaster[DSTRef],0)),"")</f>
        <v>Minnesota Vikings</v>
      </c>
      <c r="AF23" s="189">
        <f>IFERROR(INDEX(TableDSTMaster[BYE],MATCH(TableDSTCalcPts[[#This Row],[DSTRef]],TableDSTMaster[DSTRef],0)),"")</f>
        <v>7</v>
      </c>
      <c r="AG23" s="191">
        <f>IFERROR(INDEX(TableDSTMaster[Custom],MATCH(TableDSTCalcPts[[#This Row],[DSTRef]],TableDSTMaster[DSTRef],0)),"")</f>
        <v>122.84825294894627</v>
      </c>
      <c r="AI23" s="221" t="s">
        <v>10</v>
      </c>
      <c r="AJ23" s="189">
        <f>IFERROR(RANK(TableWRTECalcPts[[#This Row],[Custom]],TableWRTECalcPts[Custom])+COUNTIF($AP$3:AP23,AP23)-1,"")</f>
        <v>144</v>
      </c>
      <c r="AK23" s="189">
        <v>21</v>
      </c>
      <c r="AL23" s="189" t="str">
        <f>IFERROR(INDEX(TableTEMaster[Player],MATCH(TableWRTECalcPts[[#This Row],[POSRef]],TableTEMaster[TERef],0)),"")</f>
        <v>Harrison Bryant</v>
      </c>
      <c r="AM23" s="189" t="str">
        <f>IFERROR(_xlfn.CONCAT(TableWRTECalcPts[[#This Row],[POS]],INDEX(TableTERanks[RK],MATCH(TableWRTECalcPts[[#This Row],[PLAYER]],TableTERanks[Player],0))),"")</f>
        <v>TE37</v>
      </c>
      <c r="AN23" s="189" t="str">
        <f>IFERROR(INDEX(TableTEMaster[TM],MATCH(TableWRTECalcPts[[#This Row],[POSRef]],TableTEMaster[TERef],0)),"")</f>
        <v>CLE</v>
      </c>
      <c r="AO23" s="189">
        <f>IFERROR(INDEX(TableTEMaster[BYE],MATCH(TableWRTECalcPts[[#This Row],[POSRef]],TableTEMaster[TERef],0)),"")</f>
        <v>9</v>
      </c>
      <c r="AP23" s="191">
        <f>IFERROR(INDEX(TableTEMaster[Custom],MATCH(TableWRTECalcPts[[#This Row],[POSRef]],TableTEMaster[TERef],0)),"")</f>
        <v>38.106607571611121</v>
      </c>
    </row>
    <row r="24" spans="1:42" x14ac:dyDescent="0.3">
      <c r="A24" s="198">
        <f>IFERROR(RANK(TableQBCalcPts[[#This Row],[Custom]],TableQBCalcPts[Custom])+COUNTIF($F$3:F24,F24)-1,"")</f>
        <v>53</v>
      </c>
      <c r="B24" s="189">
        <v>22</v>
      </c>
      <c r="C24" s="189" t="str">
        <f>IFERROR(INDEX(TableQBMaster[Player],MATCH(TableQBCalcPts[[#This Row],[QBRef]],TableQBMaster[QBRef],0)),"")</f>
        <v>Tim Boyle</v>
      </c>
      <c r="D24" s="189" t="str">
        <f>IFERROR(INDEX(TableQBMaster[TM],MATCH(TableQBCalcPts[[#This Row],[QBRef]],TableQBMaster[QBRef],0)),"")</f>
        <v>DET</v>
      </c>
      <c r="E24" s="189">
        <f>IFERROR(INDEX(TableQBMaster[BYE],MATCH(TableQBCalcPts[[#This Row],[QBRef]],TableQBMaster[QBRef],0)),"")</f>
        <v>6</v>
      </c>
      <c r="F24" s="191">
        <f>IFERROR(INDEX(TableQBMaster[Custom],MATCH(TableQBCalcPts[[#This Row],[QBRef]],TableQBMaster[QBRef],0)),"")</f>
        <v>7.4856047546786204</v>
      </c>
      <c r="H24" s="189">
        <f>IFERROR(RANK(TableRBCalcPts[[#This Row],[Custom]],TableRBCalcPts[Custom])+COUNTIF($M$3:M24,M24)-1,"")</f>
        <v>99</v>
      </c>
      <c r="I24" s="189">
        <v>22</v>
      </c>
      <c r="J24" s="189" t="str">
        <f>IFERROR(INDEX(TableRBMaster[Player],MATCH(TableRBCalcPts[[#This Row],[RBRef]],TableRBMaster[RBRef],0)),"")</f>
        <v>Darrynton Evans</v>
      </c>
      <c r="K24" s="189" t="str">
        <f>IFERROR(INDEX(TableRBMaster[TM],MATCH(TableRBCalcPts[[#This Row],[RBRef]],TableRBMaster[RBRef],0)),"")</f>
        <v>CHI</v>
      </c>
      <c r="L24" s="189">
        <f>IFERROR(INDEX(TableRBMaster[BYE],MATCH(TableRBCalcPts[[#This Row],[RBRef]],TableRBMaster[RBRef],0)),"")</f>
        <v>14</v>
      </c>
      <c r="M24" s="191">
        <f>IFERROR(INDEX(TableRBMaster[Custom],MATCH(TableRBCalcPts[[#This Row],[RBRef]],TableRBMaster[RBRef],0)),"")</f>
        <v>15.339572196945394</v>
      </c>
      <c r="O24" s="189">
        <f>IFERROR(RANK(TableWRCalcPts[[#This Row],[Custom]],TableWRCalcPts[Custom])+COUNTIF($T$3:T24,T24)-1,"")</f>
        <v>81</v>
      </c>
      <c r="P24" s="189">
        <v>22</v>
      </c>
      <c r="Q24" s="189" t="str">
        <f>IFERROR(INDEX(TableWRMaster[Player],MATCH(TableWRCalcPts[[#This Row],[WRRef]],TableWRMaster[WRRef],0)),"")</f>
        <v>Jamison Crowder</v>
      </c>
      <c r="R24" s="189" t="str">
        <f>IFERROR(INDEX(TableWRMaster[TM],MATCH(TableWRCalcPts[[#This Row],[WRRef]],TableWRMaster[WRRef],0)),"")</f>
        <v>BUF</v>
      </c>
      <c r="S24" s="189">
        <f>IFERROR(INDEX(TableWRMaster[BYE],MATCH(TableWRCalcPts[[#This Row],[WRRef]],TableWRMaster[WRRef],0)),"")</f>
        <v>7</v>
      </c>
      <c r="T24" s="191">
        <f>IFERROR(INDEX(TableWRMaster[Custom],MATCH(TableWRCalcPts[[#This Row],[WRRef]],TableWRMaster[WRRef],0)),"")</f>
        <v>74.485484004772331</v>
      </c>
      <c r="V24" s="189">
        <f>IFERROR(RANK(TableTECalcPts[[#This Row],[Custom]],TableTECalcPts[Custom])+COUNTIF($AA$3:AA24,AA24)-1,"")</f>
        <v>7</v>
      </c>
      <c r="W24" s="189">
        <v>22</v>
      </c>
      <c r="X24" s="189" t="str">
        <f>IFERROR(INDEX(TableTEMaster[Player],MATCH(TableTECalcPts[[#This Row],[TERef]],TableTEMaster[TERef],0)),"")</f>
        <v>Dalton Schultz</v>
      </c>
      <c r="Y24" s="189" t="str">
        <f>IFERROR(INDEX(TableTEMaster[TM],MATCH(TableTECalcPts[[#This Row],[TERef]],TableTEMaster[TERef],0)),"")</f>
        <v>DAL</v>
      </c>
      <c r="Z24" s="189">
        <f>IFERROR(INDEX(TableTEMaster[BYE],MATCH(TableTECalcPts[[#This Row],[TERef]],TableTEMaster[TERef],0)),"")</f>
        <v>9</v>
      </c>
      <c r="AA24" s="191">
        <f>IFERROR(INDEX(TableTEMaster[Custom],MATCH(TableTECalcPts[[#This Row],[TERef]],TableTEMaster[TERef],0)),"")</f>
        <v>119.58073410503061</v>
      </c>
      <c r="AC24" s="189">
        <f>IFERROR(RANK(TableDSTCalcPts[[#This Row],[Custom]],TableDSTCalcPts[Custom],0),"")</f>
        <v>21</v>
      </c>
      <c r="AD24" s="189">
        <v>22</v>
      </c>
      <c r="AE24" s="189" t="str">
        <f>IFERROR(INDEX(TableDSTMaster[Player],MATCH(TableDSTCalcPts[[#This Row],[DSTRef]],TableDSTMaster[DSTRef],0)),"")</f>
        <v>New England Patriots</v>
      </c>
      <c r="AF24" s="189">
        <f>IFERROR(INDEX(TableDSTMaster[BYE],MATCH(TableDSTCalcPts[[#This Row],[DSTRef]],TableDSTMaster[DSTRef],0)),"")</f>
        <v>10</v>
      </c>
      <c r="AG24" s="191">
        <f>IFERROR(INDEX(TableDSTMaster[Custom],MATCH(TableDSTCalcPts[[#This Row],[DSTRef]],TableDSTMaster[DSTRef],0)),"")</f>
        <v>114.99775930336239</v>
      </c>
      <c r="AI24" s="221" t="s">
        <v>10</v>
      </c>
      <c r="AJ24" s="189">
        <f>IFERROR(RANK(TableWRTECalcPts[[#This Row],[Custom]],TableWRTECalcPts[Custom])+COUNTIF($AP$3:AP24,AP24)-1,"")</f>
        <v>49</v>
      </c>
      <c r="AK24" s="189">
        <v>22</v>
      </c>
      <c r="AL24" s="189" t="str">
        <f>IFERROR(INDEX(TableTEMaster[Player],MATCH(TableWRTECalcPts[[#This Row],[POSRef]],TableTEMaster[TERef],0)),"")</f>
        <v>Dalton Schultz</v>
      </c>
      <c r="AM24" s="189" t="str">
        <f>IFERROR(_xlfn.CONCAT(TableWRTECalcPts[[#This Row],[POS]],INDEX(TableTERanks[RK],MATCH(TableWRTECalcPts[[#This Row],[PLAYER]],TableTERanks[Player],0))),"")</f>
        <v>TE7</v>
      </c>
      <c r="AN24" s="189" t="str">
        <f>IFERROR(INDEX(TableTEMaster[TM],MATCH(TableWRTECalcPts[[#This Row],[POSRef]],TableTEMaster[TERef],0)),"")</f>
        <v>DAL</v>
      </c>
      <c r="AO24" s="189">
        <f>IFERROR(INDEX(TableTEMaster[BYE],MATCH(TableWRTECalcPts[[#This Row],[POSRef]],TableTEMaster[TERef],0)),"")</f>
        <v>9</v>
      </c>
      <c r="AP24" s="191">
        <f>IFERROR(INDEX(TableTEMaster[Custom],MATCH(TableWRTECalcPts[[#This Row],[POSRef]],TableTEMaster[TERef],0)),"")</f>
        <v>119.58073410503061</v>
      </c>
    </row>
    <row r="25" spans="1:42" x14ac:dyDescent="0.3">
      <c r="A25" s="198">
        <f>IFERROR(RANK(TableQBCalcPts[[#This Row],[Custom]],TableQBCalcPts[Custom])+COUNTIF($F$3:F25,F25)-1,"")</f>
        <v>9</v>
      </c>
      <c r="B25" s="189">
        <v>23</v>
      </c>
      <c r="C25" s="189" t="str">
        <f>IFERROR(INDEX(TableQBMaster[Player],MATCH(TableQBCalcPts[[#This Row],[QBRef]],TableQBMaster[QBRef],0)),"")</f>
        <v>Aaron Rodgers</v>
      </c>
      <c r="D25" s="189" t="str">
        <f>IFERROR(INDEX(TableQBMaster[TM],MATCH(TableQBCalcPts[[#This Row],[QBRef]],TableQBMaster[QBRef],0)),"")</f>
        <v>GB</v>
      </c>
      <c r="E25" s="189">
        <f>IFERROR(INDEX(TableQBMaster[BYE],MATCH(TableQBCalcPts[[#This Row],[QBRef]],TableQBMaster[QBRef],0)),"")</f>
        <v>14</v>
      </c>
      <c r="F25" s="191">
        <f>IFERROR(INDEX(TableQBMaster[Custom],MATCH(TableQBCalcPts[[#This Row],[QBRef]],TableQBMaster[QBRef],0)),"")</f>
        <v>337.00673385001676</v>
      </c>
      <c r="H25" s="189">
        <f>IFERROR(RANK(TableRBCalcPts[[#This Row],[Custom]],TableRBCalcPts[Custom])+COUNTIF($M$3:M25,M25)-1,"")</f>
        <v>114</v>
      </c>
      <c r="I25" s="189">
        <v>23</v>
      </c>
      <c r="J25" s="189" t="str">
        <f>IFERROR(INDEX(TableRBMaster[Player],MATCH(TableRBCalcPts[[#This Row],[RBRef]],TableRBMaster[RBRef],0)),"")</f>
        <v>Trestan Ebner</v>
      </c>
      <c r="K25" s="189" t="str">
        <f>IFERROR(INDEX(TableRBMaster[TM],MATCH(TableRBCalcPts[[#This Row],[RBRef]],TableRBMaster[RBRef],0)),"")</f>
        <v>CHI</v>
      </c>
      <c r="L25" s="189">
        <f>IFERROR(INDEX(TableRBMaster[BYE],MATCH(TableRBCalcPts[[#This Row],[RBRef]],TableRBMaster[RBRef],0)),"")</f>
        <v>14</v>
      </c>
      <c r="M25" s="191">
        <f>IFERROR(INDEX(TableRBMaster[Custom],MATCH(TableRBCalcPts[[#This Row],[RBRef]],TableRBMaster[RBRef],0)),"")</f>
        <v>8.6639733459383361</v>
      </c>
      <c r="O25" s="189">
        <f>IFERROR(RANK(TableWRCalcPts[[#This Row],[Custom]],TableWRCalcPts[Custom])+COUNTIF($T$3:T25,T25)-1,"")</f>
        <v>101</v>
      </c>
      <c r="P25" s="189">
        <v>23</v>
      </c>
      <c r="Q25" s="189" t="str">
        <f>IFERROR(INDEX(TableWRMaster[Player],MATCH(TableWRCalcPts[[#This Row],[WRRef]],TableWRMaster[WRRef],0)),"")</f>
        <v>Isaiah McKenzie</v>
      </c>
      <c r="R25" s="189" t="str">
        <f>IFERROR(INDEX(TableWRMaster[TM],MATCH(TableWRCalcPts[[#This Row],[WRRef]],TableWRMaster[WRRef],0)),"")</f>
        <v>BUF</v>
      </c>
      <c r="S25" s="189">
        <f>IFERROR(INDEX(TableWRMaster[BYE],MATCH(TableWRCalcPts[[#This Row],[WRRef]],TableWRMaster[WRRef],0)),"")</f>
        <v>7</v>
      </c>
      <c r="T25" s="191">
        <f>IFERROR(INDEX(TableWRMaster[Custom],MATCH(TableWRCalcPts[[#This Row],[WRRef]],TableWRMaster[WRRef],0)),"")</f>
        <v>46.563602815971421</v>
      </c>
      <c r="V25" s="189">
        <f>IFERROR(RANK(TableTECalcPts[[#This Row],[Custom]],TableTECalcPts[Custom])+COUNTIF($AA$3:AA25,AA25)-1,"")</f>
        <v>74</v>
      </c>
      <c r="W25" s="189">
        <v>23</v>
      </c>
      <c r="X25" s="189" t="str">
        <f>IFERROR(INDEX(TableTEMaster[Player],MATCH(TableTECalcPts[[#This Row],[TERef]],TableTEMaster[TERef],0)),"")</f>
        <v>Sean McKeon</v>
      </c>
      <c r="Y25" s="189" t="str">
        <f>IFERROR(INDEX(TableTEMaster[TM],MATCH(TableTECalcPts[[#This Row],[TERef]],TableTEMaster[TERef],0)),"")</f>
        <v>DAL</v>
      </c>
      <c r="Z25" s="189">
        <f>IFERROR(INDEX(TableTEMaster[BYE],MATCH(TableTECalcPts[[#This Row],[TERef]],TableTEMaster[TERef],0)),"")</f>
        <v>9</v>
      </c>
      <c r="AA25" s="191">
        <f>IFERROR(INDEX(TableTEMaster[Custom],MATCH(TableTECalcPts[[#This Row],[TERef]],TableTEMaster[TERef],0)),"")</f>
        <v>9.6478881416634454</v>
      </c>
      <c r="AC25" s="189">
        <f>IFERROR(RANK(TableDSTCalcPts[[#This Row],[Custom]],TableDSTCalcPts[Custom],0),"")</f>
        <v>11</v>
      </c>
      <c r="AD25" s="189">
        <v>23</v>
      </c>
      <c r="AE25" s="189" t="str">
        <f>IFERROR(INDEX(TableDSTMaster[Player],MATCH(TableDSTCalcPts[[#This Row],[DSTRef]],TableDSTMaster[DSTRef],0)),"")</f>
        <v>New Orleans Saints</v>
      </c>
      <c r="AF25" s="189">
        <f>IFERROR(INDEX(TableDSTMaster[BYE],MATCH(TableDSTCalcPts[[#This Row],[DSTRef]],TableDSTMaster[DSTRef],0)),"")</f>
        <v>14</v>
      </c>
      <c r="AG25" s="191">
        <f>IFERROR(INDEX(TableDSTMaster[Custom],MATCH(TableDSTCalcPts[[#This Row],[DSTRef]],TableDSTMaster[DSTRef],0)),"")</f>
        <v>124.01003127976355</v>
      </c>
      <c r="AI25" s="221" t="s">
        <v>10</v>
      </c>
      <c r="AJ25" s="189">
        <f>IFERROR(RANK(TableWRTECalcPts[[#This Row],[Custom]],TableWRTECalcPts[Custom])+COUNTIF($AP$3:AP25,AP25)-1,"")</f>
        <v>243</v>
      </c>
      <c r="AK25" s="189">
        <v>23</v>
      </c>
      <c r="AL25" s="189" t="str">
        <f>IFERROR(INDEX(TableTEMaster[Player],MATCH(TableWRTECalcPts[[#This Row],[POSRef]],TableTEMaster[TERef],0)),"")</f>
        <v>Sean McKeon</v>
      </c>
      <c r="AM25" s="189" t="str">
        <f>IFERROR(_xlfn.CONCAT(TableWRTECalcPts[[#This Row],[POS]],INDEX(TableTERanks[RK],MATCH(TableWRTECalcPts[[#This Row],[PLAYER]],TableTERanks[Player],0))),"")</f>
        <v>TE74</v>
      </c>
      <c r="AN25" s="189" t="str">
        <f>IFERROR(INDEX(TableTEMaster[TM],MATCH(TableWRTECalcPts[[#This Row],[POSRef]],TableTEMaster[TERef],0)),"")</f>
        <v>DAL</v>
      </c>
      <c r="AO25" s="189">
        <f>IFERROR(INDEX(TableTEMaster[BYE],MATCH(TableWRTECalcPts[[#This Row],[POSRef]],TableTEMaster[TERef],0)),"")</f>
        <v>9</v>
      </c>
      <c r="AP25" s="191">
        <f>IFERROR(INDEX(TableTEMaster[Custom],MATCH(TableWRTECalcPts[[#This Row],[POSRef]],TableTEMaster[TERef],0)),"")</f>
        <v>9.6478881416634454</v>
      </c>
    </row>
    <row r="26" spans="1:42" x14ac:dyDescent="0.3">
      <c r="A26" s="198">
        <f>IFERROR(RANK(TableQBCalcPts[[#This Row],[Custom]],TableQBCalcPts[Custom])+COUNTIF($F$3:F26,F26)-1,"")</f>
        <v>58</v>
      </c>
      <c r="B26" s="189">
        <v>24</v>
      </c>
      <c r="C26" s="189" t="str">
        <f>IFERROR(INDEX(TableQBMaster[Player],MATCH(TableQBCalcPts[[#This Row],[QBRef]],TableQBMaster[QBRef],0)),"")</f>
        <v>Jordan Love</v>
      </c>
      <c r="D26" s="189" t="str">
        <f>IFERROR(INDEX(TableQBMaster[TM],MATCH(TableQBCalcPts[[#This Row],[QBRef]],TableQBMaster[QBRef],0)),"")</f>
        <v>GB</v>
      </c>
      <c r="E26" s="189">
        <f>IFERROR(INDEX(TableQBMaster[BYE],MATCH(TableQBCalcPts[[#This Row],[QBRef]],TableQBMaster[QBRef],0)),"")</f>
        <v>14</v>
      </c>
      <c r="F26" s="191">
        <f>IFERROR(INDEX(TableQBMaster[Custom],MATCH(TableQBCalcPts[[#This Row],[QBRef]],TableQBMaster[QBRef],0)),"")</f>
        <v>4.1197163358902698</v>
      </c>
      <c r="H26" s="189">
        <f>IFERROR(RANK(TableRBCalcPts[[#This Row],[Custom]],TableRBCalcPts[Custom])+COUNTIF($M$3:M26,M26)-1,"")</f>
        <v>6</v>
      </c>
      <c r="I26" s="189">
        <v>24</v>
      </c>
      <c r="J26" s="189" t="str">
        <f>IFERROR(INDEX(TableRBMaster[Player],MATCH(TableRBCalcPts[[#This Row],[RBRef]],TableRBMaster[RBRef],0)),"")</f>
        <v>Joe Mixon</v>
      </c>
      <c r="K26" s="189" t="str">
        <f>IFERROR(INDEX(TableRBMaster[TM],MATCH(TableRBCalcPts[[#This Row],[RBRef]],TableRBMaster[RBRef],0)),"")</f>
        <v>CIN</v>
      </c>
      <c r="L26" s="189">
        <f>IFERROR(INDEX(TableRBMaster[BYE],MATCH(TableRBCalcPts[[#This Row],[RBRef]],TableRBMaster[RBRef],0)),"")</f>
        <v>10</v>
      </c>
      <c r="M26" s="191">
        <f>IFERROR(INDEX(TableRBMaster[Custom],MATCH(TableRBCalcPts[[#This Row],[RBRef]],TableRBMaster[RBRef],0)),"")</f>
        <v>224.96025910261358</v>
      </c>
      <c r="O26" s="189">
        <f>IFERROR(RANK(TableWRCalcPts[[#This Row],[Custom]],TableWRCalcPts[Custom])+COUNTIF($T$3:T26,T26)-1,"")</f>
        <v>143</v>
      </c>
      <c r="P26" s="189">
        <v>24</v>
      </c>
      <c r="Q26" s="189" t="str">
        <f>IFERROR(INDEX(TableWRMaster[Player],MATCH(TableWRCalcPts[[#This Row],[WRRef]],TableWRMaster[WRRef],0)),"")</f>
        <v>Khalil Shakir</v>
      </c>
      <c r="R26" s="189" t="str">
        <f>IFERROR(INDEX(TableWRMaster[TM],MATCH(TableWRCalcPts[[#This Row],[WRRef]],TableWRMaster[WRRef],0)),"")</f>
        <v>BUF</v>
      </c>
      <c r="S26" s="189">
        <f>IFERROR(INDEX(TableWRMaster[BYE],MATCH(TableWRCalcPts[[#This Row],[WRRef]],TableWRMaster[WRRef],0)),"")</f>
        <v>7</v>
      </c>
      <c r="T26" s="191">
        <f>IFERROR(INDEX(TableWRMaster[Custom],MATCH(TableWRCalcPts[[#This Row],[WRRef]],TableWRMaster[WRRef],0)),"")</f>
        <v>16.720762056006564</v>
      </c>
      <c r="V26" s="189">
        <f>IFERROR(RANK(TableTECalcPts[[#This Row],[Custom]],TableTECalcPts[Custom])+COUNTIF($AA$3:AA26,AA26)-1,"")</f>
        <v>81</v>
      </c>
      <c r="W26" s="189">
        <v>24</v>
      </c>
      <c r="X26" s="189" t="str">
        <f>IFERROR(INDEX(TableTEMaster[Player],MATCH(TableTECalcPts[[#This Row],[TERef]],TableTEMaster[TERef],0)),"")</f>
        <v>Jeremy Sprinkle</v>
      </c>
      <c r="Y26" s="189" t="str">
        <f>IFERROR(INDEX(TableTEMaster[TM],MATCH(TableTECalcPts[[#This Row],[TERef]],TableTEMaster[TERef],0)),"")</f>
        <v>DAL</v>
      </c>
      <c r="Z26" s="189">
        <f>IFERROR(INDEX(TableTEMaster[BYE],MATCH(TableTECalcPts[[#This Row],[TERef]],TableTEMaster[TERef],0)),"")</f>
        <v>9</v>
      </c>
      <c r="AA26" s="191">
        <f>IFERROR(INDEX(TableTEMaster[Custom],MATCH(TableTECalcPts[[#This Row],[TERef]],TableTEMaster[TERef],0)),"")</f>
        <v>7.0531397331118484</v>
      </c>
      <c r="AC26" s="189">
        <f>IFERROR(RANK(TableDSTCalcPts[[#This Row],[Custom]],TableDSTCalcPts[Custom],0),"")</f>
        <v>24</v>
      </c>
      <c r="AD26" s="189">
        <v>24</v>
      </c>
      <c r="AE26" s="189" t="str">
        <f>IFERROR(INDEX(TableDSTMaster[Player],MATCH(TableDSTCalcPts[[#This Row],[DSTRef]],TableDSTMaster[DSTRef],0)),"")</f>
        <v>New York Giants</v>
      </c>
      <c r="AF26" s="189">
        <f>IFERROR(INDEX(TableDSTMaster[BYE],MATCH(TableDSTCalcPts[[#This Row],[DSTRef]],TableDSTMaster[DSTRef],0)),"")</f>
        <v>9</v>
      </c>
      <c r="AG26" s="191">
        <f>IFERROR(INDEX(TableDSTMaster[Custom],MATCH(TableDSTCalcPts[[#This Row],[DSTRef]],TableDSTMaster[DSTRef],0)),"")</f>
        <v>107.09996773317323</v>
      </c>
      <c r="AI26" s="221" t="s">
        <v>10</v>
      </c>
      <c r="AJ26" s="189">
        <f>IFERROR(RANK(TableWRTECalcPts[[#This Row],[Custom]],TableWRTECalcPts[Custom])+COUNTIF($AP$3:AP26,AP26)-1,"")</f>
        <v>262</v>
      </c>
      <c r="AK26" s="189">
        <v>24</v>
      </c>
      <c r="AL26" s="189" t="str">
        <f>IFERROR(INDEX(TableTEMaster[Player],MATCH(TableWRTECalcPts[[#This Row],[POSRef]],TableTEMaster[TERef],0)),"")</f>
        <v>Jeremy Sprinkle</v>
      </c>
      <c r="AM26" s="189" t="str">
        <f>IFERROR(_xlfn.CONCAT(TableWRTECalcPts[[#This Row],[POS]],INDEX(TableTERanks[RK],MATCH(TableWRTECalcPts[[#This Row],[PLAYER]],TableTERanks[Player],0))),"")</f>
        <v>TE81</v>
      </c>
      <c r="AN26" s="189" t="str">
        <f>IFERROR(INDEX(TableTEMaster[TM],MATCH(TableWRTECalcPts[[#This Row],[POSRef]],TableTEMaster[TERef],0)),"")</f>
        <v>DAL</v>
      </c>
      <c r="AO26" s="189">
        <f>IFERROR(INDEX(TableTEMaster[BYE],MATCH(TableWRTECalcPts[[#This Row],[POSRef]],TableTEMaster[TERef],0)),"")</f>
        <v>9</v>
      </c>
      <c r="AP26" s="191">
        <f>IFERROR(INDEX(TableTEMaster[Custom],MATCH(TableWRTECalcPts[[#This Row],[POSRef]],TableTEMaster[TERef],0)),"")</f>
        <v>7.0531397331118484</v>
      </c>
    </row>
    <row r="27" spans="1:42" x14ac:dyDescent="0.3">
      <c r="A27" s="198">
        <f>IFERROR(RANK(TableQBCalcPts[[#This Row],[Custom]],TableQBCalcPts[Custom])+COUNTIF($F$3:F27,F27)-1,"")</f>
        <v>42</v>
      </c>
      <c r="B27" s="189">
        <v>25</v>
      </c>
      <c r="C27" s="189" t="str">
        <f>IFERROR(INDEX(TableQBMaster[Player],MATCH(TableQBCalcPts[[#This Row],[QBRef]],TableQBMaster[QBRef],0)),"")</f>
        <v>Kyle Allen</v>
      </c>
      <c r="D27" s="189" t="str">
        <f>IFERROR(INDEX(TableQBMaster[TM],MATCH(TableQBCalcPts[[#This Row],[QBRef]],TableQBMaster[QBRef],0)),"")</f>
        <v>HOU</v>
      </c>
      <c r="E27" s="189">
        <f>IFERROR(INDEX(TableQBMaster[BYE],MATCH(TableQBCalcPts[[#This Row],[QBRef]],TableQBMaster[QBRef],0)),"")</f>
        <v>6</v>
      </c>
      <c r="F27" s="191">
        <f>IFERROR(INDEX(TableQBMaster[Custom],MATCH(TableQBCalcPts[[#This Row],[QBRef]],TableQBMaster[QBRef],0)),"")</f>
        <v>12.49472066411383</v>
      </c>
      <c r="H27" s="189">
        <f>IFERROR(RANK(TableRBCalcPts[[#This Row],[Custom]],TableRBCalcPts[Custom])+COUNTIF($M$3:M27,M27)-1,"")</f>
        <v>61</v>
      </c>
      <c r="I27" s="189">
        <v>25</v>
      </c>
      <c r="J27" s="189" t="str">
        <f>IFERROR(INDEX(TableRBMaster[Player],MATCH(TableRBCalcPts[[#This Row],[RBRef]],TableRBMaster[RBRef],0)),"")</f>
        <v>Chris Evans</v>
      </c>
      <c r="K27" s="189" t="str">
        <f>IFERROR(INDEX(TableRBMaster[TM],MATCH(TableRBCalcPts[[#This Row],[RBRef]],TableRBMaster[RBRef],0)),"")</f>
        <v>CIN</v>
      </c>
      <c r="L27" s="189">
        <f>IFERROR(INDEX(TableRBMaster[BYE],MATCH(TableRBCalcPts[[#This Row],[RBRef]],TableRBMaster[RBRef],0)),"")</f>
        <v>10</v>
      </c>
      <c r="M27" s="191">
        <f>IFERROR(INDEX(TableRBMaster[Custom],MATCH(TableRBCalcPts[[#This Row],[RBRef]],TableRBMaster[RBRef],0)),"")</f>
        <v>63.165804634779782</v>
      </c>
      <c r="O27" s="189">
        <f>IFERROR(RANK(TableWRCalcPts[[#This Row],[Custom]],TableWRCalcPts[Custom])+COUNTIF($T$3:T27,T27)-1,"")</f>
        <v>22</v>
      </c>
      <c r="P27" s="189">
        <v>25</v>
      </c>
      <c r="Q27" s="189" t="str">
        <f>IFERROR(INDEX(TableWRMaster[Player],MATCH(TableWRCalcPts[[#This Row],[WRRef]],TableWRMaster[WRRef],0)),"")</f>
        <v>DJ Moore</v>
      </c>
      <c r="R27" s="189" t="str">
        <f>IFERROR(INDEX(TableWRMaster[TM],MATCH(TableWRCalcPts[[#This Row],[WRRef]],TableWRMaster[WRRef],0)),"")</f>
        <v>CAR</v>
      </c>
      <c r="S27" s="189">
        <f>IFERROR(INDEX(TableWRMaster[BYE],MATCH(TableWRCalcPts[[#This Row],[WRRef]],TableWRMaster[WRRef],0)),"")</f>
        <v>13</v>
      </c>
      <c r="T27" s="191">
        <f>IFERROR(INDEX(TableWRMaster[Custom],MATCH(TableWRCalcPts[[#This Row],[WRRef]],TableWRMaster[WRRef],0)),"")</f>
        <v>145.62594698031444</v>
      </c>
      <c r="V27" s="189">
        <f>IFERROR(RANK(TableTECalcPts[[#This Row],[Custom]],TableTECalcPts[Custom])+COUNTIF($AA$3:AA27,AA27)-1,"")</f>
        <v>20</v>
      </c>
      <c r="W27" s="189">
        <v>25</v>
      </c>
      <c r="X27" s="189" t="str">
        <f>IFERROR(INDEX(TableTEMaster[Player],MATCH(TableTECalcPts[[#This Row],[TERef]],TableTEMaster[TERef],0)),"")</f>
        <v>Albert Okwuegbunam</v>
      </c>
      <c r="Y27" s="189" t="str">
        <f>IFERROR(INDEX(TableTEMaster[TM],MATCH(TableTECalcPts[[#This Row],[TERef]],TableTEMaster[TERef],0)),"")</f>
        <v>DEN</v>
      </c>
      <c r="Z27" s="189">
        <f>IFERROR(INDEX(TableTEMaster[BYE],MATCH(TableTECalcPts[[#This Row],[TERef]],TableTEMaster[TERef],0)),"")</f>
        <v>9</v>
      </c>
      <c r="AA27" s="191">
        <f>IFERROR(INDEX(TableTEMaster[Custom],MATCH(TableTECalcPts[[#This Row],[TERef]],TableTEMaster[TERef],0)),"")</f>
        <v>85.353394830706264</v>
      </c>
      <c r="AC27" s="189">
        <f>IFERROR(RANK(TableDSTCalcPts[[#This Row],[Custom]],TableDSTCalcPts[Custom],0),"")</f>
        <v>29</v>
      </c>
      <c r="AD27" s="189">
        <v>25</v>
      </c>
      <c r="AE27" s="189" t="str">
        <f>IFERROR(INDEX(TableDSTMaster[Player],MATCH(TableDSTCalcPts[[#This Row],[DSTRef]],TableDSTMaster[DSTRef],0)),"")</f>
        <v>New York Jets</v>
      </c>
      <c r="AF27" s="189">
        <f>IFERROR(INDEX(TableDSTMaster[BYE],MATCH(TableDSTCalcPts[[#This Row],[DSTRef]],TableDSTMaster[DSTRef],0)),"")</f>
        <v>10</v>
      </c>
      <c r="AG27" s="191">
        <f>IFERROR(INDEX(TableDSTMaster[Custom],MATCH(TableDSTCalcPts[[#This Row],[DSTRef]],TableDSTMaster[DSTRef],0)),"")</f>
        <v>103.40260220970457</v>
      </c>
      <c r="AI27" s="221" t="s">
        <v>10</v>
      </c>
      <c r="AJ27" s="189">
        <f>IFERROR(RANK(TableWRTECalcPts[[#This Row],[Custom]],TableWRTECalcPts[Custom])+COUNTIF($AP$3:AP27,AP27)-1,"")</f>
        <v>93</v>
      </c>
      <c r="AK27" s="189">
        <v>25</v>
      </c>
      <c r="AL27" s="189" t="str">
        <f>IFERROR(INDEX(TableTEMaster[Player],MATCH(TableWRTECalcPts[[#This Row],[POSRef]],TableTEMaster[TERef],0)),"")</f>
        <v>Albert Okwuegbunam</v>
      </c>
      <c r="AM27" s="189" t="str">
        <f>IFERROR(_xlfn.CONCAT(TableWRTECalcPts[[#This Row],[POS]],INDEX(TableTERanks[RK],MATCH(TableWRTECalcPts[[#This Row],[PLAYER]],TableTERanks[Player],0))),"")</f>
        <v>TE20</v>
      </c>
      <c r="AN27" s="189" t="str">
        <f>IFERROR(INDEX(TableTEMaster[TM],MATCH(TableWRTECalcPts[[#This Row],[POSRef]],TableTEMaster[TERef],0)),"")</f>
        <v>DEN</v>
      </c>
      <c r="AO27" s="189">
        <f>IFERROR(INDEX(TableTEMaster[BYE],MATCH(TableWRTECalcPts[[#This Row],[POSRef]],TableTEMaster[TERef],0)),"")</f>
        <v>9</v>
      </c>
      <c r="AP27" s="191">
        <f>IFERROR(INDEX(TableTEMaster[Custom],MATCH(TableWRTECalcPts[[#This Row],[POSRef]],TableTEMaster[TERef],0)),"")</f>
        <v>85.353394830706264</v>
      </c>
    </row>
    <row r="28" spans="1:42" x14ac:dyDescent="0.3">
      <c r="A28" s="198">
        <f>IFERROR(RANK(TableQBCalcPts[[#This Row],[Custom]],TableQBCalcPts[Custom])+COUNTIF($F$3:F28,F28)-1,"")</f>
        <v>27</v>
      </c>
      <c r="B28" s="189">
        <v>26</v>
      </c>
      <c r="C28" s="189" t="str">
        <f>IFERROR(INDEX(TableQBMaster[Player],MATCH(TableQBCalcPts[[#This Row],[QBRef]],TableQBMaster[QBRef],0)),"")</f>
        <v>Davis Mills</v>
      </c>
      <c r="D28" s="189" t="str">
        <f>IFERROR(INDEX(TableQBMaster[TM],MATCH(TableQBCalcPts[[#This Row],[QBRef]],TableQBMaster[QBRef],0)),"")</f>
        <v>HOU</v>
      </c>
      <c r="E28" s="189">
        <f>IFERROR(INDEX(TableQBMaster[BYE],MATCH(TableQBCalcPts[[#This Row],[QBRef]],TableQBMaster[QBRef],0)),"")</f>
        <v>6</v>
      </c>
      <c r="F28" s="191">
        <f>IFERROR(INDEX(TableQBMaster[Custom],MATCH(TableQBCalcPts[[#This Row],[QBRef]],TableQBMaster[QBRef],0)),"")</f>
        <v>238.21543876703646</v>
      </c>
      <c r="H28" s="189">
        <f>IFERROR(RANK(TableRBCalcPts[[#This Row],[Custom]],TableRBCalcPts[Custom])+COUNTIF($M$3:M28,M28)-1,"")</f>
        <v>73</v>
      </c>
      <c r="I28" s="189">
        <v>26</v>
      </c>
      <c r="J28" s="189" t="str">
        <f>IFERROR(INDEX(TableRBMaster[Player],MATCH(TableRBCalcPts[[#This Row],[RBRef]],TableRBMaster[RBRef],0)),"")</f>
        <v>Samaje Perine</v>
      </c>
      <c r="K28" s="189" t="str">
        <f>IFERROR(INDEX(TableRBMaster[TM],MATCH(TableRBCalcPts[[#This Row],[RBRef]],TableRBMaster[RBRef],0)),"")</f>
        <v>CIN</v>
      </c>
      <c r="L28" s="189">
        <f>IFERROR(INDEX(TableRBMaster[BYE],MATCH(TableRBCalcPts[[#This Row],[RBRef]],TableRBMaster[RBRef],0)),"")</f>
        <v>10</v>
      </c>
      <c r="M28" s="191">
        <f>IFERROR(INDEX(TableRBMaster[Custom],MATCH(TableRBCalcPts[[#This Row],[RBRef]],TableRBMaster[RBRef],0)),"")</f>
        <v>37.390647163356761</v>
      </c>
      <c r="O28" s="189">
        <f>IFERROR(RANK(TableWRCalcPts[[#This Row],[Custom]],TableWRCalcPts[Custom])+COUNTIF($T$3:T28,T28)-1,"")</f>
        <v>59</v>
      </c>
      <c r="P28" s="189">
        <v>26</v>
      </c>
      <c r="Q28" s="189" t="str">
        <f>IFERROR(INDEX(TableWRMaster[Player],MATCH(TableWRCalcPts[[#This Row],[WRRef]],TableWRMaster[WRRef],0)),"")</f>
        <v>Robbie Anderson</v>
      </c>
      <c r="R28" s="189" t="str">
        <f>IFERROR(INDEX(TableWRMaster[TM],MATCH(TableWRCalcPts[[#This Row],[WRRef]],TableWRMaster[WRRef],0)),"")</f>
        <v>CAR</v>
      </c>
      <c r="S28" s="189">
        <f>IFERROR(INDEX(TableWRMaster[BYE],MATCH(TableWRCalcPts[[#This Row],[WRRef]],TableWRMaster[WRRef],0)),"")</f>
        <v>13</v>
      </c>
      <c r="T28" s="191">
        <f>IFERROR(INDEX(TableWRMaster[Custom],MATCH(TableWRCalcPts[[#This Row],[WRRef]],TableWRMaster[WRRef],0)),"")</f>
        <v>99.022998253309396</v>
      </c>
      <c r="V28" s="189">
        <f>IFERROR(RANK(TableTECalcPts[[#This Row],[Custom]],TableTECalcPts[Custom])+COUNTIF($AA$3:AA28,AA28)-1,"")</f>
        <v>49</v>
      </c>
      <c r="W28" s="189">
        <v>26</v>
      </c>
      <c r="X28" s="189" t="str">
        <f>IFERROR(INDEX(TableTEMaster[Player],MATCH(TableTECalcPts[[#This Row],[TERef]],TableTEMaster[TERef],0)),"")</f>
        <v>Greg Dulcich</v>
      </c>
      <c r="Y28" s="189" t="str">
        <f>IFERROR(INDEX(TableTEMaster[TM],MATCH(TableTECalcPts[[#This Row],[TERef]],TableTEMaster[TERef],0)),"")</f>
        <v>DEN</v>
      </c>
      <c r="Z28" s="189">
        <f>IFERROR(INDEX(TableTEMaster[BYE],MATCH(TableTECalcPts[[#This Row],[TERef]],TableTEMaster[TERef],0)),"")</f>
        <v>9</v>
      </c>
      <c r="AA28" s="191">
        <f>IFERROR(INDEX(TableTEMaster[Custom],MATCH(TableTECalcPts[[#This Row],[TERef]],TableTEMaster[TERef],0)),"")</f>
        <v>22.454485484473569</v>
      </c>
      <c r="AC28" s="189">
        <f>IFERROR(RANK(TableDSTCalcPts[[#This Row],[Custom]],TableDSTCalcPts[Custom],0),"")</f>
        <v>28</v>
      </c>
      <c r="AD28" s="189">
        <v>26</v>
      </c>
      <c r="AE28" s="189" t="str">
        <f>IFERROR(INDEX(TableDSTMaster[Player],MATCH(TableDSTCalcPts[[#This Row],[DSTRef]],TableDSTMaster[DSTRef],0)),"")</f>
        <v>Philadelphia Eagles</v>
      </c>
      <c r="AF28" s="189">
        <f>IFERROR(INDEX(TableDSTMaster[BYE],MATCH(TableDSTCalcPts[[#This Row],[DSTRef]],TableDSTMaster[DSTRef],0)),"")</f>
        <v>7</v>
      </c>
      <c r="AG28" s="191">
        <f>IFERROR(INDEX(TableDSTMaster[Custom],MATCH(TableDSTCalcPts[[#This Row],[DSTRef]],TableDSTMaster[DSTRef],0)),"")</f>
        <v>104.57762063361568</v>
      </c>
      <c r="AI28" s="221" t="s">
        <v>10</v>
      </c>
      <c r="AJ28" s="189">
        <f>IFERROR(RANK(TableWRTECalcPts[[#This Row],[Custom]],TableWRTECalcPts[Custom])+COUNTIF($AP$3:AP28,AP28)-1,"")</f>
        <v>175</v>
      </c>
      <c r="AK28" s="189">
        <v>26</v>
      </c>
      <c r="AL28" s="189" t="str">
        <f>IFERROR(INDEX(TableTEMaster[Player],MATCH(TableWRTECalcPts[[#This Row],[POSRef]],TableTEMaster[TERef],0)),"")</f>
        <v>Greg Dulcich</v>
      </c>
      <c r="AM28" s="189" t="str">
        <f>IFERROR(_xlfn.CONCAT(TableWRTECalcPts[[#This Row],[POS]],INDEX(TableTERanks[RK],MATCH(TableWRTECalcPts[[#This Row],[PLAYER]],TableTERanks[Player],0))),"")</f>
        <v>TE49</v>
      </c>
      <c r="AN28" s="189" t="str">
        <f>IFERROR(INDEX(TableTEMaster[TM],MATCH(TableWRTECalcPts[[#This Row],[POSRef]],TableTEMaster[TERef],0)),"")</f>
        <v>DEN</v>
      </c>
      <c r="AO28" s="189">
        <f>IFERROR(INDEX(TableTEMaster[BYE],MATCH(TableWRTECalcPts[[#This Row],[POSRef]],TableTEMaster[TERef],0)),"")</f>
        <v>9</v>
      </c>
      <c r="AP28" s="191">
        <f>IFERROR(INDEX(TableTEMaster[Custom],MATCH(TableWRTECalcPts[[#This Row],[POSRef]],TableTEMaster[TERef],0)),"")</f>
        <v>22.454485484473569</v>
      </c>
    </row>
    <row r="29" spans="1:42" x14ac:dyDescent="0.3">
      <c r="A29" s="198">
        <f>IFERROR(RANK(TableQBCalcPts[[#This Row],[Custom]],TableQBCalcPts[Custom])+COUNTIF($F$3:F29,F29)-1,"")</f>
        <v>20</v>
      </c>
      <c r="B29" s="189">
        <v>27</v>
      </c>
      <c r="C29" s="189" t="str">
        <f>IFERROR(INDEX(TableQBMaster[Player],MATCH(TableQBCalcPts[[#This Row],[QBRef]],TableQBMaster[QBRef],0)),"")</f>
        <v>Matt Ryan</v>
      </c>
      <c r="D29" s="189" t="str">
        <f>IFERROR(INDEX(TableQBMaster[TM],MATCH(TableQBCalcPts[[#This Row],[QBRef]],TableQBMaster[QBRef],0)),"")</f>
        <v>IND</v>
      </c>
      <c r="E29" s="189">
        <f>IFERROR(INDEX(TableQBMaster[BYE],MATCH(TableQBCalcPts[[#This Row],[QBRef]],TableQBMaster[QBRef],0)),"")</f>
        <v>14</v>
      </c>
      <c r="F29" s="191">
        <f>IFERROR(INDEX(TableQBMaster[Custom],MATCH(TableQBCalcPts[[#This Row],[QBRef]],TableQBMaster[QBRef],0)),"")</f>
        <v>276.76416065824327</v>
      </c>
      <c r="H29" s="189">
        <f>IFERROR(RANK(TableRBCalcPts[[#This Row],[Custom]],TableRBCalcPts[Custom])+COUNTIF($M$3:M29,M29)-1,"")</f>
        <v>7</v>
      </c>
      <c r="I29" s="189">
        <v>27</v>
      </c>
      <c r="J29" s="189" t="str">
        <f>IFERROR(INDEX(TableRBMaster[Player],MATCH(TableRBCalcPts[[#This Row],[RBRef]],TableRBMaster[RBRef],0)),"")</f>
        <v>Nick Chubb</v>
      </c>
      <c r="K29" s="189" t="str">
        <f>IFERROR(INDEX(TableRBMaster[TM],MATCH(TableRBCalcPts[[#This Row],[RBRef]],TableRBMaster[RBRef],0)),"")</f>
        <v>CLE</v>
      </c>
      <c r="L29" s="189">
        <f>IFERROR(INDEX(TableRBMaster[BYE],MATCH(TableRBCalcPts[[#This Row],[RBRef]],TableRBMaster[RBRef],0)),"")</f>
        <v>9</v>
      </c>
      <c r="M29" s="191">
        <f>IFERROR(INDEX(TableRBMaster[Custom],MATCH(TableRBCalcPts[[#This Row],[RBRef]],TableRBMaster[RBRef],0)),"")</f>
        <v>216.90559678465985</v>
      </c>
      <c r="O29" s="189">
        <f>IFERROR(RANK(TableWRCalcPts[[#This Row],[Custom]],TableWRCalcPts[Custom])+COUNTIF($T$3:T29,T29)-1,"")</f>
        <v>89</v>
      </c>
      <c r="P29" s="189">
        <v>27</v>
      </c>
      <c r="Q29" s="189" t="str">
        <f>IFERROR(INDEX(TableWRMaster[Player],MATCH(TableWRCalcPts[[#This Row],[WRRef]],TableWRMaster[WRRef],0)),"")</f>
        <v>Terrace Marshall</v>
      </c>
      <c r="R29" s="189" t="str">
        <f>IFERROR(INDEX(TableWRMaster[TM],MATCH(TableWRCalcPts[[#This Row],[WRRef]],TableWRMaster[WRRef],0)),"")</f>
        <v>CAR</v>
      </c>
      <c r="S29" s="189">
        <f>IFERROR(INDEX(TableWRMaster[BYE],MATCH(TableWRCalcPts[[#This Row],[WRRef]],TableWRMaster[WRRef],0)),"")</f>
        <v>13</v>
      </c>
      <c r="T29" s="191">
        <f>IFERROR(INDEX(TableWRMaster[Custom],MATCH(TableWRCalcPts[[#This Row],[WRRef]],TableWRMaster[WRRef],0)),"")</f>
        <v>59.809797928534088</v>
      </c>
      <c r="V29" s="189">
        <f>IFERROR(RANK(TableTECalcPts[[#This Row],[Custom]],TableTECalcPts[Custom])+COUNTIF($AA$3:AA29,AA29)-1,"")</f>
        <v>91</v>
      </c>
      <c r="W29" s="189">
        <v>27</v>
      </c>
      <c r="X29" s="189" t="str">
        <f>IFERROR(INDEX(TableTEMaster[Player],MATCH(TableTECalcPts[[#This Row],[TERef]],TableTEMaster[TERef],0)),"")</f>
        <v>Eric Tomlinson</v>
      </c>
      <c r="Y29" s="189" t="str">
        <f>IFERROR(INDEX(TableTEMaster[TM],MATCH(TableTECalcPts[[#This Row],[TERef]],TableTEMaster[TERef],0)),"")</f>
        <v>DEN</v>
      </c>
      <c r="Z29" s="189">
        <f>IFERROR(INDEX(TableTEMaster[BYE],MATCH(TableTECalcPts[[#This Row],[TERef]],TableTEMaster[TERef],0)),"")</f>
        <v>9</v>
      </c>
      <c r="AA29" s="191">
        <f>IFERROR(INDEX(TableTEMaster[Custom],MATCH(TableTECalcPts[[#This Row],[TERef]],TableTEMaster[TERef],0)),"")</f>
        <v>4.8198354725770045</v>
      </c>
      <c r="AC29" s="189">
        <f>IFERROR(RANK(TableDSTCalcPts[[#This Row],[Custom]],TableDSTCalcPts[Custom],0),"")</f>
        <v>2</v>
      </c>
      <c r="AD29" s="189">
        <v>27</v>
      </c>
      <c r="AE29" s="189" t="str">
        <f>IFERROR(INDEX(TableDSTMaster[Player],MATCH(TableDSTCalcPts[[#This Row],[DSTRef]],TableDSTMaster[DSTRef],0)),"")</f>
        <v>Pittsburgh Steelers</v>
      </c>
      <c r="AF29" s="189">
        <f>IFERROR(INDEX(TableDSTMaster[BYE],MATCH(TableDSTCalcPts[[#This Row],[DSTRef]],TableDSTMaster[DSTRef],0)),"")</f>
        <v>9</v>
      </c>
      <c r="AG29" s="191">
        <f>IFERROR(INDEX(TableDSTMaster[Custom],MATCH(TableDSTCalcPts[[#This Row],[DSTRef]],TableDSTMaster[DSTRef],0)),"")</f>
        <v>132.78874750395235</v>
      </c>
      <c r="AI29" s="221" t="s">
        <v>10</v>
      </c>
      <c r="AJ29" s="189">
        <f>IFERROR(RANK(TableWRTECalcPts[[#This Row],[Custom]],TableWRTECalcPts[Custom])+COUNTIF($AP$3:AP29,AP29)-1,"")</f>
        <v>273</v>
      </c>
      <c r="AK29" s="189">
        <v>27</v>
      </c>
      <c r="AL29" s="189" t="str">
        <f>IFERROR(INDEX(TableTEMaster[Player],MATCH(TableWRTECalcPts[[#This Row],[POSRef]],TableTEMaster[TERef],0)),"")</f>
        <v>Eric Tomlinson</v>
      </c>
      <c r="AM29" s="189" t="str">
        <f>IFERROR(_xlfn.CONCAT(TableWRTECalcPts[[#This Row],[POS]],INDEX(TableTERanks[RK],MATCH(TableWRTECalcPts[[#This Row],[PLAYER]],TableTERanks[Player],0))),"")</f>
        <v>TE91</v>
      </c>
      <c r="AN29" s="189" t="str">
        <f>IFERROR(INDEX(TableTEMaster[TM],MATCH(TableWRTECalcPts[[#This Row],[POSRef]],TableTEMaster[TERef],0)),"")</f>
        <v>DEN</v>
      </c>
      <c r="AO29" s="189">
        <f>IFERROR(INDEX(TableTEMaster[BYE],MATCH(TableWRTECalcPts[[#This Row],[POSRef]],TableTEMaster[TERef],0)),"")</f>
        <v>9</v>
      </c>
      <c r="AP29" s="191">
        <f>IFERROR(INDEX(TableTEMaster[Custom],MATCH(TableWRTECalcPts[[#This Row],[POSRef]],TableTEMaster[TERef],0)),"")</f>
        <v>4.8198354725770045</v>
      </c>
    </row>
    <row r="30" spans="1:42" x14ac:dyDescent="0.3">
      <c r="A30" s="198">
        <f>IFERROR(RANK(TableQBCalcPts[[#This Row],[Custom]],TableQBCalcPts[Custom])+COUNTIF($F$3:F30,F30)-1,"")</f>
        <v>57</v>
      </c>
      <c r="B30" s="189">
        <v>28</v>
      </c>
      <c r="C30" s="189" t="str">
        <f>IFERROR(INDEX(TableQBMaster[Player],MATCH(TableQBCalcPts[[#This Row],[QBRef]],TableQBMaster[QBRef],0)),"")</f>
        <v>Nick Foles</v>
      </c>
      <c r="D30" s="189" t="str">
        <f>IFERROR(INDEX(TableQBMaster[TM],MATCH(TableQBCalcPts[[#This Row],[QBRef]],TableQBMaster[QBRef],0)),"")</f>
        <v>IND</v>
      </c>
      <c r="E30" s="189">
        <f>IFERROR(INDEX(TableQBMaster[BYE],MATCH(TableQBCalcPts[[#This Row],[QBRef]],TableQBMaster[QBRef],0)),"")</f>
        <v>14</v>
      </c>
      <c r="F30" s="191">
        <f>IFERROR(INDEX(TableQBMaster[Custom],MATCH(TableQBCalcPts[[#This Row],[QBRef]],TableQBMaster[QBRef],0)),"")</f>
        <v>4.449325627104403</v>
      </c>
      <c r="H30" s="189">
        <f>IFERROR(RANK(TableRBCalcPts[[#This Row],[Custom]],TableRBCalcPts[Custom])+COUNTIF($M$3:M30,M30)-1,"")</f>
        <v>35</v>
      </c>
      <c r="I30" s="189">
        <v>28</v>
      </c>
      <c r="J30" s="189" t="str">
        <f>IFERROR(INDEX(TableRBMaster[Player],MATCH(TableRBCalcPts[[#This Row],[RBRef]],TableRBMaster[RBRef],0)),"")</f>
        <v>Kareem Hunt</v>
      </c>
      <c r="K30" s="189" t="str">
        <f>IFERROR(INDEX(TableRBMaster[TM],MATCH(TableRBCalcPts[[#This Row],[RBRef]],TableRBMaster[RBRef],0)),"")</f>
        <v>CLE</v>
      </c>
      <c r="L30" s="189">
        <f>IFERROR(INDEX(TableRBMaster[BYE],MATCH(TableRBCalcPts[[#This Row],[RBRef]],TableRBMaster[RBRef],0)),"")</f>
        <v>9</v>
      </c>
      <c r="M30" s="191">
        <f>IFERROR(INDEX(TableRBMaster[Custom],MATCH(TableRBCalcPts[[#This Row],[RBRef]],TableRBMaster[RBRef],0)),"")</f>
        <v>123.52378859510981</v>
      </c>
      <c r="O30" s="189">
        <f>IFERROR(RANK(TableWRCalcPts[[#This Row],[Custom]],TableWRCalcPts[Custom])+COUNTIF($T$3:T30,T30)-1,"")</f>
        <v>125</v>
      </c>
      <c r="P30" s="189">
        <v>28</v>
      </c>
      <c r="Q30" s="189" t="str">
        <f>IFERROR(INDEX(TableWRMaster[Player],MATCH(TableWRCalcPts[[#This Row],[WRRef]],TableWRMaster[WRRef],0)),"")</f>
        <v>Rashard Higgins</v>
      </c>
      <c r="R30" s="189" t="str">
        <f>IFERROR(INDEX(TableWRMaster[TM],MATCH(TableWRCalcPts[[#This Row],[WRRef]],TableWRMaster[WRRef],0)),"")</f>
        <v>CAR</v>
      </c>
      <c r="S30" s="189">
        <f>IFERROR(INDEX(TableWRMaster[BYE],MATCH(TableWRCalcPts[[#This Row],[WRRef]],TableWRMaster[WRRef],0)),"")</f>
        <v>13</v>
      </c>
      <c r="T30" s="191">
        <f>IFERROR(INDEX(TableWRMaster[Custom],MATCH(TableWRCalcPts[[#This Row],[WRRef]],TableWRMaster[WRRef],0)),"")</f>
        <v>23.388939153604547</v>
      </c>
      <c r="V30" s="189">
        <f>IFERROR(RANK(TableTECalcPts[[#This Row],[Custom]],TableTECalcPts[Custom])+COUNTIF($AA$3:AA30,AA30)-1,"")</f>
        <v>10</v>
      </c>
      <c r="W30" s="189">
        <v>28</v>
      </c>
      <c r="X30" s="189" t="str">
        <f>IFERROR(INDEX(TableTEMaster[Player],MATCH(TableTECalcPts[[#This Row],[TERef]],TableTEMaster[TERef],0)),"")</f>
        <v>T.J. Hockenson</v>
      </c>
      <c r="Y30" s="189" t="str">
        <f>IFERROR(INDEX(TableTEMaster[TM],MATCH(TableTECalcPts[[#This Row],[TERef]],TableTEMaster[TERef],0)),"")</f>
        <v>DET</v>
      </c>
      <c r="Z30" s="189">
        <f>IFERROR(INDEX(TableTEMaster[BYE],MATCH(TableTECalcPts[[#This Row],[TERef]],TableTEMaster[TERef],0)),"")</f>
        <v>6</v>
      </c>
      <c r="AA30" s="191">
        <f>IFERROR(INDEX(TableTEMaster[Custom],MATCH(TableTECalcPts[[#This Row],[TERef]],TableTEMaster[TERef],0)),"")</f>
        <v>102.45239309867193</v>
      </c>
      <c r="AC30" s="189">
        <f>IFERROR(RANK(TableDSTCalcPts[[#This Row],[Custom]],TableDSTCalcPts[Custom],0),"")</f>
        <v>4</v>
      </c>
      <c r="AD30" s="189">
        <v>28</v>
      </c>
      <c r="AE30" s="189" t="str">
        <f>IFERROR(INDEX(TableDSTMaster[Player],MATCH(TableDSTCalcPts[[#This Row],[DSTRef]],TableDSTMaster[DSTRef],0)),"")</f>
        <v>San Francisco 49ers</v>
      </c>
      <c r="AF30" s="189">
        <f>IFERROR(INDEX(TableDSTMaster[BYE],MATCH(TableDSTCalcPts[[#This Row],[DSTRef]],TableDSTMaster[DSTRef],0)),"")</f>
        <v>9</v>
      </c>
      <c r="AG30" s="191">
        <f>IFERROR(INDEX(TableDSTMaster[Custom],MATCH(TableDSTCalcPts[[#This Row],[DSTRef]],TableDSTMaster[DSTRef],0)),"")</f>
        <v>128.12190975763966</v>
      </c>
      <c r="AI30" s="221" t="s">
        <v>10</v>
      </c>
      <c r="AJ30" s="189">
        <f>IFERROR(RANK(TableWRTECalcPts[[#This Row],[Custom]],TableWRTECalcPts[Custom])+COUNTIF($AP$3:AP30,AP30)-1,"")</f>
        <v>65</v>
      </c>
      <c r="AK30" s="189">
        <v>28</v>
      </c>
      <c r="AL30" s="189" t="str">
        <f>IFERROR(INDEX(TableTEMaster[Player],MATCH(TableWRTECalcPts[[#This Row],[POSRef]],TableTEMaster[TERef],0)),"")</f>
        <v>T.J. Hockenson</v>
      </c>
      <c r="AM30" s="189" t="str">
        <f>IFERROR(_xlfn.CONCAT(TableWRTECalcPts[[#This Row],[POS]],INDEX(TableTERanks[RK],MATCH(TableWRTECalcPts[[#This Row],[PLAYER]],TableTERanks[Player],0))),"")</f>
        <v>TE10</v>
      </c>
      <c r="AN30" s="189" t="str">
        <f>IFERROR(INDEX(TableTEMaster[TM],MATCH(TableWRTECalcPts[[#This Row],[POSRef]],TableTEMaster[TERef],0)),"")</f>
        <v>DET</v>
      </c>
      <c r="AO30" s="189">
        <f>IFERROR(INDEX(TableTEMaster[BYE],MATCH(TableWRTECalcPts[[#This Row],[POSRef]],TableTEMaster[TERef],0)),"")</f>
        <v>6</v>
      </c>
      <c r="AP30" s="191">
        <f>IFERROR(INDEX(TableTEMaster[Custom],MATCH(TableWRTECalcPts[[#This Row],[POSRef]],TableTEMaster[TERef],0)),"")</f>
        <v>102.45239309867193</v>
      </c>
    </row>
    <row r="31" spans="1:42" x14ac:dyDescent="0.3">
      <c r="A31" s="198">
        <f>IFERROR(RANK(TableQBCalcPts[[#This Row],[Custom]],TableQBCalcPts[Custom])+COUNTIF($F$3:F31,F31)-1,"")</f>
        <v>14</v>
      </c>
      <c r="B31" s="189">
        <v>29</v>
      </c>
      <c r="C31" s="189" t="str">
        <f>IFERROR(INDEX(TableQBMaster[Player],MATCH(TableQBCalcPts[[#This Row],[QBRef]],TableQBMaster[QBRef],0)),"")</f>
        <v>Trevor Lawrence</v>
      </c>
      <c r="D31" s="189" t="str">
        <f>IFERROR(INDEX(TableQBMaster[TM],MATCH(TableQBCalcPts[[#This Row],[QBRef]],TableQBMaster[QBRef],0)),"")</f>
        <v>JAX</v>
      </c>
      <c r="E31" s="189">
        <f>IFERROR(INDEX(TableQBMaster[BYE],MATCH(TableQBCalcPts[[#This Row],[QBRef]],TableQBMaster[QBRef],0)),"")</f>
        <v>11</v>
      </c>
      <c r="F31" s="191">
        <f>IFERROR(INDEX(TableQBMaster[Custom],MATCH(TableQBCalcPts[[#This Row],[QBRef]],TableQBMaster[QBRef],0)),"")</f>
        <v>317.61171397799848</v>
      </c>
      <c r="H31" s="189">
        <f>IFERROR(RANK(TableRBCalcPts[[#This Row],[Custom]],TableRBCalcPts[Custom])+COUNTIF($M$3:M31,M31)-1,"")</f>
        <v>91</v>
      </c>
      <c r="I31" s="189">
        <v>29</v>
      </c>
      <c r="J31" s="189" t="str">
        <f>IFERROR(INDEX(TableRBMaster[Player],MATCH(TableRBCalcPts[[#This Row],[RBRef]],TableRBMaster[RBRef],0)),"")</f>
        <v>Demetric Felton</v>
      </c>
      <c r="K31" s="189" t="str">
        <f>IFERROR(INDEX(TableRBMaster[TM],MATCH(TableRBCalcPts[[#This Row],[RBRef]],TableRBMaster[RBRef],0)),"")</f>
        <v>CLE</v>
      </c>
      <c r="L31" s="189">
        <f>IFERROR(INDEX(TableRBMaster[BYE],MATCH(TableRBCalcPts[[#This Row],[RBRef]],TableRBMaster[RBRef],0)),"")</f>
        <v>9</v>
      </c>
      <c r="M31" s="191">
        <f>IFERROR(INDEX(TableRBMaster[Custom],MATCH(TableRBCalcPts[[#This Row],[RBRef]],TableRBMaster[RBRef],0)),"")</f>
        <v>19.479398619282502</v>
      </c>
      <c r="O31" s="189">
        <f>IFERROR(RANK(TableWRCalcPts[[#This Row],[Custom]],TableWRCalcPts[Custom])+COUNTIF($T$3:T31,T31)-1,"")</f>
        <v>153</v>
      </c>
      <c r="P31" s="189">
        <v>29</v>
      </c>
      <c r="Q31" s="189" t="str">
        <f>IFERROR(INDEX(TableWRMaster[Player],MATCH(TableWRCalcPts[[#This Row],[WRRef]],TableWRMaster[WRRef],0)),"")</f>
        <v>Brandon Zylstra</v>
      </c>
      <c r="R31" s="189" t="str">
        <f>IFERROR(INDEX(TableWRMaster[TM],MATCH(TableWRCalcPts[[#This Row],[WRRef]],TableWRMaster[WRRef],0)),"")</f>
        <v>CAR</v>
      </c>
      <c r="S31" s="189">
        <f>IFERROR(INDEX(TableWRMaster[BYE],MATCH(TableWRCalcPts[[#This Row],[WRRef]],TableWRMaster[WRRef],0)),"")</f>
        <v>13</v>
      </c>
      <c r="T31" s="191">
        <f>IFERROR(INDEX(TableWRMaster[Custom],MATCH(TableWRCalcPts[[#This Row],[WRRef]],TableWRMaster[WRRef],0)),"")</f>
        <v>13.741457224291679</v>
      </c>
      <c r="V31" s="189">
        <f>IFERROR(RANK(TableTECalcPts[[#This Row],[Custom]],TableTECalcPts[Custom])+COUNTIF($AA$3:AA31,AA31)-1,"")</f>
        <v>55</v>
      </c>
      <c r="W31" s="189">
        <v>29</v>
      </c>
      <c r="X31" s="189" t="str">
        <f>IFERROR(INDEX(TableTEMaster[Player],MATCH(TableTECalcPts[[#This Row],[TERef]],TableTEMaster[TERef],0)),"")</f>
        <v>Brock Wright</v>
      </c>
      <c r="Y31" s="189" t="str">
        <f>IFERROR(INDEX(TableTEMaster[TM],MATCH(TableTECalcPts[[#This Row],[TERef]],TableTEMaster[TERef],0)),"")</f>
        <v>DET</v>
      </c>
      <c r="Z31" s="189">
        <f>IFERROR(INDEX(TableTEMaster[BYE],MATCH(TableTECalcPts[[#This Row],[TERef]],TableTEMaster[TERef],0)),"")</f>
        <v>6</v>
      </c>
      <c r="AA31" s="191">
        <f>IFERROR(INDEX(TableTEMaster[Custom],MATCH(TableTECalcPts[[#This Row],[TERef]],TableTEMaster[TERef],0)),"")</f>
        <v>19.603513944914454</v>
      </c>
      <c r="AC31" s="189">
        <f>IFERROR(RANK(TableDSTCalcPts[[#This Row],[Custom]],TableDSTCalcPts[Custom],0),"")</f>
        <v>30</v>
      </c>
      <c r="AD31" s="189">
        <v>29</v>
      </c>
      <c r="AE31" s="189" t="str">
        <f>IFERROR(INDEX(TableDSTMaster[Player],MATCH(TableDSTCalcPts[[#This Row],[DSTRef]],TableDSTMaster[DSTRef],0)),"")</f>
        <v>Seattle Seahawks</v>
      </c>
      <c r="AF31" s="189">
        <f>IFERROR(INDEX(TableDSTMaster[BYE],MATCH(TableDSTCalcPts[[#This Row],[DSTRef]],TableDSTMaster[DSTRef],0)),"")</f>
        <v>11</v>
      </c>
      <c r="AG31" s="191">
        <f>IFERROR(INDEX(TableDSTMaster[Custom],MATCH(TableDSTCalcPts[[#This Row],[DSTRef]],TableDSTMaster[DSTRef],0)),"")</f>
        <v>102.70111851865825</v>
      </c>
      <c r="AI31" s="221" t="s">
        <v>10</v>
      </c>
      <c r="AJ31" s="189">
        <f>IFERROR(RANK(TableWRTECalcPts[[#This Row],[Custom]],TableWRTECalcPts[Custom])+COUNTIF($AP$3:AP31,AP31)-1,"")</f>
        <v>188</v>
      </c>
      <c r="AK31" s="189">
        <v>29</v>
      </c>
      <c r="AL31" s="189" t="str">
        <f>IFERROR(INDEX(TableTEMaster[Player],MATCH(TableWRTECalcPts[[#This Row],[POSRef]],TableTEMaster[TERef],0)),"")</f>
        <v>Brock Wright</v>
      </c>
      <c r="AM31" s="189" t="str">
        <f>IFERROR(_xlfn.CONCAT(TableWRTECalcPts[[#This Row],[POS]],INDEX(TableTERanks[RK],MATCH(TableWRTECalcPts[[#This Row],[PLAYER]],TableTERanks[Player],0))),"")</f>
        <v>TE55</v>
      </c>
      <c r="AN31" s="189" t="str">
        <f>IFERROR(INDEX(TableTEMaster[TM],MATCH(TableWRTECalcPts[[#This Row],[POSRef]],TableTEMaster[TERef],0)),"")</f>
        <v>DET</v>
      </c>
      <c r="AO31" s="189">
        <f>IFERROR(INDEX(TableTEMaster[BYE],MATCH(TableWRTECalcPts[[#This Row],[POSRef]],TableTEMaster[TERef],0)),"")</f>
        <v>6</v>
      </c>
      <c r="AP31" s="191">
        <f>IFERROR(INDEX(TableTEMaster[Custom],MATCH(TableWRTECalcPts[[#This Row],[POSRef]],TableTEMaster[TERef],0)),"")</f>
        <v>19.603513944914454</v>
      </c>
    </row>
    <row r="32" spans="1:42" x14ac:dyDescent="0.3">
      <c r="A32" s="198">
        <f>IFERROR(RANK(TableQBCalcPts[[#This Row],[Custom]],TableQBCalcPts[Custom])+COUNTIF($F$3:F32,F32)-1,"")</f>
        <v>65</v>
      </c>
      <c r="B32" s="189">
        <v>30</v>
      </c>
      <c r="C32" s="189" t="str">
        <f>IFERROR(INDEX(TableQBMaster[Player],MATCH(TableQBCalcPts[[#This Row],[QBRef]],TableQBMaster[QBRef],0)),"")</f>
        <v>C.J. Beathard</v>
      </c>
      <c r="D32" s="189" t="str">
        <f>IFERROR(INDEX(TableQBMaster[TM],MATCH(TableQBCalcPts[[#This Row],[QBRef]],TableQBMaster[QBRef],0)),"")</f>
        <v>JAX</v>
      </c>
      <c r="E32" s="189">
        <f>IFERROR(INDEX(TableQBMaster[BYE],MATCH(TableQBCalcPts[[#This Row],[QBRef]],TableQBMaster[QBRef],0)),"")</f>
        <v>11</v>
      </c>
      <c r="F32" s="191">
        <f>IFERROR(INDEX(TableQBMaster[Custom],MATCH(TableQBCalcPts[[#This Row],[QBRef]],TableQBMaster[QBRef],0)),"")</f>
        <v>2.544242137896862</v>
      </c>
      <c r="H32" s="189">
        <f>IFERROR(RANK(TableRBCalcPts[[#This Row],[Custom]],TableRBCalcPts[Custom])+COUNTIF($M$3:M32,M32)-1,"")</f>
        <v>80</v>
      </c>
      <c r="I32" s="189">
        <v>30</v>
      </c>
      <c r="J32" s="189" t="str">
        <f>IFERROR(INDEX(TableRBMaster[Player],MATCH(TableRBCalcPts[[#This Row],[RBRef]],TableRBMaster[RBRef],0)),"")</f>
        <v>D'Ernest Johnson</v>
      </c>
      <c r="K32" s="189" t="str">
        <f>IFERROR(INDEX(TableRBMaster[TM],MATCH(TableRBCalcPts[[#This Row],[RBRef]],TableRBMaster[RBRef],0)),"")</f>
        <v>CLE</v>
      </c>
      <c r="L32" s="189">
        <f>IFERROR(INDEX(TableRBMaster[BYE],MATCH(TableRBCalcPts[[#This Row],[RBRef]],TableRBMaster[RBRef],0)),"")</f>
        <v>9</v>
      </c>
      <c r="M32" s="191">
        <f>IFERROR(INDEX(TableRBMaster[Custom],MATCH(TableRBCalcPts[[#This Row],[RBRef]],TableRBMaster[RBRef],0)),"")</f>
        <v>25.953807734595877</v>
      </c>
      <c r="O32" s="189">
        <f>IFERROR(RANK(TableWRCalcPts[[#This Row],[Custom]],TableWRCalcPts[Custom])+COUNTIF($T$3:T32,T32)-1,"")</f>
        <v>32</v>
      </c>
      <c r="P32" s="189">
        <v>30</v>
      </c>
      <c r="Q32" s="189" t="str">
        <f>IFERROR(INDEX(TableWRMaster[Player],MATCH(TableWRCalcPts[[#This Row],[WRRef]],TableWRMaster[WRRef],0)),"")</f>
        <v>Darnell Mooney</v>
      </c>
      <c r="R32" s="189" t="str">
        <f>IFERROR(INDEX(TableWRMaster[TM],MATCH(TableWRCalcPts[[#This Row],[WRRef]],TableWRMaster[WRRef],0)),"")</f>
        <v>CHI</v>
      </c>
      <c r="S32" s="189">
        <f>IFERROR(INDEX(TableWRMaster[BYE],MATCH(TableWRCalcPts[[#This Row],[WRRef]],TableWRMaster[WRRef],0)),"")</f>
        <v>14</v>
      </c>
      <c r="T32" s="191">
        <f>IFERROR(INDEX(TableWRMaster[Custom],MATCH(TableWRCalcPts[[#This Row],[WRRef]],TableWRMaster[WRRef],0)),"")</f>
        <v>134.25338130240169</v>
      </c>
      <c r="V32" s="189">
        <f>IFERROR(RANK(TableTECalcPts[[#This Row],[Custom]],TableTECalcPts[Custom])+COUNTIF($AA$3:AA32,AA32)-1,"")</f>
        <v>92</v>
      </c>
      <c r="W32" s="189">
        <v>30</v>
      </c>
      <c r="X32" s="189" t="str">
        <f>IFERROR(INDEX(TableTEMaster[Player],MATCH(TableTECalcPts[[#This Row],[TERef]],TableTEMaster[TERef],0)),"")</f>
        <v>James Mitchell</v>
      </c>
      <c r="Y32" s="189" t="str">
        <f>IFERROR(INDEX(TableTEMaster[TM],MATCH(TableTECalcPts[[#This Row],[TERef]],TableTEMaster[TERef],0)),"")</f>
        <v>DET</v>
      </c>
      <c r="Z32" s="189">
        <f>IFERROR(INDEX(TableTEMaster[BYE],MATCH(TableTECalcPts[[#This Row],[TERef]],TableTEMaster[TERef],0)),"")</f>
        <v>6</v>
      </c>
      <c r="AA32" s="191">
        <f>IFERROR(INDEX(TableTEMaster[Custom],MATCH(TableTECalcPts[[#This Row],[TERef]],TableTEMaster[TERef],0)),"")</f>
        <v>4.2015634641319686</v>
      </c>
      <c r="AC32" s="189">
        <f>IFERROR(RANK(TableDSTCalcPts[[#This Row],[Custom]],TableDSTCalcPts[Custom],0),"")</f>
        <v>3</v>
      </c>
      <c r="AD32" s="189">
        <v>30</v>
      </c>
      <c r="AE32" s="189" t="str">
        <f>IFERROR(INDEX(TableDSTMaster[Player],MATCH(TableDSTCalcPts[[#This Row],[DSTRef]],TableDSTMaster[DSTRef],0)),"")</f>
        <v>Tampa Bay Buccaneers</v>
      </c>
      <c r="AF32" s="189">
        <f>IFERROR(INDEX(TableDSTMaster[BYE],MATCH(TableDSTCalcPts[[#This Row],[DSTRef]],TableDSTMaster[DSTRef],0)),"")</f>
        <v>11</v>
      </c>
      <c r="AG32" s="191">
        <f>IFERROR(INDEX(TableDSTMaster[Custom],MATCH(TableDSTCalcPts[[#This Row],[DSTRef]],TableDSTMaster[DSTRef],0)),"")</f>
        <v>131.23538113227093</v>
      </c>
      <c r="AI32" s="221" t="s">
        <v>10</v>
      </c>
      <c r="AJ32" s="189">
        <f>IFERROR(RANK(TableWRTECalcPts[[#This Row],[Custom]],TableWRTECalcPts[Custom])+COUNTIF($AP$3:AP32,AP32)-1,"")</f>
        <v>275</v>
      </c>
      <c r="AK32" s="189">
        <v>30</v>
      </c>
      <c r="AL32" s="189" t="str">
        <f>IFERROR(INDEX(TableTEMaster[Player],MATCH(TableWRTECalcPts[[#This Row],[POSRef]],TableTEMaster[TERef],0)),"")</f>
        <v>James Mitchell</v>
      </c>
      <c r="AM32" s="189" t="str">
        <f>IFERROR(_xlfn.CONCAT(TableWRTECalcPts[[#This Row],[POS]],INDEX(TableTERanks[RK],MATCH(TableWRTECalcPts[[#This Row],[PLAYER]],TableTERanks[Player],0))),"")</f>
        <v>TE92</v>
      </c>
      <c r="AN32" s="189" t="str">
        <f>IFERROR(INDEX(TableTEMaster[TM],MATCH(TableWRTECalcPts[[#This Row],[POSRef]],TableTEMaster[TERef],0)),"")</f>
        <v>DET</v>
      </c>
      <c r="AO32" s="189">
        <f>IFERROR(INDEX(TableTEMaster[BYE],MATCH(TableWRTECalcPts[[#This Row],[POSRef]],TableTEMaster[TERef],0)),"")</f>
        <v>6</v>
      </c>
      <c r="AP32" s="191">
        <f>IFERROR(INDEX(TableTEMaster[Custom],MATCH(TableWRTECalcPts[[#This Row],[POSRef]],TableTEMaster[TERef],0)),"")</f>
        <v>4.2015634641319686</v>
      </c>
    </row>
    <row r="33" spans="1:42" x14ac:dyDescent="0.3">
      <c r="A33" s="198">
        <f>IFERROR(RANK(TableQBCalcPts[[#This Row],[Custom]],TableQBCalcPts[Custom])+COUNTIF($F$3:F33,F33)-1,"")</f>
        <v>4</v>
      </c>
      <c r="B33" s="189">
        <v>31</v>
      </c>
      <c r="C33" s="189" t="str">
        <f>IFERROR(INDEX(TableQBMaster[Player],MATCH(TableQBCalcPts[[#This Row],[QBRef]],TableQBMaster[QBRef],0)),"")</f>
        <v>Patrick Mahomes</v>
      </c>
      <c r="D33" s="189" t="str">
        <f>IFERROR(INDEX(TableQBMaster[TM],MATCH(TableQBCalcPts[[#This Row],[QBRef]],TableQBMaster[QBRef],0)),"")</f>
        <v>KC</v>
      </c>
      <c r="E33" s="189">
        <f>IFERROR(INDEX(TableQBMaster[BYE],MATCH(TableQBCalcPts[[#This Row],[QBRef]],TableQBMaster[QBRef],0)),"")</f>
        <v>8</v>
      </c>
      <c r="F33" s="191">
        <f>IFERROR(INDEX(TableQBMaster[Custom],MATCH(TableQBCalcPts[[#This Row],[QBRef]],TableQBMaster[QBRef],0)),"")</f>
        <v>384.34597458539344</v>
      </c>
      <c r="H33" s="189">
        <f>IFERROR(RANK(TableRBCalcPts[[#This Row],[Custom]],TableRBCalcPts[Custom])+COUNTIF($M$3:M33,M33)-1,"")</f>
        <v>119</v>
      </c>
      <c r="I33" s="189">
        <v>31</v>
      </c>
      <c r="J33" s="189" t="str">
        <f>IFERROR(INDEX(TableRBMaster[Player],MATCH(TableRBCalcPts[[#This Row],[RBRef]],TableRBMaster[RBRef],0)),"")</f>
        <v>Jerome Ford</v>
      </c>
      <c r="K33" s="189" t="str">
        <f>IFERROR(INDEX(TableRBMaster[TM],MATCH(TableRBCalcPts[[#This Row],[RBRef]],TableRBMaster[RBRef],0)),"")</f>
        <v>CLE</v>
      </c>
      <c r="L33" s="189">
        <f>IFERROR(INDEX(TableRBMaster[BYE],MATCH(TableRBCalcPts[[#This Row],[RBRef]],TableRBMaster[RBRef],0)),"")</f>
        <v>9</v>
      </c>
      <c r="M33" s="191">
        <f>IFERROR(INDEX(TableRBMaster[Custom],MATCH(TableRBCalcPts[[#This Row],[RBRef]],TableRBMaster[RBRef],0)),"")</f>
        <v>6.8140980805235944</v>
      </c>
      <c r="O33" s="189">
        <f>IFERROR(RANK(TableWRCalcPts[[#This Row],[Custom]],TableWRCalcPts[Custom])+COUNTIF($T$3:T33,T33)-1,"")</f>
        <v>70</v>
      </c>
      <c r="P33" s="189">
        <v>31</v>
      </c>
      <c r="Q33" s="189" t="str">
        <f>IFERROR(INDEX(TableWRMaster[Player],MATCH(TableWRCalcPts[[#This Row],[WRRef]],TableWRMaster[WRRef],0)),"")</f>
        <v>Byron Pringle</v>
      </c>
      <c r="R33" s="189" t="str">
        <f>IFERROR(INDEX(TableWRMaster[TM],MATCH(TableWRCalcPts[[#This Row],[WRRef]],TableWRMaster[WRRef],0)),"")</f>
        <v>CHI</v>
      </c>
      <c r="S33" s="189">
        <f>IFERROR(INDEX(TableWRMaster[BYE],MATCH(TableWRCalcPts[[#This Row],[WRRef]],TableWRMaster[WRRef],0)),"")</f>
        <v>14</v>
      </c>
      <c r="T33" s="191">
        <f>IFERROR(INDEX(TableWRMaster[Custom],MATCH(TableWRCalcPts[[#This Row],[WRRef]],TableWRMaster[WRRef],0)),"")</f>
        <v>86.965222387666444</v>
      </c>
      <c r="V33" s="189">
        <f>IFERROR(RANK(TableTECalcPts[[#This Row],[Custom]],TableTECalcPts[Custom])+COUNTIF($AA$3:AA33,AA33)-1,"")</f>
        <v>23</v>
      </c>
      <c r="W33" s="189">
        <v>31</v>
      </c>
      <c r="X33" s="189" t="str">
        <f>IFERROR(INDEX(TableTEMaster[Player],MATCH(TableTECalcPts[[#This Row],[TERef]],TableTEMaster[TERef],0)),"")</f>
        <v>Robert Tonyan</v>
      </c>
      <c r="Y33" s="189" t="str">
        <f>IFERROR(INDEX(TableTEMaster[TM],MATCH(TableTECalcPts[[#This Row],[TERef]],TableTEMaster[TERef],0)),"")</f>
        <v>GB</v>
      </c>
      <c r="Z33" s="189">
        <f>IFERROR(INDEX(TableTEMaster[BYE],MATCH(TableTECalcPts[[#This Row],[TERef]],TableTEMaster[TERef],0)),"")</f>
        <v>14</v>
      </c>
      <c r="AA33" s="191">
        <f>IFERROR(INDEX(TableTEMaster[Custom],MATCH(TableTECalcPts[[#This Row],[TERef]],TableTEMaster[TERef],0)),"")</f>
        <v>81.128898794421957</v>
      </c>
      <c r="AC33" s="189">
        <f>IFERROR(RANK(TableDSTCalcPts[[#This Row],[Custom]],TableDSTCalcPts[Custom],0),"")</f>
        <v>22</v>
      </c>
      <c r="AD33" s="189">
        <v>31</v>
      </c>
      <c r="AE33" s="189" t="str">
        <f>IFERROR(INDEX(TableDSTMaster[Player],MATCH(TableDSTCalcPts[[#This Row],[DSTRef]],TableDSTMaster[DSTRef],0)),"")</f>
        <v>Tennessee Titans</v>
      </c>
      <c r="AF33" s="189">
        <f>IFERROR(INDEX(TableDSTMaster[BYE],MATCH(TableDSTCalcPts[[#This Row],[DSTRef]],TableDSTMaster[DSTRef],0)),"")</f>
        <v>6</v>
      </c>
      <c r="AG33" s="191">
        <f>IFERROR(INDEX(TableDSTMaster[Custom],MATCH(TableDSTCalcPts[[#This Row],[DSTRef]],TableDSTMaster[DSTRef],0)),"")</f>
        <v>114.80594377867905</v>
      </c>
      <c r="AI33" s="221" t="s">
        <v>10</v>
      </c>
      <c r="AJ33" s="189">
        <f>IFERROR(RANK(TableWRTECalcPts[[#This Row],[Custom]],TableWRTECalcPts[Custom])+COUNTIF($AP$3:AP33,AP33)-1,"")</f>
        <v>97</v>
      </c>
      <c r="AK33" s="189">
        <v>31</v>
      </c>
      <c r="AL33" s="189" t="str">
        <f>IFERROR(INDEX(TableTEMaster[Player],MATCH(TableWRTECalcPts[[#This Row],[POSRef]],TableTEMaster[TERef],0)),"")</f>
        <v>Robert Tonyan</v>
      </c>
      <c r="AM33" s="189" t="str">
        <f>IFERROR(_xlfn.CONCAT(TableWRTECalcPts[[#This Row],[POS]],INDEX(TableTERanks[RK],MATCH(TableWRTECalcPts[[#This Row],[PLAYER]],TableTERanks[Player],0))),"")</f>
        <v>TE23</v>
      </c>
      <c r="AN33" s="189" t="str">
        <f>IFERROR(INDEX(TableTEMaster[TM],MATCH(TableWRTECalcPts[[#This Row],[POSRef]],TableTEMaster[TERef],0)),"")</f>
        <v>GB</v>
      </c>
      <c r="AO33" s="189">
        <f>IFERROR(INDEX(TableTEMaster[BYE],MATCH(TableWRTECalcPts[[#This Row],[POSRef]],TableTEMaster[TERef],0)),"")</f>
        <v>14</v>
      </c>
      <c r="AP33" s="191">
        <f>IFERROR(INDEX(TableTEMaster[Custom],MATCH(TableWRTECalcPts[[#This Row],[POSRef]],TableTEMaster[TERef],0)),"")</f>
        <v>81.128898794421957</v>
      </c>
    </row>
    <row r="34" spans="1:42" x14ac:dyDescent="0.3">
      <c r="A34" s="198">
        <f>IFERROR(RANK(TableQBCalcPts[[#This Row],[Custom]],TableQBCalcPts[Custom])+COUNTIF($F$3:F34,F34)-1,"")</f>
        <v>64</v>
      </c>
      <c r="B34" s="189">
        <v>32</v>
      </c>
      <c r="C34" s="189" t="str">
        <f>IFERROR(INDEX(TableQBMaster[Player],MATCH(TableQBCalcPts[[#This Row],[QBRef]],TableQBMaster[QBRef],0)),"")</f>
        <v>Chad Henne</v>
      </c>
      <c r="D34" s="189" t="str">
        <f>IFERROR(INDEX(TableQBMaster[TM],MATCH(TableQBCalcPts[[#This Row],[QBRef]],TableQBMaster[QBRef],0)),"")</f>
        <v>KC</v>
      </c>
      <c r="E34" s="189">
        <f>IFERROR(INDEX(TableQBMaster[BYE],MATCH(TableQBCalcPts[[#This Row],[QBRef]],TableQBMaster[QBRef],0)),"")</f>
        <v>8</v>
      </c>
      <c r="F34" s="191">
        <f>IFERROR(INDEX(TableQBMaster[Custom],MATCH(TableQBCalcPts[[#This Row],[QBRef]],TableQBMaster[QBRef],0)),"")</f>
        <v>2.8219708856031982</v>
      </c>
      <c r="H34" s="189">
        <f>IFERROR(RANK(TableRBCalcPts[[#This Row],[Custom]],TableRBCalcPts[Custom])+COUNTIF($M$3:M34,M34)-1,"")</f>
        <v>20</v>
      </c>
      <c r="I34" s="189">
        <v>32</v>
      </c>
      <c r="J34" s="189" t="str">
        <f>IFERROR(INDEX(TableRBMaster[Player],MATCH(TableRBCalcPts[[#This Row],[RBRef]],TableRBMaster[RBRef],0)),"")</f>
        <v>Ezekiel Elliott</v>
      </c>
      <c r="K34" s="189" t="str">
        <f>IFERROR(INDEX(TableRBMaster[TM],MATCH(TableRBCalcPts[[#This Row],[RBRef]],TableRBMaster[RBRef],0)),"")</f>
        <v>DAL</v>
      </c>
      <c r="L34" s="189">
        <f>IFERROR(INDEX(TableRBMaster[BYE],MATCH(TableRBCalcPts[[#This Row],[RBRef]],TableRBMaster[RBRef],0)),"")</f>
        <v>9</v>
      </c>
      <c r="M34" s="191">
        <f>IFERROR(INDEX(TableRBMaster[Custom],MATCH(TableRBCalcPts[[#This Row],[RBRef]],TableRBMaster[RBRef],0)),"")</f>
        <v>182.36319695224904</v>
      </c>
      <c r="O34" s="189">
        <f>IFERROR(RANK(TableWRCalcPts[[#This Row],[Custom]],TableWRCalcPts[Custom])+COUNTIF($T$3:T34,T34)-1,"")</f>
        <v>131</v>
      </c>
      <c r="P34" s="189">
        <v>32</v>
      </c>
      <c r="Q34" s="189" t="str">
        <f>IFERROR(INDEX(TableWRMaster[Player],MATCH(TableWRCalcPts[[#This Row],[WRRef]],TableWRMaster[WRRef],0)),"")</f>
        <v>Equanimeous St. Brown</v>
      </c>
      <c r="R34" s="189" t="str">
        <f>IFERROR(INDEX(TableWRMaster[TM],MATCH(TableWRCalcPts[[#This Row],[WRRef]],TableWRMaster[WRRef],0)),"")</f>
        <v>CHI</v>
      </c>
      <c r="S34" s="189">
        <f>IFERROR(INDEX(TableWRMaster[BYE],MATCH(TableWRCalcPts[[#This Row],[WRRef]],TableWRMaster[WRRef],0)),"")</f>
        <v>14</v>
      </c>
      <c r="T34" s="191">
        <f>IFERROR(INDEX(TableWRMaster[Custom],MATCH(TableWRCalcPts[[#This Row],[WRRef]],TableWRMaster[WRRef],0)),"")</f>
        <v>21.07897725115906</v>
      </c>
      <c r="V34" s="189">
        <f>IFERROR(RANK(TableTECalcPts[[#This Row],[Custom]],TableTECalcPts[Custom])+COUNTIF($AA$3:AA34,AA34)-1,"")</f>
        <v>61</v>
      </c>
      <c r="W34" s="189">
        <v>32</v>
      </c>
      <c r="X34" s="189" t="str">
        <f>IFERROR(INDEX(TableTEMaster[Player],MATCH(TableTECalcPts[[#This Row],[TERef]],TableTEMaster[TERef],0)),"")</f>
        <v>Marcedes Lewis</v>
      </c>
      <c r="Y34" s="189" t="str">
        <f>IFERROR(INDEX(TableTEMaster[TM],MATCH(TableTECalcPts[[#This Row],[TERef]],TableTEMaster[TERef],0)),"")</f>
        <v>GB</v>
      </c>
      <c r="Z34" s="189">
        <f>IFERROR(INDEX(TableTEMaster[BYE],MATCH(TableTECalcPts[[#This Row],[TERef]],TableTEMaster[TERef],0)),"")</f>
        <v>14</v>
      </c>
      <c r="AA34" s="191">
        <f>IFERROR(INDEX(TableTEMaster[Custom],MATCH(TableTECalcPts[[#This Row],[TERef]],TableTEMaster[TERef],0)),"")</f>
        <v>16.650207266330391</v>
      </c>
      <c r="AC34" s="189">
        <f>IFERROR(RANK(TableDSTCalcPts[[#This Row],[Custom]],TableDSTCalcPts[Custom],0),"")</f>
        <v>18</v>
      </c>
      <c r="AD34" s="189">
        <v>32</v>
      </c>
      <c r="AE34" s="189" t="str">
        <f>IFERROR(INDEX(TableDSTMaster[Player],MATCH(TableDSTCalcPts[[#This Row],[DSTRef]],TableDSTMaster[DSTRef],0)),"")</f>
        <v>Washington Commanders</v>
      </c>
      <c r="AF34" s="189">
        <f>IFERROR(INDEX(TableDSTMaster[BYE],MATCH(TableDSTCalcPts[[#This Row],[DSTRef]],TableDSTMaster[DSTRef],0)),"")</f>
        <v>14</v>
      </c>
      <c r="AG34" s="191">
        <f>IFERROR(INDEX(TableDSTMaster[Custom],MATCH(TableDSTCalcPts[[#This Row],[DSTRef]],TableDSTMaster[DSTRef],0)),"")</f>
        <v>118.755400011327</v>
      </c>
      <c r="AI34" s="221" t="s">
        <v>10</v>
      </c>
      <c r="AJ34" s="189">
        <f>IFERROR(RANK(TableWRTECalcPts[[#This Row],[Custom]],TableWRTECalcPts[Custom])+COUNTIF($AP$3:AP34,AP34)-1,"")</f>
        <v>204</v>
      </c>
      <c r="AK34" s="189">
        <v>32</v>
      </c>
      <c r="AL34" s="189" t="str">
        <f>IFERROR(INDEX(TableTEMaster[Player],MATCH(TableWRTECalcPts[[#This Row],[POSRef]],TableTEMaster[TERef],0)),"")</f>
        <v>Marcedes Lewis</v>
      </c>
      <c r="AM34" s="189" t="str">
        <f>IFERROR(_xlfn.CONCAT(TableWRTECalcPts[[#This Row],[POS]],INDEX(TableTERanks[RK],MATCH(TableWRTECalcPts[[#This Row],[PLAYER]],TableTERanks[Player],0))),"")</f>
        <v>TE61</v>
      </c>
      <c r="AN34" s="189" t="str">
        <f>IFERROR(INDEX(TableTEMaster[TM],MATCH(TableWRTECalcPts[[#This Row],[POSRef]],TableTEMaster[TERef],0)),"")</f>
        <v>GB</v>
      </c>
      <c r="AO34" s="189">
        <f>IFERROR(INDEX(TableTEMaster[BYE],MATCH(TableWRTECalcPts[[#This Row],[POSRef]],TableTEMaster[TERef],0)),"")</f>
        <v>14</v>
      </c>
      <c r="AP34" s="191">
        <f>IFERROR(INDEX(TableTEMaster[Custom],MATCH(TableWRTECalcPts[[#This Row],[POSRef]],TableTEMaster[TERef],0)),"")</f>
        <v>16.650207266330391</v>
      </c>
    </row>
    <row r="35" spans="1:42" x14ac:dyDescent="0.3">
      <c r="A35" s="198">
        <f>IFERROR(RANK(TableQBCalcPts[[#This Row],[Custom]],TableQBCalcPts[Custom])+COUNTIF($F$3:F35,F35)-1,"")</f>
        <v>3</v>
      </c>
      <c r="B35" s="189">
        <v>33</v>
      </c>
      <c r="C35" s="189" t="str">
        <f>IFERROR(INDEX(TableQBMaster[Player],MATCH(TableQBCalcPts[[#This Row],[QBRef]],TableQBMaster[QBRef],0)),"")</f>
        <v>Justin Herbert</v>
      </c>
      <c r="D35" s="189" t="str">
        <f>IFERROR(INDEX(TableQBMaster[TM],MATCH(TableQBCalcPts[[#This Row],[QBRef]],TableQBMaster[QBRef],0)),"")</f>
        <v>LAC</v>
      </c>
      <c r="E35" s="189">
        <f>IFERROR(INDEX(TableQBMaster[BYE],MATCH(TableQBCalcPts[[#This Row],[QBRef]],TableQBMaster[QBRef],0)),"")</f>
        <v>8</v>
      </c>
      <c r="F35" s="191">
        <f>IFERROR(INDEX(TableQBMaster[Custom],MATCH(TableQBCalcPts[[#This Row],[QBRef]],TableQBMaster[QBRef],0)),"")</f>
        <v>384.78007617755509</v>
      </c>
      <c r="H35" s="189">
        <f>IFERROR(RANK(TableRBCalcPts[[#This Row],[Custom]],TableRBCalcPts[Custom])+COUNTIF($M$3:M35,M35)-1,"")</f>
        <v>29</v>
      </c>
      <c r="I35" s="189">
        <v>33</v>
      </c>
      <c r="J35" s="189" t="str">
        <f>IFERROR(INDEX(TableRBMaster[Player],MATCH(TableRBCalcPts[[#This Row],[RBRef]],TableRBMaster[RBRef],0)),"")</f>
        <v>Tony Pollard</v>
      </c>
      <c r="K35" s="189" t="str">
        <f>IFERROR(INDEX(TableRBMaster[TM],MATCH(TableRBCalcPts[[#This Row],[RBRef]],TableRBMaster[RBRef],0)),"")</f>
        <v>DAL</v>
      </c>
      <c r="L35" s="189">
        <f>IFERROR(INDEX(TableRBMaster[BYE],MATCH(TableRBCalcPts[[#This Row],[RBRef]],TableRBMaster[RBRef],0)),"")</f>
        <v>9</v>
      </c>
      <c r="M35" s="191">
        <f>IFERROR(INDEX(TableRBMaster[Custom],MATCH(TableRBCalcPts[[#This Row],[RBRef]],TableRBMaster[RBRef],0)),"")</f>
        <v>137.65492223051754</v>
      </c>
      <c r="O35" s="189">
        <f>IFERROR(RANK(TableWRCalcPts[[#This Row],[Custom]],TableWRCalcPts[Custom])+COUNTIF($T$3:T35,T35)-1,"")</f>
        <v>92</v>
      </c>
      <c r="P35" s="189">
        <v>33</v>
      </c>
      <c r="Q35" s="189" t="str">
        <f>IFERROR(INDEX(TableWRMaster[Player],MATCH(TableWRCalcPts[[#This Row],[WRRef]],TableWRMaster[WRRef],0)),"")</f>
        <v>Velus Jones</v>
      </c>
      <c r="R35" s="189" t="str">
        <f>IFERROR(INDEX(TableWRMaster[TM],MATCH(TableWRCalcPts[[#This Row],[WRRef]],TableWRMaster[WRRef],0)),"")</f>
        <v>CHI</v>
      </c>
      <c r="S35" s="189">
        <f>IFERROR(INDEX(TableWRMaster[BYE],MATCH(TableWRCalcPts[[#This Row],[WRRef]],TableWRMaster[WRRef],0)),"")</f>
        <v>14</v>
      </c>
      <c r="T35" s="191">
        <f>IFERROR(INDEX(TableWRMaster[Custom],MATCH(TableWRCalcPts[[#This Row],[WRRef]],TableWRMaster[WRRef],0)),"")</f>
        <v>56.106932884563086</v>
      </c>
      <c r="V35" s="189">
        <f>IFERROR(RANK(TableTECalcPts[[#This Row],[Custom]],TableTECalcPts[Custom])+COUNTIF($AA$3:AA35,AA35)-1,"")</f>
        <v>53</v>
      </c>
      <c r="W35" s="189">
        <v>33</v>
      </c>
      <c r="X35" s="189" t="str">
        <f>IFERROR(INDEX(TableTEMaster[Player],MATCH(TableTECalcPts[[#This Row],[TERef]],TableTEMaster[TERef],0)),"")</f>
        <v>Josiah Deguara</v>
      </c>
      <c r="Y35" s="189" t="str">
        <f>IFERROR(INDEX(TableTEMaster[TM],MATCH(TableTECalcPts[[#This Row],[TERef]],TableTEMaster[TERef],0)),"")</f>
        <v>GB</v>
      </c>
      <c r="Z35" s="189">
        <f>IFERROR(INDEX(TableTEMaster[BYE],MATCH(TableTECalcPts[[#This Row],[TERef]],TableTEMaster[TERef],0)),"")</f>
        <v>14</v>
      </c>
      <c r="AA35" s="191">
        <f>IFERROR(INDEX(TableTEMaster[Custom],MATCH(TableTECalcPts[[#This Row],[TERef]],TableTEMaster[TERef],0)),"")</f>
        <v>20.352829325983684</v>
      </c>
      <c r="AF35" s="198"/>
      <c r="AG35" s="191"/>
      <c r="AI35" s="221" t="s">
        <v>10</v>
      </c>
      <c r="AJ35" s="189">
        <f>IFERROR(RANK(TableWRTECalcPts[[#This Row],[Custom]],TableWRTECalcPts[Custom])+COUNTIF($AP$3:AP35,AP35)-1,"")</f>
        <v>185</v>
      </c>
      <c r="AK35" s="189">
        <v>33</v>
      </c>
      <c r="AL35" s="189" t="str">
        <f>IFERROR(INDEX(TableTEMaster[Player],MATCH(TableWRTECalcPts[[#This Row],[POSRef]],TableTEMaster[TERef],0)),"")</f>
        <v>Josiah Deguara</v>
      </c>
      <c r="AM35" s="189" t="str">
        <f>IFERROR(_xlfn.CONCAT(TableWRTECalcPts[[#This Row],[POS]],INDEX(TableTERanks[RK],MATCH(TableWRTECalcPts[[#This Row],[PLAYER]],TableTERanks[Player],0))),"")</f>
        <v>TE53</v>
      </c>
      <c r="AN35" s="189" t="str">
        <f>IFERROR(INDEX(TableTEMaster[TM],MATCH(TableWRTECalcPts[[#This Row],[POSRef]],TableTEMaster[TERef],0)),"")</f>
        <v>GB</v>
      </c>
      <c r="AO35" s="189">
        <f>IFERROR(INDEX(TableTEMaster[BYE],MATCH(TableWRTECalcPts[[#This Row],[POSRef]],TableTEMaster[TERef],0)),"")</f>
        <v>14</v>
      </c>
      <c r="AP35" s="191">
        <f>IFERROR(INDEX(TableTEMaster[Custom],MATCH(TableWRTECalcPts[[#This Row],[POSRef]],TableTEMaster[TERef],0)),"")</f>
        <v>20.352829325983684</v>
      </c>
    </row>
    <row r="36" spans="1:42" x14ac:dyDescent="0.3">
      <c r="A36" s="198">
        <f>IFERROR(RANK(TableQBCalcPts[[#This Row],[Custom]],TableQBCalcPts[Custom])+COUNTIF($F$3:F36,F36)-1,"")</f>
        <v>62</v>
      </c>
      <c r="B36" s="189">
        <v>34</v>
      </c>
      <c r="C36" s="189" t="str">
        <f>IFERROR(INDEX(TableQBMaster[Player],MATCH(TableQBCalcPts[[#This Row],[QBRef]],TableQBMaster[QBRef],0)),"")</f>
        <v>Chase Daniel</v>
      </c>
      <c r="D36" s="189" t="str">
        <f>IFERROR(INDEX(TableQBMaster[TM],MATCH(TableQBCalcPts[[#This Row],[QBRef]],TableQBMaster[QBRef],0)),"")</f>
        <v>LAC</v>
      </c>
      <c r="E36" s="189">
        <f>IFERROR(INDEX(TableQBMaster[BYE],MATCH(TableQBCalcPts[[#This Row],[QBRef]],TableQBMaster[QBRef],0)),"")</f>
        <v>8</v>
      </c>
      <c r="F36" s="191">
        <f>IFERROR(INDEX(TableQBMaster[Custom],MATCH(TableQBCalcPts[[#This Row],[QBRef]],TableQBMaster[QBRef],0)),"")</f>
        <v>2.9261791987692596</v>
      </c>
      <c r="H36" s="189">
        <f>IFERROR(RANK(TableRBCalcPts[[#This Row],[Custom]],TableRBCalcPts[Custom])+COUNTIF($M$3:M36,M36)-1,"")</f>
        <v>90</v>
      </c>
      <c r="I36" s="189">
        <v>34</v>
      </c>
      <c r="J36" s="189" t="str">
        <f>IFERROR(INDEX(TableRBMaster[Player],MATCH(TableRBCalcPts[[#This Row],[RBRef]],TableRBMaster[RBRef],0)),"")</f>
        <v>Rico Dowdle</v>
      </c>
      <c r="K36" s="189" t="str">
        <f>IFERROR(INDEX(TableRBMaster[TM],MATCH(TableRBCalcPts[[#This Row],[RBRef]],TableRBMaster[RBRef],0)),"")</f>
        <v>DAL</v>
      </c>
      <c r="L36" s="189">
        <f>IFERROR(INDEX(TableRBMaster[BYE],MATCH(TableRBCalcPts[[#This Row],[RBRef]],TableRBMaster[RBRef],0)),"")</f>
        <v>9</v>
      </c>
      <c r="M36" s="191">
        <f>IFERROR(INDEX(TableRBMaster[Custom],MATCH(TableRBCalcPts[[#This Row],[RBRef]],TableRBMaster[RBRef],0)),"")</f>
        <v>20.267624726719617</v>
      </c>
      <c r="O36" s="189">
        <f>IFERROR(RANK(TableWRCalcPts[[#This Row],[Custom]],TableWRCalcPts[Custom])+COUNTIF($T$3:T36,T36)-1,"")</f>
        <v>152</v>
      </c>
      <c r="P36" s="189">
        <v>34</v>
      </c>
      <c r="Q36" s="189" t="str">
        <f>IFERROR(INDEX(TableWRMaster[Player],MATCH(TableWRCalcPts[[#This Row],[WRRef]],TableWRMaster[WRRef],0)),"")</f>
        <v>Dante Pettis</v>
      </c>
      <c r="R36" s="189" t="str">
        <f>IFERROR(INDEX(TableWRMaster[TM],MATCH(TableWRCalcPts[[#This Row],[WRRef]],TableWRMaster[WRRef],0)),"")</f>
        <v>CHI</v>
      </c>
      <c r="S36" s="189">
        <f>IFERROR(INDEX(TableWRMaster[BYE],MATCH(TableWRCalcPts[[#This Row],[WRRef]],TableWRMaster[WRRef],0)),"")</f>
        <v>14</v>
      </c>
      <c r="T36" s="191">
        <f>IFERROR(INDEX(TableWRMaster[Custom],MATCH(TableWRCalcPts[[#This Row],[WRRef]],TableWRMaster[WRRef],0)),"")</f>
        <v>13.749726037576302</v>
      </c>
      <c r="V36" s="189">
        <f>IFERROR(RANK(TableTECalcPts[[#This Row],[Custom]],TableTECalcPts[Custom])+COUNTIF($AA$3:AA36,AA36)-1,"")</f>
        <v>17</v>
      </c>
      <c r="W36" s="189">
        <v>34</v>
      </c>
      <c r="X36" s="189" t="str">
        <f>IFERROR(INDEX(TableTEMaster[Player],MATCH(TableTECalcPts[[#This Row],[TERef]],TableTEMaster[TERef],0)),"")</f>
        <v>Brevin Jordan</v>
      </c>
      <c r="Y36" s="189" t="str">
        <f>IFERROR(INDEX(TableTEMaster[TM],MATCH(TableTECalcPts[[#This Row],[TERef]],TableTEMaster[TERef],0)),"")</f>
        <v>HOU</v>
      </c>
      <c r="Z36" s="189">
        <f>IFERROR(INDEX(TableTEMaster[BYE],MATCH(TableTECalcPts[[#This Row],[TERef]],TableTEMaster[TERef],0)),"")</f>
        <v>6</v>
      </c>
      <c r="AA36" s="191">
        <f>IFERROR(INDEX(TableTEMaster[Custom],MATCH(TableTECalcPts[[#This Row],[TERef]],TableTEMaster[TERef],0)),"")</f>
        <v>87.480985240276397</v>
      </c>
      <c r="AI36" s="221" t="s">
        <v>10</v>
      </c>
      <c r="AJ36" s="189">
        <f>IFERROR(RANK(TableWRTECalcPts[[#This Row],[Custom]],TableWRTECalcPts[Custom])+COUNTIF($AP$3:AP36,AP36)-1,"")</f>
        <v>84</v>
      </c>
      <c r="AK36" s="189">
        <v>34</v>
      </c>
      <c r="AL36" s="189" t="str">
        <f>IFERROR(INDEX(TableTEMaster[Player],MATCH(TableWRTECalcPts[[#This Row],[POSRef]],TableTEMaster[TERef],0)),"")</f>
        <v>Brevin Jordan</v>
      </c>
      <c r="AM36" s="189" t="str">
        <f>IFERROR(_xlfn.CONCAT(TableWRTECalcPts[[#This Row],[POS]],INDEX(TableTERanks[RK],MATCH(TableWRTECalcPts[[#This Row],[PLAYER]],TableTERanks[Player],0))),"")</f>
        <v>TE17</v>
      </c>
      <c r="AN36" s="189" t="str">
        <f>IFERROR(INDEX(TableTEMaster[TM],MATCH(TableWRTECalcPts[[#This Row],[POSRef]],TableTEMaster[TERef],0)),"")</f>
        <v>HOU</v>
      </c>
      <c r="AO36" s="189">
        <f>IFERROR(INDEX(TableTEMaster[BYE],MATCH(TableWRTECalcPts[[#This Row],[POSRef]],TableTEMaster[TERef],0)),"")</f>
        <v>6</v>
      </c>
      <c r="AP36" s="191">
        <f>IFERROR(INDEX(TableTEMaster[Custom],MATCH(TableWRTECalcPts[[#This Row],[POSRef]],TableTEMaster[TERef],0)),"")</f>
        <v>87.480985240276397</v>
      </c>
    </row>
    <row r="37" spans="1:42" x14ac:dyDescent="0.3">
      <c r="A37" s="198">
        <f>IFERROR(RANK(TableQBCalcPts[[#This Row],[Custom]],TableQBCalcPts[Custom])+COUNTIF($F$3:F37,F37)-1,"")</f>
        <v>10</v>
      </c>
      <c r="B37" s="189">
        <v>35</v>
      </c>
      <c r="C37" s="189" t="str">
        <f>IFERROR(INDEX(TableQBMaster[Player],MATCH(TableQBCalcPts[[#This Row],[QBRef]],TableQBMaster[QBRef],0)),"")</f>
        <v>Matthew Stafford</v>
      </c>
      <c r="D37" s="189" t="str">
        <f>IFERROR(INDEX(TableQBMaster[TM],MATCH(TableQBCalcPts[[#This Row],[QBRef]],TableQBMaster[QBRef],0)),"")</f>
        <v>LAR</v>
      </c>
      <c r="E37" s="189">
        <f>IFERROR(INDEX(TableQBMaster[BYE],MATCH(TableQBCalcPts[[#This Row],[QBRef]],TableQBMaster[QBRef],0)),"")</f>
        <v>7</v>
      </c>
      <c r="F37" s="191">
        <f>IFERROR(INDEX(TableQBMaster[Custom],MATCH(TableQBCalcPts[[#This Row],[QBRef]],TableQBMaster[QBRef],0)),"")</f>
        <v>334.82539842089091</v>
      </c>
      <c r="H37" s="189">
        <f>IFERROR(RANK(TableRBCalcPts[[#This Row],[Custom]],TableRBCalcPts[Custom])+COUNTIF($M$3:M37,M37)-1,"")</f>
        <v>17</v>
      </c>
      <c r="I37" s="189">
        <v>35</v>
      </c>
      <c r="J37" s="189" t="str">
        <f>IFERROR(INDEX(TableRBMaster[Player],MATCH(TableRBCalcPts[[#This Row],[RBRef]],TableRBMaster[RBRef],0)),"")</f>
        <v>Javonte Williams</v>
      </c>
      <c r="K37" s="189" t="str">
        <f>IFERROR(INDEX(TableRBMaster[TM],MATCH(TableRBCalcPts[[#This Row],[RBRef]],TableRBMaster[RBRef],0)),"")</f>
        <v>DEN</v>
      </c>
      <c r="L37" s="189">
        <f>IFERROR(INDEX(TableRBMaster[BYE],MATCH(TableRBCalcPts[[#This Row],[RBRef]],TableRBMaster[RBRef],0)),"")</f>
        <v>9</v>
      </c>
      <c r="M37" s="191">
        <f>IFERROR(INDEX(TableRBMaster[Custom],MATCH(TableRBCalcPts[[#This Row],[RBRef]],TableRBMaster[RBRef],0)),"")</f>
        <v>192.73629649734781</v>
      </c>
      <c r="O37" s="189">
        <f>IFERROR(RANK(TableWRCalcPts[[#This Row],[Custom]],TableWRCalcPts[Custom])+COUNTIF($T$3:T37,T37)-1,"")</f>
        <v>161</v>
      </c>
      <c r="P37" s="189">
        <v>35</v>
      </c>
      <c r="Q37" s="189" t="str">
        <f>IFERROR(INDEX(TableWRMaster[Player],MATCH(TableWRCalcPts[[#This Row],[WRRef]],TableWRMaster[WRRef],0)),"")</f>
        <v>Dazz Newsome</v>
      </c>
      <c r="R37" s="189" t="str">
        <f>IFERROR(INDEX(TableWRMaster[TM],MATCH(TableWRCalcPts[[#This Row],[WRRef]],TableWRMaster[WRRef],0)),"")</f>
        <v>CHI</v>
      </c>
      <c r="S37" s="189">
        <f>IFERROR(INDEX(TableWRMaster[BYE],MATCH(TableWRCalcPts[[#This Row],[WRRef]],TableWRMaster[WRRef],0)),"")</f>
        <v>14</v>
      </c>
      <c r="T37" s="191">
        <f>IFERROR(INDEX(TableWRMaster[Custom],MATCH(TableWRCalcPts[[#This Row],[WRRef]],TableWRMaster[WRRef],0)),"")</f>
        <v>12.174862018266934</v>
      </c>
      <c r="V37" s="189">
        <f>IFERROR(RANK(TableTECalcPts[[#This Row],[Custom]],TableTECalcPts[Custom])+COUNTIF($AA$3:AA37,AA37)-1,"")</f>
        <v>43</v>
      </c>
      <c r="W37" s="189">
        <v>35</v>
      </c>
      <c r="X37" s="189" t="str">
        <f>IFERROR(INDEX(TableTEMaster[Player],MATCH(TableTECalcPts[[#This Row],[TERef]],TableTEMaster[TERef],0)),"")</f>
        <v>Pharaoh Brown</v>
      </c>
      <c r="Y37" s="189" t="str">
        <f>IFERROR(INDEX(TableTEMaster[TM],MATCH(TableTECalcPts[[#This Row],[TERef]],TableTEMaster[TERef],0)),"")</f>
        <v>HOU</v>
      </c>
      <c r="Z37" s="189">
        <f>IFERROR(INDEX(TableTEMaster[BYE],MATCH(TableTECalcPts[[#This Row],[TERef]],TableTEMaster[TERef],0)),"")</f>
        <v>6</v>
      </c>
      <c r="AA37" s="191">
        <f>IFERROR(INDEX(TableTEMaster[Custom],MATCH(TableTECalcPts[[#This Row],[TERef]],TableTEMaster[TERef],0)),"")</f>
        <v>28.593766911205876</v>
      </c>
      <c r="AI37" s="221" t="s">
        <v>10</v>
      </c>
      <c r="AJ37" s="189">
        <f>IFERROR(RANK(TableWRTECalcPts[[#This Row],[Custom]],TableWRTECalcPts[Custom])+COUNTIF($AP$3:AP37,AP37)-1,"")</f>
        <v>157</v>
      </c>
      <c r="AK37" s="189">
        <v>35</v>
      </c>
      <c r="AL37" s="189" t="str">
        <f>IFERROR(INDEX(TableTEMaster[Player],MATCH(TableWRTECalcPts[[#This Row],[POSRef]],TableTEMaster[TERef],0)),"")</f>
        <v>Pharaoh Brown</v>
      </c>
      <c r="AM37" s="189" t="str">
        <f>IFERROR(_xlfn.CONCAT(TableWRTECalcPts[[#This Row],[POS]],INDEX(TableTERanks[RK],MATCH(TableWRTECalcPts[[#This Row],[PLAYER]],TableTERanks[Player],0))),"")</f>
        <v>TE43</v>
      </c>
      <c r="AN37" s="189" t="str">
        <f>IFERROR(INDEX(TableTEMaster[TM],MATCH(TableWRTECalcPts[[#This Row],[POSRef]],TableTEMaster[TERef],0)),"")</f>
        <v>HOU</v>
      </c>
      <c r="AO37" s="189">
        <f>IFERROR(INDEX(TableTEMaster[BYE],MATCH(TableWRTECalcPts[[#This Row],[POSRef]],TableTEMaster[TERef],0)),"")</f>
        <v>6</v>
      </c>
      <c r="AP37" s="191">
        <f>IFERROR(INDEX(TableTEMaster[Custom],MATCH(TableWRTECalcPts[[#This Row],[POSRef]],TableTEMaster[TERef],0)),"")</f>
        <v>28.593766911205876</v>
      </c>
    </row>
    <row r="38" spans="1:42" x14ac:dyDescent="0.3">
      <c r="A38" s="198">
        <f>IFERROR(RANK(TableQBCalcPts[[#This Row],[Custom]],TableQBCalcPts[Custom])+COUNTIF($F$3:F38,F38)-1,"")</f>
        <v>44</v>
      </c>
      <c r="B38" s="189">
        <v>36</v>
      </c>
      <c r="C38" s="189" t="str">
        <f>IFERROR(INDEX(TableQBMaster[Player],MATCH(TableQBCalcPts[[#This Row],[QBRef]],TableQBMaster[QBRef],0)),"")</f>
        <v>John Wolford</v>
      </c>
      <c r="D38" s="189" t="str">
        <f>IFERROR(INDEX(TableQBMaster[TM],MATCH(TableQBCalcPts[[#This Row],[QBRef]],TableQBMaster[QBRef],0)),"")</f>
        <v>LAR</v>
      </c>
      <c r="E38" s="189">
        <f>IFERROR(INDEX(TableQBMaster[BYE],MATCH(TableQBCalcPts[[#This Row],[QBRef]],TableQBMaster[QBRef],0)),"")</f>
        <v>7</v>
      </c>
      <c r="F38" s="191">
        <f>IFERROR(INDEX(TableQBMaster[Custom],MATCH(TableQBCalcPts[[#This Row],[QBRef]],TableQBMaster[QBRef],0)),"")</f>
        <v>12.258846056123112</v>
      </c>
      <c r="H38" s="189">
        <f>IFERROR(RANK(TableRBCalcPts[[#This Row],[Custom]],TableRBCalcPts[Custom])+COUNTIF($M$3:M38,M38)-1,"")</f>
        <v>32</v>
      </c>
      <c r="I38" s="189">
        <v>36</v>
      </c>
      <c r="J38" s="189" t="str">
        <f>IFERROR(INDEX(TableRBMaster[Player],MATCH(TableRBCalcPts[[#This Row],[RBRef]],TableRBMaster[RBRef],0)),"")</f>
        <v>Melvin Gordon</v>
      </c>
      <c r="K38" s="189" t="str">
        <f>IFERROR(INDEX(TableRBMaster[TM],MATCH(TableRBCalcPts[[#This Row],[RBRef]],TableRBMaster[RBRef],0)),"")</f>
        <v>DEN</v>
      </c>
      <c r="L38" s="189">
        <f>IFERROR(INDEX(TableRBMaster[BYE],MATCH(TableRBCalcPts[[#This Row],[RBRef]],TableRBMaster[RBRef],0)),"")</f>
        <v>9</v>
      </c>
      <c r="M38" s="191">
        <f>IFERROR(INDEX(TableRBMaster[Custom],MATCH(TableRBCalcPts[[#This Row],[RBRef]],TableRBMaster[RBRef],0)),"")</f>
        <v>130.42698157645512</v>
      </c>
      <c r="O38" s="189">
        <f>IFERROR(RANK(TableWRCalcPts[[#This Row],[Custom]],TableWRCalcPts[Custom])+COUNTIF($T$3:T38,T38)-1,"")</f>
        <v>2</v>
      </c>
      <c r="P38" s="189">
        <v>36</v>
      </c>
      <c r="Q38" s="189" t="str">
        <f>IFERROR(INDEX(TableWRMaster[Player],MATCH(TableWRCalcPts[[#This Row],[WRRef]],TableWRMaster[WRRef],0)),"")</f>
        <v>Ja'Marr Chase</v>
      </c>
      <c r="R38" s="189" t="str">
        <f>IFERROR(INDEX(TableWRMaster[TM],MATCH(TableWRCalcPts[[#This Row],[WRRef]],TableWRMaster[WRRef],0)),"")</f>
        <v>CIN</v>
      </c>
      <c r="S38" s="189">
        <f>IFERROR(INDEX(TableWRMaster[BYE],MATCH(TableWRCalcPts[[#This Row],[WRRef]],TableWRMaster[WRRef],0)),"")</f>
        <v>10</v>
      </c>
      <c r="T38" s="191">
        <f>IFERROR(INDEX(TableWRMaster[Custom],MATCH(TableWRCalcPts[[#This Row],[WRRef]],TableWRMaster[WRRef],0)),"")</f>
        <v>233.9846437068403</v>
      </c>
      <c r="V38" s="189">
        <f>IFERROR(RANK(TableTECalcPts[[#This Row],[Custom]],TableTECalcPts[Custom])+COUNTIF($AA$3:AA38,AA38)-1,"")</f>
        <v>89</v>
      </c>
      <c r="W38" s="189">
        <v>36</v>
      </c>
      <c r="X38" s="189" t="str">
        <f>IFERROR(INDEX(TableTEMaster[Player],MATCH(TableTECalcPts[[#This Row],[TERef]],TableTEMaster[TERef],0)),"")</f>
        <v>Teagan Quitoriano</v>
      </c>
      <c r="Y38" s="189" t="str">
        <f>IFERROR(INDEX(TableTEMaster[TM],MATCH(TableTECalcPts[[#This Row],[TERef]],TableTEMaster[TERef],0)),"")</f>
        <v>HOU</v>
      </c>
      <c r="Z38" s="189">
        <f>IFERROR(INDEX(TableTEMaster[BYE],MATCH(TableTECalcPts[[#This Row],[TERef]],TableTEMaster[TERef],0)),"")</f>
        <v>6</v>
      </c>
      <c r="AA38" s="191">
        <f>IFERROR(INDEX(TableTEMaster[Custom],MATCH(TableTECalcPts[[#This Row],[TERef]],TableTEMaster[TERef],0)),"")</f>
        <v>5.1320091913968939</v>
      </c>
      <c r="AI38" s="221" t="s">
        <v>10</v>
      </c>
      <c r="AJ38" s="189">
        <f>IFERROR(RANK(TableWRTECalcPts[[#This Row],[Custom]],TableWRTECalcPts[Custom])+COUNTIF($AP$3:AP38,AP38)-1,"")</f>
        <v>271</v>
      </c>
      <c r="AK38" s="189">
        <v>36</v>
      </c>
      <c r="AL38" s="189" t="str">
        <f>IFERROR(INDEX(TableTEMaster[Player],MATCH(TableWRTECalcPts[[#This Row],[POSRef]],TableTEMaster[TERef],0)),"")</f>
        <v>Teagan Quitoriano</v>
      </c>
      <c r="AM38" s="189" t="str">
        <f>IFERROR(_xlfn.CONCAT(TableWRTECalcPts[[#This Row],[POS]],INDEX(TableTERanks[RK],MATCH(TableWRTECalcPts[[#This Row],[PLAYER]],TableTERanks[Player],0))),"")</f>
        <v>TE89</v>
      </c>
      <c r="AN38" s="189" t="str">
        <f>IFERROR(INDEX(TableTEMaster[TM],MATCH(TableWRTECalcPts[[#This Row],[POSRef]],TableTEMaster[TERef],0)),"")</f>
        <v>HOU</v>
      </c>
      <c r="AO38" s="189">
        <f>IFERROR(INDEX(TableTEMaster[BYE],MATCH(TableWRTECalcPts[[#This Row],[POSRef]],TableTEMaster[TERef],0)),"")</f>
        <v>6</v>
      </c>
      <c r="AP38" s="191">
        <f>IFERROR(INDEX(TableTEMaster[Custom],MATCH(TableWRTECalcPts[[#This Row],[POSRef]],TableTEMaster[TERef],0)),"")</f>
        <v>5.1320091913968939</v>
      </c>
    </row>
    <row r="39" spans="1:42" x14ac:dyDescent="0.3">
      <c r="A39" s="198">
        <f>IFERROR(RANK(TableQBCalcPts[[#This Row],[Custom]],TableQBCalcPts[Custom])+COUNTIF($F$3:F39,F39)-1,"")</f>
        <v>16</v>
      </c>
      <c r="B39" s="189">
        <v>37</v>
      </c>
      <c r="C39" s="189" t="str">
        <f>IFERROR(INDEX(TableQBMaster[Player],MATCH(TableQBCalcPts[[#This Row],[QBRef]],TableQBMaster[QBRef],0)),"")</f>
        <v>Derek Carr</v>
      </c>
      <c r="D39" s="189" t="str">
        <f>IFERROR(INDEX(TableQBMaster[TM],MATCH(TableQBCalcPts[[#This Row],[QBRef]],TableQBMaster[QBRef],0)),"")</f>
        <v>LV</v>
      </c>
      <c r="E39" s="189">
        <f>IFERROR(INDEX(TableQBMaster[BYE],MATCH(TableQBCalcPts[[#This Row],[QBRef]],TableQBMaster[QBRef],0)),"")</f>
        <v>6</v>
      </c>
      <c r="F39" s="191">
        <f>IFERROR(INDEX(TableQBMaster[Custom],MATCH(TableQBCalcPts[[#This Row],[QBRef]],TableQBMaster[QBRef],0)),"")</f>
        <v>302.05894196246436</v>
      </c>
      <c r="H39" s="189">
        <f>IFERROR(RANK(TableRBCalcPts[[#This Row],[Custom]],TableRBCalcPts[Custom])+COUNTIF($M$3:M39,M39)-1,"")</f>
        <v>112</v>
      </c>
      <c r="I39" s="189">
        <v>37</v>
      </c>
      <c r="J39" s="189" t="str">
        <f>IFERROR(INDEX(TableRBMaster[Player],MATCH(TableRBCalcPts[[#This Row],[RBRef]],TableRBMaster[RBRef],0)),"")</f>
        <v>Mike Boone</v>
      </c>
      <c r="K39" s="189" t="str">
        <f>IFERROR(INDEX(TableRBMaster[TM],MATCH(TableRBCalcPts[[#This Row],[RBRef]],TableRBMaster[RBRef],0)),"")</f>
        <v>DEN</v>
      </c>
      <c r="L39" s="189">
        <f>IFERROR(INDEX(TableRBMaster[BYE],MATCH(TableRBCalcPts[[#This Row],[RBRef]],TableRBMaster[RBRef],0)),"")</f>
        <v>9</v>
      </c>
      <c r="M39" s="191">
        <f>IFERROR(INDEX(TableRBMaster[Custom],MATCH(TableRBCalcPts[[#This Row],[RBRef]],TableRBMaster[RBRef],0)),"")</f>
        <v>11.061972738905069</v>
      </c>
      <c r="O39" s="189">
        <f>IFERROR(RANK(TableWRCalcPts[[#This Row],[Custom]],TableWRCalcPts[Custom])+COUNTIF($T$3:T39,T39)-1,"")</f>
        <v>9</v>
      </c>
      <c r="P39" s="189">
        <v>37</v>
      </c>
      <c r="Q39" s="189" t="str">
        <f>IFERROR(INDEX(TableWRMaster[Player],MATCH(TableWRCalcPts[[#This Row],[WRRef]],TableWRMaster[WRRef],0)),"")</f>
        <v>Tee Higgins</v>
      </c>
      <c r="R39" s="189" t="str">
        <f>IFERROR(INDEX(TableWRMaster[TM],MATCH(TableWRCalcPts[[#This Row],[WRRef]],TableWRMaster[WRRef],0)),"")</f>
        <v>CIN</v>
      </c>
      <c r="S39" s="189">
        <f>IFERROR(INDEX(TableWRMaster[BYE],MATCH(TableWRCalcPts[[#This Row],[WRRef]],TableWRMaster[WRRef],0)),"")</f>
        <v>10</v>
      </c>
      <c r="T39" s="191">
        <f>IFERROR(INDEX(TableWRMaster[Custom],MATCH(TableWRCalcPts[[#This Row],[WRRef]],TableWRMaster[WRRef],0)),"")</f>
        <v>173.13026472375194</v>
      </c>
      <c r="V39" s="189">
        <f>IFERROR(RANK(TableTECalcPts[[#This Row],[Custom]],TableTECalcPts[Custom])+COUNTIF($AA$3:AA39,AA39)-1,"")</f>
        <v>24</v>
      </c>
      <c r="W39" s="189">
        <v>37</v>
      </c>
      <c r="X39" s="189" t="str">
        <f>IFERROR(INDEX(TableTEMaster[Player],MATCH(TableTECalcPts[[#This Row],[TERef]],TableTEMaster[TERef],0)),"")</f>
        <v>Mo Alie-Cox</v>
      </c>
      <c r="Y39" s="189" t="str">
        <f>IFERROR(INDEX(TableTEMaster[TM],MATCH(TableTECalcPts[[#This Row],[TERef]],TableTEMaster[TERef],0)),"")</f>
        <v>IND</v>
      </c>
      <c r="Z39" s="189">
        <f>IFERROR(INDEX(TableTEMaster[BYE],MATCH(TableTECalcPts[[#This Row],[TERef]],TableTEMaster[TERef],0)),"")</f>
        <v>14</v>
      </c>
      <c r="AA39" s="191">
        <f>IFERROR(INDEX(TableTEMaster[Custom],MATCH(TableTECalcPts[[#This Row],[TERef]],TableTEMaster[TERef],0)),"")</f>
        <v>80.481520247403466</v>
      </c>
      <c r="AI39" s="221" t="s">
        <v>10</v>
      </c>
      <c r="AJ39" s="189">
        <f>IFERROR(RANK(TableWRTECalcPts[[#This Row],[Custom]],TableWRTECalcPts[Custom])+COUNTIF($AP$3:AP39,AP39)-1,"")</f>
        <v>98</v>
      </c>
      <c r="AK39" s="189">
        <v>37</v>
      </c>
      <c r="AL39" s="189" t="str">
        <f>IFERROR(INDEX(TableTEMaster[Player],MATCH(TableWRTECalcPts[[#This Row],[POSRef]],TableTEMaster[TERef],0)),"")</f>
        <v>Mo Alie-Cox</v>
      </c>
      <c r="AM39" s="189" t="str">
        <f>IFERROR(_xlfn.CONCAT(TableWRTECalcPts[[#This Row],[POS]],INDEX(TableTERanks[RK],MATCH(TableWRTECalcPts[[#This Row],[PLAYER]],TableTERanks[Player],0))),"")</f>
        <v>TE24</v>
      </c>
      <c r="AN39" s="189" t="str">
        <f>IFERROR(INDEX(TableTEMaster[TM],MATCH(TableWRTECalcPts[[#This Row],[POSRef]],TableTEMaster[TERef],0)),"")</f>
        <v>IND</v>
      </c>
      <c r="AO39" s="189">
        <f>IFERROR(INDEX(TableTEMaster[BYE],MATCH(TableWRTECalcPts[[#This Row],[POSRef]],TableTEMaster[TERef],0)),"")</f>
        <v>14</v>
      </c>
      <c r="AP39" s="191">
        <f>IFERROR(INDEX(TableTEMaster[Custom],MATCH(TableWRTECalcPts[[#This Row],[POSRef]],TableTEMaster[TERef],0)),"")</f>
        <v>80.481520247403466</v>
      </c>
    </row>
    <row r="40" spans="1:42" x14ac:dyDescent="0.3">
      <c r="A40" s="198">
        <f>IFERROR(RANK(TableQBCalcPts[[#This Row],[Custom]],TableQBCalcPts[Custom])+COUNTIF($F$3:F40,F40)-1,"")</f>
        <v>55</v>
      </c>
      <c r="B40" s="189">
        <v>38</v>
      </c>
      <c r="C40" s="189" t="str">
        <f>IFERROR(INDEX(TableQBMaster[Player],MATCH(TableQBCalcPts[[#This Row],[QBRef]],TableQBMaster[QBRef],0)),"")</f>
        <v>Nick Mullens</v>
      </c>
      <c r="D40" s="189" t="str">
        <f>IFERROR(INDEX(TableQBMaster[TM],MATCH(TableQBCalcPts[[#This Row],[QBRef]],TableQBMaster[QBRef],0)),"")</f>
        <v>LV</v>
      </c>
      <c r="E40" s="189">
        <f>IFERROR(INDEX(TableQBMaster[BYE],MATCH(TableQBCalcPts[[#This Row],[QBRef]],TableQBMaster[QBRef],0)),"")</f>
        <v>6</v>
      </c>
      <c r="F40" s="191">
        <f>IFERROR(INDEX(TableQBMaster[Custom],MATCH(TableQBCalcPts[[#This Row],[QBRef]],TableQBMaster[QBRef],0)),"")</f>
        <v>5.0197634879066095</v>
      </c>
      <c r="H40" s="189">
        <f>IFERROR(RANK(TableRBCalcPts[[#This Row],[Custom]],TableRBCalcPts[Custom])+COUNTIF($M$3:M40,M40)-1,"")</f>
        <v>15</v>
      </c>
      <c r="I40" s="189">
        <v>38</v>
      </c>
      <c r="J40" s="189" t="str">
        <f>IFERROR(INDEX(TableRBMaster[Player],MATCH(TableRBCalcPts[[#This Row],[RBRef]],TableRBMaster[RBRef],0)),"")</f>
        <v>D'Andre Swift</v>
      </c>
      <c r="K40" s="189" t="str">
        <f>IFERROR(INDEX(TableRBMaster[TM],MATCH(TableRBCalcPts[[#This Row],[RBRef]],TableRBMaster[RBRef],0)),"")</f>
        <v>DET</v>
      </c>
      <c r="L40" s="189">
        <f>IFERROR(INDEX(TableRBMaster[BYE],MATCH(TableRBCalcPts[[#This Row],[RBRef]],TableRBMaster[RBRef],0)),"")</f>
        <v>6</v>
      </c>
      <c r="M40" s="191">
        <f>IFERROR(INDEX(TableRBMaster[Custom],MATCH(TableRBCalcPts[[#This Row],[RBRef]],TableRBMaster[RBRef],0)),"")</f>
        <v>197.4565660239515</v>
      </c>
      <c r="O40" s="189">
        <f>IFERROR(RANK(TableWRCalcPts[[#This Row],[Custom]],TableWRCalcPts[Custom])+COUNTIF($T$3:T40,T40)-1,"")</f>
        <v>45</v>
      </c>
      <c r="P40" s="189">
        <v>38</v>
      </c>
      <c r="Q40" s="189" t="str">
        <f>IFERROR(INDEX(TableWRMaster[Player],MATCH(TableWRCalcPts[[#This Row],[WRRef]],TableWRMaster[WRRef],0)),"")</f>
        <v>Tyler Boyd</v>
      </c>
      <c r="R40" s="189" t="str">
        <f>IFERROR(INDEX(TableWRMaster[TM],MATCH(TableWRCalcPts[[#This Row],[WRRef]],TableWRMaster[WRRef],0)),"")</f>
        <v>CIN</v>
      </c>
      <c r="S40" s="189">
        <f>IFERROR(INDEX(TableWRMaster[BYE],MATCH(TableWRCalcPts[[#This Row],[WRRef]],TableWRMaster[WRRef],0)),"")</f>
        <v>10</v>
      </c>
      <c r="T40" s="191">
        <f>IFERROR(INDEX(TableWRMaster[Custom],MATCH(TableWRCalcPts[[#This Row],[WRRef]],TableWRMaster[WRRef],0)),"")</f>
        <v>115.93168781692657</v>
      </c>
      <c r="V40" s="189">
        <f>IFERROR(RANK(TableTECalcPts[[#This Row],[Custom]],TableTECalcPts[Custom])+COUNTIF($AA$3:AA40,AA40)-1,"")</f>
        <v>46</v>
      </c>
      <c r="W40" s="189">
        <v>38</v>
      </c>
      <c r="X40" s="189" t="str">
        <f>IFERROR(INDEX(TableTEMaster[Player],MATCH(TableTECalcPts[[#This Row],[TERef]],TableTEMaster[TERef],0)),"")</f>
        <v>Kylen Granson</v>
      </c>
      <c r="Y40" s="189" t="str">
        <f>IFERROR(INDEX(TableTEMaster[TM],MATCH(TableTECalcPts[[#This Row],[TERef]],TableTEMaster[TERef],0)),"")</f>
        <v>IND</v>
      </c>
      <c r="Z40" s="189">
        <f>IFERROR(INDEX(TableTEMaster[BYE],MATCH(TableTECalcPts[[#This Row],[TERef]],TableTEMaster[TERef],0)),"")</f>
        <v>14</v>
      </c>
      <c r="AA40" s="191">
        <f>IFERROR(INDEX(TableTEMaster[Custom],MATCH(TableTECalcPts[[#This Row],[TERef]],TableTEMaster[TERef],0)),"")</f>
        <v>27.433862445722774</v>
      </c>
      <c r="AI40" s="221" t="s">
        <v>10</v>
      </c>
      <c r="AJ40" s="189">
        <f>IFERROR(RANK(TableWRTECalcPts[[#This Row],[Custom]],TableWRTECalcPts[Custom])+COUNTIF($AP$3:AP40,AP40)-1,"")</f>
        <v>161</v>
      </c>
      <c r="AK40" s="189">
        <v>38</v>
      </c>
      <c r="AL40" s="189" t="str">
        <f>IFERROR(INDEX(TableTEMaster[Player],MATCH(TableWRTECalcPts[[#This Row],[POSRef]],TableTEMaster[TERef],0)),"")</f>
        <v>Kylen Granson</v>
      </c>
      <c r="AM40" s="189" t="str">
        <f>IFERROR(_xlfn.CONCAT(TableWRTECalcPts[[#This Row],[POS]],INDEX(TableTERanks[RK],MATCH(TableWRTECalcPts[[#This Row],[PLAYER]],TableTERanks[Player],0))),"")</f>
        <v>TE46</v>
      </c>
      <c r="AN40" s="189" t="str">
        <f>IFERROR(INDEX(TableTEMaster[TM],MATCH(TableWRTECalcPts[[#This Row],[POSRef]],TableTEMaster[TERef],0)),"")</f>
        <v>IND</v>
      </c>
      <c r="AO40" s="189">
        <f>IFERROR(INDEX(TableTEMaster[BYE],MATCH(TableWRTECalcPts[[#This Row],[POSRef]],TableTEMaster[TERef],0)),"")</f>
        <v>14</v>
      </c>
      <c r="AP40" s="191">
        <f>IFERROR(INDEX(TableTEMaster[Custom],MATCH(TableWRTECalcPts[[#This Row],[POSRef]],TableTEMaster[TERef],0)),"")</f>
        <v>27.433862445722774</v>
      </c>
    </row>
    <row r="41" spans="1:42" x14ac:dyDescent="0.3">
      <c r="A41" s="198">
        <f>IFERROR(RANK(TableQBCalcPts[[#This Row],[Custom]],TableQBCalcPts[Custom])+COUNTIF($F$3:F41,F41)-1,"")</f>
        <v>18</v>
      </c>
      <c r="B41" s="189">
        <v>39</v>
      </c>
      <c r="C41" s="189" t="str">
        <f>IFERROR(INDEX(TableQBMaster[Player],MATCH(TableQBCalcPts[[#This Row],[QBRef]],TableQBMaster[QBRef],0)),"")</f>
        <v>Tua Tagovailoa</v>
      </c>
      <c r="D41" s="189" t="str">
        <f>IFERROR(INDEX(TableQBMaster[TM],MATCH(TableQBCalcPts[[#This Row],[QBRef]],TableQBMaster[QBRef],0)),"")</f>
        <v>MIA</v>
      </c>
      <c r="E41" s="189">
        <f>IFERROR(INDEX(TableQBMaster[BYE],MATCH(TableQBCalcPts[[#This Row],[QBRef]],TableQBMaster[QBRef],0)),"")</f>
        <v>11</v>
      </c>
      <c r="F41" s="191">
        <f>IFERROR(INDEX(TableQBMaster[Custom],MATCH(TableQBCalcPts[[#This Row],[QBRef]],TableQBMaster[QBRef],0)),"")</f>
        <v>298.54252678254943</v>
      </c>
      <c r="H41" s="189">
        <f>IFERROR(RANK(TableRBCalcPts[[#This Row],[Custom]],TableRBCalcPts[Custom])+COUNTIF($M$3:M41,M41)-1,"")</f>
        <v>46</v>
      </c>
      <c r="I41" s="189">
        <v>39</v>
      </c>
      <c r="J41" s="189" t="str">
        <f>IFERROR(INDEX(TableRBMaster[Player],MATCH(TableRBCalcPts[[#This Row],[RBRef]],TableRBMaster[RBRef],0)),"")</f>
        <v>Jamaal Williams</v>
      </c>
      <c r="K41" s="189" t="str">
        <f>IFERROR(INDEX(TableRBMaster[TM],MATCH(TableRBCalcPts[[#This Row],[RBRef]],TableRBMaster[RBRef],0)),"")</f>
        <v>DET</v>
      </c>
      <c r="L41" s="189">
        <f>IFERROR(INDEX(TableRBMaster[BYE],MATCH(TableRBCalcPts[[#This Row],[RBRef]],TableRBMaster[RBRef],0)),"")</f>
        <v>6</v>
      </c>
      <c r="M41" s="191">
        <f>IFERROR(INDEX(TableRBMaster[Custom],MATCH(TableRBCalcPts[[#This Row],[RBRef]],TableRBMaster[RBRef],0)),"")</f>
        <v>96.533767208897046</v>
      </c>
      <c r="O41" s="189">
        <f>IFERROR(RANK(TableWRCalcPts[[#This Row],[Custom]],TableWRCalcPts[Custom])+COUNTIF($T$3:T41,T41)-1,"")</f>
        <v>177</v>
      </c>
      <c r="P41" s="189">
        <v>39</v>
      </c>
      <c r="Q41" s="189" t="str">
        <f>IFERROR(INDEX(TableWRMaster[Player],MATCH(TableWRCalcPts[[#This Row],[WRRef]],TableWRMaster[WRRef],0)),"")</f>
        <v>Stanley Morgan</v>
      </c>
      <c r="R41" s="189" t="str">
        <f>IFERROR(INDEX(TableWRMaster[TM],MATCH(TableWRCalcPts[[#This Row],[WRRef]],TableWRMaster[WRRef],0)),"")</f>
        <v>CIN</v>
      </c>
      <c r="S41" s="189">
        <f>IFERROR(INDEX(TableWRMaster[BYE],MATCH(TableWRCalcPts[[#This Row],[WRRef]],TableWRMaster[WRRef],0)),"")</f>
        <v>10</v>
      </c>
      <c r="T41" s="191">
        <f>IFERROR(INDEX(TableWRMaster[Custom],MATCH(TableWRCalcPts[[#This Row],[WRRef]],TableWRMaster[WRRef],0)),"")</f>
        <v>7.4273755350731978</v>
      </c>
      <c r="V41" s="189">
        <f>IFERROR(RANK(TableTECalcPts[[#This Row],[Custom]],TableTECalcPts[Custom])+COUNTIF($AA$3:AA41,AA41)-1,"")</f>
        <v>59</v>
      </c>
      <c r="W41" s="189">
        <v>39</v>
      </c>
      <c r="X41" s="189" t="str">
        <f>IFERROR(INDEX(TableTEMaster[Player],MATCH(TableTECalcPts[[#This Row],[TERef]],TableTEMaster[TERef],0)),"")</f>
        <v>Jelani Woods</v>
      </c>
      <c r="Y41" s="189" t="str">
        <f>IFERROR(INDEX(TableTEMaster[TM],MATCH(TableTECalcPts[[#This Row],[TERef]],TableTEMaster[TERef],0)),"")</f>
        <v>IND</v>
      </c>
      <c r="Z41" s="189">
        <f>IFERROR(INDEX(TableTEMaster[BYE],MATCH(TableTECalcPts[[#This Row],[TERef]],TableTEMaster[TERef],0)),"")</f>
        <v>14</v>
      </c>
      <c r="AA41" s="191">
        <f>IFERROR(INDEX(TableTEMaster[Custom],MATCH(TableTECalcPts[[#This Row],[TERef]],TableTEMaster[TERef],0)),"")</f>
        <v>17.171626089126345</v>
      </c>
      <c r="AI41" s="221" t="s">
        <v>10</v>
      </c>
      <c r="AJ41" s="189">
        <f>IFERROR(RANK(TableWRTECalcPts[[#This Row],[Custom]],TableWRTECalcPts[Custom])+COUNTIF($AP$3:AP41,AP41)-1,"")</f>
        <v>201</v>
      </c>
      <c r="AK41" s="189">
        <v>39</v>
      </c>
      <c r="AL41" s="189" t="str">
        <f>IFERROR(INDEX(TableTEMaster[Player],MATCH(TableWRTECalcPts[[#This Row],[POSRef]],TableTEMaster[TERef],0)),"")</f>
        <v>Jelani Woods</v>
      </c>
      <c r="AM41" s="189" t="str">
        <f>IFERROR(_xlfn.CONCAT(TableWRTECalcPts[[#This Row],[POS]],INDEX(TableTERanks[RK],MATCH(TableWRTECalcPts[[#This Row],[PLAYER]],TableTERanks[Player],0))),"")</f>
        <v>TE59</v>
      </c>
      <c r="AN41" s="189" t="str">
        <f>IFERROR(INDEX(TableTEMaster[TM],MATCH(TableWRTECalcPts[[#This Row],[POSRef]],TableTEMaster[TERef],0)),"")</f>
        <v>IND</v>
      </c>
      <c r="AO41" s="189">
        <f>IFERROR(INDEX(TableTEMaster[BYE],MATCH(TableWRTECalcPts[[#This Row],[POSRef]],TableTEMaster[TERef],0)),"")</f>
        <v>14</v>
      </c>
      <c r="AP41" s="191">
        <f>IFERROR(INDEX(TableTEMaster[Custom],MATCH(TableWRTECalcPts[[#This Row],[POSRef]],TableTEMaster[TERef],0)),"")</f>
        <v>17.171626089126345</v>
      </c>
    </row>
    <row r="42" spans="1:42" x14ac:dyDescent="0.3">
      <c r="A42" s="198">
        <f>IFERROR(RANK(TableQBCalcPts[[#This Row],[Custom]],TableQBCalcPts[Custom])+COUNTIF($F$3:F42,F42)-1,"")</f>
        <v>47</v>
      </c>
      <c r="B42" s="189">
        <v>40</v>
      </c>
      <c r="C42" s="189" t="str">
        <f>IFERROR(INDEX(TableQBMaster[Player],MATCH(TableQBCalcPts[[#This Row],[QBRef]],TableQBMaster[QBRef],0)),"")</f>
        <v>Teddy Bridgewater</v>
      </c>
      <c r="D42" s="189" t="str">
        <f>IFERROR(INDEX(TableQBMaster[TM],MATCH(TableQBCalcPts[[#This Row],[QBRef]],TableQBMaster[QBRef],0)),"")</f>
        <v>MIA</v>
      </c>
      <c r="E42" s="189">
        <f>IFERROR(INDEX(TableQBMaster[BYE],MATCH(TableQBCalcPts[[#This Row],[QBRef]],TableQBMaster[QBRef],0)),"")</f>
        <v>11</v>
      </c>
      <c r="F42" s="191">
        <f>IFERROR(INDEX(TableQBMaster[Custom],MATCH(TableQBCalcPts[[#This Row],[QBRef]],TableQBMaster[QBRef],0)),"")</f>
        <v>10.277736823611601</v>
      </c>
      <c r="H42" s="189">
        <f>IFERROR(RANK(TableRBCalcPts[[#This Row],[Custom]],TableRBCalcPts[Custom])+COUNTIF($M$3:M42,M42)-1,"")</f>
        <v>96</v>
      </c>
      <c r="I42" s="189">
        <v>40</v>
      </c>
      <c r="J42" s="189" t="str">
        <f>IFERROR(INDEX(TableRBMaster[Player],MATCH(TableRBCalcPts[[#This Row],[RBRef]],TableRBMaster[RBRef],0)),"")</f>
        <v>Jermar Jefferson</v>
      </c>
      <c r="K42" s="189" t="str">
        <f>IFERROR(INDEX(TableRBMaster[TM],MATCH(TableRBCalcPts[[#This Row],[RBRef]],TableRBMaster[RBRef],0)),"")</f>
        <v>DET</v>
      </c>
      <c r="L42" s="189">
        <f>IFERROR(INDEX(TableRBMaster[BYE],MATCH(TableRBCalcPts[[#This Row],[RBRef]],TableRBMaster[RBRef],0)),"")</f>
        <v>6</v>
      </c>
      <c r="M42" s="191">
        <f>IFERROR(INDEX(TableRBMaster[Custom],MATCH(TableRBCalcPts[[#This Row],[RBRef]],TableRBMaster[RBRef],0)),"")</f>
        <v>16.461601927920299</v>
      </c>
      <c r="O42" s="189">
        <f>IFERROR(RANK(TableWRCalcPts[[#This Row],[Custom]],TableWRCalcPts[Custom])+COUNTIF($T$3:T42,T42)-1,"")</f>
        <v>159</v>
      </c>
      <c r="P42" s="189">
        <v>40</v>
      </c>
      <c r="Q42" s="189" t="str">
        <f>IFERROR(INDEX(TableWRMaster[Player],MATCH(TableWRCalcPts[[#This Row],[WRRef]],TableWRMaster[WRRef],0)),"")</f>
        <v>Mike Thomas</v>
      </c>
      <c r="R42" s="189" t="str">
        <f>IFERROR(INDEX(TableWRMaster[TM],MATCH(TableWRCalcPts[[#This Row],[WRRef]],TableWRMaster[WRRef],0)),"")</f>
        <v>CIN</v>
      </c>
      <c r="S42" s="189">
        <f>IFERROR(INDEX(TableWRMaster[BYE],MATCH(TableWRCalcPts[[#This Row],[WRRef]],TableWRMaster[WRRef],0)),"")</f>
        <v>10</v>
      </c>
      <c r="T42" s="191">
        <f>IFERROR(INDEX(TableWRMaster[Custom],MATCH(TableWRCalcPts[[#This Row],[WRRef]],TableWRMaster[WRRef],0)),"")</f>
        <v>12.674219162495806</v>
      </c>
      <c r="V42" s="189">
        <f>IFERROR(RANK(TableTECalcPts[[#This Row],[Custom]],TableTECalcPts[Custom])+COUNTIF($AA$3:AA42,AA42)-1,"")</f>
        <v>26</v>
      </c>
      <c r="W42" s="189">
        <v>40</v>
      </c>
      <c r="X42" s="189" t="str">
        <f>IFERROR(INDEX(TableTEMaster[Player],MATCH(TableTECalcPts[[#This Row],[TERef]],TableTEMaster[TERef],0)),"")</f>
        <v>Evan Engram</v>
      </c>
      <c r="Y42" s="189" t="str">
        <f>IFERROR(INDEX(TableTEMaster[TM],MATCH(TableTECalcPts[[#This Row],[TERef]],TableTEMaster[TERef],0)),"")</f>
        <v>JAX</v>
      </c>
      <c r="Z42" s="189">
        <f>IFERROR(INDEX(TableTEMaster[BYE],MATCH(TableTECalcPts[[#This Row],[TERef]],TableTEMaster[TERef],0)),"")</f>
        <v>11</v>
      </c>
      <c r="AA42" s="191">
        <f>IFERROR(INDEX(TableTEMaster[Custom],MATCH(TableTECalcPts[[#This Row],[TERef]],TableTEMaster[TERef],0)),"")</f>
        <v>79.044237431345721</v>
      </c>
      <c r="AI42" s="221" t="s">
        <v>10</v>
      </c>
      <c r="AJ42" s="189">
        <f>IFERROR(RANK(TableWRTECalcPts[[#This Row],[Custom]],TableWRTECalcPts[Custom])+COUNTIF($AP$3:AP42,AP42)-1,"")</f>
        <v>101</v>
      </c>
      <c r="AK42" s="189">
        <v>40</v>
      </c>
      <c r="AL42" s="189" t="str">
        <f>IFERROR(INDEX(TableTEMaster[Player],MATCH(TableWRTECalcPts[[#This Row],[POSRef]],TableTEMaster[TERef],0)),"")</f>
        <v>Evan Engram</v>
      </c>
      <c r="AM42" s="189" t="str">
        <f>IFERROR(_xlfn.CONCAT(TableWRTECalcPts[[#This Row],[POS]],INDEX(TableTERanks[RK],MATCH(TableWRTECalcPts[[#This Row],[PLAYER]],TableTERanks[Player],0))),"")</f>
        <v>TE26</v>
      </c>
      <c r="AN42" s="189" t="str">
        <f>IFERROR(INDEX(TableTEMaster[TM],MATCH(TableWRTECalcPts[[#This Row],[POSRef]],TableTEMaster[TERef],0)),"")</f>
        <v>JAX</v>
      </c>
      <c r="AO42" s="189">
        <f>IFERROR(INDEX(TableTEMaster[BYE],MATCH(TableWRTECalcPts[[#This Row],[POSRef]],TableTEMaster[TERef],0)),"")</f>
        <v>11</v>
      </c>
      <c r="AP42" s="191">
        <f>IFERROR(INDEX(TableTEMaster[Custom],MATCH(TableWRTECalcPts[[#This Row],[POSRef]],TableTEMaster[TERef],0)),"")</f>
        <v>79.044237431345721</v>
      </c>
    </row>
    <row r="43" spans="1:42" x14ac:dyDescent="0.3">
      <c r="A43" s="198">
        <f>IFERROR(RANK(TableQBCalcPts[[#This Row],[Custom]],TableQBCalcPts[Custom])+COUNTIF($F$3:F43,F43)-1,"")</f>
        <v>17</v>
      </c>
      <c r="B43" s="189">
        <v>41</v>
      </c>
      <c r="C43" s="189" t="str">
        <f>IFERROR(INDEX(TableQBMaster[Player],MATCH(TableQBCalcPts[[#This Row],[QBRef]],TableQBMaster[QBRef],0)),"")</f>
        <v>Kirk Cousins</v>
      </c>
      <c r="D43" s="189" t="str">
        <f>IFERROR(INDEX(TableQBMaster[TM],MATCH(TableQBCalcPts[[#This Row],[QBRef]],TableQBMaster[QBRef],0)),"")</f>
        <v>MIN</v>
      </c>
      <c r="E43" s="189">
        <f>IFERROR(INDEX(TableQBMaster[BYE],MATCH(TableQBCalcPts[[#This Row],[QBRef]],TableQBMaster[QBRef],0)),"")</f>
        <v>7</v>
      </c>
      <c r="F43" s="191">
        <f>IFERROR(INDEX(TableQBMaster[Custom],MATCH(TableQBCalcPts[[#This Row],[QBRef]],TableQBMaster[QBRef],0)),"")</f>
        <v>301.93338591922918</v>
      </c>
      <c r="H43" s="189">
        <f>IFERROR(RANK(TableRBCalcPts[[#This Row],[Custom]],TableRBCalcPts[Custom])+COUNTIF($M$3:M43,M43)-1,"")</f>
        <v>107</v>
      </c>
      <c r="I43" s="189">
        <v>41</v>
      </c>
      <c r="J43" s="189" t="str">
        <f>IFERROR(INDEX(TableRBMaster[Player],MATCH(TableRBCalcPts[[#This Row],[RBRef]],TableRBMaster[RBRef],0)),"")</f>
        <v>Craig Reynolds</v>
      </c>
      <c r="K43" s="189" t="str">
        <f>IFERROR(INDEX(TableRBMaster[TM],MATCH(TableRBCalcPts[[#This Row],[RBRef]],TableRBMaster[RBRef],0)),"")</f>
        <v>DET</v>
      </c>
      <c r="L43" s="189">
        <f>IFERROR(INDEX(TableRBMaster[BYE],MATCH(TableRBCalcPts[[#This Row],[RBRef]],TableRBMaster[RBRef],0)),"")</f>
        <v>6</v>
      </c>
      <c r="M43" s="191">
        <f>IFERROR(INDEX(TableRBMaster[Custom],MATCH(TableRBCalcPts[[#This Row],[RBRef]],TableRBMaster[RBRef],0)),"")</f>
        <v>11.573681464598321</v>
      </c>
      <c r="O43" s="189">
        <f>IFERROR(RANK(TableWRCalcPts[[#This Row],[Custom]],TableWRCalcPts[Custom])+COUNTIF($T$3:T43,T43)-1,"")</f>
        <v>14</v>
      </c>
      <c r="P43" s="189">
        <v>41</v>
      </c>
      <c r="Q43" s="189" t="str">
        <f>IFERROR(INDEX(TableWRMaster[Player],MATCH(TableWRCalcPts[[#This Row],[WRRef]],TableWRMaster[WRRef],0)),"")</f>
        <v>Amari Cooper</v>
      </c>
      <c r="R43" s="189" t="str">
        <f>IFERROR(INDEX(TableWRMaster[TM],MATCH(TableWRCalcPts[[#This Row],[WRRef]],TableWRMaster[WRRef],0)),"")</f>
        <v>CLE</v>
      </c>
      <c r="S43" s="189">
        <f>IFERROR(INDEX(TableWRMaster[BYE],MATCH(TableWRCalcPts[[#This Row],[WRRef]],TableWRMaster[WRRef],0)),"")</f>
        <v>9</v>
      </c>
      <c r="T43" s="191">
        <f>IFERROR(INDEX(TableWRMaster[Custom],MATCH(TableWRCalcPts[[#This Row],[WRRef]],TableWRMaster[WRRef],0)),"")</f>
        <v>156.91573129483072</v>
      </c>
      <c r="V43" s="189">
        <f>IFERROR(RANK(TableTECalcPts[[#This Row],[Custom]],TableTECalcPts[Custom])+COUNTIF($AA$3:AA43,AA43)-1,"")</f>
        <v>30</v>
      </c>
      <c r="W43" s="189">
        <v>41</v>
      </c>
      <c r="X43" s="189" t="str">
        <f>IFERROR(INDEX(TableTEMaster[Player],MATCH(TableTECalcPts[[#This Row],[TERef]],TableTEMaster[TERef],0)),"")</f>
        <v>Dan Arnold</v>
      </c>
      <c r="Y43" s="189" t="str">
        <f>IFERROR(INDEX(TableTEMaster[TM],MATCH(TableTECalcPts[[#This Row],[TERef]],TableTEMaster[TERef],0)),"")</f>
        <v>JAX</v>
      </c>
      <c r="Z43" s="189">
        <f>IFERROR(INDEX(TableTEMaster[BYE],MATCH(TableTECalcPts[[#This Row],[TERef]],TableTEMaster[TERef],0)),"")</f>
        <v>11</v>
      </c>
      <c r="AA43" s="191">
        <f>IFERROR(INDEX(TableTEMaster[Custom],MATCH(TableTECalcPts[[#This Row],[TERef]],TableTEMaster[TERef],0)),"")</f>
        <v>54.026711510678737</v>
      </c>
      <c r="AI43" s="221" t="s">
        <v>10</v>
      </c>
      <c r="AJ43" s="189">
        <f>IFERROR(RANK(TableWRTECalcPts[[#This Row],[Custom]],TableWRTECalcPts[Custom])+COUNTIF($AP$3:AP43,AP43)-1,"")</f>
        <v>123</v>
      </c>
      <c r="AK43" s="189">
        <v>41</v>
      </c>
      <c r="AL43" s="189" t="str">
        <f>IFERROR(INDEX(TableTEMaster[Player],MATCH(TableWRTECalcPts[[#This Row],[POSRef]],TableTEMaster[TERef],0)),"")</f>
        <v>Dan Arnold</v>
      </c>
      <c r="AM43" s="189" t="str">
        <f>IFERROR(_xlfn.CONCAT(TableWRTECalcPts[[#This Row],[POS]],INDEX(TableTERanks[RK],MATCH(TableWRTECalcPts[[#This Row],[PLAYER]],TableTERanks[Player],0))),"")</f>
        <v>TE30</v>
      </c>
      <c r="AN43" s="189" t="str">
        <f>IFERROR(INDEX(TableTEMaster[TM],MATCH(TableWRTECalcPts[[#This Row],[POSRef]],TableTEMaster[TERef],0)),"")</f>
        <v>JAX</v>
      </c>
      <c r="AO43" s="189">
        <f>IFERROR(INDEX(TableTEMaster[BYE],MATCH(TableWRTECalcPts[[#This Row],[POSRef]],TableTEMaster[TERef],0)),"")</f>
        <v>11</v>
      </c>
      <c r="AP43" s="191">
        <f>IFERROR(INDEX(TableTEMaster[Custom],MATCH(TableWRTECalcPts[[#This Row],[POSRef]],TableTEMaster[TERef],0)),"")</f>
        <v>54.026711510678737</v>
      </c>
    </row>
    <row r="44" spans="1:42" x14ac:dyDescent="0.3">
      <c r="A44" s="198">
        <f>IFERROR(RANK(TableQBCalcPts[[#This Row],[Custom]],TableQBCalcPts[Custom])+COUNTIF($F$3:F44,F44)-1,"")</f>
        <v>66</v>
      </c>
      <c r="B44" s="189">
        <v>42</v>
      </c>
      <c r="C44" s="189" t="str">
        <f>IFERROR(INDEX(TableQBMaster[Player],MATCH(TableQBCalcPts[[#This Row],[QBRef]],TableQBMaster[QBRef],0)),"")</f>
        <v>Kellen Mond</v>
      </c>
      <c r="D44" s="189" t="str">
        <f>IFERROR(INDEX(TableQBMaster[TM],MATCH(TableQBCalcPts[[#This Row],[QBRef]],TableQBMaster[QBRef],0)),"")</f>
        <v>MIN</v>
      </c>
      <c r="E44" s="189">
        <f>IFERROR(INDEX(TableQBMaster[BYE],MATCH(TableQBCalcPts[[#This Row],[QBRef]],TableQBMaster[QBRef],0)),"")</f>
        <v>7</v>
      </c>
      <c r="F44" s="191">
        <f>IFERROR(INDEX(TableQBMaster[Custom],MATCH(TableQBCalcPts[[#This Row],[QBRef]],TableQBMaster[QBRef],0)),"")</f>
        <v>2.1864285817745461</v>
      </c>
      <c r="H44" s="189">
        <f>IFERROR(RANK(TableRBCalcPts[[#This Row],[Custom]],TableRBCalcPts[Custom])+COUNTIF($M$3:M44,M44)-1,"")</f>
        <v>16</v>
      </c>
      <c r="I44" s="189">
        <v>42</v>
      </c>
      <c r="J44" s="189" t="str">
        <f>IFERROR(INDEX(TableRBMaster[Player],MATCH(TableRBCalcPts[[#This Row],[RBRef]],TableRBMaster[RBRef],0)),"")</f>
        <v>Aaron Jones</v>
      </c>
      <c r="K44" s="189" t="str">
        <f>IFERROR(INDEX(TableRBMaster[TM],MATCH(TableRBCalcPts[[#This Row],[RBRef]],TableRBMaster[RBRef],0)),"")</f>
        <v>GB</v>
      </c>
      <c r="L44" s="189">
        <f>IFERROR(INDEX(TableRBMaster[BYE],MATCH(TableRBCalcPts[[#This Row],[RBRef]],TableRBMaster[RBRef],0)),"")</f>
        <v>14</v>
      </c>
      <c r="M44" s="191">
        <f>IFERROR(INDEX(TableRBMaster[Custom],MATCH(TableRBCalcPts[[#This Row],[RBRef]],TableRBMaster[RBRef],0)),"")</f>
        <v>196.51276269904162</v>
      </c>
      <c r="O44" s="189">
        <f>IFERROR(RANK(TableWRCalcPts[[#This Row],[Custom]],TableWRCalcPts[Custom])+COUNTIF($T$3:T44,T44)-1,"")</f>
        <v>90</v>
      </c>
      <c r="P44" s="189">
        <v>42</v>
      </c>
      <c r="Q44" s="189" t="str">
        <f>IFERROR(INDEX(TableWRMaster[Player],MATCH(TableWRCalcPts[[#This Row],[WRRef]],TableWRMaster[WRRef],0)),"")</f>
        <v>David Bell</v>
      </c>
      <c r="R44" s="189" t="str">
        <f>IFERROR(INDEX(TableWRMaster[TM],MATCH(TableWRCalcPts[[#This Row],[WRRef]],TableWRMaster[WRRef],0)),"")</f>
        <v>CLE</v>
      </c>
      <c r="S44" s="189">
        <f>IFERROR(INDEX(TableWRMaster[BYE],MATCH(TableWRCalcPts[[#This Row],[WRRef]],TableWRMaster[WRRef],0)),"")</f>
        <v>9</v>
      </c>
      <c r="T44" s="191">
        <f>IFERROR(INDEX(TableWRMaster[Custom],MATCH(TableWRCalcPts[[#This Row],[WRRef]],TableWRMaster[WRRef],0)),"")</f>
        <v>57.726772683944851</v>
      </c>
      <c r="V44" s="189">
        <f>IFERROR(RANK(TableTECalcPts[[#This Row],[Custom]],TableTECalcPts[Custom])+COUNTIF($AA$3:AA44,AA44)-1,"")</f>
        <v>68</v>
      </c>
      <c r="W44" s="189">
        <v>42</v>
      </c>
      <c r="X44" s="189" t="str">
        <f>IFERROR(INDEX(TableTEMaster[Player],MATCH(TableTECalcPts[[#This Row],[TERef]],TableTEMaster[TERef],0)),"")</f>
        <v>Chris Manhertz</v>
      </c>
      <c r="Y44" s="189" t="str">
        <f>IFERROR(INDEX(TableTEMaster[TM],MATCH(TableTECalcPts[[#This Row],[TERef]],TableTEMaster[TERef],0)),"")</f>
        <v>JAX</v>
      </c>
      <c r="Z44" s="189">
        <f>IFERROR(INDEX(TableTEMaster[BYE],MATCH(TableTECalcPts[[#This Row],[TERef]],TableTEMaster[TERef],0)),"")</f>
        <v>11</v>
      </c>
      <c r="AA44" s="191">
        <f>IFERROR(INDEX(TableTEMaster[Custom],MATCH(TableTECalcPts[[#This Row],[TERef]],TableTEMaster[TERef],0)),"")</f>
        <v>11.678836361164802</v>
      </c>
      <c r="AI44" s="221" t="s">
        <v>10</v>
      </c>
      <c r="AJ44" s="189">
        <f>IFERROR(RANK(TableWRTECalcPts[[#This Row],[Custom]],TableWRTECalcPts[Custom])+COUNTIF($AP$3:AP44,AP44)-1,"")</f>
        <v>230</v>
      </c>
      <c r="AK44" s="189">
        <v>42</v>
      </c>
      <c r="AL44" s="189" t="str">
        <f>IFERROR(INDEX(TableTEMaster[Player],MATCH(TableWRTECalcPts[[#This Row],[POSRef]],TableTEMaster[TERef],0)),"")</f>
        <v>Chris Manhertz</v>
      </c>
      <c r="AM44" s="189" t="str">
        <f>IFERROR(_xlfn.CONCAT(TableWRTECalcPts[[#This Row],[POS]],INDEX(TableTERanks[RK],MATCH(TableWRTECalcPts[[#This Row],[PLAYER]],TableTERanks[Player],0))),"")</f>
        <v>TE68</v>
      </c>
      <c r="AN44" s="189" t="str">
        <f>IFERROR(INDEX(TableTEMaster[TM],MATCH(TableWRTECalcPts[[#This Row],[POSRef]],TableTEMaster[TERef],0)),"")</f>
        <v>JAX</v>
      </c>
      <c r="AO44" s="189">
        <f>IFERROR(INDEX(TableTEMaster[BYE],MATCH(TableWRTECalcPts[[#This Row],[POSRef]],TableTEMaster[TERef],0)),"")</f>
        <v>11</v>
      </c>
      <c r="AP44" s="191">
        <f>IFERROR(INDEX(TableTEMaster[Custom],MATCH(TableWRTECalcPts[[#This Row],[POSRef]],TableTEMaster[TERef],0)),"")</f>
        <v>11.678836361164802</v>
      </c>
    </row>
    <row r="45" spans="1:42" x14ac:dyDescent="0.3">
      <c r="A45" s="198">
        <f>IFERROR(RANK(TableQBCalcPts[[#This Row],[Custom]],TableQBCalcPts[Custom])+COUNTIF($F$3:F45,F45)-1,"")</f>
        <v>26</v>
      </c>
      <c r="B45" s="189">
        <v>43</v>
      </c>
      <c r="C45" s="189" t="str">
        <f>IFERROR(INDEX(TableQBMaster[Player],MATCH(TableQBCalcPts[[#This Row],[QBRef]],TableQBMaster[QBRef],0)),"")</f>
        <v>Mac Jones</v>
      </c>
      <c r="D45" s="189" t="str">
        <f>IFERROR(INDEX(TableQBMaster[TM],MATCH(TableQBCalcPts[[#This Row],[QBRef]],TableQBMaster[QBRef],0)),"")</f>
        <v>NE</v>
      </c>
      <c r="E45" s="189">
        <f>IFERROR(INDEX(TableQBMaster[BYE],MATCH(TableQBCalcPts[[#This Row],[QBRef]],TableQBMaster[QBRef],0)),"")</f>
        <v>10</v>
      </c>
      <c r="F45" s="191">
        <f>IFERROR(INDEX(TableQBMaster[Custom],MATCH(TableQBCalcPts[[#This Row],[QBRef]],TableQBMaster[QBRef],0)),"")</f>
        <v>243.25766741524433</v>
      </c>
      <c r="H45" s="189">
        <f>IFERROR(RANK(TableRBCalcPts[[#This Row],[Custom]],TableRBCalcPts[Custom])+COUNTIF($M$3:M45,M45)-1,"")</f>
        <v>26</v>
      </c>
      <c r="I45" s="189">
        <v>43</v>
      </c>
      <c r="J45" s="189" t="str">
        <f>IFERROR(INDEX(TableRBMaster[Player],MATCH(TableRBCalcPts[[#This Row],[RBRef]],TableRBMaster[RBRef],0)),"")</f>
        <v>AJ Dillon</v>
      </c>
      <c r="K45" s="189" t="str">
        <f>IFERROR(INDEX(TableRBMaster[TM],MATCH(TableRBCalcPts[[#This Row],[RBRef]],TableRBMaster[RBRef],0)),"")</f>
        <v>GB</v>
      </c>
      <c r="L45" s="189">
        <f>IFERROR(INDEX(TableRBMaster[BYE],MATCH(TableRBCalcPts[[#This Row],[RBRef]],TableRBMaster[RBRef],0)),"")</f>
        <v>14</v>
      </c>
      <c r="M45" s="191">
        <f>IFERROR(INDEX(TableRBMaster[Custom],MATCH(TableRBCalcPts[[#This Row],[RBRef]],TableRBMaster[RBRef],0)),"")</f>
        <v>157.91538928118763</v>
      </c>
      <c r="O45" s="189">
        <f>IFERROR(RANK(TableWRCalcPts[[#This Row],[Custom]],TableWRCalcPts[Custom])+COUNTIF($T$3:T45,T45)-1,"")</f>
        <v>73</v>
      </c>
      <c r="P45" s="189">
        <v>43</v>
      </c>
      <c r="Q45" s="189" t="str">
        <f>IFERROR(INDEX(TableWRMaster[Player],MATCH(TableWRCalcPts[[#This Row],[WRRef]],TableWRMaster[WRRef],0)),"")</f>
        <v>Donovan Peoples-Jones</v>
      </c>
      <c r="R45" s="189" t="str">
        <f>IFERROR(INDEX(TableWRMaster[TM],MATCH(TableWRCalcPts[[#This Row],[WRRef]],TableWRMaster[WRRef],0)),"")</f>
        <v>CLE</v>
      </c>
      <c r="S45" s="189">
        <f>IFERROR(INDEX(TableWRMaster[BYE],MATCH(TableWRCalcPts[[#This Row],[WRRef]],TableWRMaster[WRRef],0)),"")</f>
        <v>9</v>
      </c>
      <c r="T45" s="191">
        <f>IFERROR(INDEX(TableWRMaster[Custom],MATCH(TableWRCalcPts[[#This Row],[WRRef]],TableWRMaster[WRRef],0)),"")</f>
        <v>85.670822503733376</v>
      </c>
      <c r="V45" s="189">
        <f>IFERROR(RANK(TableTECalcPts[[#This Row],[Custom]],TableTECalcPts[Custom])+COUNTIF($AA$3:AA45,AA45)-1,"")</f>
        <v>1</v>
      </c>
      <c r="W45" s="189">
        <v>43</v>
      </c>
      <c r="X45" s="189" t="str">
        <f>IFERROR(INDEX(TableTEMaster[Player],MATCH(TableTECalcPts[[#This Row],[TERef]],TableTEMaster[TERef],0)),"")</f>
        <v>Travis Kelce</v>
      </c>
      <c r="Y45" s="189" t="str">
        <f>IFERROR(INDEX(TableTEMaster[TM],MATCH(TableTECalcPts[[#This Row],[TERef]],TableTEMaster[TERef],0)),"")</f>
        <v>KC</v>
      </c>
      <c r="Z45" s="189">
        <f>IFERROR(INDEX(TableTEMaster[BYE],MATCH(TableTECalcPts[[#This Row],[TERef]],TableTEMaster[TERef],0)),"")</f>
        <v>8</v>
      </c>
      <c r="AA45" s="191">
        <f>IFERROR(INDEX(TableTEMaster[Custom],MATCH(TableTECalcPts[[#This Row],[TERef]],TableTEMaster[TERef],0)),"")</f>
        <v>168.01396248207141</v>
      </c>
      <c r="AI45" s="221" t="s">
        <v>10</v>
      </c>
      <c r="AJ45" s="189">
        <f>IFERROR(RANK(TableWRTECalcPts[[#This Row],[Custom]],TableWRTECalcPts[Custom])+COUNTIF($AP$3:AP45,AP45)-1,"")</f>
        <v>12</v>
      </c>
      <c r="AK45" s="189">
        <v>43</v>
      </c>
      <c r="AL45" s="189" t="str">
        <f>IFERROR(INDEX(TableTEMaster[Player],MATCH(TableWRTECalcPts[[#This Row],[POSRef]],TableTEMaster[TERef],0)),"")</f>
        <v>Travis Kelce</v>
      </c>
      <c r="AM45" s="189" t="str">
        <f>IFERROR(_xlfn.CONCAT(TableWRTECalcPts[[#This Row],[POS]],INDEX(TableTERanks[RK],MATCH(TableWRTECalcPts[[#This Row],[PLAYER]],TableTERanks[Player],0))),"")</f>
        <v>TE1</v>
      </c>
      <c r="AN45" s="189" t="str">
        <f>IFERROR(INDEX(TableTEMaster[TM],MATCH(TableWRTECalcPts[[#This Row],[POSRef]],TableTEMaster[TERef],0)),"")</f>
        <v>KC</v>
      </c>
      <c r="AO45" s="189">
        <f>IFERROR(INDEX(TableTEMaster[BYE],MATCH(TableWRTECalcPts[[#This Row],[POSRef]],TableTEMaster[TERef],0)),"")</f>
        <v>8</v>
      </c>
      <c r="AP45" s="191">
        <f>IFERROR(INDEX(TableTEMaster[Custom],MATCH(TableWRTECalcPts[[#This Row],[POSRef]],TableTEMaster[TERef],0)),"")</f>
        <v>168.01396248207141</v>
      </c>
    </row>
    <row r="46" spans="1:42" x14ac:dyDescent="0.3">
      <c r="A46" s="198">
        <f>IFERROR(RANK(TableQBCalcPts[[#This Row],[Custom]],TableQBCalcPts[Custom])+COUNTIF($F$3:F46,F46)-1,"")</f>
        <v>56</v>
      </c>
      <c r="B46" s="189">
        <v>44</v>
      </c>
      <c r="C46" s="189" t="str">
        <f>IFERROR(INDEX(TableQBMaster[Player],MATCH(TableQBCalcPts[[#This Row],[QBRef]],TableQBMaster[QBRef],0)),"")</f>
        <v>Brian Hoyer</v>
      </c>
      <c r="D46" s="189" t="str">
        <f>IFERROR(INDEX(TableQBMaster[TM],MATCH(TableQBCalcPts[[#This Row],[QBRef]],TableQBMaster[QBRef],0)),"")</f>
        <v>NE</v>
      </c>
      <c r="E46" s="189">
        <f>IFERROR(INDEX(TableQBMaster[BYE],MATCH(TableQBCalcPts[[#This Row],[QBRef]],TableQBMaster[QBRef],0)),"")</f>
        <v>10</v>
      </c>
      <c r="F46" s="191">
        <f>IFERROR(INDEX(TableQBMaster[Custom],MATCH(TableQBCalcPts[[#This Row],[QBRef]],TableQBMaster[QBRef],0)),"")</f>
        <v>4.6489180604410008</v>
      </c>
      <c r="H46" s="189">
        <f>IFERROR(RANK(TableRBCalcPts[[#This Row],[Custom]],TableRBCalcPts[Custom])+COUNTIF($M$3:M46,M46)-1,"")</f>
        <v>105</v>
      </c>
      <c r="I46" s="189">
        <v>44</v>
      </c>
      <c r="J46" s="189" t="str">
        <f>IFERROR(INDEX(TableRBMaster[Player],MATCH(TableRBCalcPts[[#This Row],[RBRef]],TableRBMaster[RBRef],0)),"")</f>
        <v>Kylin Hill</v>
      </c>
      <c r="K46" s="189" t="str">
        <f>IFERROR(INDEX(TableRBMaster[TM],MATCH(TableRBCalcPts[[#This Row],[RBRef]],TableRBMaster[RBRef],0)),"")</f>
        <v>GB</v>
      </c>
      <c r="L46" s="189">
        <f>IFERROR(INDEX(TableRBMaster[BYE],MATCH(TableRBCalcPts[[#This Row],[RBRef]],TableRBMaster[RBRef],0)),"")</f>
        <v>14</v>
      </c>
      <c r="M46" s="191">
        <f>IFERROR(INDEX(TableRBMaster[Custom],MATCH(TableRBCalcPts[[#This Row],[RBRef]],TableRBMaster[RBRef],0)),"")</f>
        <v>12.788947408403649</v>
      </c>
      <c r="O46" s="189">
        <f>IFERROR(RANK(TableWRCalcPts[[#This Row],[Custom]],TableWRCalcPts[Custom])+COUNTIF($T$3:T46,T46)-1,"")</f>
        <v>157</v>
      </c>
      <c r="P46" s="189">
        <v>44</v>
      </c>
      <c r="Q46" s="189" t="str">
        <f>IFERROR(INDEX(TableWRMaster[Player],MATCH(TableWRCalcPts[[#This Row],[WRRef]],TableWRMaster[WRRef],0)),"")</f>
        <v>Jakeem Grant</v>
      </c>
      <c r="R46" s="189" t="str">
        <f>IFERROR(INDEX(TableWRMaster[TM],MATCH(TableWRCalcPts[[#This Row],[WRRef]],TableWRMaster[WRRef],0)),"")</f>
        <v>CLE</v>
      </c>
      <c r="S46" s="189">
        <f>IFERROR(INDEX(TableWRMaster[BYE],MATCH(TableWRCalcPts[[#This Row],[WRRef]],TableWRMaster[WRRef],0)),"")</f>
        <v>9</v>
      </c>
      <c r="T46" s="191">
        <f>IFERROR(INDEX(TableWRMaster[Custom],MATCH(TableWRCalcPts[[#This Row],[WRRef]],TableWRMaster[WRRef],0)),"")</f>
        <v>12.895494146377734</v>
      </c>
      <c r="V46" s="189">
        <f>IFERROR(RANK(TableTECalcPts[[#This Row],[Custom]],TableTECalcPts[Custom])+COUNTIF($AA$3:AA46,AA46)-1,"")</f>
        <v>64</v>
      </c>
      <c r="W46" s="189">
        <v>44</v>
      </c>
      <c r="X46" s="189" t="str">
        <f>IFERROR(INDEX(TableTEMaster[Player],MATCH(TableTECalcPts[[#This Row],[TERef]],TableTEMaster[TERef],0)),"")</f>
        <v>Noah Gray</v>
      </c>
      <c r="Y46" s="189" t="str">
        <f>IFERROR(INDEX(TableTEMaster[TM],MATCH(TableTECalcPts[[#This Row],[TERef]],TableTEMaster[TERef],0)),"")</f>
        <v>KC</v>
      </c>
      <c r="Z46" s="189">
        <f>IFERROR(INDEX(TableTEMaster[BYE],MATCH(TableTECalcPts[[#This Row],[TERef]],TableTEMaster[TERef],0)),"")</f>
        <v>8</v>
      </c>
      <c r="AA46" s="191">
        <f>IFERROR(INDEX(TableTEMaster[Custom],MATCH(TableTECalcPts[[#This Row],[TERef]],TableTEMaster[TERef],0)),"")</f>
        <v>13.871069075680589</v>
      </c>
      <c r="AI46" s="221" t="s">
        <v>10</v>
      </c>
      <c r="AJ46" s="189">
        <f>IFERROR(RANK(TableWRTECalcPts[[#This Row],[Custom]],TableWRTECalcPts[Custom])+COUNTIF($AP$3:AP46,AP46)-1,"")</f>
        <v>215</v>
      </c>
      <c r="AK46" s="189">
        <v>44</v>
      </c>
      <c r="AL46" s="189" t="str">
        <f>IFERROR(INDEX(TableTEMaster[Player],MATCH(TableWRTECalcPts[[#This Row],[POSRef]],TableTEMaster[TERef],0)),"")</f>
        <v>Noah Gray</v>
      </c>
      <c r="AM46" s="189" t="str">
        <f>IFERROR(_xlfn.CONCAT(TableWRTECalcPts[[#This Row],[POS]],INDEX(TableTERanks[RK],MATCH(TableWRTECalcPts[[#This Row],[PLAYER]],TableTERanks[Player],0))),"")</f>
        <v>TE64</v>
      </c>
      <c r="AN46" s="189" t="str">
        <f>IFERROR(INDEX(TableTEMaster[TM],MATCH(TableWRTECalcPts[[#This Row],[POSRef]],TableTEMaster[TERef],0)),"")</f>
        <v>KC</v>
      </c>
      <c r="AO46" s="189">
        <f>IFERROR(INDEX(TableTEMaster[BYE],MATCH(TableWRTECalcPts[[#This Row],[POSRef]],TableTEMaster[TERef],0)),"")</f>
        <v>8</v>
      </c>
      <c r="AP46" s="191">
        <f>IFERROR(INDEX(TableTEMaster[Custom],MATCH(TableWRTECalcPts[[#This Row],[POSRef]],TableTEMaster[TERef],0)),"")</f>
        <v>13.871069075680589</v>
      </c>
    </row>
    <row r="47" spans="1:42" x14ac:dyDescent="0.3">
      <c r="A47" s="198">
        <f>IFERROR(RANK(TableQBCalcPts[[#This Row],[Custom]],TableQBCalcPts[Custom])+COUNTIF($F$3:F47,F47)-1,"")</f>
        <v>25</v>
      </c>
      <c r="B47" s="189">
        <v>45</v>
      </c>
      <c r="C47" s="189" t="str">
        <f>IFERROR(INDEX(TableQBMaster[Player],MATCH(TableQBCalcPts[[#This Row],[QBRef]],TableQBMaster[QBRef],0)),"")</f>
        <v>Jameis Winston</v>
      </c>
      <c r="D47" s="189" t="str">
        <f>IFERROR(INDEX(TableQBMaster[TM],MATCH(TableQBCalcPts[[#This Row],[QBRef]],TableQBMaster[QBRef],0)),"")</f>
        <v>NO</v>
      </c>
      <c r="E47" s="189">
        <f>IFERROR(INDEX(TableQBMaster[BYE],MATCH(TableQBCalcPts[[#This Row],[QBRef]],TableQBMaster[QBRef],0)),"")</f>
        <v>14</v>
      </c>
      <c r="F47" s="191">
        <f>IFERROR(INDEX(TableQBMaster[Custom],MATCH(TableQBCalcPts[[#This Row],[QBRef]],TableQBMaster[QBRef],0)),"")</f>
        <v>258.137240167492</v>
      </c>
      <c r="H47" s="189">
        <f>IFERROR(RANK(TableRBCalcPts[[#This Row],[Custom]],TableRBCalcPts[Custom])+COUNTIF($M$3:M47,M47)-1,"")</f>
        <v>50</v>
      </c>
      <c r="I47" s="189">
        <v>45</v>
      </c>
      <c r="J47" s="189" t="str">
        <f>IFERROR(INDEX(TableRBMaster[Player],MATCH(TableRBCalcPts[[#This Row],[RBRef]],TableRBMaster[RBRef],0)),"")</f>
        <v>Marlon Mack</v>
      </c>
      <c r="K47" s="189" t="str">
        <f>IFERROR(INDEX(TableRBMaster[TM],MATCH(TableRBCalcPts[[#This Row],[RBRef]],TableRBMaster[RBRef],0)),"")</f>
        <v>HOU</v>
      </c>
      <c r="L47" s="189">
        <f>IFERROR(INDEX(TableRBMaster[BYE],MATCH(TableRBCalcPts[[#This Row],[RBRef]],TableRBMaster[RBRef],0)),"")</f>
        <v>6</v>
      </c>
      <c r="M47" s="191">
        <f>IFERROR(INDEX(TableRBMaster[Custom],MATCH(TableRBCalcPts[[#This Row],[RBRef]],TableRBMaster[RBRef],0)),"")</f>
        <v>93.003437023698993</v>
      </c>
      <c r="O47" s="189">
        <f>IFERROR(RANK(TableWRCalcPts[[#This Row],[Custom]],TableWRCalcPts[Custom])+COUNTIF($T$3:T47,T47)-1,"")</f>
        <v>105</v>
      </c>
      <c r="P47" s="189">
        <v>45</v>
      </c>
      <c r="Q47" s="189" t="str">
        <f>IFERROR(INDEX(TableWRMaster[Player],MATCH(TableWRCalcPts[[#This Row],[WRRef]],TableWRMaster[WRRef],0)),"")</f>
        <v>Anthony Schwartz</v>
      </c>
      <c r="R47" s="189" t="str">
        <f>IFERROR(INDEX(TableWRMaster[TM],MATCH(TableWRCalcPts[[#This Row],[WRRef]],TableWRMaster[WRRef],0)),"")</f>
        <v>CLE</v>
      </c>
      <c r="S47" s="189">
        <f>IFERROR(INDEX(TableWRMaster[BYE],MATCH(TableWRCalcPts[[#This Row],[WRRef]],TableWRMaster[WRRef],0)),"")</f>
        <v>9</v>
      </c>
      <c r="T47" s="191">
        <f>IFERROR(INDEX(TableWRMaster[Custom],MATCH(TableWRCalcPts[[#This Row],[WRRef]],TableWRMaster[WRRef],0)),"")</f>
        <v>42.407443228787997</v>
      </c>
      <c r="V47" s="189">
        <f>IFERROR(RANK(TableTECalcPts[[#This Row],[Custom]],TableTECalcPts[Custom])+COUNTIF($AA$3:AA47,AA47)-1,"")</f>
        <v>72</v>
      </c>
      <c r="W47" s="189">
        <v>45</v>
      </c>
      <c r="X47" s="189" t="str">
        <f>IFERROR(INDEX(TableTEMaster[Player],MATCH(TableTECalcPts[[#This Row],[TERef]],TableTEMaster[TERef],0)),"")</f>
        <v>Blake Bell</v>
      </c>
      <c r="Y47" s="189" t="str">
        <f>IFERROR(INDEX(TableTEMaster[TM],MATCH(TableTECalcPts[[#This Row],[TERef]],TableTEMaster[TERef],0)),"")</f>
        <v>KC</v>
      </c>
      <c r="Z47" s="189">
        <f>IFERROR(INDEX(TableTEMaster[BYE],MATCH(TableTECalcPts[[#This Row],[TERef]],TableTEMaster[TERef],0)),"")</f>
        <v>8</v>
      </c>
      <c r="AA47" s="191">
        <f>IFERROR(INDEX(TableTEMaster[Custom],MATCH(TableTECalcPts[[#This Row],[TERef]],TableTEMaster[TERef],0)),"")</f>
        <v>10.307958659393259</v>
      </c>
      <c r="AI47" s="221" t="s">
        <v>10</v>
      </c>
      <c r="AJ47" s="189">
        <f>IFERROR(RANK(TableWRTECalcPts[[#This Row],[Custom]],TableWRTECalcPts[Custom])+COUNTIF($AP$3:AP47,AP47)-1,"")</f>
        <v>238</v>
      </c>
      <c r="AK47" s="189">
        <v>45</v>
      </c>
      <c r="AL47" s="189" t="str">
        <f>IFERROR(INDEX(TableTEMaster[Player],MATCH(TableWRTECalcPts[[#This Row],[POSRef]],TableTEMaster[TERef],0)),"")</f>
        <v>Blake Bell</v>
      </c>
      <c r="AM47" s="189" t="str">
        <f>IFERROR(_xlfn.CONCAT(TableWRTECalcPts[[#This Row],[POS]],INDEX(TableTERanks[RK],MATCH(TableWRTECalcPts[[#This Row],[PLAYER]],TableTERanks[Player],0))),"")</f>
        <v>TE72</v>
      </c>
      <c r="AN47" s="189" t="str">
        <f>IFERROR(INDEX(TableTEMaster[TM],MATCH(TableWRTECalcPts[[#This Row],[POSRef]],TableTEMaster[TERef],0)),"")</f>
        <v>KC</v>
      </c>
      <c r="AO47" s="189">
        <f>IFERROR(INDEX(TableTEMaster[BYE],MATCH(TableWRTECalcPts[[#This Row],[POSRef]],TableTEMaster[TERef],0)),"")</f>
        <v>8</v>
      </c>
      <c r="AP47" s="191">
        <f>IFERROR(INDEX(TableTEMaster[Custom],MATCH(TableWRTECalcPts[[#This Row],[POSRef]],TableTEMaster[TERef],0)),"")</f>
        <v>10.307958659393259</v>
      </c>
    </row>
    <row r="48" spans="1:42" x14ac:dyDescent="0.3">
      <c r="A48" s="198">
        <f>IFERROR(RANK(TableQBCalcPts[[#This Row],[Custom]],TableQBCalcPts[Custom])+COUNTIF($F$3:F48,F48)-1,"")</f>
        <v>38</v>
      </c>
      <c r="B48" s="189">
        <v>46</v>
      </c>
      <c r="C48" s="189" t="str">
        <f>IFERROR(INDEX(TableQBMaster[Player],MATCH(TableQBCalcPts[[#This Row],[QBRef]],TableQBMaster[QBRef],0)),"")</f>
        <v>Taysom Hill</v>
      </c>
      <c r="D48" s="189" t="str">
        <f>IFERROR(INDEX(TableQBMaster[TM],MATCH(TableQBCalcPts[[#This Row],[QBRef]],TableQBMaster[QBRef],0)),"")</f>
        <v>NO</v>
      </c>
      <c r="E48" s="189">
        <f>IFERROR(INDEX(TableQBMaster[BYE],MATCH(TableQBCalcPts[[#This Row],[QBRef]],TableQBMaster[QBRef],0)),"")</f>
        <v>14</v>
      </c>
      <c r="F48" s="191">
        <f>IFERROR(INDEX(TableQBMaster[Custom],MATCH(TableQBCalcPts[[#This Row],[QBRef]],TableQBMaster[QBRef],0)),"")</f>
        <v>43.6576146450805</v>
      </c>
      <c r="H48" s="189">
        <f>IFERROR(RANK(TableRBCalcPts[[#This Row],[Custom]],TableRBCalcPts[Custom])+COUNTIF($M$3:M48,M48)-1,"")</f>
        <v>59</v>
      </c>
      <c r="I48" s="189">
        <v>46</v>
      </c>
      <c r="J48" s="189" t="str">
        <f>IFERROR(INDEX(TableRBMaster[Player],MATCH(TableRBCalcPts[[#This Row],[RBRef]],TableRBMaster[RBRef],0)),"")</f>
        <v>Rex Burkhead</v>
      </c>
      <c r="K48" s="189" t="str">
        <f>IFERROR(INDEX(TableRBMaster[TM],MATCH(TableRBCalcPts[[#This Row],[RBRef]],TableRBMaster[RBRef],0)),"")</f>
        <v>HOU</v>
      </c>
      <c r="L48" s="189">
        <f>IFERROR(INDEX(TableRBMaster[BYE],MATCH(TableRBCalcPts[[#This Row],[RBRef]],TableRBMaster[RBRef],0)),"")</f>
        <v>6</v>
      </c>
      <c r="M48" s="191">
        <f>IFERROR(INDEX(TableRBMaster[Custom],MATCH(TableRBCalcPts[[#This Row],[RBRef]],TableRBMaster[RBRef],0)),"")</f>
        <v>75.952347937216942</v>
      </c>
      <c r="O48" s="189">
        <f>IFERROR(RANK(TableWRCalcPts[[#This Row],[Custom]],TableWRCalcPts[Custom])+COUNTIF($T$3:T48,T48)-1,"")</f>
        <v>7</v>
      </c>
      <c r="P48" s="189">
        <v>46</v>
      </c>
      <c r="Q48" s="189" t="str">
        <f>IFERROR(INDEX(TableWRMaster[Player],MATCH(TableWRCalcPts[[#This Row],[WRRef]],TableWRMaster[WRRef],0)),"")</f>
        <v>CeeDee Lamb</v>
      </c>
      <c r="R48" s="189" t="str">
        <f>IFERROR(INDEX(TableWRMaster[TM],MATCH(TableWRCalcPts[[#This Row],[WRRef]],TableWRMaster[WRRef],0)),"")</f>
        <v>DAL</v>
      </c>
      <c r="S48" s="189">
        <f>IFERROR(INDEX(TableWRMaster[BYE],MATCH(TableWRCalcPts[[#This Row],[WRRef]],TableWRMaster[WRRef],0)),"")</f>
        <v>9</v>
      </c>
      <c r="T48" s="191">
        <f>IFERROR(INDEX(TableWRMaster[Custom],MATCH(TableWRCalcPts[[#This Row],[WRRef]],TableWRMaster[WRRef],0)),"")</f>
        <v>183.36829122663792</v>
      </c>
      <c r="V48" s="189">
        <f>IFERROR(RANK(TableTECalcPts[[#This Row],[Custom]],TableTECalcPts[Custom])+COUNTIF($AA$3:AA48,AA48)-1,"")</f>
        <v>18</v>
      </c>
      <c r="W48" s="189">
        <v>46</v>
      </c>
      <c r="X48" s="189" t="str">
        <f>IFERROR(INDEX(TableTEMaster[Player],MATCH(TableTECalcPts[[#This Row],[TERef]],TableTEMaster[TERef],0)),"")</f>
        <v>Gerald Everett</v>
      </c>
      <c r="Y48" s="189" t="str">
        <f>IFERROR(INDEX(TableTEMaster[TM],MATCH(TableTECalcPts[[#This Row],[TERef]],TableTEMaster[TERef],0)),"")</f>
        <v>LAC</v>
      </c>
      <c r="Z48" s="189">
        <f>IFERROR(INDEX(TableTEMaster[BYE],MATCH(TableTECalcPts[[#This Row],[TERef]],TableTEMaster[TERef],0)),"")</f>
        <v>8</v>
      </c>
      <c r="AA48" s="191">
        <f>IFERROR(INDEX(TableTEMaster[Custom],MATCH(TableTECalcPts[[#This Row],[TERef]],TableTEMaster[TERef],0)),"")</f>
        <v>86.501515712526853</v>
      </c>
      <c r="AI48" s="221" t="s">
        <v>10</v>
      </c>
      <c r="AJ48" s="189">
        <f>IFERROR(RANK(TableWRTECalcPts[[#This Row],[Custom]],TableWRTECalcPts[Custom])+COUNTIF($AP$3:AP48,AP48)-1,"")</f>
        <v>88</v>
      </c>
      <c r="AK48" s="189">
        <v>46</v>
      </c>
      <c r="AL48" s="189" t="str">
        <f>IFERROR(INDEX(TableTEMaster[Player],MATCH(TableWRTECalcPts[[#This Row],[POSRef]],TableTEMaster[TERef],0)),"")</f>
        <v>Gerald Everett</v>
      </c>
      <c r="AM48" s="189" t="str">
        <f>IFERROR(_xlfn.CONCAT(TableWRTECalcPts[[#This Row],[POS]],INDEX(TableTERanks[RK],MATCH(TableWRTECalcPts[[#This Row],[PLAYER]],TableTERanks[Player],0))),"")</f>
        <v>TE18</v>
      </c>
      <c r="AN48" s="189" t="str">
        <f>IFERROR(INDEX(TableTEMaster[TM],MATCH(TableWRTECalcPts[[#This Row],[POSRef]],TableTEMaster[TERef],0)),"")</f>
        <v>LAC</v>
      </c>
      <c r="AO48" s="189">
        <f>IFERROR(INDEX(TableTEMaster[BYE],MATCH(TableWRTECalcPts[[#This Row],[POSRef]],TableTEMaster[TERef],0)),"")</f>
        <v>8</v>
      </c>
      <c r="AP48" s="191">
        <f>IFERROR(INDEX(TableTEMaster[Custom],MATCH(TableWRTECalcPts[[#This Row],[POSRef]],TableTEMaster[TERef],0)),"")</f>
        <v>86.501515712526853</v>
      </c>
    </row>
    <row r="49" spans="1:42" x14ac:dyDescent="0.3">
      <c r="A49" s="198">
        <f>IFERROR(RANK(TableQBCalcPts[[#This Row],[Custom]],TableQBCalcPts[Custom])+COUNTIF($F$3:F49,F49)-1,"")</f>
        <v>51</v>
      </c>
      <c r="B49" s="189">
        <v>47</v>
      </c>
      <c r="C49" s="189" t="str">
        <f>IFERROR(INDEX(TableQBMaster[Player],MATCH(TableQBCalcPts[[#This Row],[QBRef]],TableQBMaster[QBRef],0)),"")</f>
        <v>Andy Dalton</v>
      </c>
      <c r="D49" s="189" t="str">
        <f>IFERROR(INDEX(TableQBMaster[TM],MATCH(TableQBCalcPts[[#This Row],[QBRef]],TableQBMaster[QBRef],0)),"")</f>
        <v>NO</v>
      </c>
      <c r="E49" s="189">
        <f>IFERROR(INDEX(TableQBMaster[BYE],MATCH(TableQBCalcPts[[#This Row],[QBRef]],TableQBMaster[QBRef],0)),"")</f>
        <v>14</v>
      </c>
      <c r="F49" s="191">
        <f>IFERROR(INDEX(TableQBMaster[Custom],MATCH(TableQBCalcPts[[#This Row],[QBRef]],TableQBMaster[QBRef],0)),"")</f>
        <v>9.0371765433830493</v>
      </c>
      <c r="H49" s="189">
        <f>IFERROR(RANK(TableRBCalcPts[[#This Row],[Custom]],TableRBCalcPts[Custom])+COUNTIF($M$3:M49,M49)-1,"")</f>
        <v>52</v>
      </c>
      <c r="I49" s="189">
        <v>47</v>
      </c>
      <c r="J49" s="189" t="str">
        <f>IFERROR(INDEX(TableRBMaster[Player],MATCH(TableRBCalcPts[[#This Row],[RBRef]],TableRBMaster[RBRef],0)),"")</f>
        <v>Dameon Pierce</v>
      </c>
      <c r="K49" s="189" t="str">
        <f>IFERROR(INDEX(TableRBMaster[TM],MATCH(TableRBCalcPts[[#This Row],[RBRef]],TableRBMaster[RBRef],0)),"")</f>
        <v>HOU</v>
      </c>
      <c r="L49" s="189">
        <f>IFERROR(INDEX(TableRBMaster[BYE],MATCH(TableRBCalcPts[[#This Row],[RBRef]],TableRBMaster[RBRef],0)),"")</f>
        <v>6</v>
      </c>
      <c r="M49" s="191">
        <f>IFERROR(INDEX(TableRBMaster[Custom],MATCH(TableRBCalcPts[[#This Row],[RBRef]],TableRBMaster[RBRef],0)),"")</f>
        <v>92.187574817760776</v>
      </c>
      <c r="O49" s="189">
        <f>IFERROR(RANK(TableWRCalcPts[[#This Row],[Custom]],TableWRCalcPts[Custom])+COUNTIF($T$3:T49,T49)-1,"")</f>
        <v>40</v>
      </c>
      <c r="P49" s="189">
        <v>47</v>
      </c>
      <c r="Q49" s="189" t="str">
        <f>IFERROR(INDEX(TableWRMaster[Player],MATCH(TableWRCalcPts[[#This Row],[WRRef]],TableWRMaster[WRRef],0)),"")</f>
        <v>Michael Gallup</v>
      </c>
      <c r="R49" s="189" t="str">
        <f>IFERROR(INDEX(TableWRMaster[TM],MATCH(TableWRCalcPts[[#This Row],[WRRef]],TableWRMaster[WRRef],0)),"")</f>
        <v>DAL</v>
      </c>
      <c r="S49" s="189">
        <f>IFERROR(INDEX(TableWRMaster[BYE],MATCH(TableWRCalcPts[[#This Row],[WRRef]],TableWRMaster[WRRef],0)),"")</f>
        <v>9</v>
      </c>
      <c r="T49" s="191">
        <f>IFERROR(INDEX(TableWRMaster[Custom],MATCH(TableWRCalcPts[[#This Row],[WRRef]],TableWRMaster[WRRef],0)),"")</f>
        <v>123.27371421730166</v>
      </c>
      <c r="V49" s="189">
        <f>IFERROR(RANK(TableTECalcPts[[#This Row],[Custom]],TableTECalcPts[Custom])+COUNTIF($AA$3:AA49,AA49)-1,"")</f>
        <v>39</v>
      </c>
      <c r="W49" s="189">
        <v>47</v>
      </c>
      <c r="X49" s="189" t="str">
        <f>IFERROR(INDEX(TableTEMaster[Player],MATCH(TableTECalcPts[[#This Row],[TERef]],TableTEMaster[TERef],0)),"")</f>
        <v>Donald Parham</v>
      </c>
      <c r="Y49" s="189" t="str">
        <f>IFERROR(INDEX(TableTEMaster[TM],MATCH(TableTECalcPts[[#This Row],[TERef]],TableTEMaster[TERef],0)),"")</f>
        <v>LAC</v>
      </c>
      <c r="Z49" s="189">
        <f>IFERROR(INDEX(TableTEMaster[BYE],MATCH(TableTECalcPts[[#This Row],[TERef]],TableTEMaster[TERef],0)),"")</f>
        <v>8</v>
      </c>
      <c r="AA49" s="191">
        <f>IFERROR(INDEX(TableTEMaster[Custom],MATCH(TableTECalcPts[[#This Row],[TERef]],TableTEMaster[TERef],0)),"")</f>
        <v>32.820358387610085</v>
      </c>
      <c r="AI49" s="221" t="s">
        <v>10</v>
      </c>
      <c r="AJ49" s="189">
        <f>IFERROR(RANK(TableWRTECalcPts[[#This Row],[Custom]],TableWRTECalcPts[Custom])+COUNTIF($AP$3:AP49,AP49)-1,"")</f>
        <v>149</v>
      </c>
      <c r="AK49" s="189">
        <v>47</v>
      </c>
      <c r="AL49" s="189" t="str">
        <f>IFERROR(INDEX(TableTEMaster[Player],MATCH(TableWRTECalcPts[[#This Row],[POSRef]],TableTEMaster[TERef],0)),"")</f>
        <v>Donald Parham</v>
      </c>
      <c r="AM49" s="189" t="str">
        <f>IFERROR(_xlfn.CONCAT(TableWRTECalcPts[[#This Row],[POS]],INDEX(TableTERanks[RK],MATCH(TableWRTECalcPts[[#This Row],[PLAYER]],TableTERanks[Player],0))),"")</f>
        <v>TE39</v>
      </c>
      <c r="AN49" s="189" t="str">
        <f>IFERROR(INDEX(TableTEMaster[TM],MATCH(TableWRTECalcPts[[#This Row],[POSRef]],TableTEMaster[TERef],0)),"")</f>
        <v>LAC</v>
      </c>
      <c r="AO49" s="189">
        <f>IFERROR(INDEX(TableTEMaster[BYE],MATCH(TableWRTECalcPts[[#This Row],[POSRef]],TableTEMaster[TERef],0)),"")</f>
        <v>8</v>
      </c>
      <c r="AP49" s="191">
        <f>IFERROR(INDEX(TableTEMaster[Custom],MATCH(TableWRTECalcPts[[#This Row],[POSRef]],TableTEMaster[TERef],0)),"")</f>
        <v>32.820358387610085</v>
      </c>
    </row>
    <row r="50" spans="1:42" x14ac:dyDescent="0.3">
      <c r="A50" s="198">
        <f>IFERROR(RANK(TableQBCalcPts[[#This Row],[Custom]],TableQBCalcPts[Custom])+COUNTIF($F$3:F50,F50)-1,"")</f>
        <v>22</v>
      </c>
      <c r="B50" s="189">
        <v>48</v>
      </c>
      <c r="C50" s="189" t="str">
        <f>IFERROR(INDEX(TableQBMaster[Player],MATCH(TableQBCalcPts[[#This Row],[QBRef]],TableQBMaster[QBRef],0)),"")</f>
        <v>Daniel Jones</v>
      </c>
      <c r="D50" s="189" t="str">
        <f>IFERROR(INDEX(TableQBMaster[TM],MATCH(TableQBCalcPts[[#This Row],[QBRef]],TableQBMaster[QBRef],0)),"")</f>
        <v>NYG</v>
      </c>
      <c r="E50" s="189">
        <f>IFERROR(INDEX(TableQBMaster[BYE],MATCH(TableQBCalcPts[[#This Row],[QBRef]],TableQBMaster[QBRef],0)),"")</f>
        <v>9</v>
      </c>
      <c r="F50" s="191">
        <f>IFERROR(INDEX(TableQBMaster[Custom],MATCH(TableQBCalcPts[[#This Row],[QBRef]],TableQBMaster[QBRef],0)),"")</f>
        <v>272.32576236876167</v>
      </c>
      <c r="H50" s="189">
        <f>IFERROR(RANK(TableRBCalcPts[[#This Row],[Custom]],TableRBCalcPts[Custom])+COUNTIF($M$3:M50,M50)-1,"")</f>
        <v>97</v>
      </c>
      <c r="I50" s="189">
        <v>48</v>
      </c>
      <c r="J50" s="189" t="str">
        <f>IFERROR(INDEX(TableRBMaster[Player],MATCH(TableRBCalcPts[[#This Row],[RBRef]],TableRBMaster[RBRef],0)),"")</f>
        <v>Dare Ogunbowale</v>
      </c>
      <c r="K50" s="189" t="str">
        <f>IFERROR(INDEX(TableRBMaster[TM],MATCH(TableRBCalcPts[[#This Row],[RBRef]],TableRBMaster[RBRef],0)),"")</f>
        <v>HOU</v>
      </c>
      <c r="L50" s="189">
        <f>IFERROR(INDEX(TableRBMaster[BYE],MATCH(TableRBCalcPts[[#This Row],[RBRef]],TableRBMaster[RBRef],0)),"")</f>
        <v>6</v>
      </c>
      <c r="M50" s="191">
        <f>IFERROR(INDEX(TableRBMaster[Custom],MATCH(TableRBCalcPts[[#This Row],[RBRef]],TableRBMaster[RBRef],0)),"")</f>
        <v>16.348073894509326</v>
      </c>
      <c r="O50" s="189">
        <f>IFERROR(RANK(TableWRCalcPts[[#This Row],[Custom]],TableWRCalcPts[Custom])+COUNTIF($T$3:T50,T50)-1,"")</f>
        <v>76</v>
      </c>
      <c r="P50" s="189">
        <v>48</v>
      </c>
      <c r="Q50" s="189" t="str">
        <f>IFERROR(INDEX(TableWRMaster[Player],MATCH(TableWRCalcPts[[#This Row],[WRRef]],TableWRMaster[WRRef],0)),"")</f>
        <v>Jalen Tolbert</v>
      </c>
      <c r="R50" s="189" t="str">
        <f>IFERROR(INDEX(TableWRMaster[TM],MATCH(TableWRCalcPts[[#This Row],[WRRef]],TableWRMaster[WRRef],0)),"")</f>
        <v>DAL</v>
      </c>
      <c r="S50" s="189">
        <f>IFERROR(INDEX(TableWRMaster[BYE],MATCH(TableWRCalcPts[[#This Row],[WRRef]],TableWRMaster[WRRef],0)),"")</f>
        <v>9</v>
      </c>
      <c r="T50" s="191">
        <f>IFERROR(INDEX(TableWRMaster[Custom],MATCH(TableWRCalcPts[[#This Row],[WRRef]],TableWRMaster[WRRef],0)),"")</f>
        <v>77.913830424519318</v>
      </c>
      <c r="V50" s="189">
        <f>IFERROR(RANK(TableTECalcPts[[#This Row],[Custom]],TableTECalcPts[Custom])+COUNTIF($AA$3:AA50,AA50)-1,"")</f>
        <v>65</v>
      </c>
      <c r="W50" s="189">
        <v>48</v>
      </c>
      <c r="X50" s="189" t="str">
        <f>IFERROR(INDEX(TableTEMaster[Player],MATCH(TableTECalcPts[[#This Row],[TERef]],TableTEMaster[TERef],0)),"")</f>
        <v>Tre' McKitty</v>
      </c>
      <c r="Y50" s="189" t="str">
        <f>IFERROR(INDEX(TableTEMaster[TM],MATCH(TableTECalcPts[[#This Row],[TERef]],TableTEMaster[TERef],0)),"")</f>
        <v>LAC</v>
      </c>
      <c r="Z50" s="189">
        <f>IFERROR(INDEX(TableTEMaster[BYE],MATCH(TableTECalcPts[[#This Row],[TERef]],TableTEMaster[TERef],0)),"")</f>
        <v>8</v>
      </c>
      <c r="AA50" s="191">
        <f>IFERROR(INDEX(TableTEMaster[Custom],MATCH(TableTECalcPts[[#This Row],[TERef]],TableTEMaster[TERef],0)),"")</f>
        <v>13.755391915959006</v>
      </c>
      <c r="AI50" s="221" t="s">
        <v>10</v>
      </c>
      <c r="AJ50" s="189">
        <f>IFERROR(RANK(TableWRTECalcPts[[#This Row],[Custom]],TableWRTECalcPts[Custom])+COUNTIF($AP$3:AP50,AP50)-1,"")</f>
        <v>216</v>
      </c>
      <c r="AK50" s="189">
        <v>48</v>
      </c>
      <c r="AL50" s="189" t="str">
        <f>IFERROR(INDEX(TableTEMaster[Player],MATCH(TableWRTECalcPts[[#This Row],[POSRef]],TableTEMaster[TERef],0)),"")</f>
        <v>Tre' McKitty</v>
      </c>
      <c r="AM50" s="189" t="str">
        <f>IFERROR(_xlfn.CONCAT(TableWRTECalcPts[[#This Row],[POS]],INDEX(TableTERanks[RK],MATCH(TableWRTECalcPts[[#This Row],[PLAYER]],TableTERanks[Player],0))),"")</f>
        <v>TE65</v>
      </c>
      <c r="AN50" s="189" t="str">
        <f>IFERROR(INDEX(TableTEMaster[TM],MATCH(TableWRTECalcPts[[#This Row],[POSRef]],TableTEMaster[TERef],0)),"")</f>
        <v>LAC</v>
      </c>
      <c r="AO50" s="189">
        <f>IFERROR(INDEX(TableTEMaster[BYE],MATCH(TableWRTECalcPts[[#This Row],[POSRef]],TableTEMaster[TERef],0)),"")</f>
        <v>8</v>
      </c>
      <c r="AP50" s="191">
        <f>IFERROR(INDEX(TableTEMaster[Custom],MATCH(TableWRTECalcPts[[#This Row],[POSRef]],TableTEMaster[TERef],0)),"")</f>
        <v>13.755391915959006</v>
      </c>
    </row>
    <row r="51" spans="1:42" x14ac:dyDescent="0.3">
      <c r="A51" s="198">
        <f>IFERROR(RANK(TableQBCalcPts[[#This Row],[Custom]],TableQBCalcPts[Custom])+COUNTIF($F$3:F51,F51)-1,"")</f>
        <v>39</v>
      </c>
      <c r="B51" s="189">
        <v>49</v>
      </c>
      <c r="C51" s="189" t="str">
        <f>IFERROR(INDEX(TableQBMaster[Player],MATCH(TableQBCalcPts[[#This Row],[QBRef]],TableQBMaster[QBRef],0)),"")</f>
        <v>Tyrod Taylor</v>
      </c>
      <c r="D51" s="189" t="str">
        <f>IFERROR(INDEX(TableQBMaster[TM],MATCH(TableQBCalcPts[[#This Row],[QBRef]],TableQBMaster[QBRef],0)),"")</f>
        <v>NYG</v>
      </c>
      <c r="E51" s="189">
        <f>IFERROR(INDEX(TableQBMaster[BYE],MATCH(TableQBCalcPts[[#This Row],[QBRef]],TableQBMaster[QBRef],0)),"")</f>
        <v>9</v>
      </c>
      <c r="F51" s="191">
        <f>IFERROR(INDEX(TableQBMaster[Custom],MATCH(TableQBCalcPts[[#This Row],[QBRef]],TableQBMaster[QBRef],0)),"")</f>
        <v>28.036483896196742</v>
      </c>
      <c r="H51" s="189">
        <f>IFERROR(RANK(TableRBCalcPts[[#This Row],[Custom]],TableRBCalcPts[Custom])+COUNTIF($M$3:M51,M51)-1,"")</f>
        <v>1</v>
      </c>
      <c r="I51" s="189">
        <v>49</v>
      </c>
      <c r="J51" s="189" t="str">
        <f>IFERROR(INDEX(TableRBMaster[Player],MATCH(TableRBCalcPts[[#This Row],[RBRef]],TableRBMaster[RBRef],0)),"")</f>
        <v>Jonathan Taylor</v>
      </c>
      <c r="K51" s="189" t="str">
        <f>IFERROR(INDEX(TableRBMaster[TM],MATCH(TableRBCalcPts[[#This Row],[RBRef]],TableRBMaster[RBRef],0)),"")</f>
        <v>IND</v>
      </c>
      <c r="L51" s="189">
        <f>IFERROR(INDEX(TableRBMaster[BYE],MATCH(TableRBCalcPts[[#This Row],[RBRef]],TableRBMaster[RBRef],0)),"")</f>
        <v>14</v>
      </c>
      <c r="M51" s="191">
        <f>IFERROR(INDEX(TableRBMaster[Custom],MATCH(TableRBCalcPts[[#This Row],[RBRef]],TableRBMaster[RBRef],0)),"")</f>
        <v>302.80832149563741</v>
      </c>
      <c r="O51" s="189">
        <f>IFERROR(RANK(TableWRCalcPts[[#This Row],[Custom]],TableWRCalcPts[Custom])+COUNTIF($T$3:T51,T51)-1,"")</f>
        <v>95</v>
      </c>
      <c r="P51" s="189">
        <v>49</v>
      </c>
      <c r="Q51" s="189" t="str">
        <f>IFERROR(INDEX(TableWRMaster[Player],MATCH(TableWRCalcPts[[#This Row],[WRRef]],TableWRMaster[WRRef],0)),"")</f>
        <v>James Washington</v>
      </c>
      <c r="R51" s="189" t="str">
        <f>IFERROR(INDEX(TableWRMaster[TM],MATCH(TableWRCalcPts[[#This Row],[WRRef]],TableWRMaster[WRRef],0)),"")</f>
        <v>DAL</v>
      </c>
      <c r="S51" s="189">
        <f>IFERROR(INDEX(TableWRMaster[BYE],MATCH(TableWRCalcPts[[#This Row],[WRRef]],TableWRMaster[WRRef],0)),"")</f>
        <v>9</v>
      </c>
      <c r="T51" s="191">
        <f>IFERROR(INDEX(TableWRMaster[Custom],MATCH(TableWRCalcPts[[#This Row],[WRRef]],TableWRMaster[WRRef],0)),"")</f>
        <v>51.375545577633844</v>
      </c>
      <c r="V51" s="189">
        <f>IFERROR(RANK(TableTECalcPts[[#This Row],[Custom]],TableTECalcPts[Custom])+COUNTIF($AA$3:AA51,AA51)-1,"")</f>
        <v>27</v>
      </c>
      <c r="W51" s="189">
        <v>49</v>
      </c>
      <c r="X51" s="189" t="str">
        <f>IFERROR(INDEX(TableTEMaster[Player],MATCH(TableTECalcPts[[#This Row],[TERef]],TableTEMaster[TERef],0)),"")</f>
        <v>Tyler Higbee</v>
      </c>
      <c r="Y51" s="189" t="str">
        <f>IFERROR(INDEX(TableTEMaster[TM],MATCH(TableTECalcPts[[#This Row],[TERef]],TableTEMaster[TERef],0)),"")</f>
        <v>LAR</v>
      </c>
      <c r="Z51" s="189">
        <f>IFERROR(INDEX(TableTEMaster[BYE],MATCH(TableTECalcPts[[#This Row],[TERef]],TableTEMaster[TERef],0)),"")</f>
        <v>7</v>
      </c>
      <c r="AA51" s="191">
        <f>IFERROR(INDEX(TableTEMaster[Custom],MATCH(TableTECalcPts[[#This Row],[TERef]],TableTEMaster[TERef],0)),"")</f>
        <v>77.95767368469582</v>
      </c>
      <c r="AI51" s="221" t="s">
        <v>10</v>
      </c>
      <c r="AJ51" s="189">
        <f>IFERROR(RANK(TableWRTECalcPts[[#This Row],[Custom]],TableWRTECalcPts[Custom])+COUNTIF($AP$3:AP51,AP51)-1,"")</f>
        <v>102</v>
      </c>
      <c r="AK51" s="189">
        <v>49</v>
      </c>
      <c r="AL51" s="189" t="str">
        <f>IFERROR(INDEX(TableTEMaster[Player],MATCH(TableWRTECalcPts[[#This Row],[POSRef]],TableTEMaster[TERef],0)),"")</f>
        <v>Tyler Higbee</v>
      </c>
      <c r="AM51" s="189" t="str">
        <f>IFERROR(_xlfn.CONCAT(TableWRTECalcPts[[#This Row],[POS]],INDEX(TableTERanks[RK],MATCH(TableWRTECalcPts[[#This Row],[PLAYER]],TableTERanks[Player],0))),"")</f>
        <v>TE27</v>
      </c>
      <c r="AN51" s="189" t="str">
        <f>IFERROR(INDEX(TableTEMaster[TM],MATCH(TableWRTECalcPts[[#This Row],[POSRef]],TableTEMaster[TERef],0)),"")</f>
        <v>LAR</v>
      </c>
      <c r="AO51" s="189">
        <f>IFERROR(INDEX(TableTEMaster[BYE],MATCH(TableWRTECalcPts[[#This Row],[POSRef]],TableTEMaster[TERef],0)),"")</f>
        <v>7</v>
      </c>
      <c r="AP51" s="191">
        <f>IFERROR(INDEX(TableTEMaster[Custom],MATCH(TableWRTECalcPts[[#This Row],[POSRef]],TableTEMaster[TERef],0)),"")</f>
        <v>77.95767368469582</v>
      </c>
    </row>
    <row r="52" spans="1:42" x14ac:dyDescent="0.3">
      <c r="A52" s="198">
        <f>IFERROR(RANK(TableQBCalcPts[[#This Row],[Custom]],TableQBCalcPts[Custom])+COUNTIF($F$3:F52,F52)-1,"")</f>
        <v>21</v>
      </c>
      <c r="B52" s="189">
        <v>50</v>
      </c>
      <c r="C52" s="189" t="str">
        <f>IFERROR(INDEX(TableQBMaster[Player],MATCH(TableQBCalcPts[[#This Row],[QBRef]],TableQBMaster[QBRef],0)),"")</f>
        <v>Zach Wilson</v>
      </c>
      <c r="D52" s="189" t="str">
        <f>IFERROR(INDEX(TableQBMaster[TM],MATCH(TableQBCalcPts[[#This Row],[QBRef]],TableQBMaster[QBRef],0)),"")</f>
        <v>NYJ</v>
      </c>
      <c r="E52" s="189">
        <f>IFERROR(INDEX(TableQBMaster[BYE],MATCH(TableQBCalcPts[[#This Row],[QBRef]],TableQBMaster[QBRef],0)),"")</f>
        <v>10</v>
      </c>
      <c r="F52" s="191">
        <f>IFERROR(INDEX(TableQBMaster[Custom],MATCH(TableQBCalcPts[[#This Row],[QBRef]],TableQBMaster[QBRef],0)),"")</f>
        <v>276.60231184125121</v>
      </c>
      <c r="H52" s="189">
        <f>IFERROR(RANK(TableRBCalcPts[[#This Row],[Custom]],TableRBCalcPts[Custom])+COUNTIF($M$3:M52,M52)-1,"")</f>
        <v>47</v>
      </c>
      <c r="I52" s="189">
        <v>50</v>
      </c>
      <c r="J52" s="189" t="str">
        <f>IFERROR(INDEX(TableRBMaster[Player],MATCH(TableRBCalcPts[[#This Row],[RBRef]],TableRBMaster[RBRef],0)),"")</f>
        <v>Nyheim Hines</v>
      </c>
      <c r="K52" s="189" t="str">
        <f>IFERROR(INDEX(TableRBMaster[TM],MATCH(TableRBCalcPts[[#This Row],[RBRef]],TableRBMaster[RBRef],0)),"")</f>
        <v>IND</v>
      </c>
      <c r="L52" s="189">
        <f>IFERROR(INDEX(TableRBMaster[BYE],MATCH(TableRBCalcPts[[#This Row],[RBRef]],TableRBMaster[RBRef],0)),"")</f>
        <v>14</v>
      </c>
      <c r="M52" s="191">
        <f>IFERROR(INDEX(TableRBMaster[Custom],MATCH(TableRBCalcPts[[#This Row],[RBRef]],TableRBMaster[RBRef],0)),"")</f>
        <v>96.306893168664445</v>
      </c>
      <c r="O52" s="189">
        <f>IFERROR(RANK(TableWRCalcPts[[#This Row],[Custom]],TableWRCalcPts[Custom])+COUNTIF($T$3:T52,T52)-1,"")</f>
        <v>127</v>
      </c>
      <c r="P52" s="189">
        <v>50</v>
      </c>
      <c r="Q52" s="189" t="str">
        <f>IFERROR(INDEX(TableWRMaster[Player],MATCH(TableWRCalcPts[[#This Row],[WRRef]],TableWRMaster[WRRef],0)),"")</f>
        <v>Noah Brown</v>
      </c>
      <c r="R52" s="189" t="str">
        <f>IFERROR(INDEX(TableWRMaster[TM],MATCH(TableWRCalcPts[[#This Row],[WRRef]],TableWRMaster[WRRef],0)),"")</f>
        <v>DAL</v>
      </c>
      <c r="S52" s="189">
        <f>IFERROR(INDEX(TableWRMaster[BYE],MATCH(TableWRCalcPts[[#This Row],[WRRef]],TableWRMaster[WRRef],0)),"")</f>
        <v>9</v>
      </c>
      <c r="T52" s="191">
        <f>IFERROR(INDEX(TableWRMaster[Custom],MATCH(TableWRCalcPts[[#This Row],[WRRef]],TableWRMaster[WRRef],0)),"")</f>
        <v>22.327059721988597</v>
      </c>
      <c r="V52" s="189">
        <f>IFERROR(RANK(TableTECalcPts[[#This Row],[Custom]],TableTECalcPts[Custom])+COUNTIF($AA$3:AA52,AA52)-1,"")</f>
        <v>66</v>
      </c>
      <c r="W52" s="189">
        <v>50</v>
      </c>
      <c r="X52" s="189" t="str">
        <f>IFERROR(INDEX(TableTEMaster[Player],MATCH(TableTECalcPts[[#This Row],[TERef]],TableTEMaster[TERef],0)),"")</f>
        <v>Jacob Harris</v>
      </c>
      <c r="Y52" s="189" t="str">
        <f>IFERROR(INDEX(TableTEMaster[TM],MATCH(TableTECalcPts[[#This Row],[TERef]],TableTEMaster[TERef],0)),"")</f>
        <v>LAR</v>
      </c>
      <c r="Z52" s="189">
        <f>IFERROR(INDEX(TableTEMaster[BYE],MATCH(TableTECalcPts[[#This Row],[TERef]],TableTEMaster[TERef],0)),"")</f>
        <v>7</v>
      </c>
      <c r="AA52" s="191">
        <f>IFERROR(INDEX(TableTEMaster[Custom],MATCH(TableTECalcPts[[#This Row],[TERef]],TableTEMaster[TERef],0)),"")</f>
        <v>13.679370776556084</v>
      </c>
      <c r="AI52" s="221" t="s">
        <v>10</v>
      </c>
      <c r="AJ52" s="189">
        <f>IFERROR(RANK(TableWRTECalcPts[[#This Row],[Custom]],TableWRTECalcPts[Custom])+COUNTIF($AP$3:AP52,AP52)-1,"")</f>
        <v>219</v>
      </c>
      <c r="AK52" s="189">
        <v>50</v>
      </c>
      <c r="AL52" s="189" t="str">
        <f>IFERROR(INDEX(TableTEMaster[Player],MATCH(TableWRTECalcPts[[#This Row],[POSRef]],TableTEMaster[TERef],0)),"")</f>
        <v>Jacob Harris</v>
      </c>
      <c r="AM52" s="189" t="str">
        <f>IFERROR(_xlfn.CONCAT(TableWRTECalcPts[[#This Row],[POS]],INDEX(TableTERanks[RK],MATCH(TableWRTECalcPts[[#This Row],[PLAYER]],TableTERanks[Player],0))),"")</f>
        <v>TE66</v>
      </c>
      <c r="AN52" s="189" t="str">
        <f>IFERROR(INDEX(TableTEMaster[TM],MATCH(TableWRTECalcPts[[#This Row],[POSRef]],TableTEMaster[TERef],0)),"")</f>
        <v>LAR</v>
      </c>
      <c r="AO52" s="189">
        <f>IFERROR(INDEX(TableTEMaster[BYE],MATCH(TableWRTECalcPts[[#This Row],[POSRef]],TableTEMaster[TERef],0)),"")</f>
        <v>7</v>
      </c>
      <c r="AP52" s="191">
        <f>IFERROR(INDEX(TableTEMaster[Custom],MATCH(TableWRTECalcPts[[#This Row],[POSRef]],TableTEMaster[TERef],0)),"")</f>
        <v>13.679370776556084</v>
      </c>
    </row>
    <row r="53" spans="1:42" x14ac:dyDescent="0.3">
      <c r="A53" s="198">
        <f>IFERROR(RANK(TableQBCalcPts[[#This Row],[Custom]],TableQBCalcPts[Custom])+COUNTIF($F$3:F53,F53)-1,"")</f>
        <v>49</v>
      </c>
      <c r="B53" s="189">
        <v>51</v>
      </c>
      <c r="C53" s="189" t="str">
        <f>IFERROR(INDEX(TableQBMaster[Player],MATCH(TableQBCalcPts[[#This Row],[QBRef]],TableQBMaster[QBRef],0)),"")</f>
        <v>Mike White</v>
      </c>
      <c r="D53" s="189" t="str">
        <f>IFERROR(INDEX(TableQBMaster[TM],MATCH(TableQBCalcPts[[#This Row],[QBRef]],TableQBMaster[QBRef],0)),"")</f>
        <v>NYJ</v>
      </c>
      <c r="E53" s="189">
        <f>IFERROR(INDEX(TableQBMaster[BYE],MATCH(TableQBCalcPts[[#This Row],[QBRef]],TableQBMaster[QBRef],0)),"")</f>
        <v>10</v>
      </c>
      <c r="F53" s="191">
        <f>IFERROR(INDEX(TableQBMaster[Custom],MATCH(TableQBCalcPts[[#This Row],[QBRef]],TableQBMaster[QBRef],0)),"")</f>
        <v>9.9754175845668644</v>
      </c>
      <c r="H53" s="189">
        <f>IFERROR(RANK(TableRBCalcPts[[#This Row],[Custom]],TableRBCalcPts[Custom])+COUNTIF($M$3:M53,M53)-1,"")</f>
        <v>81</v>
      </c>
      <c r="I53" s="189">
        <v>51</v>
      </c>
      <c r="J53" s="189" t="str">
        <f>IFERROR(INDEX(TableRBMaster[Player],MATCH(TableRBCalcPts[[#This Row],[RBRef]],TableRBMaster[RBRef],0)),"")</f>
        <v>Phillip Lindsay</v>
      </c>
      <c r="K53" s="189" t="str">
        <f>IFERROR(INDEX(TableRBMaster[TM],MATCH(TableRBCalcPts[[#This Row],[RBRef]],TableRBMaster[RBRef],0)),"")</f>
        <v>IND</v>
      </c>
      <c r="L53" s="189">
        <f>IFERROR(INDEX(TableRBMaster[BYE],MATCH(TableRBCalcPts[[#This Row],[RBRef]],TableRBMaster[RBRef],0)),"")</f>
        <v>14</v>
      </c>
      <c r="M53" s="191">
        <f>IFERROR(INDEX(TableRBMaster[Custom],MATCH(TableRBCalcPts[[#This Row],[RBRef]],TableRBMaster[RBRef],0)),"")</f>
        <v>25.892326524405973</v>
      </c>
      <c r="O53" s="189">
        <f>IFERROR(RANK(TableWRCalcPts[[#This Row],[Custom]],TableWRCalcPts[Custom])+COUNTIF($T$3:T53,T53)-1,"")</f>
        <v>165</v>
      </c>
      <c r="P53" s="189">
        <v>51</v>
      </c>
      <c r="Q53" s="189" t="str">
        <f>IFERROR(INDEX(TableWRMaster[Player],MATCH(TableWRCalcPts[[#This Row],[WRRef]],TableWRMaster[WRRef],0)),"")</f>
        <v>Simi Fehoko</v>
      </c>
      <c r="R53" s="189" t="str">
        <f>IFERROR(INDEX(TableWRMaster[TM],MATCH(TableWRCalcPts[[#This Row],[WRRef]],TableWRMaster[WRRef],0)),"")</f>
        <v>DAL</v>
      </c>
      <c r="S53" s="189">
        <f>IFERROR(INDEX(TableWRMaster[BYE],MATCH(TableWRCalcPts[[#This Row],[WRRef]],TableWRMaster[WRRef],0)),"")</f>
        <v>9</v>
      </c>
      <c r="T53" s="191">
        <f>IFERROR(INDEX(TableWRMaster[Custom],MATCH(TableWRCalcPts[[#This Row],[WRRef]],TableWRMaster[WRRef],0)),"")</f>
        <v>10.99121037383858</v>
      </c>
      <c r="V53" s="189">
        <f>IFERROR(RANK(TableTECalcPts[[#This Row],[Custom]],TableTECalcPts[Custom])+COUNTIF($AA$3:AA53,AA53)-1,"")</f>
        <v>62</v>
      </c>
      <c r="W53" s="189">
        <v>51</v>
      </c>
      <c r="X53" s="189" t="str">
        <f>IFERROR(INDEX(TableTEMaster[Player],MATCH(TableTECalcPts[[#This Row],[TERef]],TableTEMaster[TERef],0)),"")</f>
        <v>Brycen Hopkins</v>
      </c>
      <c r="Y53" s="189" t="str">
        <f>IFERROR(INDEX(TableTEMaster[TM],MATCH(TableTECalcPts[[#This Row],[TERef]],TableTEMaster[TERef],0)),"")</f>
        <v>LAR</v>
      </c>
      <c r="Z53" s="189">
        <f>IFERROR(INDEX(TableTEMaster[BYE],MATCH(TableTECalcPts[[#This Row],[TERef]],TableTEMaster[TERef],0)),"")</f>
        <v>7</v>
      </c>
      <c r="AA53" s="191">
        <f>IFERROR(INDEX(TableTEMaster[Custom],MATCH(TableTECalcPts[[#This Row],[TERef]],TableTEMaster[TERef],0)),"")</f>
        <v>15.042983008922885</v>
      </c>
      <c r="AI53" s="221" t="s">
        <v>10</v>
      </c>
      <c r="AJ53" s="189">
        <f>IFERROR(RANK(TableWRTECalcPts[[#This Row],[Custom]],TableWRTECalcPts[Custom])+COUNTIF($AP$3:AP53,AP53)-1,"")</f>
        <v>208</v>
      </c>
      <c r="AK53" s="189">
        <v>51</v>
      </c>
      <c r="AL53" s="189" t="str">
        <f>IFERROR(INDEX(TableTEMaster[Player],MATCH(TableWRTECalcPts[[#This Row],[POSRef]],TableTEMaster[TERef],0)),"")</f>
        <v>Brycen Hopkins</v>
      </c>
      <c r="AM53" s="189" t="str">
        <f>IFERROR(_xlfn.CONCAT(TableWRTECalcPts[[#This Row],[POS]],INDEX(TableTERanks[RK],MATCH(TableWRTECalcPts[[#This Row],[PLAYER]],TableTERanks[Player],0))),"")</f>
        <v>TE62</v>
      </c>
      <c r="AN53" s="189" t="str">
        <f>IFERROR(INDEX(TableTEMaster[TM],MATCH(TableWRTECalcPts[[#This Row],[POSRef]],TableTEMaster[TERef],0)),"")</f>
        <v>LAR</v>
      </c>
      <c r="AO53" s="189">
        <f>IFERROR(INDEX(TableTEMaster[BYE],MATCH(TableWRTECalcPts[[#This Row],[POSRef]],TableTEMaster[TERef],0)),"")</f>
        <v>7</v>
      </c>
      <c r="AP53" s="191">
        <f>IFERROR(INDEX(TableTEMaster[Custom],MATCH(TableWRTECalcPts[[#This Row],[POSRef]],TableTEMaster[TERef],0)),"")</f>
        <v>15.042983008922885</v>
      </c>
    </row>
    <row r="54" spans="1:42" x14ac:dyDescent="0.3">
      <c r="A54" s="198">
        <f>IFERROR(RANK(TableQBCalcPts[[#This Row],[Custom]],TableQBCalcPts[Custom])+COUNTIF($F$3:F54,F54)-1,"")</f>
        <v>2</v>
      </c>
      <c r="B54" s="189">
        <v>52</v>
      </c>
      <c r="C54" s="189" t="str">
        <f>IFERROR(INDEX(TableQBMaster[Player],MATCH(TableQBCalcPts[[#This Row],[QBRef]],TableQBMaster[QBRef],0)),"")</f>
        <v>Jalen Hurts</v>
      </c>
      <c r="D54" s="189" t="str">
        <f>IFERROR(INDEX(TableQBMaster[TM],MATCH(TableQBCalcPts[[#This Row],[QBRef]],TableQBMaster[QBRef],0)),"")</f>
        <v>PHI</v>
      </c>
      <c r="E54" s="189">
        <f>IFERROR(INDEX(TableQBMaster[BYE],MATCH(TableQBCalcPts[[#This Row],[QBRef]],TableQBMaster[QBRef],0)),"")</f>
        <v>7</v>
      </c>
      <c r="F54" s="191">
        <f>IFERROR(INDEX(TableQBMaster[Custom],MATCH(TableQBCalcPts[[#This Row],[QBRef]],TableQBMaster[QBRef],0)),"")</f>
        <v>393.75142926100978</v>
      </c>
      <c r="H54" s="189">
        <f>IFERROR(RANK(TableRBCalcPts[[#This Row],[Custom]],TableRBCalcPts[Custom])+COUNTIF($M$3:M54,M54)-1,"")</f>
        <v>25</v>
      </c>
      <c r="I54" s="189">
        <v>52</v>
      </c>
      <c r="J54" s="189" t="str">
        <f>IFERROR(INDEX(TableRBMaster[Player],MATCH(TableRBCalcPts[[#This Row],[RBRef]],TableRBMaster[RBRef],0)),"")</f>
        <v>Travis Etienne</v>
      </c>
      <c r="K54" s="189" t="str">
        <f>IFERROR(INDEX(TableRBMaster[TM],MATCH(TableRBCalcPts[[#This Row],[RBRef]],TableRBMaster[RBRef],0)),"")</f>
        <v>JAX</v>
      </c>
      <c r="L54" s="189">
        <f>IFERROR(INDEX(TableRBMaster[BYE],MATCH(TableRBCalcPts[[#This Row],[RBRef]],TableRBMaster[RBRef],0)),"")</f>
        <v>11</v>
      </c>
      <c r="M54" s="191">
        <f>IFERROR(INDEX(TableRBMaster[Custom],MATCH(TableRBCalcPts[[#This Row],[RBRef]],TableRBMaster[RBRef],0)),"")</f>
        <v>159.76301092855081</v>
      </c>
      <c r="O54" s="189">
        <f>IFERROR(RANK(TableWRCalcPts[[#This Row],[Custom]],TableWRCalcPts[Custom])+COUNTIF($T$3:T54,T54)-1,"")</f>
        <v>28</v>
      </c>
      <c r="P54" s="189">
        <v>52</v>
      </c>
      <c r="Q54" s="189" t="str">
        <f>IFERROR(INDEX(TableWRMaster[Player],MATCH(TableWRCalcPts[[#This Row],[WRRef]],TableWRMaster[WRRef],0)),"")</f>
        <v>Courtland Sutton</v>
      </c>
      <c r="R54" s="189" t="str">
        <f>IFERROR(INDEX(TableWRMaster[TM],MATCH(TableWRCalcPts[[#This Row],[WRRef]],TableWRMaster[WRRef],0)),"")</f>
        <v>DEN</v>
      </c>
      <c r="S54" s="189">
        <f>IFERROR(INDEX(TableWRMaster[BYE],MATCH(TableWRCalcPts[[#This Row],[WRRef]],TableWRMaster[WRRef],0)),"")</f>
        <v>9</v>
      </c>
      <c r="T54" s="191">
        <f>IFERROR(INDEX(TableWRMaster[Custom],MATCH(TableWRCalcPts[[#This Row],[WRRef]],TableWRMaster[WRRef],0)),"")</f>
        <v>138.39974689846576</v>
      </c>
      <c r="V54" s="189">
        <f>IFERROR(RANK(TableTECalcPts[[#This Row],[Custom]],TableTECalcPts[Custom])+COUNTIF($AA$3:AA54,AA54)-1,"")</f>
        <v>19</v>
      </c>
      <c r="W54" s="189">
        <v>52</v>
      </c>
      <c r="X54" s="189" t="str">
        <f>IFERROR(INDEX(TableTEMaster[Player],MATCH(TableTECalcPts[[#This Row],[TERef]],TableTEMaster[TERef],0)),"")</f>
        <v>Mike Gesicki</v>
      </c>
      <c r="Y54" s="189" t="str">
        <f>IFERROR(INDEX(TableTEMaster[TM],MATCH(TableTECalcPts[[#This Row],[TERef]],TableTEMaster[TERef],0)),"")</f>
        <v>MIA</v>
      </c>
      <c r="Z54" s="189">
        <f>IFERROR(INDEX(TableTEMaster[BYE],MATCH(TableTECalcPts[[#This Row],[TERef]],TableTEMaster[TERef],0)),"")</f>
        <v>11</v>
      </c>
      <c r="AA54" s="191">
        <f>IFERROR(INDEX(TableTEMaster[Custom],MATCH(TableTECalcPts[[#This Row],[TERef]],TableTEMaster[TERef],0)),"")</f>
        <v>85.63439943178301</v>
      </c>
      <c r="AI54" s="221" t="s">
        <v>10</v>
      </c>
      <c r="AJ54" s="189">
        <f>IFERROR(RANK(TableWRTECalcPts[[#This Row],[Custom]],TableWRTECalcPts[Custom])+COUNTIF($AP$3:AP54,AP54)-1,"")</f>
        <v>92</v>
      </c>
      <c r="AK54" s="189">
        <v>52</v>
      </c>
      <c r="AL54" s="189" t="str">
        <f>IFERROR(INDEX(TableTEMaster[Player],MATCH(TableWRTECalcPts[[#This Row],[POSRef]],TableTEMaster[TERef],0)),"")</f>
        <v>Mike Gesicki</v>
      </c>
      <c r="AM54" s="189" t="str">
        <f>IFERROR(_xlfn.CONCAT(TableWRTECalcPts[[#This Row],[POS]],INDEX(TableTERanks[RK],MATCH(TableWRTECalcPts[[#This Row],[PLAYER]],TableTERanks[Player],0))),"")</f>
        <v>TE19</v>
      </c>
      <c r="AN54" s="189" t="str">
        <f>IFERROR(INDEX(TableTEMaster[TM],MATCH(TableWRTECalcPts[[#This Row],[POSRef]],TableTEMaster[TERef],0)),"")</f>
        <v>MIA</v>
      </c>
      <c r="AO54" s="189">
        <f>IFERROR(INDEX(TableTEMaster[BYE],MATCH(TableWRTECalcPts[[#This Row],[POSRef]],TableTEMaster[TERef],0)),"")</f>
        <v>11</v>
      </c>
      <c r="AP54" s="191">
        <f>IFERROR(INDEX(TableTEMaster[Custom],MATCH(TableWRTECalcPts[[#This Row],[POSRef]],TableTEMaster[TERef],0)),"")</f>
        <v>85.63439943178301</v>
      </c>
    </row>
    <row r="55" spans="1:42" x14ac:dyDescent="0.3">
      <c r="A55" s="198">
        <f>IFERROR(RANK(TableQBCalcPts[[#This Row],[Custom]],TableQBCalcPts[Custom])+COUNTIF($F$3:F55,F55)-1,"")</f>
        <v>40</v>
      </c>
      <c r="B55" s="189">
        <v>53</v>
      </c>
      <c r="C55" s="189" t="str">
        <f>IFERROR(INDEX(TableQBMaster[Player],MATCH(TableQBCalcPts[[#This Row],[QBRef]],TableQBMaster[QBRef],0)),"")</f>
        <v>Gardner Minshew</v>
      </c>
      <c r="D55" s="189" t="str">
        <f>IFERROR(INDEX(TableQBMaster[TM],MATCH(TableQBCalcPts[[#This Row],[QBRef]],TableQBMaster[QBRef],0)),"")</f>
        <v>PHI</v>
      </c>
      <c r="E55" s="189">
        <f>IFERROR(INDEX(TableQBMaster[BYE],MATCH(TableQBCalcPts[[#This Row],[QBRef]],TableQBMaster[QBRef],0)),"")</f>
        <v>7</v>
      </c>
      <c r="F55" s="191">
        <f>IFERROR(INDEX(TableQBMaster[Custom],MATCH(TableQBCalcPts[[#This Row],[QBRef]],TableQBMaster[QBRef],0)),"")</f>
        <v>18.33636913744019</v>
      </c>
      <c r="H55" s="189">
        <f>IFERROR(RANK(TableRBCalcPts[[#This Row],[Custom]],TableRBCalcPts[Custom])+COUNTIF($M$3:M55,M55)-1,"")</f>
        <v>48</v>
      </c>
      <c r="I55" s="189">
        <v>53</v>
      </c>
      <c r="J55" s="189" t="str">
        <f>IFERROR(INDEX(TableRBMaster[Player],MATCH(TableRBCalcPts[[#This Row],[RBRef]],TableRBMaster[RBRef],0)),"")</f>
        <v>James Robinson</v>
      </c>
      <c r="K55" s="189" t="str">
        <f>IFERROR(INDEX(TableRBMaster[TM],MATCH(TableRBCalcPts[[#This Row],[RBRef]],TableRBMaster[RBRef],0)),"")</f>
        <v>JAX</v>
      </c>
      <c r="L55" s="189">
        <f>IFERROR(INDEX(TableRBMaster[BYE],MATCH(TableRBCalcPts[[#This Row],[RBRef]],TableRBMaster[RBRef],0)),"")</f>
        <v>11</v>
      </c>
      <c r="M55" s="191">
        <f>IFERROR(INDEX(TableRBMaster[Custom],MATCH(TableRBCalcPts[[#This Row],[RBRef]],TableRBMaster[RBRef],0)),"")</f>
        <v>96.05744529511027</v>
      </c>
      <c r="O55" s="189">
        <f>IFERROR(RANK(TableWRCalcPts[[#This Row],[Custom]],TableWRCalcPts[Custom])+COUNTIF($T$3:T55,T55)-1,"")</f>
        <v>30</v>
      </c>
      <c r="P55" s="189">
        <v>53</v>
      </c>
      <c r="Q55" s="189" t="str">
        <f>IFERROR(INDEX(TableWRMaster[Player],MATCH(TableWRCalcPts[[#This Row],[WRRef]],TableWRMaster[WRRef],0)),"")</f>
        <v>Jerry Jeudy</v>
      </c>
      <c r="R55" s="189" t="str">
        <f>IFERROR(INDEX(TableWRMaster[TM],MATCH(TableWRCalcPts[[#This Row],[WRRef]],TableWRMaster[WRRef],0)),"")</f>
        <v>DEN</v>
      </c>
      <c r="S55" s="189">
        <f>IFERROR(INDEX(TableWRMaster[BYE],MATCH(TableWRCalcPts[[#This Row],[WRRef]],TableWRMaster[WRRef],0)),"")</f>
        <v>9</v>
      </c>
      <c r="T55" s="191">
        <f>IFERROR(INDEX(TableWRMaster[Custom],MATCH(TableWRCalcPts[[#This Row],[WRRef]],TableWRMaster[WRRef],0)),"")</f>
        <v>135.36511278671432</v>
      </c>
      <c r="V55" s="189">
        <f>IFERROR(RANK(TableTECalcPts[[#This Row],[Custom]],TableTECalcPts[Custom])+COUNTIF($AA$3:AA55,AA55)-1,"")</f>
        <v>56</v>
      </c>
      <c r="W55" s="189">
        <v>53</v>
      </c>
      <c r="X55" s="189" t="str">
        <f>IFERROR(INDEX(TableTEMaster[Player],MATCH(TableTECalcPts[[#This Row],[TERef]],TableTEMaster[TERef],0)),"")</f>
        <v>Hunter Long</v>
      </c>
      <c r="Y55" s="189" t="str">
        <f>IFERROR(INDEX(TableTEMaster[TM],MATCH(TableTECalcPts[[#This Row],[TERef]],TableTEMaster[TERef],0)),"")</f>
        <v>MIA</v>
      </c>
      <c r="Z55" s="189">
        <f>IFERROR(INDEX(TableTEMaster[BYE],MATCH(TableTECalcPts[[#This Row],[TERef]],TableTEMaster[TERef],0)),"")</f>
        <v>11</v>
      </c>
      <c r="AA55" s="191">
        <f>IFERROR(INDEX(TableTEMaster[Custom],MATCH(TableTECalcPts[[#This Row],[TERef]],TableTEMaster[TERef],0)),"")</f>
        <v>19.12708902696637</v>
      </c>
      <c r="AI55" s="221" t="s">
        <v>10</v>
      </c>
      <c r="AJ55" s="189">
        <f>IFERROR(RANK(TableWRTECalcPts[[#This Row],[Custom]],TableWRTECalcPts[Custom])+COUNTIF($AP$3:AP55,AP55)-1,"")</f>
        <v>191</v>
      </c>
      <c r="AK55" s="189">
        <v>53</v>
      </c>
      <c r="AL55" s="189" t="str">
        <f>IFERROR(INDEX(TableTEMaster[Player],MATCH(TableWRTECalcPts[[#This Row],[POSRef]],TableTEMaster[TERef],0)),"")</f>
        <v>Hunter Long</v>
      </c>
      <c r="AM55" s="189" t="str">
        <f>IFERROR(_xlfn.CONCAT(TableWRTECalcPts[[#This Row],[POS]],INDEX(TableTERanks[RK],MATCH(TableWRTECalcPts[[#This Row],[PLAYER]],TableTERanks[Player],0))),"")</f>
        <v>TE56</v>
      </c>
      <c r="AN55" s="189" t="str">
        <f>IFERROR(INDEX(TableTEMaster[TM],MATCH(TableWRTECalcPts[[#This Row],[POSRef]],TableTEMaster[TERef],0)),"")</f>
        <v>MIA</v>
      </c>
      <c r="AO55" s="189">
        <f>IFERROR(INDEX(TableTEMaster[BYE],MATCH(TableWRTECalcPts[[#This Row],[POSRef]],TableTEMaster[TERef],0)),"")</f>
        <v>11</v>
      </c>
      <c r="AP55" s="191">
        <f>IFERROR(INDEX(TableTEMaster[Custom],MATCH(TableWRTECalcPts[[#This Row],[POSRef]],TableTEMaster[TERef],0)),"")</f>
        <v>19.12708902696637</v>
      </c>
    </row>
    <row r="56" spans="1:42" x14ac:dyDescent="0.3">
      <c r="A56" s="198">
        <f>IFERROR(RANK(TableQBCalcPts[[#This Row],[Custom]],TableQBCalcPts[Custom])+COUNTIF($F$3:F56,F56)-1,"")</f>
        <v>28</v>
      </c>
      <c r="B56" s="189">
        <v>54</v>
      </c>
      <c r="C56" s="189" t="str">
        <f>IFERROR(INDEX(TableQBMaster[Player],MATCH(TableQBCalcPts[[#This Row],[QBRef]],TableQBMaster[QBRef],0)),"")</f>
        <v>Kenny Pickett</v>
      </c>
      <c r="D56" s="189" t="str">
        <f>IFERROR(INDEX(TableQBMaster[TM],MATCH(TableQBCalcPts[[#This Row],[QBRef]],TableQBMaster[QBRef],0)),"")</f>
        <v>PIT</v>
      </c>
      <c r="E56" s="189">
        <f>IFERROR(INDEX(TableQBMaster[BYE],MATCH(TableQBCalcPts[[#This Row],[QBRef]],TableQBMaster[QBRef],0)),"")</f>
        <v>9</v>
      </c>
      <c r="F56" s="191">
        <f>IFERROR(INDEX(TableQBMaster[Custom],MATCH(TableQBCalcPts[[#This Row],[QBRef]],TableQBMaster[QBRef],0)),"")</f>
        <v>217.71824887120525</v>
      </c>
      <c r="H56" s="189">
        <f>IFERROR(RANK(TableRBCalcPts[[#This Row],[Custom]],TableRBCalcPts[Custom])+COUNTIF($M$3:M56,M56)-1,"")</f>
        <v>95</v>
      </c>
      <c r="I56" s="189">
        <v>54</v>
      </c>
      <c r="J56" s="189" t="str">
        <f>IFERROR(INDEX(TableRBMaster[Player],MATCH(TableRBCalcPts[[#This Row],[RBRef]],TableRBMaster[RBRef],0)),"")</f>
        <v>Snoop Conner</v>
      </c>
      <c r="K56" s="189" t="str">
        <f>IFERROR(INDEX(TableRBMaster[TM],MATCH(TableRBCalcPts[[#This Row],[RBRef]],TableRBMaster[RBRef],0)),"")</f>
        <v>JAX</v>
      </c>
      <c r="L56" s="189">
        <f>IFERROR(INDEX(TableRBMaster[BYE],MATCH(TableRBCalcPts[[#This Row],[RBRef]],TableRBMaster[RBRef],0)),"")</f>
        <v>11</v>
      </c>
      <c r="M56" s="191">
        <f>IFERROR(INDEX(TableRBMaster[Custom],MATCH(TableRBCalcPts[[#This Row],[RBRef]],TableRBMaster[RBRef],0)),"")</f>
        <v>17.168184838525917</v>
      </c>
      <c r="O56" s="189">
        <f>IFERROR(RANK(TableWRCalcPts[[#This Row],[Custom]],TableWRCalcPts[Custom])+COUNTIF($T$3:T56,T56)-1,"")</f>
        <v>98</v>
      </c>
      <c r="P56" s="189">
        <v>54</v>
      </c>
      <c r="Q56" s="189" t="str">
        <f>IFERROR(INDEX(TableWRMaster[Player],MATCH(TableWRCalcPts[[#This Row],[WRRef]],TableWRMaster[WRRef],0)),"")</f>
        <v>KJ Hamler</v>
      </c>
      <c r="R56" s="189" t="str">
        <f>IFERROR(INDEX(TableWRMaster[TM],MATCH(TableWRCalcPts[[#This Row],[WRRef]],TableWRMaster[WRRef],0)),"")</f>
        <v>DEN</v>
      </c>
      <c r="S56" s="189">
        <f>IFERROR(INDEX(TableWRMaster[BYE],MATCH(TableWRCalcPts[[#This Row],[WRRef]],TableWRMaster[WRRef],0)),"")</f>
        <v>9</v>
      </c>
      <c r="T56" s="191">
        <f>IFERROR(INDEX(TableWRMaster[Custom],MATCH(TableWRCalcPts[[#This Row],[WRRef]],TableWRMaster[WRRef],0)),"")</f>
        <v>47.9270366316658</v>
      </c>
      <c r="V56" s="189">
        <f>IFERROR(RANK(TableTECalcPts[[#This Row],[Custom]],TableTECalcPts[Custom])+COUNTIF($AA$3:AA56,AA56)-1,"")</f>
        <v>83</v>
      </c>
      <c r="W56" s="189">
        <v>54</v>
      </c>
      <c r="X56" s="189" t="str">
        <f>IFERROR(INDEX(TableTEMaster[Player],MATCH(TableTECalcPts[[#This Row],[TERef]],TableTEMaster[TERef],0)),"")</f>
        <v>Adam Shaheen</v>
      </c>
      <c r="Y56" s="189" t="str">
        <f>IFERROR(INDEX(TableTEMaster[TM],MATCH(TableTECalcPts[[#This Row],[TERef]],TableTEMaster[TERef],0)),"")</f>
        <v>MIA</v>
      </c>
      <c r="Z56" s="189">
        <f>IFERROR(INDEX(TableTEMaster[BYE],MATCH(TableTECalcPts[[#This Row],[TERef]],TableTEMaster[TERef],0)),"")</f>
        <v>11</v>
      </c>
      <c r="AA56" s="191">
        <f>IFERROR(INDEX(TableTEMaster[Custom],MATCH(TableTECalcPts[[#This Row],[TERef]],TableTEMaster[TERef],0)),"")</f>
        <v>6.6432153022993292</v>
      </c>
      <c r="AI56" s="221" t="s">
        <v>10</v>
      </c>
      <c r="AJ56" s="189">
        <f>IFERROR(RANK(TableWRTECalcPts[[#This Row],[Custom]],TableWRTECalcPts[Custom])+COUNTIF($AP$3:AP56,AP56)-1,"")</f>
        <v>264</v>
      </c>
      <c r="AK56" s="189">
        <v>54</v>
      </c>
      <c r="AL56" s="189" t="str">
        <f>IFERROR(INDEX(TableTEMaster[Player],MATCH(TableWRTECalcPts[[#This Row],[POSRef]],TableTEMaster[TERef],0)),"")</f>
        <v>Adam Shaheen</v>
      </c>
      <c r="AM56" s="189" t="str">
        <f>IFERROR(_xlfn.CONCAT(TableWRTECalcPts[[#This Row],[POS]],INDEX(TableTERanks[RK],MATCH(TableWRTECalcPts[[#This Row],[PLAYER]],TableTERanks[Player],0))),"")</f>
        <v>TE83</v>
      </c>
      <c r="AN56" s="189" t="str">
        <f>IFERROR(INDEX(TableTEMaster[TM],MATCH(TableWRTECalcPts[[#This Row],[POSRef]],TableTEMaster[TERef],0)),"")</f>
        <v>MIA</v>
      </c>
      <c r="AO56" s="189">
        <f>IFERROR(INDEX(TableTEMaster[BYE],MATCH(TableWRTECalcPts[[#This Row],[POSRef]],TableTEMaster[TERef],0)),"")</f>
        <v>11</v>
      </c>
      <c r="AP56" s="191">
        <f>IFERROR(INDEX(TableTEMaster[Custom],MATCH(TableWRTECalcPts[[#This Row],[POSRef]],TableTEMaster[TERef],0)),"")</f>
        <v>6.6432153022993292</v>
      </c>
    </row>
    <row r="57" spans="1:42" x14ac:dyDescent="0.3">
      <c r="A57" s="198">
        <f>IFERROR(RANK(TableQBCalcPts[[#This Row],[Custom]],TableQBCalcPts[Custom])+COUNTIF($F$3:F57,F57)-1,"")</f>
        <v>37</v>
      </c>
      <c r="B57" s="189">
        <v>55</v>
      </c>
      <c r="C57" s="189" t="str">
        <f>IFERROR(INDEX(TableQBMaster[Player],MATCH(TableQBCalcPts[[#This Row],[QBRef]],TableQBMaster[QBRef],0)),"")</f>
        <v>Mitchell Trubisky</v>
      </c>
      <c r="D57" s="189" t="str">
        <f>IFERROR(INDEX(TableQBMaster[TM],MATCH(TableQBCalcPts[[#This Row],[QBRef]],TableQBMaster[QBRef],0)),"")</f>
        <v>PIT</v>
      </c>
      <c r="E57" s="189">
        <f>IFERROR(INDEX(TableQBMaster[BYE],MATCH(TableQBCalcPts[[#This Row],[QBRef]],TableQBMaster[QBRef],0)),"")</f>
        <v>9</v>
      </c>
      <c r="F57" s="191">
        <f>IFERROR(INDEX(TableQBMaster[Custom],MATCH(TableQBCalcPts[[#This Row],[QBRef]],TableQBMaster[QBRef],0)),"")</f>
        <v>54.43495605827907</v>
      </c>
      <c r="H57" s="189">
        <f>IFERROR(RANK(TableRBCalcPts[[#This Row],[Custom]],TableRBCalcPts[Custom])+COUNTIF($M$3:M57,M57)-1,"")</f>
        <v>124</v>
      </c>
      <c r="I57" s="189">
        <v>55</v>
      </c>
      <c r="J57" s="189" t="str">
        <f>IFERROR(INDEX(TableRBMaster[Player],MATCH(TableRBCalcPts[[#This Row],[RBRef]],TableRBMaster[RBRef],0)),"")</f>
        <v>Ryquell Armstead</v>
      </c>
      <c r="K57" s="189" t="str">
        <f>IFERROR(INDEX(TableRBMaster[TM],MATCH(TableRBCalcPts[[#This Row],[RBRef]],TableRBMaster[RBRef],0)),"")</f>
        <v>JAX</v>
      </c>
      <c r="L57" s="189">
        <f>IFERROR(INDEX(TableRBMaster[BYE],MATCH(TableRBCalcPts[[#This Row],[RBRef]],TableRBMaster[RBRef],0)),"")</f>
        <v>11</v>
      </c>
      <c r="M57" s="191">
        <f>IFERROR(INDEX(TableRBMaster[Custom],MATCH(TableRBCalcPts[[#This Row],[RBRef]],TableRBMaster[RBRef],0)),"")</f>
        <v>5.2273271528490284</v>
      </c>
      <c r="O57" s="189">
        <f>IFERROR(RANK(TableWRCalcPts[[#This Row],[Custom]],TableWRCalcPts[Custom])+COUNTIF($T$3:T57,T57)-1,"")</f>
        <v>47</v>
      </c>
      <c r="P57" s="189">
        <v>55</v>
      </c>
      <c r="Q57" s="189" t="str">
        <f>IFERROR(INDEX(TableWRMaster[Player],MATCH(TableWRCalcPts[[#This Row],[WRRef]],TableWRMaster[WRRef],0)),"")</f>
        <v>Tim Patrick</v>
      </c>
      <c r="R57" s="189" t="str">
        <f>IFERROR(INDEX(TableWRMaster[TM],MATCH(TableWRCalcPts[[#This Row],[WRRef]],TableWRMaster[WRRef],0)),"")</f>
        <v>DEN</v>
      </c>
      <c r="S57" s="189">
        <f>IFERROR(INDEX(TableWRMaster[BYE],MATCH(TableWRCalcPts[[#This Row],[WRRef]],TableWRMaster[WRRef],0)),"")</f>
        <v>9</v>
      </c>
      <c r="T57" s="191">
        <f>IFERROR(INDEX(TableWRMaster[Custom],MATCH(TableWRCalcPts[[#This Row],[WRRef]],TableWRMaster[WRRef],0)),"")</f>
        <v>110.0027840268209</v>
      </c>
      <c r="V57" s="189">
        <f>IFERROR(RANK(TableTECalcPts[[#This Row],[Custom]],TableTECalcPts[Custom])+COUNTIF($AA$3:AA57,AA57)-1,"")</f>
        <v>8</v>
      </c>
      <c r="W57" s="189">
        <v>55</v>
      </c>
      <c r="X57" s="189" t="str">
        <f>IFERROR(INDEX(TableTEMaster[Player],MATCH(TableTECalcPts[[#This Row],[TERef]],TableTEMaster[TERef],0)),"")</f>
        <v>Irv Smith</v>
      </c>
      <c r="Y57" s="189" t="str">
        <f>IFERROR(INDEX(TableTEMaster[TM],MATCH(TableTECalcPts[[#This Row],[TERef]],TableTEMaster[TERef],0)),"")</f>
        <v>MIN</v>
      </c>
      <c r="Z57" s="189">
        <f>IFERROR(INDEX(TableTEMaster[BYE],MATCH(TableTECalcPts[[#This Row],[TERef]],TableTEMaster[TERef],0)),"")</f>
        <v>7</v>
      </c>
      <c r="AA57" s="191">
        <f>IFERROR(INDEX(TableTEMaster[Custom],MATCH(TableTECalcPts[[#This Row],[TERef]],TableTEMaster[TERef],0)),"")</f>
        <v>104.82297141661108</v>
      </c>
      <c r="AI57" s="221" t="s">
        <v>10</v>
      </c>
      <c r="AJ57" s="189">
        <f>IFERROR(RANK(TableWRTECalcPts[[#This Row],[Custom]],TableWRTECalcPts[Custom])+COUNTIF($AP$3:AP57,AP57)-1,"")</f>
        <v>62</v>
      </c>
      <c r="AK57" s="189">
        <v>55</v>
      </c>
      <c r="AL57" s="189" t="str">
        <f>IFERROR(INDEX(TableTEMaster[Player],MATCH(TableWRTECalcPts[[#This Row],[POSRef]],TableTEMaster[TERef],0)),"")</f>
        <v>Irv Smith</v>
      </c>
      <c r="AM57" s="189" t="str">
        <f>IFERROR(_xlfn.CONCAT(TableWRTECalcPts[[#This Row],[POS]],INDEX(TableTERanks[RK],MATCH(TableWRTECalcPts[[#This Row],[PLAYER]],TableTERanks[Player],0))),"")</f>
        <v>TE8</v>
      </c>
      <c r="AN57" s="189" t="str">
        <f>IFERROR(INDEX(TableTEMaster[TM],MATCH(TableWRTECalcPts[[#This Row],[POSRef]],TableTEMaster[TERef],0)),"")</f>
        <v>MIN</v>
      </c>
      <c r="AO57" s="189">
        <f>IFERROR(INDEX(TableTEMaster[BYE],MATCH(TableWRTECalcPts[[#This Row],[POSRef]],TableTEMaster[TERef],0)),"")</f>
        <v>7</v>
      </c>
      <c r="AP57" s="191">
        <f>IFERROR(INDEX(TableTEMaster[Custom],MATCH(TableWRTECalcPts[[#This Row],[POSRef]],TableTEMaster[TERef],0)),"")</f>
        <v>104.82297141661108</v>
      </c>
    </row>
    <row r="58" spans="1:42" x14ac:dyDescent="0.3">
      <c r="A58" s="198">
        <f>IFERROR(RANK(TableQBCalcPts[[#This Row],[Custom]],TableQBCalcPts[Custom])+COUNTIF($F$3:F58,F58)-1,"")</f>
        <v>60</v>
      </c>
      <c r="B58" s="189">
        <v>56</v>
      </c>
      <c r="C58" s="189" t="str">
        <f>IFERROR(INDEX(TableQBMaster[Player],MATCH(TableQBCalcPts[[#This Row],[QBRef]],TableQBMaster[QBRef],0)),"")</f>
        <v>Mason Rudolph</v>
      </c>
      <c r="D58" s="189" t="str">
        <f>IFERROR(INDEX(TableQBMaster[TM],MATCH(TableQBCalcPts[[#This Row],[QBRef]],TableQBMaster[QBRef],0)),"")</f>
        <v>PIT</v>
      </c>
      <c r="E58" s="189">
        <f>IFERROR(INDEX(TableQBMaster[BYE],MATCH(TableQBCalcPts[[#This Row],[QBRef]],TableQBMaster[QBRef],0)),"")</f>
        <v>9</v>
      </c>
      <c r="F58" s="191">
        <f>IFERROR(INDEX(TableQBMaster[Custom],MATCH(TableQBCalcPts[[#This Row],[QBRef]],TableQBMaster[QBRef],0)),"")</f>
        <v>3.4144949110272025</v>
      </c>
      <c r="H58" s="189">
        <f>IFERROR(RANK(TableRBCalcPts[[#This Row],[Custom]],TableRBCalcPts[Custom])+COUNTIF($M$3:M58,M58)-1,"")</f>
        <v>28</v>
      </c>
      <c r="I58" s="189">
        <v>56</v>
      </c>
      <c r="J58" s="189" t="str">
        <f>IFERROR(INDEX(TableRBMaster[Player],MATCH(TableRBCalcPts[[#This Row],[RBRef]],TableRBMaster[RBRef],0)),"")</f>
        <v>Clyde Edwards-Helaire</v>
      </c>
      <c r="K58" s="189" t="str">
        <f>IFERROR(INDEX(TableRBMaster[TM],MATCH(TableRBCalcPts[[#This Row],[RBRef]],TableRBMaster[RBRef],0)),"")</f>
        <v>KC</v>
      </c>
      <c r="L58" s="189">
        <f>IFERROR(INDEX(TableRBMaster[BYE],MATCH(TableRBCalcPts[[#This Row],[RBRef]],TableRBMaster[RBRef],0)),"")</f>
        <v>8</v>
      </c>
      <c r="M58" s="191">
        <f>IFERROR(INDEX(TableRBMaster[Custom],MATCH(TableRBCalcPts[[#This Row],[RBRef]],TableRBMaster[RBRef],0)),"")</f>
        <v>139.27997244322847</v>
      </c>
      <c r="O58" s="189">
        <f>IFERROR(RANK(TableWRCalcPts[[#This Row],[Custom]],TableWRCalcPts[Custom])+COUNTIF($T$3:T58,T58)-1,"")</f>
        <v>168</v>
      </c>
      <c r="P58" s="189">
        <v>56</v>
      </c>
      <c r="Q58" s="189" t="str">
        <f>IFERROR(INDEX(TableWRMaster[Player],MATCH(TableWRCalcPts[[#This Row],[WRRef]],TableWRMaster[WRRef],0)),"")</f>
        <v>Kendall Hinton</v>
      </c>
      <c r="R58" s="189" t="str">
        <f>IFERROR(INDEX(TableWRMaster[TM],MATCH(TableWRCalcPts[[#This Row],[WRRef]],TableWRMaster[WRRef],0)),"")</f>
        <v>DEN</v>
      </c>
      <c r="S58" s="189">
        <f>IFERROR(INDEX(TableWRMaster[BYE],MATCH(TableWRCalcPts[[#This Row],[WRRef]],TableWRMaster[WRRef],0)),"")</f>
        <v>9</v>
      </c>
      <c r="T58" s="191">
        <f>IFERROR(INDEX(TableWRMaster[Custom],MATCH(TableWRCalcPts[[#This Row],[WRRef]],TableWRMaster[WRRef],0)),"")</f>
        <v>10.133565759007617</v>
      </c>
      <c r="V58" s="189">
        <f>IFERROR(RANK(TableTECalcPts[[#This Row],[Custom]],TableTECalcPts[Custom])+COUNTIF($AA$3:AA58,AA58)-1,"")</f>
        <v>75</v>
      </c>
      <c r="W58" s="189">
        <v>56</v>
      </c>
      <c r="X58" s="189" t="str">
        <f>IFERROR(INDEX(TableTEMaster[Player],MATCH(TableTECalcPts[[#This Row],[TERef]],TableTEMaster[TERef],0)),"")</f>
        <v>Johnny Mundt</v>
      </c>
      <c r="Y58" s="189" t="str">
        <f>IFERROR(INDEX(TableTEMaster[TM],MATCH(TableTECalcPts[[#This Row],[TERef]],TableTEMaster[TERef],0)),"")</f>
        <v>MIN</v>
      </c>
      <c r="Z58" s="189">
        <f>IFERROR(INDEX(TableTEMaster[BYE],MATCH(TableTECalcPts[[#This Row],[TERef]],TableTEMaster[TERef],0)),"")</f>
        <v>7</v>
      </c>
      <c r="AA58" s="191">
        <f>IFERROR(INDEX(TableTEMaster[Custom],MATCH(TableTECalcPts[[#This Row],[TERef]],TableTEMaster[TERef],0)),"")</f>
        <v>8.2190190845786351</v>
      </c>
      <c r="AI58" s="221" t="s">
        <v>10</v>
      </c>
      <c r="AJ58" s="189">
        <f>IFERROR(RANK(TableWRTECalcPts[[#This Row],[Custom]],TableWRTECalcPts[Custom])+COUNTIF($AP$3:AP58,AP58)-1,"")</f>
        <v>251</v>
      </c>
      <c r="AK58" s="189">
        <v>56</v>
      </c>
      <c r="AL58" s="189" t="str">
        <f>IFERROR(INDEX(TableTEMaster[Player],MATCH(TableWRTECalcPts[[#This Row],[POSRef]],TableTEMaster[TERef],0)),"")</f>
        <v>Johnny Mundt</v>
      </c>
      <c r="AM58" s="189" t="str">
        <f>IFERROR(_xlfn.CONCAT(TableWRTECalcPts[[#This Row],[POS]],INDEX(TableTERanks[RK],MATCH(TableWRTECalcPts[[#This Row],[PLAYER]],TableTERanks[Player],0))),"")</f>
        <v>TE75</v>
      </c>
      <c r="AN58" s="189" t="str">
        <f>IFERROR(INDEX(TableTEMaster[TM],MATCH(TableWRTECalcPts[[#This Row],[POSRef]],TableTEMaster[TERef],0)),"")</f>
        <v>MIN</v>
      </c>
      <c r="AO58" s="189">
        <f>IFERROR(INDEX(TableTEMaster[BYE],MATCH(TableWRTECalcPts[[#This Row],[POSRef]],TableTEMaster[TERef],0)),"")</f>
        <v>7</v>
      </c>
      <c r="AP58" s="191">
        <f>IFERROR(INDEX(TableTEMaster[Custom],MATCH(TableWRTECalcPts[[#This Row],[POSRef]],TableTEMaster[TERef],0)),"")</f>
        <v>8.2190190845786351</v>
      </c>
    </row>
    <row r="59" spans="1:42" x14ac:dyDescent="0.3">
      <c r="A59" s="198">
        <f>IFERROR(RANK(TableQBCalcPts[[#This Row],[Custom]],TableQBCalcPts[Custom])+COUNTIF($F$3:F59,F59)-1,"")</f>
        <v>32</v>
      </c>
      <c r="B59" s="189">
        <v>57</v>
      </c>
      <c r="C59" s="189" t="str">
        <f>IFERROR(INDEX(TableQBMaster[Player],MATCH(TableQBCalcPts[[#This Row],[QBRef]],TableQBMaster[QBRef],0)),"")</f>
        <v>Drew Lock</v>
      </c>
      <c r="D59" s="189" t="str">
        <f>IFERROR(INDEX(TableQBMaster[TM],MATCH(TableQBCalcPts[[#This Row],[QBRef]],TableQBMaster[QBRef],0)),"")</f>
        <v>SEA</v>
      </c>
      <c r="E59" s="189">
        <f>IFERROR(INDEX(TableQBMaster[BYE],MATCH(TableQBCalcPts[[#This Row],[QBRef]],TableQBMaster[QBRef],0)),"")</f>
        <v>11</v>
      </c>
      <c r="F59" s="191">
        <f>IFERROR(INDEX(TableQBMaster[Custom],MATCH(TableQBCalcPts[[#This Row],[QBRef]],TableQBMaster[QBRef],0)),"")</f>
        <v>161.30702075141295</v>
      </c>
      <c r="H59" s="189">
        <f>IFERROR(RANK(TableRBCalcPts[[#This Row],[Custom]],TableRBCalcPts[Custom])+COUNTIF($M$3:M59,M59)-1,"")</f>
        <v>39</v>
      </c>
      <c r="I59" s="189">
        <v>57</v>
      </c>
      <c r="J59" s="189" t="str">
        <f>IFERROR(INDEX(TableRBMaster[Player],MATCH(TableRBCalcPts[[#This Row],[RBRef]],TableRBMaster[RBRef],0)),"")</f>
        <v>Ronald Jones</v>
      </c>
      <c r="K59" s="189" t="str">
        <f>IFERROR(INDEX(TableRBMaster[TM],MATCH(TableRBCalcPts[[#This Row],[RBRef]],TableRBMaster[RBRef],0)),"")</f>
        <v>KC</v>
      </c>
      <c r="L59" s="189">
        <f>IFERROR(INDEX(TableRBMaster[BYE],MATCH(TableRBCalcPts[[#This Row],[RBRef]],TableRBMaster[RBRef],0)),"")</f>
        <v>8</v>
      </c>
      <c r="M59" s="191">
        <f>IFERROR(INDEX(TableRBMaster[Custom],MATCH(TableRBCalcPts[[#This Row],[RBRef]],TableRBMaster[RBRef],0)),"")</f>
        <v>109.64140367045293</v>
      </c>
      <c r="O59" s="189">
        <f>IFERROR(RANK(TableWRCalcPts[[#This Row],[Custom]],TableWRCalcPts[Custom])+COUNTIF($T$3:T59,T59)-1,"")</f>
        <v>183</v>
      </c>
      <c r="P59" s="189">
        <v>57</v>
      </c>
      <c r="Q59" s="189" t="str">
        <f>IFERROR(INDEX(TableWRMaster[Player],MATCH(TableWRCalcPts[[#This Row],[WRRef]],TableWRMaster[WRRef],0)),"")</f>
        <v>Montrell Washington</v>
      </c>
      <c r="R59" s="189" t="str">
        <f>IFERROR(INDEX(TableWRMaster[TM],MATCH(TableWRCalcPts[[#This Row],[WRRef]],TableWRMaster[WRRef],0)),"")</f>
        <v>DEN</v>
      </c>
      <c r="S59" s="189">
        <f>IFERROR(INDEX(TableWRMaster[BYE],MATCH(TableWRCalcPts[[#This Row],[WRRef]],TableWRMaster[WRRef],0)),"")</f>
        <v>9</v>
      </c>
      <c r="T59" s="191">
        <f>IFERROR(INDEX(TableWRMaster[Custom],MATCH(TableWRCalcPts[[#This Row],[WRRef]],TableWRMaster[WRRef],0)),"")</f>
        <v>4.7618894716676774</v>
      </c>
      <c r="V59" s="189">
        <f>IFERROR(RANK(TableTECalcPts[[#This Row],[Custom]],TableTECalcPts[Custom])+COUNTIF($AA$3:AA59,AA59)-1,"")</f>
        <v>80</v>
      </c>
      <c r="W59" s="189">
        <v>57</v>
      </c>
      <c r="X59" s="189" t="str">
        <f>IFERROR(INDEX(TableTEMaster[Player],MATCH(TableTECalcPts[[#This Row],[TERef]],TableTEMaster[TERef],0)),"")</f>
        <v>Ben Ellefson</v>
      </c>
      <c r="Y59" s="189" t="str">
        <f>IFERROR(INDEX(TableTEMaster[TM],MATCH(TableTECalcPts[[#This Row],[TERef]],TableTEMaster[TERef],0)),"")</f>
        <v>MIN</v>
      </c>
      <c r="Z59" s="189">
        <f>IFERROR(INDEX(TableTEMaster[BYE],MATCH(TableTECalcPts[[#This Row],[TERef]],TableTEMaster[TERef],0)),"")</f>
        <v>7</v>
      </c>
      <c r="AA59" s="191">
        <f>IFERROR(INDEX(TableTEMaster[Custom],MATCH(TableTECalcPts[[#This Row],[TERef]],TableTEMaster[TERef],0)),"")</f>
        <v>7.1504475317791831</v>
      </c>
      <c r="AI59" s="221" t="s">
        <v>10</v>
      </c>
      <c r="AJ59" s="189">
        <f>IFERROR(RANK(TableWRTECalcPts[[#This Row],[Custom]],TableWRTECalcPts[Custom])+COUNTIF($AP$3:AP59,AP59)-1,"")</f>
        <v>260</v>
      </c>
      <c r="AK59" s="189">
        <v>57</v>
      </c>
      <c r="AL59" s="189" t="str">
        <f>IFERROR(INDEX(TableTEMaster[Player],MATCH(TableWRTECalcPts[[#This Row],[POSRef]],TableTEMaster[TERef],0)),"")</f>
        <v>Ben Ellefson</v>
      </c>
      <c r="AM59" s="189" t="str">
        <f>IFERROR(_xlfn.CONCAT(TableWRTECalcPts[[#This Row],[POS]],INDEX(TableTERanks[RK],MATCH(TableWRTECalcPts[[#This Row],[PLAYER]],TableTERanks[Player],0))),"")</f>
        <v>TE80</v>
      </c>
      <c r="AN59" s="189" t="str">
        <f>IFERROR(INDEX(TableTEMaster[TM],MATCH(TableWRTECalcPts[[#This Row],[POSRef]],TableTEMaster[TERef],0)),"")</f>
        <v>MIN</v>
      </c>
      <c r="AO59" s="189">
        <f>IFERROR(INDEX(TableTEMaster[BYE],MATCH(TableWRTECalcPts[[#This Row],[POSRef]],TableTEMaster[TERef],0)),"")</f>
        <v>7</v>
      </c>
      <c r="AP59" s="191">
        <f>IFERROR(INDEX(TableTEMaster[Custom],MATCH(TableWRTECalcPts[[#This Row],[POSRef]],TableTEMaster[TERef],0)),"")</f>
        <v>7.1504475317791831</v>
      </c>
    </row>
    <row r="60" spans="1:42" x14ac:dyDescent="0.3">
      <c r="A60" s="198">
        <f>IFERROR(RANK(TableQBCalcPts[[#This Row],[Custom]],TableQBCalcPts[Custom])+COUNTIF($F$3:F60,F60)-1,"")</f>
        <v>34</v>
      </c>
      <c r="B60" s="189">
        <v>58</v>
      </c>
      <c r="C60" s="189" t="str">
        <f>IFERROR(INDEX(TableQBMaster[Player],MATCH(TableQBCalcPts[[#This Row],[QBRef]],TableQBMaster[QBRef],0)),"")</f>
        <v>Geno Smith</v>
      </c>
      <c r="D60" s="189" t="str">
        <f>IFERROR(INDEX(TableQBMaster[TM],MATCH(TableQBCalcPts[[#This Row],[QBRef]],TableQBMaster[QBRef],0)),"")</f>
        <v>SEA</v>
      </c>
      <c r="E60" s="189">
        <f>IFERROR(INDEX(TableQBMaster[BYE],MATCH(TableQBCalcPts[[#This Row],[QBRef]],TableQBMaster[QBRef],0)),"")</f>
        <v>11</v>
      </c>
      <c r="F60" s="191">
        <f>IFERROR(INDEX(TableQBMaster[Custom],MATCH(TableQBCalcPts[[#This Row],[QBRef]],TableQBMaster[QBRef],0)),"")</f>
        <v>106.80991898747439</v>
      </c>
      <c r="H60" s="189">
        <f>IFERROR(RANK(TableRBCalcPts[[#This Row],[Custom]],TableRBCalcPts[Custom])+COUNTIF($M$3:M60,M60)-1,"")</f>
        <v>82</v>
      </c>
      <c r="I60" s="189">
        <v>58</v>
      </c>
      <c r="J60" s="189" t="str">
        <f>IFERROR(INDEX(TableRBMaster[Player],MATCH(TableRBCalcPts[[#This Row],[RBRef]],TableRBMaster[RBRef],0)),"")</f>
        <v>Derrick Gore</v>
      </c>
      <c r="K60" s="189" t="str">
        <f>IFERROR(INDEX(TableRBMaster[TM],MATCH(TableRBCalcPts[[#This Row],[RBRef]],TableRBMaster[RBRef],0)),"")</f>
        <v>KC</v>
      </c>
      <c r="L60" s="189">
        <f>IFERROR(INDEX(TableRBMaster[BYE],MATCH(TableRBCalcPts[[#This Row],[RBRef]],TableRBMaster[RBRef],0)),"")</f>
        <v>8</v>
      </c>
      <c r="M60" s="191">
        <f>IFERROR(INDEX(TableRBMaster[Custom],MATCH(TableRBCalcPts[[#This Row],[RBRef]],TableRBMaster[RBRef],0)),"")</f>
        <v>25.814833604161549</v>
      </c>
      <c r="O60" s="189">
        <f>IFERROR(RANK(TableWRCalcPts[[#This Row],[Custom]],TableWRCalcPts[Custom])+COUNTIF($T$3:T60,T60)-1,"")</f>
        <v>36</v>
      </c>
      <c r="P60" s="189">
        <v>58</v>
      </c>
      <c r="Q60" s="189" t="str">
        <f>IFERROR(INDEX(TableWRMaster[Player],MATCH(TableWRCalcPts[[#This Row],[WRRef]],TableWRMaster[WRRef],0)),"")</f>
        <v>Amon-Ra St. Brown</v>
      </c>
      <c r="R60" s="189" t="str">
        <f>IFERROR(INDEX(TableWRMaster[TM],MATCH(TableWRCalcPts[[#This Row],[WRRef]],TableWRMaster[WRRef],0)),"")</f>
        <v>DET</v>
      </c>
      <c r="S60" s="189">
        <f>IFERROR(INDEX(TableWRMaster[BYE],MATCH(TableWRCalcPts[[#This Row],[WRRef]],TableWRMaster[WRRef],0)),"")</f>
        <v>6</v>
      </c>
      <c r="T60" s="191">
        <f>IFERROR(INDEX(TableWRMaster[Custom],MATCH(TableWRCalcPts[[#This Row],[WRRef]],TableWRMaster[WRRef],0)),"")</f>
        <v>132.52196259296818</v>
      </c>
      <c r="V60" s="189">
        <f>IFERROR(RANK(TableTECalcPts[[#This Row],[Custom]],TableTECalcPts[Custom])+COUNTIF($AA$3:AA60,AA60)-1,"")</f>
        <v>15</v>
      </c>
      <c r="W60" s="189">
        <v>58</v>
      </c>
      <c r="X60" s="189" t="str">
        <f>IFERROR(INDEX(TableTEMaster[Player],MATCH(TableTECalcPts[[#This Row],[TERef]],TableTEMaster[TERef],0)),"")</f>
        <v>Hunter Henry</v>
      </c>
      <c r="Y60" s="189" t="str">
        <f>IFERROR(INDEX(TableTEMaster[TM],MATCH(TableTECalcPts[[#This Row],[TERef]],TableTEMaster[TERef],0)),"")</f>
        <v>NE</v>
      </c>
      <c r="Z60" s="189">
        <f>IFERROR(INDEX(TableTEMaster[BYE],MATCH(TableTECalcPts[[#This Row],[TERef]],TableTEMaster[TERef],0)),"")</f>
        <v>10</v>
      </c>
      <c r="AA60" s="191">
        <f>IFERROR(INDEX(TableTEMaster[Custom],MATCH(TableTECalcPts[[#This Row],[TERef]],TableTEMaster[TERef],0)),"")</f>
        <v>95.676800335250789</v>
      </c>
      <c r="AI60" s="221" t="s">
        <v>10</v>
      </c>
      <c r="AJ60" s="189">
        <f>IFERROR(RANK(TableWRTECalcPts[[#This Row],[Custom]],TableWRTECalcPts[Custom])+COUNTIF($AP$3:AP60,AP60)-1,"")</f>
        <v>78</v>
      </c>
      <c r="AK60" s="189">
        <v>58</v>
      </c>
      <c r="AL60" s="189" t="str">
        <f>IFERROR(INDEX(TableTEMaster[Player],MATCH(TableWRTECalcPts[[#This Row],[POSRef]],TableTEMaster[TERef],0)),"")</f>
        <v>Hunter Henry</v>
      </c>
      <c r="AM60" s="189" t="str">
        <f>IFERROR(_xlfn.CONCAT(TableWRTECalcPts[[#This Row],[POS]],INDEX(TableTERanks[RK],MATCH(TableWRTECalcPts[[#This Row],[PLAYER]],TableTERanks[Player],0))),"")</f>
        <v>TE15</v>
      </c>
      <c r="AN60" s="189" t="str">
        <f>IFERROR(INDEX(TableTEMaster[TM],MATCH(TableWRTECalcPts[[#This Row],[POSRef]],TableTEMaster[TERef],0)),"")</f>
        <v>NE</v>
      </c>
      <c r="AO60" s="189">
        <f>IFERROR(INDEX(TableTEMaster[BYE],MATCH(TableWRTECalcPts[[#This Row],[POSRef]],TableTEMaster[TERef],0)),"")</f>
        <v>10</v>
      </c>
      <c r="AP60" s="191">
        <f>IFERROR(INDEX(TableTEMaster[Custom],MATCH(TableWRTECalcPts[[#This Row],[POSRef]],TableTEMaster[TERef],0)),"")</f>
        <v>95.676800335250789</v>
      </c>
    </row>
    <row r="61" spans="1:42" x14ac:dyDescent="0.3">
      <c r="A61" s="198">
        <f>IFERROR(RANK(TableQBCalcPts[[#This Row],[Custom]],TableQBCalcPts[Custom])+COUNTIF($F$3:F61,F61)-1,"")</f>
        <v>12</v>
      </c>
      <c r="B61" s="189">
        <v>59</v>
      </c>
      <c r="C61" s="189" t="str">
        <f>IFERROR(INDEX(TableQBMaster[Player],MATCH(TableQBCalcPts[[#This Row],[QBRef]],TableQBMaster[QBRef],0)),"")</f>
        <v>Trey Lance</v>
      </c>
      <c r="D61" s="189" t="str">
        <f>IFERROR(INDEX(TableQBMaster[TM],MATCH(TableQBCalcPts[[#This Row],[QBRef]],TableQBMaster[QBRef],0)),"")</f>
        <v>SF</v>
      </c>
      <c r="E61" s="189">
        <f>IFERROR(INDEX(TableQBMaster[BYE],MATCH(TableQBCalcPts[[#This Row],[QBRef]],TableQBMaster[QBRef],0)),"")</f>
        <v>9</v>
      </c>
      <c r="F61" s="191">
        <f>IFERROR(INDEX(TableQBMaster[Custom],MATCH(TableQBCalcPts[[#This Row],[QBRef]],TableQBMaster[QBRef],0)),"")</f>
        <v>324.0209681257009</v>
      </c>
      <c r="H61" s="189">
        <f>IFERROR(RANK(TableRBCalcPts[[#This Row],[Custom]],TableRBCalcPts[Custom])+COUNTIF($M$3:M61,M61)-1,"")</f>
        <v>101</v>
      </c>
      <c r="I61" s="189">
        <v>59</v>
      </c>
      <c r="J61" s="189" t="str">
        <f>IFERROR(INDEX(TableRBMaster[Player],MATCH(TableRBCalcPts[[#This Row],[RBRef]],TableRBMaster[RBRef],0)),"")</f>
        <v>Isaih Pacheco</v>
      </c>
      <c r="K61" s="189" t="str">
        <f>IFERROR(INDEX(TableRBMaster[TM],MATCH(TableRBCalcPts[[#This Row],[RBRef]],TableRBMaster[RBRef],0)),"")</f>
        <v>KC</v>
      </c>
      <c r="L61" s="189">
        <f>IFERROR(INDEX(TableRBMaster[BYE],MATCH(TableRBCalcPts[[#This Row],[RBRef]],TableRBMaster[RBRef],0)),"")</f>
        <v>8</v>
      </c>
      <c r="M61" s="191">
        <f>IFERROR(INDEX(TableRBMaster[Custom],MATCH(TableRBCalcPts[[#This Row],[RBRef]],TableRBMaster[RBRef],0)),"")</f>
        <v>13.926512654369075</v>
      </c>
      <c r="O61" s="189">
        <f>IFERROR(RANK(TableWRCalcPts[[#This Row],[Custom]],TableWRCalcPts[Custom])+COUNTIF($T$3:T61,T61)-1,"")</f>
        <v>77</v>
      </c>
      <c r="P61" s="189">
        <v>59</v>
      </c>
      <c r="Q61" s="189" t="str">
        <f>IFERROR(INDEX(TableWRMaster[Player],MATCH(TableWRCalcPts[[#This Row],[WRRef]],TableWRMaster[WRRef],0)),"")</f>
        <v>DJ Chark</v>
      </c>
      <c r="R61" s="189" t="str">
        <f>IFERROR(INDEX(TableWRMaster[TM],MATCH(TableWRCalcPts[[#This Row],[WRRef]],TableWRMaster[WRRef],0)),"")</f>
        <v>DET</v>
      </c>
      <c r="S61" s="189">
        <f>IFERROR(INDEX(TableWRMaster[BYE],MATCH(TableWRCalcPts[[#This Row],[WRRef]],TableWRMaster[WRRef],0)),"")</f>
        <v>6</v>
      </c>
      <c r="T61" s="191">
        <f>IFERROR(INDEX(TableWRMaster[Custom],MATCH(TableWRCalcPts[[#This Row],[WRRef]],TableWRMaster[WRRef],0)),"")</f>
        <v>76.972782029526599</v>
      </c>
      <c r="V61" s="189">
        <f>IFERROR(RANK(TableTECalcPts[[#This Row],[Custom]],TableTECalcPts[Custom])+COUNTIF($AA$3:AA61,AA61)-1,"")</f>
        <v>34</v>
      </c>
      <c r="W61" s="189">
        <v>59</v>
      </c>
      <c r="X61" s="189" t="str">
        <f>IFERROR(INDEX(TableTEMaster[Player],MATCH(TableTECalcPts[[#This Row],[TERef]],TableTEMaster[TERef],0)),"")</f>
        <v>Jonnu Smith</v>
      </c>
      <c r="Y61" s="189" t="str">
        <f>IFERROR(INDEX(TableTEMaster[TM],MATCH(TableTECalcPts[[#This Row],[TERef]],TableTEMaster[TERef],0)),"")</f>
        <v>NE</v>
      </c>
      <c r="Z61" s="189">
        <f>IFERROR(INDEX(TableTEMaster[BYE],MATCH(TableTECalcPts[[#This Row],[TERef]],TableTEMaster[TERef],0)),"")</f>
        <v>10</v>
      </c>
      <c r="AA61" s="191">
        <f>IFERROR(INDEX(TableTEMaster[Custom],MATCH(TableTECalcPts[[#This Row],[TERef]],TableTEMaster[TERef],0)),"")</f>
        <v>41.486085433533724</v>
      </c>
      <c r="AI61" s="221" t="s">
        <v>10</v>
      </c>
      <c r="AJ61" s="189">
        <f>IFERROR(RANK(TableWRTECalcPts[[#This Row],[Custom]],TableWRTECalcPts[Custom])+COUNTIF($AP$3:AP61,AP61)-1,"")</f>
        <v>139</v>
      </c>
      <c r="AK61" s="189">
        <v>59</v>
      </c>
      <c r="AL61" s="189" t="str">
        <f>IFERROR(INDEX(TableTEMaster[Player],MATCH(TableWRTECalcPts[[#This Row],[POSRef]],TableTEMaster[TERef],0)),"")</f>
        <v>Jonnu Smith</v>
      </c>
      <c r="AM61" s="189" t="str">
        <f>IFERROR(_xlfn.CONCAT(TableWRTECalcPts[[#This Row],[POS]],INDEX(TableTERanks[RK],MATCH(TableWRTECalcPts[[#This Row],[PLAYER]],TableTERanks[Player],0))),"")</f>
        <v>TE34</v>
      </c>
      <c r="AN61" s="189" t="str">
        <f>IFERROR(INDEX(TableTEMaster[TM],MATCH(TableWRTECalcPts[[#This Row],[POSRef]],TableTEMaster[TERef],0)),"")</f>
        <v>NE</v>
      </c>
      <c r="AO61" s="189">
        <f>IFERROR(INDEX(TableTEMaster[BYE],MATCH(TableWRTECalcPts[[#This Row],[POSRef]],TableTEMaster[TERef],0)),"")</f>
        <v>10</v>
      </c>
      <c r="AP61" s="191">
        <f>IFERROR(INDEX(TableTEMaster[Custom],MATCH(TableWRTECalcPts[[#This Row],[POSRef]],TableTEMaster[TERef],0)),"")</f>
        <v>41.486085433533724</v>
      </c>
    </row>
    <row r="62" spans="1:42" x14ac:dyDescent="0.3">
      <c r="A62" s="198">
        <f>IFERROR(RANK(TableQBCalcPts[[#This Row],[Custom]],TableQBCalcPts[Custom])+COUNTIF($F$3:F62,F62)-1,"")</f>
        <v>46</v>
      </c>
      <c r="B62" s="189">
        <v>60</v>
      </c>
      <c r="C62" s="189" t="str">
        <f>IFERROR(INDEX(TableQBMaster[Player],MATCH(TableQBCalcPts[[#This Row],[QBRef]],TableQBMaster[QBRef],0)),"")</f>
        <v>Jimmy Garoppolo</v>
      </c>
      <c r="D62" s="189" t="str">
        <f>IFERROR(INDEX(TableQBMaster[TM],MATCH(TableQBCalcPts[[#This Row],[QBRef]],TableQBMaster[QBRef],0)),"")</f>
        <v>SF</v>
      </c>
      <c r="E62" s="189">
        <f>IFERROR(INDEX(TableQBMaster[BYE],MATCH(TableQBCalcPts[[#This Row],[QBRef]],TableQBMaster[QBRef],0)),"")</f>
        <v>9</v>
      </c>
      <c r="F62" s="191">
        <f>IFERROR(INDEX(TableQBMaster[Custom],MATCH(TableQBCalcPts[[#This Row],[QBRef]],TableQBMaster[QBRef],0)),"")</f>
        <v>10.674137380582136</v>
      </c>
      <c r="H62" s="189">
        <f>IFERROR(RANK(TableRBCalcPts[[#This Row],[Custom]],TableRBCalcPts[Custom])+COUNTIF($M$3:M62,M62)-1,"")</f>
        <v>5</v>
      </c>
      <c r="I62" s="189">
        <v>60</v>
      </c>
      <c r="J62" s="189" t="str">
        <f>IFERROR(INDEX(TableRBMaster[Player],MATCH(TableRBCalcPts[[#This Row],[RBRef]],TableRBMaster[RBRef],0)),"")</f>
        <v>Austin Ekeler</v>
      </c>
      <c r="K62" s="189" t="str">
        <f>IFERROR(INDEX(TableRBMaster[TM],MATCH(TableRBCalcPts[[#This Row],[RBRef]],TableRBMaster[RBRef],0)),"")</f>
        <v>LAC</v>
      </c>
      <c r="L62" s="189">
        <f>IFERROR(INDEX(TableRBMaster[BYE],MATCH(TableRBCalcPts[[#This Row],[RBRef]],TableRBMaster[RBRef],0)),"")</f>
        <v>8</v>
      </c>
      <c r="M62" s="191">
        <f>IFERROR(INDEX(TableRBMaster[Custom],MATCH(TableRBCalcPts[[#This Row],[RBRef]],TableRBMaster[RBRef],0)),"")</f>
        <v>232.34182076714802</v>
      </c>
      <c r="O62" s="189">
        <f>IFERROR(RANK(TableWRCalcPts[[#This Row],[Custom]],TableWRCalcPts[Custom])+COUNTIF($T$3:T62,T62)-1,"")</f>
        <v>48</v>
      </c>
      <c r="P62" s="189">
        <v>60</v>
      </c>
      <c r="Q62" s="189" t="str">
        <f>IFERROR(INDEX(TableWRMaster[Player],MATCH(TableWRCalcPts[[#This Row],[WRRef]],TableWRMaster[WRRef],0)),"")</f>
        <v>Jameson Williams</v>
      </c>
      <c r="R62" s="189" t="str">
        <f>IFERROR(INDEX(TableWRMaster[TM],MATCH(TableWRCalcPts[[#This Row],[WRRef]],TableWRMaster[WRRef],0)),"")</f>
        <v>DET</v>
      </c>
      <c r="S62" s="189">
        <f>IFERROR(INDEX(TableWRMaster[BYE],MATCH(TableWRCalcPts[[#This Row],[WRRef]],TableWRMaster[WRRef],0)),"")</f>
        <v>6</v>
      </c>
      <c r="T62" s="191">
        <f>IFERROR(INDEX(TableWRMaster[Custom],MATCH(TableWRCalcPts[[#This Row],[WRRef]],TableWRMaster[WRRef],0)),"")</f>
        <v>109.96837220993626</v>
      </c>
      <c r="V62" s="189">
        <f>IFERROR(RANK(TableTECalcPts[[#This Row],[Custom]],TableTECalcPts[Custom])+COUNTIF($AA$3:AA62,AA62)-1,"")</f>
        <v>88</v>
      </c>
      <c r="W62" s="189">
        <v>60</v>
      </c>
      <c r="X62" s="189" t="str">
        <f>IFERROR(INDEX(TableTEMaster[Player],MATCH(TableTECalcPts[[#This Row],[TERef]],TableTEMaster[TERef],0)),"")</f>
        <v>Devin Asiasi</v>
      </c>
      <c r="Y62" s="189" t="str">
        <f>IFERROR(INDEX(TableTEMaster[TM],MATCH(TableTECalcPts[[#This Row],[TERef]],TableTEMaster[TERef],0)),"")</f>
        <v>NE</v>
      </c>
      <c r="Z62" s="189">
        <f>IFERROR(INDEX(TableTEMaster[BYE],MATCH(TableTECalcPts[[#This Row],[TERef]],TableTEMaster[TERef],0)),"")</f>
        <v>10</v>
      </c>
      <c r="AA62" s="191">
        <f>IFERROR(INDEX(TableTEMaster[Custom],MATCH(TableTECalcPts[[#This Row],[TERef]],TableTEMaster[TERef],0)),"")</f>
        <v>5.165323273131186</v>
      </c>
      <c r="AI62" s="221" t="s">
        <v>10</v>
      </c>
      <c r="AJ62" s="189">
        <f>IFERROR(RANK(TableWRTECalcPts[[#This Row],[Custom]],TableWRTECalcPts[Custom])+COUNTIF($AP$3:AP62,AP62)-1,"")</f>
        <v>270</v>
      </c>
      <c r="AK62" s="189">
        <v>60</v>
      </c>
      <c r="AL62" s="189" t="str">
        <f>IFERROR(INDEX(TableTEMaster[Player],MATCH(TableWRTECalcPts[[#This Row],[POSRef]],TableTEMaster[TERef],0)),"")</f>
        <v>Devin Asiasi</v>
      </c>
      <c r="AM62" s="189" t="str">
        <f>IFERROR(_xlfn.CONCAT(TableWRTECalcPts[[#This Row],[POS]],INDEX(TableTERanks[RK],MATCH(TableWRTECalcPts[[#This Row],[PLAYER]],TableTERanks[Player],0))),"")</f>
        <v>TE88</v>
      </c>
      <c r="AN62" s="189" t="str">
        <f>IFERROR(INDEX(TableTEMaster[TM],MATCH(TableWRTECalcPts[[#This Row],[POSRef]],TableTEMaster[TERef],0)),"")</f>
        <v>NE</v>
      </c>
      <c r="AO62" s="189">
        <f>IFERROR(INDEX(TableTEMaster[BYE],MATCH(TableWRTECalcPts[[#This Row],[POSRef]],TableTEMaster[TERef],0)),"")</f>
        <v>10</v>
      </c>
      <c r="AP62" s="191">
        <f>IFERROR(INDEX(TableTEMaster[Custom],MATCH(TableWRTECalcPts[[#This Row],[POSRef]],TableTEMaster[TERef],0)),"")</f>
        <v>5.165323273131186</v>
      </c>
    </row>
    <row r="63" spans="1:42" x14ac:dyDescent="0.3">
      <c r="A63" s="198">
        <f>IFERROR(RANK(TableQBCalcPts[[#This Row],[Custom]],TableQBCalcPts[Custom])+COUNTIF($F$3:F63,F63)-1,"")</f>
        <v>8</v>
      </c>
      <c r="B63" s="189">
        <v>61</v>
      </c>
      <c r="C63" s="189" t="str">
        <f>IFERROR(INDEX(TableQBMaster[Player],MATCH(TableQBCalcPts[[#This Row],[QBRef]],TableQBMaster[QBRef],0)),"")</f>
        <v>Tom Brady</v>
      </c>
      <c r="D63" s="189" t="str">
        <f>IFERROR(INDEX(TableQBMaster[TM],MATCH(TableQBCalcPts[[#This Row],[QBRef]],TableQBMaster[QBRef],0)),"")</f>
        <v>TB</v>
      </c>
      <c r="E63" s="189">
        <f>IFERROR(INDEX(TableQBMaster[BYE],MATCH(TableQBCalcPts[[#This Row],[QBRef]],TableQBMaster[QBRef],0)),"")</f>
        <v>11</v>
      </c>
      <c r="F63" s="191">
        <f>IFERROR(INDEX(TableQBMaster[Custom],MATCH(TableQBCalcPts[[#This Row],[QBRef]],TableQBMaster[QBRef],0)),"")</f>
        <v>352.86881815129311</v>
      </c>
      <c r="H63" s="189">
        <f>IFERROR(RANK(TableRBCalcPts[[#This Row],[Custom]],TableRBCalcPts[Custom])+COUNTIF($M$3:M63,M63)-1,"")</f>
        <v>40</v>
      </c>
      <c r="I63" s="189">
        <v>61</v>
      </c>
      <c r="J63" s="189" t="str">
        <f>IFERROR(INDEX(TableRBMaster[Player],MATCH(TableRBCalcPts[[#This Row],[RBRef]],TableRBMaster[RBRef],0)),"")</f>
        <v>Isaiah Spiller</v>
      </c>
      <c r="K63" s="189" t="str">
        <f>IFERROR(INDEX(TableRBMaster[TM],MATCH(TableRBCalcPts[[#This Row],[RBRef]],TableRBMaster[RBRef],0)),"")</f>
        <v>LAC</v>
      </c>
      <c r="L63" s="189">
        <f>IFERROR(INDEX(TableRBMaster[BYE],MATCH(TableRBCalcPts[[#This Row],[RBRef]],TableRBMaster[RBRef],0)),"")</f>
        <v>8</v>
      </c>
      <c r="M63" s="191">
        <f>IFERROR(INDEX(TableRBMaster[Custom],MATCH(TableRBCalcPts[[#This Row],[RBRef]],TableRBMaster[RBRef],0)),"")</f>
        <v>104.69818536642967</v>
      </c>
      <c r="O63" s="189">
        <f>IFERROR(RANK(TableWRCalcPts[[#This Row],[Custom]],TableWRCalcPts[Custom])+COUNTIF($T$3:T63,T63)-1,"")</f>
        <v>113</v>
      </c>
      <c r="P63" s="189">
        <v>61</v>
      </c>
      <c r="Q63" s="189" t="str">
        <f>IFERROR(INDEX(TableWRMaster[Player],MATCH(TableWRCalcPts[[#This Row],[WRRef]],TableWRMaster[WRRef],0)),"")</f>
        <v>Josh Reynolds</v>
      </c>
      <c r="R63" s="189" t="str">
        <f>IFERROR(INDEX(TableWRMaster[TM],MATCH(TableWRCalcPts[[#This Row],[WRRef]],TableWRMaster[WRRef],0)),"")</f>
        <v>DET</v>
      </c>
      <c r="S63" s="189">
        <f>IFERROR(INDEX(TableWRMaster[BYE],MATCH(TableWRCalcPts[[#This Row],[WRRef]],TableWRMaster[WRRef],0)),"")</f>
        <v>6</v>
      </c>
      <c r="T63" s="191">
        <f>IFERROR(INDEX(TableWRMaster[Custom],MATCH(TableWRCalcPts[[#This Row],[WRRef]],TableWRMaster[WRRef],0)),"")</f>
        <v>29.669607801472058</v>
      </c>
      <c r="V63" s="189">
        <f>IFERROR(RANK(TableTECalcPts[[#This Row],[Custom]],TableTECalcPts[Custom])+COUNTIF($AA$3:AA63,AA63)-1,"")</f>
        <v>32</v>
      </c>
      <c r="W63" s="189">
        <v>61</v>
      </c>
      <c r="X63" s="189" t="str">
        <f>IFERROR(INDEX(TableTEMaster[Player],MATCH(TableTECalcPts[[#This Row],[TERef]],TableTEMaster[TERef],0)),"")</f>
        <v>Adam Trautman</v>
      </c>
      <c r="Y63" s="189" t="str">
        <f>IFERROR(INDEX(TableTEMaster[TM],MATCH(TableTECalcPts[[#This Row],[TERef]],TableTEMaster[TERef],0)),"")</f>
        <v>NO</v>
      </c>
      <c r="Z63" s="189">
        <f>IFERROR(INDEX(TableTEMaster[BYE],MATCH(TableTECalcPts[[#This Row],[TERef]],TableTEMaster[TERef],0)),"")</f>
        <v>14</v>
      </c>
      <c r="AA63" s="191">
        <f>IFERROR(INDEX(TableTEMaster[Custom],MATCH(TableTECalcPts[[#This Row],[TERef]],TableTEMaster[TERef],0)),"")</f>
        <v>50.26987913575595</v>
      </c>
      <c r="AI63" s="221" t="s">
        <v>10</v>
      </c>
      <c r="AJ63" s="189">
        <f>IFERROR(RANK(TableWRTECalcPts[[#This Row],[Custom]],TableWRTECalcPts[Custom])+COUNTIF($AP$3:AP63,AP63)-1,"")</f>
        <v>128</v>
      </c>
      <c r="AK63" s="189">
        <v>61</v>
      </c>
      <c r="AL63" s="189" t="str">
        <f>IFERROR(INDEX(TableTEMaster[Player],MATCH(TableWRTECalcPts[[#This Row],[POSRef]],TableTEMaster[TERef],0)),"")</f>
        <v>Adam Trautman</v>
      </c>
      <c r="AM63" s="189" t="str">
        <f>IFERROR(_xlfn.CONCAT(TableWRTECalcPts[[#This Row],[POS]],INDEX(TableTERanks[RK],MATCH(TableWRTECalcPts[[#This Row],[PLAYER]],TableTERanks[Player],0))),"")</f>
        <v>TE32</v>
      </c>
      <c r="AN63" s="189" t="str">
        <f>IFERROR(INDEX(TableTEMaster[TM],MATCH(TableWRTECalcPts[[#This Row],[POSRef]],TableTEMaster[TERef],0)),"")</f>
        <v>NO</v>
      </c>
      <c r="AO63" s="189">
        <f>IFERROR(INDEX(TableTEMaster[BYE],MATCH(TableWRTECalcPts[[#This Row],[POSRef]],TableTEMaster[TERef],0)),"")</f>
        <v>14</v>
      </c>
      <c r="AP63" s="191">
        <f>IFERROR(INDEX(TableTEMaster[Custom],MATCH(TableWRTECalcPts[[#This Row],[POSRef]],TableTEMaster[TERef],0)),"")</f>
        <v>50.26987913575595</v>
      </c>
    </row>
    <row r="64" spans="1:42" x14ac:dyDescent="0.3">
      <c r="A64" s="198">
        <f>IFERROR(RANK(TableQBCalcPts[[#This Row],[Custom]],TableQBCalcPts[Custom])+COUNTIF($F$3:F64,F64)-1,"")</f>
        <v>61</v>
      </c>
      <c r="B64" s="189">
        <v>62</v>
      </c>
      <c r="C64" s="189" t="str">
        <f>IFERROR(INDEX(TableQBMaster[Player],MATCH(TableQBCalcPts[[#This Row],[QBRef]],TableQBMaster[QBRef],0)),"")</f>
        <v>Kyle Trask</v>
      </c>
      <c r="D64" s="189" t="str">
        <f>IFERROR(INDEX(TableQBMaster[TM],MATCH(TableQBCalcPts[[#This Row],[QBRef]],TableQBMaster[QBRef],0)),"")</f>
        <v>TB</v>
      </c>
      <c r="E64" s="189">
        <f>IFERROR(INDEX(TableQBMaster[BYE],MATCH(TableQBCalcPts[[#This Row],[QBRef]],TableQBMaster[QBRef],0)),"")</f>
        <v>11</v>
      </c>
      <c r="F64" s="191">
        <f>IFERROR(INDEX(TableQBMaster[Custom],MATCH(TableQBCalcPts[[#This Row],[QBRef]],TableQBMaster[QBRef],0)),"")</f>
        <v>2.9468850686177452</v>
      </c>
      <c r="H64" s="189">
        <f>IFERROR(RANK(TableRBCalcPts[[#This Row],[Custom]],TableRBCalcPts[Custom])+COUNTIF($M$3:M64,M64)-1,"")</f>
        <v>85</v>
      </c>
      <c r="I64" s="189">
        <v>62</v>
      </c>
      <c r="J64" s="189" t="str">
        <f>IFERROR(INDEX(TableRBMaster[Player],MATCH(TableRBCalcPts[[#This Row],[RBRef]],TableRBMaster[RBRef],0)),"")</f>
        <v>Joshua Kelley</v>
      </c>
      <c r="K64" s="189" t="str">
        <f>IFERROR(INDEX(TableRBMaster[TM],MATCH(TableRBCalcPts[[#This Row],[RBRef]],TableRBMaster[RBRef],0)),"")</f>
        <v>LAC</v>
      </c>
      <c r="L64" s="189">
        <f>IFERROR(INDEX(TableRBMaster[BYE],MATCH(TableRBCalcPts[[#This Row],[RBRef]],TableRBMaster[RBRef],0)),"")</f>
        <v>8</v>
      </c>
      <c r="M64" s="191">
        <f>IFERROR(INDEX(TableRBMaster[Custom],MATCH(TableRBCalcPts[[#This Row],[RBRef]],TableRBMaster[RBRef],0)),"")</f>
        <v>22.922049210206108</v>
      </c>
      <c r="O64" s="189">
        <f>IFERROR(RANK(TableWRCalcPts[[#This Row],[Custom]],TableWRCalcPts[Custom])+COUNTIF($T$3:T64,T64)-1,"")</f>
        <v>170</v>
      </c>
      <c r="P64" s="189">
        <v>62</v>
      </c>
      <c r="Q64" s="189" t="str">
        <f>IFERROR(INDEX(TableWRMaster[Player],MATCH(TableWRCalcPts[[#This Row],[WRRef]],TableWRMaster[WRRef],0)),"")</f>
        <v>Kalif Raymond</v>
      </c>
      <c r="R64" s="189" t="str">
        <f>IFERROR(INDEX(TableWRMaster[TM],MATCH(TableWRCalcPts[[#This Row],[WRRef]],TableWRMaster[WRRef],0)),"")</f>
        <v>DET</v>
      </c>
      <c r="S64" s="189">
        <f>IFERROR(INDEX(TableWRMaster[BYE],MATCH(TableWRCalcPts[[#This Row],[WRRef]],TableWRMaster[WRRef],0)),"")</f>
        <v>6</v>
      </c>
      <c r="T64" s="191">
        <f>IFERROR(INDEX(TableWRMaster[Custom],MATCH(TableWRCalcPts[[#This Row],[WRRef]],TableWRMaster[WRRef],0)),"")</f>
        <v>9.502644359990926</v>
      </c>
      <c r="V64" s="189">
        <f>IFERROR(RANK(TableTECalcPts[[#This Row],[Custom]],TableTECalcPts[Custom])+COUNTIF($AA$3:AA64,AA64)-1,"")</f>
        <v>63</v>
      </c>
      <c r="W64" s="189">
        <v>62</v>
      </c>
      <c r="X64" s="189" t="str">
        <f>IFERROR(INDEX(TableTEMaster[Player],MATCH(TableTECalcPts[[#This Row],[TERef]],TableTEMaster[TERef],0)),"")</f>
        <v>Nick Vannett</v>
      </c>
      <c r="Y64" s="189" t="str">
        <f>IFERROR(INDEX(TableTEMaster[TM],MATCH(TableTECalcPts[[#This Row],[TERef]],TableTEMaster[TERef],0)),"")</f>
        <v>NO</v>
      </c>
      <c r="Z64" s="189">
        <f>IFERROR(INDEX(TableTEMaster[BYE],MATCH(TableTECalcPts[[#This Row],[TERef]],TableTEMaster[TERef],0)),"")</f>
        <v>14</v>
      </c>
      <c r="AA64" s="191">
        <f>IFERROR(INDEX(TableTEMaster[Custom],MATCH(TableTECalcPts[[#This Row],[TERef]],TableTEMaster[TERef],0)),"")</f>
        <v>14.882710410612825</v>
      </c>
      <c r="AI64" s="221" t="s">
        <v>10</v>
      </c>
      <c r="AJ64" s="189">
        <f>IFERROR(RANK(TableWRTECalcPts[[#This Row],[Custom]],TableWRTECalcPts[Custom])+COUNTIF($AP$3:AP64,AP64)-1,"")</f>
        <v>209</v>
      </c>
      <c r="AK64" s="189">
        <v>62</v>
      </c>
      <c r="AL64" s="189" t="str">
        <f>IFERROR(INDEX(TableTEMaster[Player],MATCH(TableWRTECalcPts[[#This Row],[POSRef]],TableTEMaster[TERef],0)),"")</f>
        <v>Nick Vannett</v>
      </c>
      <c r="AM64" s="189" t="str">
        <f>IFERROR(_xlfn.CONCAT(TableWRTECalcPts[[#This Row],[POS]],INDEX(TableTERanks[RK],MATCH(TableWRTECalcPts[[#This Row],[PLAYER]],TableTERanks[Player],0))),"")</f>
        <v>TE63</v>
      </c>
      <c r="AN64" s="189" t="str">
        <f>IFERROR(INDEX(TableTEMaster[TM],MATCH(TableWRTECalcPts[[#This Row],[POSRef]],TableTEMaster[TERef],0)),"")</f>
        <v>NO</v>
      </c>
      <c r="AO64" s="189">
        <f>IFERROR(INDEX(TableTEMaster[BYE],MATCH(TableWRTECalcPts[[#This Row],[POSRef]],TableTEMaster[TERef],0)),"")</f>
        <v>14</v>
      </c>
      <c r="AP64" s="191">
        <f>IFERROR(INDEX(TableTEMaster[Custom],MATCH(TableWRTECalcPts[[#This Row],[POSRef]],TableTEMaster[TERef],0)),"")</f>
        <v>14.882710410612825</v>
      </c>
    </row>
    <row r="65" spans="1:42" x14ac:dyDescent="0.3">
      <c r="A65" s="198">
        <f>IFERROR(RANK(TableQBCalcPts[[#This Row],[Custom]],TableQBCalcPts[Custom])+COUNTIF($F$3:F65,F65)-1,"")</f>
        <v>23</v>
      </c>
      <c r="B65" s="189">
        <v>63</v>
      </c>
      <c r="C65" s="189" t="str">
        <f>IFERROR(INDEX(TableQBMaster[Player],MATCH(TableQBCalcPts[[#This Row],[QBRef]],TableQBMaster[QBRef],0)),"")</f>
        <v>Ryan Tannehill</v>
      </c>
      <c r="D65" s="189" t="str">
        <f>IFERROR(INDEX(TableQBMaster[TM],MATCH(TableQBCalcPts[[#This Row],[QBRef]],TableQBMaster[QBRef],0)),"")</f>
        <v>TEN</v>
      </c>
      <c r="E65" s="189">
        <f>IFERROR(INDEX(TableQBMaster[BYE],MATCH(TableQBCalcPts[[#This Row],[QBRef]],TableQBMaster[QBRef],0)),"")</f>
        <v>6</v>
      </c>
      <c r="F65" s="191">
        <f>IFERROR(INDEX(TableQBMaster[Custom],MATCH(TableQBCalcPts[[#This Row],[QBRef]],TableQBMaster[QBRef],0)),"")</f>
        <v>271.12275313928944</v>
      </c>
      <c r="H65" s="189">
        <f>IFERROR(RANK(TableRBCalcPts[[#This Row],[Custom]],TableRBCalcPts[Custom])+COUNTIF($M$3:M65,M65)-1,"")</f>
        <v>116</v>
      </c>
      <c r="I65" s="189">
        <v>63</v>
      </c>
      <c r="J65" s="189" t="str">
        <f>IFERROR(INDEX(TableRBMaster[Player],MATCH(TableRBCalcPts[[#This Row],[RBRef]],TableRBMaster[RBRef],0)),"")</f>
        <v>Larry Rountree</v>
      </c>
      <c r="K65" s="189" t="str">
        <f>IFERROR(INDEX(TableRBMaster[TM],MATCH(TableRBCalcPts[[#This Row],[RBRef]],TableRBMaster[RBRef],0)),"")</f>
        <v>LAC</v>
      </c>
      <c r="L65" s="189">
        <f>IFERROR(INDEX(TableRBMaster[BYE],MATCH(TableRBCalcPts[[#This Row],[RBRef]],TableRBMaster[RBRef],0)),"")</f>
        <v>8</v>
      </c>
      <c r="M65" s="191">
        <f>IFERROR(INDEX(TableRBMaster[Custom],MATCH(TableRBCalcPts[[#This Row],[RBRef]],TableRBMaster[RBRef],0)),"")</f>
        <v>8.1368825017856814</v>
      </c>
      <c r="O65" s="189">
        <f>IFERROR(RANK(TableWRCalcPts[[#This Row],[Custom]],TableWRCalcPts[Custom])+COUNTIF($T$3:T65,T65)-1,"")</f>
        <v>150</v>
      </c>
      <c r="P65" s="189">
        <v>63</v>
      </c>
      <c r="Q65" s="189" t="str">
        <f>IFERROR(INDEX(TableWRMaster[Player],MATCH(TableWRCalcPts[[#This Row],[WRRef]],TableWRMaster[WRRef],0)),"")</f>
        <v>Quintez Cephus</v>
      </c>
      <c r="R65" s="189" t="str">
        <f>IFERROR(INDEX(TableWRMaster[TM],MATCH(TableWRCalcPts[[#This Row],[WRRef]],TableWRMaster[WRRef],0)),"")</f>
        <v>DET</v>
      </c>
      <c r="S65" s="189">
        <f>IFERROR(INDEX(TableWRMaster[BYE],MATCH(TableWRCalcPts[[#This Row],[WRRef]],TableWRMaster[WRRef],0)),"")</f>
        <v>6</v>
      </c>
      <c r="T65" s="191">
        <f>IFERROR(INDEX(TableWRMaster[Custom],MATCH(TableWRCalcPts[[#This Row],[WRRef]],TableWRMaster[WRRef],0)),"")</f>
        <v>13.980069410941089</v>
      </c>
      <c r="V65" s="189">
        <f>IFERROR(RANK(TableTECalcPts[[#This Row],[Custom]],TableTECalcPts[Custom])+COUNTIF($AA$3:AA65,AA65)-1,"")</f>
        <v>77</v>
      </c>
      <c r="W65" s="189">
        <v>63</v>
      </c>
      <c r="X65" s="189" t="str">
        <f>IFERROR(INDEX(TableTEMaster[Player],MATCH(TableTECalcPts[[#This Row],[TERef]],TableTEMaster[TERef],0)),"")</f>
        <v>Juwan Johnson</v>
      </c>
      <c r="Y65" s="189" t="str">
        <f>IFERROR(INDEX(TableTEMaster[TM],MATCH(TableTECalcPts[[#This Row],[TERef]],TableTEMaster[TERef],0)),"")</f>
        <v>NO</v>
      </c>
      <c r="Z65" s="189">
        <f>IFERROR(INDEX(TableTEMaster[BYE],MATCH(TableTECalcPts[[#This Row],[TERef]],TableTEMaster[TERef],0)),"")</f>
        <v>14</v>
      </c>
      <c r="AA65" s="191">
        <f>IFERROR(INDEX(TableTEMaster[Custom],MATCH(TableTECalcPts[[#This Row],[TERef]],TableTEMaster[TERef],0)),"")</f>
        <v>7.9065147190705183</v>
      </c>
      <c r="AI65" s="221" t="s">
        <v>10</v>
      </c>
      <c r="AJ65" s="189">
        <f>IFERROR(RANK(TableWRTECalcPts[[#This Row],[Custom]],TableWRTECalcPts[Custom])+COUNTIF($AP$3:AP65,AP65)-1,"")</f>
        <v>253</v>
      </c>
      <c r="AK65" s="189">
        <v>63</v>
      </c>
      <c r="AL65" s="189" t="str">
        <f>IFERROR(INDEX(TableTEMaster[Player],MATCH(TableWRTECalcPts[[#This Row],[POSRef]],TableTEMaster[TERef],0)),"")</f>
        <v>Juwan Johnson</v>
      </c>
      <c r="AM65" s="189" t="str">
        <f>IFERROR(_xlfn.CONCAT(TableWRTECalcPts[[#This Row],[POS]],INDEX(TableTERanks[RK],MATCH(TableWRTECalcPts[[#This Row],[PLAYER]],TableTERanks[Player],0))),"")</f>
        <v>TE77</v>
      </c>
      <c r="AN65" s="189" t="str">
        <f>IFERROR(INDEX(TableTEMaster[TM],MATCH(TableWRTECalcPts[[#This Row],[POSRef]],TableTEMaster[TERef],0)),"")</f>
        <v>NO</v>
      </c>
      <c r="AO65" s="189">
        <f>IFERROR(INDEX(TableTEMaster[BYE],MATCH(TableWRTECalcPts[[#This Row],[POSRef]],TableTEMaster[TERef],0)),"")</f>
        <v>14</v>
      </c>
      <c r="AP65" s="191">
        <f>IFERROR(INDEX(TableTEMaster[Custom],MATCH(TableWRTECalcPts[[#This Row],[POSRef]],TableTEMaster[TERef],0)),"")</f>
        <v>7.9065147190705183</v>
      </c>
    </row>
    <row r="66" spans="1:42" x14ac:dyDescent="0.3">
      <c r="A66" s="198">
        <f>IFERROR(RANK(TableQBCalcPts[[#This Row],[Custom]],TableQBCalcPts[Custom])+COUNTIF($F$3:F66,F66)-1,"")</f>
        <v>48</v>
      </c>
      <c r="B66" s="189">
        <v>64</v>
      </c>
      <c r="C66" s="189" t="str">
        <f>IFERROR(INDEX(TableQBMaster[Player],MATCH(TableQBCalcPts[[#This Row],[QBRef]],TableQBMaster[QBRef],0)),"")</f>
        <v>Malik Willis</v>
      </c>
      <c r="D66" s="189" t="str">
        <f>IFERROR(INDEX(TableQBMaster[TM],MATCH(TableQBCalcPts[[#This Row],[QBRef]],TableQBMaster[QBRef],0)),"")</f>
        <v>TEN</v>
      </c>
      <c r="E66" s="189">
        <f>IFERROR(INDEX(TableQBMaster[BYE],MATCH(TableQBCalcPts[[#This Row],[QBRef]],TableQBMaster[QBRef],0)),"")</f>
        <v>6</v>
      </c>
      <c r="F66" s="191">
        <f>IFERROR(INDEX(TableQBMaster[Custom],MATCH(TableQBCalcPts[[#This Row],[QBRef]],TableQBMaster[QBRef],0)),"")</f>
        <v>10.140001790573582</v>
      </c>
      <c r="H66" s="189">
        <f>IFERROR(RANK(TableRBCalcPts[[#This Row],[Custom]],TableRBCalcPts[Custom])+COUNTIF($M$3:M66,M66)-1,"")</f>
        <v>10</v>
      </c>
      <c r="I66" s="189">
        <v>64</v>
      </c>
      <c r="J66" s="189" t="str">
        <f>IFERROR(INDEX(TableRBMaster[Player],MATCH(TableRBCalcPts[[#This Row],[RBRef]],TableRBMaster[RBRef],0)),"")</f>
        <v>Cam Akers</v>
      </c>
      <c r="K66" s="189" t="str">
        <f>IFERROR(INDEX(TableRBMaster[TM],MATCH(TableRBCalcPts[[#This Row],[RBRef]],TableRBMaster[RBRef],0)),"")</f>
        <v>LAR</v>
      </c>
      <c r="L66" s="189">
        <f>IFERROR(INDEX(TableRBMaster[BYE],MATCH(TableRBCalcPts[[#This Row],[RBRef]],TableRBMaster[RBRef],0)),"")</f>
        <v>7</v>
      </c>
      <c r="M66" s="191">
        <f>IFERROR(INDEX(TableRBMaster[Custom],MATCH(TableRBCalcPts[[#This Row],[RBRef]],TableRBMaster[RBRef],0)),"")</f>
        <v>210.42749670801629</v>
      </c>
      <c r="O66" s="189">
        <f>IFERROR(RANK(TableWRCalcPts[[#This Row],[Custom]],TableWRCalcPts[Custom])+COUNTIF($T$3:T66,T66)-1,"")</f>
        <v>82</v>
      </c>
      <c r="P66" s="189">
        <v>64</v>
      </c>
      <c r="Q66" s="189" t="str">
        <f>IFERROR(INDEX(TableWRMaster[Player],MATCH(TableWRCalcPts[[#This Row],[WRRef]],TableWRMaster[WRRef],0)),"")</f>
        <v>Sammy Watkins</v>
      </c>
      <c r="R66" s="189" t="str">
        <f>IFERROR(INDEX(TableWRMaster[TM],MATCH(TableWRCalcPts[[#This Row],[WRRef]],TableWRMaster[WRRef],0)),"")</f>
        <v>GB</v>
      </c>
      <c r="S66" s="189">
        <f>IFERROR(INDEX(TableWRMaster[BYE],MATCH(TableWRCalcPts[[#This Row],[WRRef]],TableWRMaster[WRRef],0)),"")</f>
        <v>14</v>
      </c>
      <c r="T66" s="191">
        <f>IFERROR(INDEX(TableWRMaster[Custom],MATCH(TableWRCalcPts[[#This Row],[WRRef]],TableWRMaster[WRRef],0)),"")</f>
        <v>72.688142484359275</v>
      </c>
      <c r="V66" s="189">
        <f>IFERROR(RANK(TableTECalcPts[[#This Row],[Custom]],TableTECalcPts[Custom])+COUNTIF($AA$3:AA66,AA66)-1,"")</f>
        <v>33</v>
      </c>
      <c r="W66" s="189">
        <v>64</v>
      </c>
      <c r="X66" s="189" t="str">
        <f>IFERROR(INDEX(TableTEMaster[Player],MATCH(TableTECalcPts[[#This Row],[TERef]],TableTEMaster[TERef],0)),"")</f>
        <v>Ricky Seals-Jones</v>
      </c>
      <c r="Y66" s="189" t="str">
        <f>IFERROR(INDEX(TableTEMaster[TM],MATCH(TableTECalcPts[[#This Row],[TERef]],TableTEMaster[TERef],0)),"")</f>
        <v>NYG</v>
      </c>
      <c r="Z66" s="189">
        <f>IFERROR(INDEX(TableTEMaster[BYE],MATCH(TableTECalcPts[[#This Row],[TERef]],TableTEMaster[TERef],0)),"")</f>
        <v>9</v>
      </c>
      <c r="AA66" s="191">
        <f>IFERROR(INDEX(TableTEMaster[Custom],MATCH(TableTECalcPts[[#This Row],[TERef]],TableTEMaster[TERef],0)),"")</f>
        <v>43.271345190999646</v>
      </c>
      <c r="AI66" s="221" t="s">
        <v>10</v>
      </c>
      <c r="AJ66" s="189">
        <f>IFERROR(RANK(TableWRTECalcPts[[#This Row],[Custom]],TableWRTECalcPts[Custom])+COUNTIF($AP$3:AP66,AP66)-1,"")</f>
        <v>137</v>
      </c>
      <c r="AK66" s="189">
        <v>64</v>
      </c>
      <c r="AL66" s="189" t="str">
        <f>IFERROR(INDEX(TableTEMaster[Player],MATCH(TableWRTECalcPts[[#This Row],[POSRef]],TableTEMaster[TERef],0)),"")</f>
        <v>Ricky Seals-Jones</v>
      </c>
      <c r="AM66" s="189" t="str">
        <f>IFERROR(_xlfn.CONCAT(TableWRTECalcPts[[#This Row],[POS]],INDEX(TableTERanks[RK],MATCH(TableWRTECalcPts[[#This Row],[PLAYER]],TableTERanks[Player],0))),"")</f>
        <v>TE33</v>
      </c>
      <c r="AN66" s="189" t="str">
        <f>IFERROR(INDEX(TableTEMaster[TM],MATCH(TableWRTECalcPts[[#This Row],[POSRef]],TableTEMaster[TERef],0)),"")</f>
        <v>NYG</v>
      </c>
      <c r="AO66" s="189">
        <f>IFERROR(INDEX(TableTEMaster[BYE],MATCH(TableWRTECalcPts[[#This Row],[POSRef]],TableTEMaster[TERef],0)),"")</f>
        <v>9</v>
      </c>
      <c r="AP66" s="191">
        <f>IFERROR(INDEX(TableTEMaster[Custom],MATCH(TableWRTECalcPts[[#This Row],[POSRef]],TableTEMaster[TERef],0)),"")</f>
        <v>43.271345190999646</v>
      </c>
    </row>
    <row r="67" spans="1:42" x14ac:dyDescent="0.3">
      <c r="A67" s="198">
        <f>IFERROR(RANK(TableQBCalcPts[[#This Row],[Custom]],TableQBCalcPts[Custom])+COUNTIF($F$3:F67,F67)-1,"")</f>
        <v>19</v>
      </c>
      <c r="B67" s="189">
        <v>65</v>
      </c>
      <c r="C67" s="189" t="str">
        <f>IFERROR(INDEX(TableQBMaster[Player],MATCH(TableQBCalcPts[[#This Row],[QBRef]],TableQBMaster[QBRef],0)),"")</f>
        <v>Carson Wentz</v>
      </c>
      <c r="D67" s="189" t="str">
        <f>IFERROR(INDEX(TableQBMaster[TM],MATCH(TableQBCalcPts[[#This Row],[QBRef]],TableQBMaster[QBRef],0)),"")</f>
        <v>WSH</v>
      </c>
      <c r="E67" s="189">
        <f>IFERROR(INDEX(TableQBMaster[BYE],MATCH(TableQBCalcPts[[#This Row],[QBRef]],TableQBMaster[QBRef],0)),"")</f>
        <v>14</v>
      </c>
      <c r="F67" s="191">
        <f>IFERROR(INDEX(TableQBMaster[Custom],MATCH(TableQBCalcPts[[#This Row],[QBRef]],TableQBMaster[QBRef],0)),"")</f>
        <v>278.04589293460975</v>
      </c>
      <c r="H67" s="189">
        <f>IFERROR(RANK(TableRBCalcPts[[#This Row],[Custom]],TableRBCalcPts[Custom])+COUNTIF($M$3:M67,M67)-1,"")</f>
        <v>54</v>
      </c>
      <c r="I67" s="189">
        <v>65</v>
      </c>
      <c r="J67" s="189" t="str">
        <f>IFERROR(INDEX(TableRBMaster[Player],MATCH(TableRBCalcPts[[#This Row],[RBRef]],TableRBMaster[RBRef],0)),"")</f>
        <v>Darrell Henderson</v>
      </c>
      <c r="K67" s="189" t="str">
        <f>IFERROR(INDEX(TableRBMaster[TM],MATCH(TableRBCalcPts[[#This Row],[RBRef]],TableRBMaster[RBRef],0)),"")</f>
        <v>LAR</v>
      </c>
      <c r="L67" s="189">
        <f>IFERROR(INDEX(TableRBMaster[BYE],MATCH(TableRBCalcPts[[#This Row],[RBRef]],TableRBMaster[RBRef],0)),"")</f>
        <v>7</v>
      </c>
      <c r="M67" s="191">
        <f>IFERROR(INDEX(TableRBMaster[Custom],MATCH(TableRBCalcPts[[#This Row],[RBRef]],TableRBMaster[RBRef],0)),"")</f>
        <v>88.779729859793633</v>
      </c>
      <c r="O67" s="189">
        <f>IFERROR(RANK(TableWRCalcPts[[#This Row],[Custom]],TableWRCalcPts[Custom])+COUNTIF($T$3:T67,T67)-1,"")</f>
        <v>31</v>
      </c>
      <c r="P67" s="189">
        <v>65</v>
      </c>
      <c r="Q67" s="189" t="str">
        <f>IFERROR(INDEX(TableWRMaster[Player],MATCH(TableWRCalcPts[[#This Row],[WRRef]],TableWRMaster[WRRef],0)),"")</f>
        <v>Allen Lazard</v>
      </c>
      <c r="R67" s="189" t="str">
        <f>IFERROR(INDEX(TableWRMaster[TM],MATCH(TableWRCalcPts[[#This Row],[WRRef]],TableWRMaster[WRRef],0)),"")</f>
        <v>GB</v>
      </c>
      <c r="S67" s="189">
        <f>IFERROR(INDEX(TableWRMaster[BYE],MATCH(TableWRCalcPts[[#This Row],[WRRef]],TableWRMaster[WRRef],0)),"")</f>
        <v>14</v>
      </c>
      <c r="T67" s="191">
        <f>IFERROR(INDEX(TableWRMaster[Custom],MATCH(TableWRCalcPts[[#This Row],[WRRef]],TableWRMaster[WRRef],0)),"")</f>
        <v>134.96304503309676</v>
      </c>
      <c r="V67" s="189">
        <f>IFERROR(RANK(TableTECalcPts[[#This Row],[Custom]],TableTECalcPts[Custom])+COUNTIF($AA$3:AA67,AA67)-1,"")</f>
        <v>40</v>
      </c>
      <c r="W67" s="189">
        <v>65</v>
      </c>
      <c r="X67" s="189" t="str">
        <f>IFERROR(INDEX(TableTEMaster[Player],MATCH(TableTECalcPts[[#This Row],[TERef]],TableTEMaster[TERef],0)),"")</f>
        <v>Jordan Akins</v>
      </c>
      <c r="Y67" s="189" t="str">
        <f>IFERROR(INDEX(TableTEMaster[TM],MATCH(TableTECalcPts[[#This Row],[TERef]],TableTEMaster[TERef],0)),"")</f>
        <v>NYG</v>
      </c>
      <c r="Z67" s="189">
        <f>IFERROR(INDEX(TableTEMaster[BYE],MATCH(TableTECalcPts[[#This Row],[TERef]],TableTEMaster[TERef],0)),"")</f>
        <v>9</v>
      </c>
      <c r="AA67" s="191">
        <f>IFERROR(INDEX(TableTEMaster[Custom],MATCH(TableTECalcPts[[#This Row],[TERef]],TableTEMaster[TERef],0)),"")</f>
        <v>31.016681903522954</v>
      </c>
      <c r="AI67" s="221" t="s">
        <v>10</v>
      </c>
      <c r="AJ67" s="189">
        <f>IFERROR(RANK(TableWRTECalcPts[[#This Row],[Custom]],TableWRTECalcPts[Custom])+COUNTIF($AP$3:AP67,AP67)-1,"")</f>
        <v>152</v>
      </c>
      <c r="AK67" s="189">
        <v>65</v>
      </c>
      <c r="AL67" s="189" t="str">
        <f>IFERROR(INDEX(TableTEMaster[Player],MATCH(TableWRTECalcPts[[#This Row],[POSRef]],TableTEMaster[TERef],0)),"")</f>
        <v>Jordan Akins</v>
      </c>
      <c r="AM67" s="189" t="str">
        <f>IFERROR(_xlfn.CONCAT(TableWRTECalcPts[[#This Row],[POS]],INDEX(TableTERanks[RK],MATCH(TableWRTECalcPts[[#This Row],[PLAYER]],TableTERanks[Player],0))),"")</f>
        <v>TE40</v>
      </c>
      <c r="AN67" s="189" t="str">
        <f>IFERROR(INDEX(TableTEMaster[TM],MATCH(TableWRTECalcPts[[#This Row],[POSRef]],TableTEMaster[TERef],0)),"")</f>
        <v>NYG</v>
      </c>
      <c r="AO67" s="189">
        <f>IFERROR(INDEX(TableTEMaster[BYE],MATCH(TableWRTECalcPts[[#This Row],[POSRef]],TableTEMaster[TERef],0)),"")</f>
        <v>9</v>
      </c>
      <c r="AP67" s="191">
        <f>IFERROR(INDEX(TableTEMaster[Custom],MATCH(TableWRTECalcPts[[#This Row],[POSRef]],TableTEMaster[TERef],0)),"")</f>
        <v>31.016681903522954</v>
      </c>
    </row>
    <row r="68" spans="1:42" x14ac:dyDescent="0.3">
      <c r="A68" s="198">
        <f>IFERROR(RANK(TableQBCalcPts[[#This Row],[Custom]],TableQBCalcPts[Custom])+COUNTIF($F$3:F68,F68)-1,"")</f>
        <v>50</v>
      </c>
      <c r="B68" s="189">
        <v>66</v>
      </c>
      <c r="C68" s="189" t="str">
        <f>IFERROR(INDEX(TableQBMaster[Player],MATCH(TableQBCalcPts[[#This Row],[QBRef]],TableQBMaster[QBRef],0)),"")</f>
        <v>Taylor Heinicke</v>
      </c>
      <c r="D68" s="189" t="str">
        <f>IFERROR(INDEX(TableQBMaster[TM],MATCH(TableQBCalcPts[[#This Row],[QBRef]],TableQBMaster[QBRef],0)),"")</f>
        <v>WSH</v>
      </c>
      <c r="E68" s="189">
        <f>IFERROR(INDEX(TableQBMaster[BYE],MATCH(TableQBCalcPts[[#This Row],[QBRef]],TableQBMaster[QBRef],0)),"")</f>
        <v>14</v>
      </c>
      <c r="F68" s="191">
        <f>IFERROR(INDEX(TableQBMaster[Custom],MATCH(TableQBCalcPts[[#This Row],[QBRef]],TableQBMaster[QBRef],0)),"")</f>
        <v>9.1282457462990063</v>
      </c>
      <c r="H68" s="189">
        <f>IFERROR(RANK(TableRBCalcPts[[#This Row],[Custom]],TableRBCalcPts[Custom])+COUNTIF($M$3:M68,M68)-1,"")</f>
        <v>78</v>
      </c>
      <c r="I68" s="189">
        <v>66</v>
      </c>
      <c r="J68" s="189" t="str">
        <f>IFERROR(INDEX(TableRBMaster[Player],MATCH(TableRBCalcPts[[#This Row],[RBRef]],TableRBMaster[RBRef],0)),"")</f>
        <v>Kyren Williams</v>
      </c>
      <c r="K68" s="189" t="str">
        <f>IFERROR(INDEX(TableRBMaster[TM],MATCH(TableRBCalcPts[[#This Row],[RBRef]],TableRBMaster[RBRef],0)),"")</f>
        <v>LAR</v>
      </c>
      <c r="L68" s="189">
        <f>IFERROR(INDEX(TableRBMaster[BYE],MATCH(TableRBCalcPts[[#This Row],[RBRef]],TableRBMaster[RBRef],0)),"")</f>
        <v>7</v>
      </c>
      <c r="M68" s="191">
        <f>IFERROR(INDEX(TableRBMaster[Custom],MATCH(TableRBCalcPts[[#This Row],[RBRef]],TableRBMaster[RBRef],0)),"")</f>
        <v>28.393753218575068</v>
      </c>
      <c r="O68" s="189">
        <f>IFERROR(RANK(TableWRCalcPts[[#This Row],[Custom]],TableWRCalcPts[Custom])+COUNTIF($T$3:T68,T68)-1,"")</f>
        <v>80</v>
      </c>
      <c r="P68" s="189">
        <v>66</v>
      </c>
      <c r="Q68" s="189" t="str">
        <f>IFERROR(INDEX(TableWRMaster[Player],MATCH(TableWRCalcPts[[#This Row],[WRRef]],TableWRMaster[WRRef],0)),"")</f>
        <v>Randall Cobb</v>
      </c>
      <c r="R68" s="189" t="str">
        <f>IFERROR(INDEX(TableWRMaster[TM],MATCH(TableWRCalcPts[[#This Row],[WRRef]],TableWRMaster[WRRef],0)),"")</f>
        <v>GB</v>
      </c>
      <c r="S68" s="189">
        <f>IFERROR(INDEX(TableWRMaster[BYE],MATCH(TableWRCalcPts[[#This Row],[WRRef]],TableWRMaster[WRRef],0)),"")</f>
        <v>14</v>
      </c>
      <c r="T68" s="191">
        <f>IFERROR(INDEX(TableWRMaster[Custom],MATCH(TableWRCalcPts[[#This Row],[WRRef]],TableWRMaster[WRRef],0)),"")</f>
        <v>74.517476593494493</v>
      </c>
      <c r="V68" s="189">
        <f>IFERROR(RANK(TableTECalcPts[[#This Row],[Custom]],TableTECalcPts[Custom])+COUNTIF($AA$3:AA68,AA68)-1,"")</f>
        <v>51</v>
      </c>
      <c r="W68" s="189">
        <v>66</v>
      </c>
      <c r="X68" s="189" t="str">
        <f>IFERROR(INDEX(TableTEMaster[Player],MATCH(TableTECalcPts[[#This Row],[TERef]],TableTEMaster[TERef],0)),"")</f>
        <v>Daniel Bellinger</v>
      </c>
      <c r="Y68" s="189" t="str">
        <f>IFERROR(INDEX(TableTEMaster[TM],MATCH(TableTECalcPts[[#This Row],[TERef]],TableTEMaster[TERef],0)),"")</f>
        <v>NYG</v>
      </c>
      <c r="Z68" s="189">
        <f>IFERROR(INDEX(TableTEMaster[BYE],MATCH(TableTECalcPts[[#This Row],[TERef]],TableTEMaster[TERef],0)),"")</f>
        <v>9</v>
      </c>
      <c r="AA68" s="191">
        <f>IFERROR(INDEX(TableTEMaster[Custom],MATCH(TableTECalcPts[[#This Row],[TERef]],TableTEMaster[TERef],0)),"")</f>
        <v>21.689387265231311</v>
      </c>
      <c r="AI68" s="221" t="s">
        <v>10</v>
      </c>
      <c r="AJ68" s="189">
        <f>IFERROR(RANK(TableWRTECalcPts[[#This Row],[Custom]],TableWRTECalcPts[Custom])+COUNTIF($AP$3:AP68,AP68)-1,"")</f>
        <v>181</v>
      </c>
      <c r="AK68" s="189">
        <v>66</v>
      </c>
      <c r="AL68" s="189" t="str">
        <f>IFERROR(INDEX(TableTEMaster[Player],MATCH(TableWRTECalcPts[[#This Row],[POSRef]],TableTEMaster[TERef],0)),"")</f>
        <v>Daniel Bellinger</v>
      </c>
      <c r="AM68" s="189" t="str">
        <f>IFERROR(_xlfn.CONCAT(TableWRTECalcPts[[#This Row],[POS]],INDEX(TableTERanks[RK],MATCH(TableWRTECalcPts[[#This Row],[PLAYER]],TableTERanks[Player],0))),"")</f>
        <v>TE51</v>
      </c>
      <c r="AN68" s="189" t="str">
        <f>IFERROR(INDEX(TableTEMaster[TM],MATCH(TableWRTECalcPts[[#This Row],[POSRef]],TableTEMaster[TERef],0)),"")</f>
        <v>NYG</v>
      </c>
      <c r="AO68" s="189">
        <f>IFERROR(INDEX(TableTEMaster[BYE],MATCH(TableWRTECalcPts[[#This Row],[POSRef]],TableTEMaster[TERef],0)),"")</f>
        <v>9</v>
      </c>
      <c r="AP68" s="191">
        <f>IFERROR(INDEX(TableTEMaster[Custom],MATCH(TableWRTECalcPts[[#This Row],[POSRef]],TableTEMaster[TERef],0)),"")</f>
        <v>21.689387265231311</v>
      </c>
    </row>
    <row r="69" spans="1:42" x14ac:dyDescent="0.3">
      <c r="A69" s="198" t="str">
        <f>IFERROR(RANK(TableQBCalcPts[[#This Row],[Custom]],TableQBCalcPts[Custom])+COUNTIF($F$3:F69,F69)-1,"")</f>
        <v/>
      </c>
      <c r="B69" s="189">
        <v>67</v>
      </c>
      <c r="C69" s="189" t="str">
        <f>IFERROR(INDEX(TableQBMaster[Player],MATCH(TableQBCalcPts[[#This Row],[QBRef]],TableQBMaster[QBRef],0)),"")</f>
        <v/>
      </c>
      <c r="D69" s="189" t="str">
        <f>IFERROR(INDEX(TableQBMaster[TM],MATCH(TableQBCalcPts[[#This Row],[QBRef]],TableQBMaster[QBRef],0)),"")</f>
        <v/>
      </c>
      <c r="E69" s="189" t="str">
        <f>IFERROR(INDEX(TableQBMaster[BYE],MATCH(TableQBCalcPts[[#This Row],[QBRef]],TableQBMaster[QBRef],0)),"")</f>
        <v/>
      </c>
      <c r="F69" s="191" t="str">
        <f>IFERROR(INDEX(TableQBMaster[Custom],MATCH(TableQBCalcPts[[#This Row],[QBRef]],TableQBMaster[QBRef],0)),"")</f>
        <v/>
      </c>
      <c r="H69" s="189">
        <f>IFERROR(RANK(TableRBCalcPts[[#This Row],[Custom]],TableRBCalcPts[Custom])+COUNTIF($M$3:M69,M69)-1,"")</f>
        <v>123</v>
      </c>
      <c r="I69" s="189">
        <v>67</v>
      </c>
      <c r="J69" s="189" t="str">
        <f>IFERROR(INDEX(TableRBMaster[Player],MATCH(TableRBCalcPts[[#This Row],[RBRef]],TableRBMaster[RBRef],0)),"")</f>
        <v>Jake Funk</v>
      </c>
      <c r="K69" s="189" t="str">
        <f>IFERROR(INDEX(TableRBMaster[TM],MATCH(TableRBCalcPts[[#This Row],[RBRef]],TableRBMaster[RBRef],0)),"")</f>
        <v>LAR</v>
      </c>
      <c r="L69" s="189">
        <f>IFERROR(INDEX(TableRBMaster[BYE],MATCH(TableRBCalcPts[[#This Row],[RBRef]],TableRBMaster[RBRef],0)),"")</f>
        <v>7</v>
      </c>
      <c r="M69" s="191">
        <f>IFERROR(INDEX(TableRBMaster[Custom],MATCH(TableRBCalcPts[[#This Row],[RBRef]],TableRBMaster[RBRef],0)),"")</f>
        <v>5.6878614075559746</v>
      </c>
      <c r="O69" s="189">
        <f>IFERROR(RANK(TableWRCalcPts[[#This Row],[Custom]],TableWRCalcPts[Custom])+COUNTIF($T$3:T69,T69)-1,"")</f>
        <v>63</v>
      </c>
      <c r="P69" s="189">
        <v>67</v>
      </c>
      <c r="Q69" s="189" t="str">
        <f>IFERROR(INDEX(TableWRMaster[Player],MATCH(TableWRCalcPts[[#This Row],[WRRef]],TableWRMaster[WRRef],0)),"")</f>
        <v>Christian Watson</v>
      </c>
      <c r="R69" s="189" t="str">
        <f>IFERROR(INDEX(TableWRMaster[TM],MATCH(TableWRCalcPts[[#This Row],[WRRef]],TableWRMaster[WRRef],0)),"")</f>
        <v>GB</v>
      </c>
      <c r="S69" s="189">
        <f>IFERROR(INDEX(TableWRMaster[BYE],MATCH(TableWRCalcPts[[#This Row],[WRRef]],TableWRMaster[WRRef],0)),"")</f>
        <v>14</v>
      </c>
      <c r="T69" s="191">
        <f>IFERROR(INDEX(TableWRMaster[Custom],MATCH(TableWRCalcPts[[#This Row],[WRRef]],TableWRMaster[WRRef],0)),"")</f>
        <v>96.138985959044319</v>
      </c>
      <c r="V69" s="189">
        <f>IFERROR(RANK(TableTECalcPts[[#This Row],[Custom]],TableTECalcPts[Custom])+COUNTIF($AA$3:AA69,AA69)-1,"")</f>
        <v>29</v>
      </c>
      <c r="W69" s="189">
        <v>67</v>
      </c>
      <c r="X69" s="189" t="str">
        <f>IFERROR(INDEX(TableTEMaster[Player],MATCH(TableTECalcPts[[#This Row],[TERef]],TableTEMaster[TERef],0)),"")</f>
        <v>C.J. Uzomah</v>
      </c>
      <c r="Y69" s="189" t="str">
        <f>IFERROR(INDEX(TableTEMaster[TM],MATCH(TableTECalcPts[[#This Row],[TERef]],TableTEMaster[TERef],0)),"")</f>
        <v>NYJ</v>
      </c>
      <c r="Z69" s="189">
        <f>IFERROR(INDEX(TableTEMaster[BYE],MATCH(TableTECalcPts[[#This Row],[TERef]],TableTEMaster[TERef],0)),"")</f>
        <v>10</v>
      </c>
      <c r="AA69" s="191">
        <f>IFERROR(INDEX(TableTEMaster[Custom],MATCH(TableTECalcPts[[#This Row],[TERef]],TableTEMaster[TERef],0)),"")</f>
        <v>65.233312093704654</v>
      </c>
      <c r="AI69" s="221" t="s">
        <v>10</v>
      </c>
      <c r="AJ69" s="189">
        <f>IFERROR(RANK(TableWRTECalcPts[[#This Row],[Custom]],TableWRTECalcPts[Custom])+COUNTIF($AP$3:AP69,AP69)-1,"")</f>
        <v>116</v>
      </c>
      <c r="AK69" s="189">
        <v>67</v>
      </c>
      <c r="AL69" s="189" t="str">
        <f>IFERROR(INDEX(TableTEMaster[Player],MATCH(TableWRTECalcPts[[#This Row],[POSRef]],TableTEMaster[TERef],0)),"")</f>
        <v>C.J. Uzomah</v>
      </c>
      <c r="AM69" s="189" t="str">
        <f>IFERROR(_xlfn.CONCAT(TableWRTECalcPts[[#This Row],[POS]],INDEX(TableTERanks[RK],MATCH(TableWRTECalcPts[[#This Row],[PLAYER]],TableTERanks[Player],0))),"")</f>
        <v>TE29</v>
      </c>
      <c r="AN69" s="189" t="str">
        <f>IFERROR(INDEX(TableTEMaster[TM],MATCH(TableWRTECalcPts[[#This Row],[POSRef]],TableTEMaster[TERef],0)),"")</f>
        <v>NYJ</v>
      </c>
      <c r="AO69" s="189">
        <f>IFERROR(INDEX(TableTEMaster[BYE],MATCH(TableWRTECalcPts[[#This Row],[POSRef]],TableTEMaster[TERef],0)),"")</f>
        <v>10</v>
      </c>
      <c r="AP69" s="191">
        <f>IFERROR(INDEX(TableTEMaster[Custom],MATCH(TableWRTECalcPts[[#This Row],[POSRef]],TableTEMaster[TERef],0)),"")</f>
        <v>65.233312093704654</v>
      </c>
    </row>
    <row r="70" spans="1:42" x14ac:dyDescent="0.3">
      <c r="A70" s="198" t="str">
        <f>IFERROR(RANK(TableQBCalcPts[[#This Row],[Custom]],TableQBCalcPts[Custom])+COUNTIF($F$3:F70,F70)-1,"")</f>
        <v/>
      </c>
      <c r="B70" s="189">
        <v>68</v>
      </c>
      <c r="C70" s="189" t="str">
        <f>IFERROR(INDEX(TableQBMaster[Player],MATCH(TableQBCalcPts[[#This Row],[QBRef]],TableQBMaster[QBRef],0)),"")</f>
        <v/>
      </c>
      <c r="D70" s="189" t="str">
        <f>IFERROR(INDEX(TableQBMaster[TM],MATCH(TableQBCalcPts[[#This Row],[QBRef]],TableQBMaster[QBRef],0)),"")</f>
        <v/>
      </c>
      <c r="E70" s="189" t="str">
        <f>IFERROR(INDEX(TableQBMaster[BYE],MATCH(TableQBCalcPts[[#This Row],[QBRef]],TableQBMaster[QBRef],0)),"")</f>
        <v/>
      </c>
      <c r="F70" s="191" t="str">
        <f>IFERROR(INDEX(TableQBMaster[Custom],MATCH(TableQBCalcPts[[#This Row],[QBRef]],TableQBMaster[QBRef],0)),"")</f>
        <v/>
      </c>
      <c r="H70" s="189">
        <f>IFERROR(RANK(TableRBCalcPts[[#This Row],[Custom]],TableRBCalcPts[Custom])+COUNTIF($M$3:M70,M70)-1,"")</f>
        <v>19</v>
      </c>
      <c r="I70" s="189">
        <v>68</v>
      </c>
      <c r="J70" s="189" t="str">
        <f>IFERROR(INDEX(TableRBMaster[Player],MATCH(TableRBCalcPts[[#This Row],[RBRef]],TableRBMaster[RBRef],0)),"")</f>
        <v>Josh Jacobs</v>
      </c>
      <c r="K70" s="189" t="str">
        <f>IFERROR(INDEX(TableRBMaster[TM],MATCH(TableRBCalcPts[[#This Row],[RBRef]],TableRBMaster[RBRef],0)),"")</f>
        <v>LV</v>
      </c>
      <c r="L70" s="189">
        <f>IFERROR(INDEX(TableRBMaster[BYE],MATCH(TableRBCalcPts[[#This Row],[RBRef]],TableRBMaster[RBRef],0)),"")</f>
        <v>6</v>
      </c>
      <c r="M70" s="191">
        <f>IFERROR(INDEX(TableRBMaster[Custom],MATCH(TableRBCalcPts[[#This Row],[RBRef]],TableRBMaster[RBRef],0)),"")</f>
        <v>188.18402241660306</v>
      </c>
      <c r="O70" s="189">
        <f>IFERROR(RANK(TableWRCalcPts[[#This Row],[Custom]],TableWRCalcPts[Custom])+COUNTIF($T$3:T70,T70)-1,"")</f>
        <v>169</v>
      </c>
      <c r="P70" s="189">
        <v>68</v>
      </c>
      <c r="Q70" s="189" t="str">
        <f>IFERROR(INDEX(TableWRMaster[Player],MATCH(TableWRCalcPts[[#This Row],[WRRef]],TableWRMaster[WRRef],0)),"")</f>
        <v>Juwann Winfree</v>
      </c>
      <c r="R70" s="189" t="str">
        <f>IFERROR(INDEX(TableWRMaster[TM],MATCH(TableWRCalcPts[[#This Row],[WRRef]],TableWRMaster[WRRef],0)),"")</f>
        <v>GB</v>
      </c>
      <c r="S70" s="189">
        <f>IFERROR(INDEX(TableWRMaster[BYE],MATCH(TableWRCalcPts[[#This Row],[WRRef]],TableWRMaster[WRRef],0)),"")</f>
        <v>14</v>
      </c>
      <c r="T70" s="191">
        <f>IFERROR(INDEX(TableWRMaster[Custom],MATCH(TableWRCalcPts[[#This Row],[WRRef]],TableWRMaster[WRRef],0)),"")</f>
        <v>9.826918098366809</v>
      </c>
      <c r="V70" s="189">
        <f>IFERROR(RANK(TableTECalcPts[[#This Row],[Custom]],TableTECalcPts[Custom])+COUNTIF($AA$3:AA70,AA70)-1,"")</f>
        <v>42</v>
      </c>
      <c r="W70" s="189">
        <v>68</v>
      </c>
      <c r="X70" s="189" t="str">
        <f>IFERROR(INDEX(TableTEMaster[Player],MATCH(TableTECalcPts[[#This Row],[TERef]],TableTEMaster[TERef],0)),"")</f>
        <v>Tyler Conklin</v>
      </c>
      <c r="Y70" s="189" t="str">
        <f>IFERROR(INDEX(TableTEMaster[TM],MATCH(TableTECalcPts[[#This Row],[TERef]],TableTEMaster[TERef],0)),"")</f>
        <v>NYJ</v>
      </c>
      <c r="Z70" s="189">
        <f>IFERROR(INDEX(TableTEMaster[BYE],MATCH(TableTECalcPts[[#This Row],[TERef]],TableTEMaster[TERef],0)),"")</f>
        <v>10</v>
      </c>
      <c r="AA70" s="191">
        <f>IFERROR(INDEX(TableTEMaster[Custom],MATCH(TableTECalcPts[[#This Row],[TERef]],TableTEMaster[TERef],0)),"")</f>
        <v>29.058916736132929</v>
      </c>
      <c r="AI70" s="221" t="s">
        <v>10</v>
      </c>
      <c r="AJ70" s="189">
        <f>IFERROR(RANK(TableWRTECalcPts[[#This Row],[Custom]],TableWRTECalcPts[Custom])+COUNTIF($AP$3:AP70,AP70)-1,"")</f>
        <v>156</v>
      </c>
      <c r="AK70" s="189">
        <v>68</v>
      </c>
      <c r="AL70" s="189" t="str">
        <f>IFERROR(INDEX(TableTEMaster[Player],MATCH(TableWRTECalcPts[[#This Row],[POSRef]],TableTEMaster[TERef],0)),"")</f>
        <v>Tyler Conklin</v>
      </c>
      <c r="AM70" s="189" t="str">
        <f>IFERROR(_xlfn.CONCAT(TableWRTECalcPts[[#This Row],[POS]],INDEX(TableTERanks[RK],MATCH(TableWRTECalcPts[[#This Row],[PLAYER]],TableTERanks[Player],0))),"")</f>
        <v>TE42</v>
      </c>
      <c r="AN70" s="189" t="str">
        <f>IFERROR(INDEX(TableTEMaster[TM],MATCH(TableWRTECalcPts[[#This Row],[POSRef]],TableTEMaster[TERef],0)),"")</f>
        <v>NYJ</v>
      </c>
      <c r="AO70" s="189">
        <f>IFERROR(INDEX(TableTEMaster[BYE],MATCH(TableWRTECalcPts[[#This Row],[POSRef]],TableTEMaster[TERef],0)),"")</f>
        <v>10</v>
      </c>
      <c r="AP70" s="191">
        <f>IFERROR(INDEX(TableTEMaster[Custom],MATCH(TableWRTECalcPts[[#This Row],[POSRef]],TableTEMaster[TERef],0)),"")</f>
        <v>29.058916736132929</v>
      </c>
    </row>
    <row r="71" spans="1:42" x14ac:dyDescent="0.3">
      <c r="A71" s="198" t="str">
        <f>IFERROR(RANK(TableQBCalcPts[[#This Row],[Custom]],TableQBCalcPts[Custom])+COUNTIF($F$3:F71,F71)-1,"")</f>
        <v/>
      </c>
      <c r="B71" s="189">
        <v>69</v>
      </c>
      <c r="C71" s="189" t="str">
        <f>IFERROR(INDEX(TableQBMaster[Player],MATCH(TableQBCalcPts[[#This Row],[QBRef]],TableQBMaster[QBRef],0)),"")</f>
        <v/>
      </c>
      <c r="D71" s="189" t="str">
        <f>IFERROR(INDEX(TableQBMaster[TM],MATCH(TableQBCalcPts[[#This Row],[QBRef]],TableQBMaster[QBRef],0)),"")</f>
        <v/>
      </c>
      <c r="E71" s="189" t="str">
        <f>IFERROR(INDEX(TableQBMaster[BYE],MATCH(TableQBCalcPts[[#This Row],[QBRef]],TableQBMaster[QBRef],0)),"")</f>
        <v/>
      </c>
      <c r="F71" s="191" t="str">
        <f>IFERROR(INDEX(TableQBMaster[Custom],MATCH(TableQBCalcPts[[#This Row],[QBRef]],TableQBMaster[QBRef],0)),"")</f>
        <v/>
      </c>
      <c r="H71" s="189">
        <f>IFERROR(RANK(TableRBCalcPts[[#This Row],[Custom]],TableRBCalcPts[Custom])+COUNTIF($M$3:M71,M71)-1,"")</f>
        <v>62</v>
      </c>
      <c r="I71" s="189">
        <v>69</v>
      </c>
      <c r="J71" s="189" t="str">
        <f>IFERROR(INDEX(TableRBMaster[Player],MATCH(TableRBCalcPts[[#This Row],[RBRef]],TableRBMaster[RBRef],0)),"")</f>
        <v>Kenyan Drake</v>
      </c>
      <c r="K71" s="189" t="str">
        <f>IFERROR(INDEX(TableRBMaster[TM],MATCH(TableRBCalcPts[[#This Row],[RBRef]],TableRBMaster[RBRef],0)),"")</f>
        <v>LV</v>
      </c>
      <c r="L71" s="189">
        <f>IFERROR(INDEX(TableRBMaster[BYE],MATCH(TableRBCalcPts[[#This Row],[RBRef]],TableRBMaster[RBRef],0)),"")</f>
        <v>6</v>
      </c>
      <c r="M71" s="191">
        <f>IFERROR(INDEX(TableRBMaster[Custom],MATCH(TableRBCalcPts[[#This Row],[RBRef]],TableRBMaster[RBRef],0)),"")</f>
        <v>60.154119377652194</v>
      </c>
      <c r="O71" s="189">
        <f>IFERROR(RANK(TableWRCalcPts[[#This Row],[Custom]],TableWRCalcPts[Custom])+COUNTIF($T$3:T71,T71)-1,"")</f>
        <v>112</v>
      </c>
      <c r="P71" s="189">
        <v>69</v>
      </c>
      <c r="Q71" s="189" t="str">
        <f>IFERROR(INDEX(TableWRMaster[Player],MATCH(TableWRCalcPts[[#This Row],[WRRef]],TableWRMaster[WRRef],0)),"")</f>
        <v>Amari Rodgers</v>
      </c>
      <c r="R71" s="189" t="str">
        <f>IFERROR(INDEX(TableWRMaster[TM],MATCH(TableWRCalcPts[[#This Row],[WRRef]],TableWRMaster[WRRef],0)),"")</f>
        <v>GB</v>
      </c>
      <c r="S71" s="189">
        <f>IFERROR(INDEX(TableWRMaster[BYE],MATCH(TableWRCalcPts[[#This Row],[WRRef]],TableWRMaster[WRRef],0)),"")</f>
        <v>14</v>
      </c>
      <c r="T71" s="191">
        <f>IFERROR(INDEX(TableWRMaster[Custom],MATCH(TableWRCalcPts[[#This Row],[WRRef]],TableWRMaster[WRRef],0)),"")</f>
        <v>32.268086751033962</v>
      </c>
      <c r="V71" s="189">
        <f>IFERROR(RANK(TableTECalcPts[[#This Row],[Custom]],TableTECalcPts[Custom])+COUNTIF($AA$3:AA71,AA71)-1,"")</f>
        <v>73</v>
      </c>
      <c r="W71" s="189">
        <v>69</v>
      </c>
      <c r="X71" s="189" t="str">
        <f>IFERROR(INDEX(TableTEMaster[Player],MATCH(TableTECalcPts[[#This Row],[TERef]],TableTEMaster[TERef],0)),"")</f>
        <v>Jeremy Ruckert</v>
      </c>
      <c r="Y71" s="189" t="str">
        <f>IFERROR(INDEX(TableTEMaster[TM],MATCH(TableTECalcPts[[#This Row],[TERef]],TableTEMaster[TERef],0)),"")</f>
        <v>NYJ</v>
      </c>
      <c r="Z71" s="189">
        <f>IFERROR(INDEX(TableTEMaster[BYE],MATCH(TableTECalcPts[[#This Row],[TERef]],TableTEMaster[TERef],0)),"")</f>
        <v>10</v>
      </c>
      <c r="AA71" s="191">
        <f>IFERROR(INDEX(TableTEMaster[Custom],MATCH(TableTECalcPts[[#This Row],[TERef]],TableTEMaster[TERef],0)),"")</f>
        <v>9.9825376579927561</v>
      </c>
      <c r="AI71" s="221" t="s">
        <v>10</v>
      </c>
      <c r="AJ71" s="189">
        <f>IFERROR(RANK(TableWRTECalcPts[[#This Row],[Custom]],TableWRTECalcPts[Custom])+COUNTIF($AP$3:AP71,AP71)-1,"")</f>
        <v>241</v>
      </c>
      <c r="AK71" s="189">
        <v>69</v>
      </c>
      <c r="AL71" s="189" t="str">
        <f>IFERROR(INDEX(TableTEMaster[Player],MATCH(TableWRTECalcPts[[#This Row],[POSRef]],TableTEMaster[TERef],0)),"")</f>
        <v>Jeremy Ruckert</v>
      </c>
      <c r="AM71" s="189" t="str">
        <f>IFERROR(_xlfn.CONCAT(TableWRTECalcPts[[#This Row],[POS]],INDEX(TableTERanks[RK],MATCH(TableWRTECalcPts[[#This Row],[PLAYER]],TableTERanks[Player],0))),"")</f>
        <v>TE73</v>
      </c>
      <c r="AN71" s="189" t="str">
        <f>IFERROR(INDEX(TableTEMaster[TM],MATCH(TableWRTECalcPts[[#This Row],[POSRef]],TableTEMaster[TERef],0)),"")</f>
        <v>NYJ</v>
      </c>
      <c r="AO71" s="189">
        <f>IFERROR(INDEX(TableTEMaster[BYE],MATCH(TableWRTECalcPts[[#This Row],[POSRef]],TableTEMaster[TERef],0)),"")</f>
        <v>10</v>
      </c>
      <c r="AP71" s="191">
        <f>IFERROR(INDEX(TableTEMaster[Custom],MATCH(TableWRTECalcPts[[#This Row],[POSRef]],TableTEMaster[TERef],0)),"")</f>
        <v>9.9825376579927561</v>
      </c>
    </row>
    <row r="72" spans="1:42" x14ac:dyDescent="0.3">
      <c r="A72" s="198" t="str">
        <f>IFERROR(RANK(TableQBCalcPts[[#This Row],[Custom]],TableQBCalcPts[Custom])+COUNTIF($F$3:F72,F72)-1,"")</f>
        <v/>
      </c>
      <c r="B72" s="189">
        <v>70</v>
      </c>
      <c r="C72" s="189" t="str">
        <f>IFERROR(INDEX(TableQBMaster[Player],MATCH(TableQBCalcPts[[#This Row],[QBRef]],TableQBMaster[QBRef],0)),"")</f>
        <v/>
      </c>
      <c r="D72" s="189" t="str">
        <f>IFERROR(INDEX(TableQBMaster[TM],MATCH(TableQBCalcPts[[#This Row],[QBRef]],TableQBMaster[QBRef],0)),"")</f>
        <v/>
      </c>
      <c r="E72" s="189" t="str">
        <f>IFERROR(INDEX(TableQBMaster[BYE],MATCH(TableQBCalcPts[[#This Row],[QBRef]],TableQBMaster[QBRef],0)),"")</f>
        <v/>
      </c>
      <c r="F72" s="191" t="str">
        <f>IFERROR(INDEX(TableQBMaster[Custom],MATCH(TableQBCalcPts[[#This Row],[QBRef]],TableQBMaster[QBRef],0)),"")</f>
        <v/>
      </c>
      <c r="H72" s="189">
        <f>IFERROR(RANK(TableRBCalcPts[[#This Row],[Custom]],TableRBCalcPts[Custom])+COUNTIF($M$3:M72,M72)-1,"")</f>
        <v>69</v>
      </c>
      <c r="I72" s="189">
        <v>70</v>
      </c>
      <c r="J72" s="189" t="str">
        <f>IFERROR(INDEX(TableRBMaster[Player],MATCH(TableRBCalcPts[[#This Row],[RBRef]],TableRBMaster[RBRef],0)),"")</f>
        <v>Brandon Bolden</v>
      </c>
      <c r="K72" s="189" t="str">
        <f>IFERROR(INDEX(TableRBMaster[TM],MATCH(TableRBCalcPts[[#This Row],[RBRef]],TableRBMaster[RBRef],0)),"")</f>
        <v>LV</v>
      </c>
      <c r="L72" s="189">
        <f>IFERROR(INDEX(TableRBMaster[BYE],MATCH(TableRBCalcPts[[#This Row],[RBRef]],TableRBMaster[RBRef],0)),"")</f>
        <v>6</v>
      </c>
      <c r="M72" s="191">
        <f>IFERROR(INDEX(TableRBMaster[Custom],MATCH(TableRBCalcPts[[#This Row],[RBRef]],TableRBMaster[RBRef],0)),"")</f>
        <v>43.365317129300699</v>
      </c>
      <c r="O72" s="189">
        <f>IFERROR(RANK(TableWRCalcPts[[#This Row],[Custom]],TableWRCalcPts[Custom])+COUNTIF($T$3:T72,T72)-1,"")</f>
        <v>137</v>
      </c>
      <c r="P72" s="189">
        <v>70</v>
      </c>
      <c r="Q72" s="189" t="str">
        <f>IFERROR(INDEX(TableWRMaster[Player],MATCH(TableWRCalcPts[[#This Row],[WRRef]],TableWRMaster[WRRef],0)),"")</f>
        <v>Romeo Doubs</v>
      </c>
      <c r="R72" s="189" t="str">
        <f>IFERROR(INDEX(TableWRMaster[TM],MATCH(TableWRCalcPts[[#This Row],[WRRef]],TableWRMaster[WRRef],0)),"")</f>
        <v>GB</v>
      </c>
      <c r="S72" s="189">
        <f>IFERROR(INDEX(TableWRMaster[BYE],MATCH(TableWRCalcPts[[#This Row],[WRRef]],TableWRMaster[WRRef],0)),"")</f>
        <v>14</v>
      </c>
      <c r="T72" s="191">
        <f>IFERROR(INDEX(TableWRMaster[Custom],MATCH(TableWRCalcPts[[#This Row],[WRRef]],TableWRMaster[WRRef],0)),"")</f>
        <v>18.432043108152239</v>
      </c>
      <c r="V72" s="189">
        <f>IFERROR(RANK(TableTECalcPts[[#This Row],[Custom]],TableTECalcPts[Custom])+COUNTIF($AA$3:AA72,AA72)-1,"")</f>
        <v>4</v>
      </c>
      <c r="W72" s="189">
        <v>70</v>
      </c>
      <c r="X72" s="189" t="str">
        <f>IFERROR(INDEX(TableTEMaster[Player],MATCH(TableTECalcPts[[#This Row],[TERef]],TableTEMaster[TERef],0)),"")</f>
        <v>Darren Waller</v>
      </c>
      <c r="Y72" s="189" t="str">
        <f>IFERROR(INDEX(TableTEMaster[TM],MATCH(TableTECalcPts[[#This Row],[TERef]],TableTEMaster[TERef],0)),"")</f>
        <v>LV</v>
      </c>
      <c r="Z72" s="189">
        <f>IFERROR(INDEX(TableTEMaster[BYE],MATCH(TableTECalcPts[[#This Row],[TERef]],TableTEMaster[TERef],0)),"")</f>
        <v>6</v>
      </c>
      <c r="AA72" s="191">
        <f>IFERROR(INDEX(TableTEMaster[Custom],MATCH(TableTECalcPts[[#This Row],[TERef]],TableTEMaster[TERef],0)),"")</f>
        <v>131.83146212938658</v>
      </c>
      <c r="AI72" s="221" t="s">
        <v>10</v>
      </c>
      <c r="AJ72" s="189">
        <f>IFERROR(RANK(TableWRTECalcPts[[#This Row],[Custom]],TableWRTECalcPts[Custom])+COUNTIF($AP$3:AP72,AP72)-1,"")</f>
        <v>40</v>
      </c>
      <c r="AK72" s="189">
        <v>70</v>
      </c>
      <c r="AL72" s="189" t="str">
        <f>IFERROR(INDEX(TableTEMaster[Player],MATCH(TableWRTECalcPts[[#This Row],[POSRef]],TableTEMaster[TERef],0)),"")</f>
        <v>Darren Waller</v>
      </c>
      <c r="AM72" s="189" t="str">
        <f>IFERROR(_xlfn.CONCAT(TableWRTECalcPts[[#This Row],[POS]],INDEX(TableTERanks[RK],MATCH(TableWRTECalcPts[[#This Row],[PLAYER]],TableTERanks[Player],0))),"")</f>
        <v>TE4</v>
      </c>
      <c r="AN72" s="189" t="str">
        <f>IFERROR(INDEX(TableTEMaster[TM],MATCH(TableWRTECalcPts[[#This Row],[POSRef]],TableTEMaster[TERef],0)),"")</f>
        <v>LV</v>
      </c>
      <c r="AO72" s="189">
        <f>IFERROR(INDEX(TableTEMaster[BYE],MATCH(TableWRTECalcPts[[#This Row],[POSRef]],TableTEMaster[TERef],0)),"")</f>
        <v>6</v>
      </c>
      <c r="AP72" s="191">
        <f>IFERROR(INDEX(TableTEMaster[Custom],MATCH(TableWRTECalcPts[[#This Row],[POSRef]],TableTEMaster[TERef],0)),"")</f>
        <v>131.83146212938658</v>
      </c>
    </row>
    <row r="73" spans="1:42" x14ac:dyDescent="0.3">
      <c r="A73" s="198" t="str">
        <f>IFERROR(RANK(TableQBCalcPts[[#This Row],[Custom]],TableQBCalcPts[Custom])+COUNTIF($F$3:F73,F73)-1,"")</f>
        <v/>
      </c>
      <c r="B73" s="189">
        <v>71</v>
      </c>
      <c r="C73" s="189" t="str">
        <f>IFERROR(INDEX(TableQBMaster[Player],MATCH(TableQBCalcPts[[#This Row],[QBRef]],TableQBMaster[QBRef],0)),"")</f>
        <v/>
      </c>
      <c r="D73" s="189" t="str">
        <f>IFERROR(INDEX(TableQBMaster[TM],MATCH(TableQBCalcPts[[#This Row],[QBRef]],TableQBMaster[QBRef],0)),"")</f>
        <v/>
      </c>
      <c r="E73" s="189" t="str">
        <f>IFERROR(INDEX(TableQBMaster[BYE],MATCH(TableQBCalcPts[[#This Row],[QBRef]],TableQBMaster[QBRef],0)),"")</f>
        <v/>
      </c>
      <c r="F73" s="191" t="str">
        <f>IFERROR(INDEX(TableQBMaster[Custom],MATCH(TableQBCalcPts[[#This Row],[QBRef]],TableQBMaster[QBRef],0)),"")</f>
        <v/>
      </c>
      <c r="H73" s="189">
        <f>IFERROR(RANK(TableRBCalcPts[[#This Row],[Custom]],TableRBCalcPts[Custom])+COUNTIF($M$3:M73,M73)-1,"")</f>
        <v>65</v>
      </c>
      <c r="I73" s="189">
        <v>71</v>
      </c>
      <c r="J73" s="189" t="str">
        <f>IFERROR(INDEX(TableRBMaster[Player],MATCH(TableRBCalcPts[[#This Row],[RBRef]],TableRBMaster[RBRef],0)),"")</f>
        <v>Zamir White</v>
      </c>
      <c r="K73" s="189" t="str">
        <f>IFERROR(INDEX(TableRBMaster[TM],MATCH(TableRBCalcPts[[#This Row],[RBRef]],TableRBMaster[RBRef],0)),"")</f>
        <v>LV</v>
      </c>
      <c r="L73" s="189">
        <f>IFERROR(INDEX(TableRBMaster[BYE],MATCH(TableRBCalcPts[[#This Row],[RBRef]],TableRBMaster[RBRef],0)),"")</f>
        <v>6</v>
      </c>
      <c r="M73" s="191">
        <f>IFERROR(INDEX(TableRBMaster[Custom],MATCH(TableRBCalcPts[[#This Row],[RBRef]],TableRBMaster[RBRef],0)),"")</f>
        <v>55.035771034438397</v>
      </c>
      <c r="O73" s="189">
        <f>IFERROR(RANK(TableWRCalcPts[[#This Row],[Custom]],TableWRCalcPts[Custom])+COUNTIF($T$3:T73,T73)-1,"")</f>
        <v>24</v>
      </c>
      <c r="P73" s="189">
        <v>71</v>
      </c>
      <c r="Q73" s="189" t="str">
        <f>IFERROR(INDEX(TableWRMaster[Player],MATCH(TableWRCalcPts[[#This Row],[WRRef]],TableWRMaster[WRRef],0)),"")</f>
        <v>Brandin Cooks</v>
      </c>
      <c r="R73" s="189" t="str">
        <f>IFERROR(INDEX(TableWRMaster[TM],MATCH(TableWRCalcPts[[#This Row],[WRRef]],TableWRMaster[WRRef],0)),"")</f>
        <v>HOU</v>
      </c>
      <c r="S73" s="189">
        <f>IFERROR(INDEX(TableWRMaster[BYE],MATCH(TableWRCalcPts[[#This Row],[WRRef]],TableWRMaster[WRRef],0)),"")</f>
        <v>6</v>
      </c>
      <c r="T73" s="191">
        <f>IFERROR(INDEX(TableWRMaster[Custom],MATCH(TableWRCalcPts[[#This Row],[WRRef]],TableWRMaster[WRRef],0)),"")</f>
        <v>143.01669018608655</v>
      </c>
      <c r="V73" s="189">
        <f>IFERROR(RANK(TableTECalcPts[[#This Row],[Custom]],TableTECalcPts[Custom])+COUNTIF($AA$3:AA73,AA73)-1,"")</f>
        <v>41</v>
      </c>
      <c r="W73" s="189">
        <v>71</v>
      </c>
      <c r="X73" s="189" t="str">
        <f>IFERROR(INDEX(TableTEMaster[Player],MATCH(TableTECalcPts[[#This Row],[TERef]],TableTEMaster[TERef],0)),"")</f>
        <v>Foster Moreau</v>
      </c>
      <c r="Y73" s="189" t="str">
        <f>IFERROR(INDEX(TableTEMaster[TM],MATCH(TableTECalcPts[[#This Row],[TERef]],TableTEMaster[TERef],0)),"")</f>
        <v>LV</v>
      </c>
      <c r="Z73" s="189">
        <f>IFERROR(INDEX(TableTEMaster[BYE],MATCH(TableTECalcPts[[#This Row],[TERef]],TableTEMaster[TERef],0)),"")</f>
        <v>6</v>
      </c>
      <c r="AA73" s="191">
        <f>IFERROR(INDEX(TableTEMaster[Custom],MATCH(TableTECalcPts[[#This Row],[TERef]],TableTEMaster[TERef],0)),"")</f>
        <v>29.607862319138633</v>
      </c>
      <c r="AI73" s="221" t="s">
        <v>10</v>
      </c>
      <c r="AJ73" s="189">
        <f>IFERROR(RANK(TableWRTECalcPts[[#This Row],[Custom]],TableWRTECalcPts[Custom])+COUNTIF($AP$3:AP73,AP73)-1,"")</f>
        <v>154</v>
      </c>
      <c r="AK73" s="189">
        <v>71</v>
      </c>
      <c r="AL73" s="189" t="str">
        <f>IFERROR(INDEX(TableTEMaster[Player],MATCH(TableWRTECalcPts[[#This Row],[POSRef]],TableTEMaster[TERef],0)),"")</f>
        <v>Foster Moreau</v>
      </c>
      <c r="AM73" s="189" t="str">
        <f>IFERROR(_xlfn.CONCAT(TableWRTECalcPts[[#This Row],[POS]],INDEX(TableTERanks[RK],MATCH(TableWRTECalcPts[[#This Row],[PLAYER]],TableTERanks[Player],0))),"")</f>
        <v>TE41</v>
      </c>
      <c r="AN73" s="189" t="str">
        <f>IFERROR(INDEX(TableTEMaster[TM],MATCH(TableWRTECalcPts[[#This Row],[POSRef]],TableTEMaster[TERef],0)),"")</f>
        <v>LV</v>
      </c>
      <c r="AO73" s="189">
        <f>IFERROR(INDEX(TableTEMaster[BYE],MATCH(TableWRTECalcPts[[#This Row],[POSRef]],TableTEMaster[TERef],0)),"")</f>
        <v>6</v>
      </c>
      <c r="AP73" s="191">
        <f>IFERROR(INDEX(TableTEMaster[Custom],MATCH(TableWRTECalcPts[[#This Row],[POSRef]],TableTEMaster[TERef],0)),"")</f>
        <v>29.607862319138633</v>
      </c>
    </row>
    <row r="74" spans="1:42" x14ac:dyDescent="0.3">
      <c r="A74" s="198" t="str">
        <f>IFERROR(RANK(TableQBCalcPts[[#This Row],[Custom]],TableQBCalcPts[Custom])+COUNTIF($F$3:F74,F74)-1,"")</f>
        <v/>
      </c>
      <c r="B74" s="189">
        <v>72</v>
      </c>
      <c r="C74" s="189" t="str">
        <f>IFERROR(INDEX(TableQBMaster[Player],MATCH(TableQBCalcPts[[#This Row],[QBRef]],TableQBMaster[QBRef],0)),"")</f>
        <v/>
      </c>
      <c r="D74" s="189" t="str">
        <f>IFERROR(INDEX(TableQBMaster[TM],MATCH(TableQBCalcPts[[#This Row],[QBRef]],TableQBMaster[QBRef],0)),"")</f>
        <v/>
      </c>
      <c r="E74" s="189" t="str">
        <f>IFERROR(INDEX(TableQBMaster[BYE],MATCH(TableQBCalcPts[[#This Row],[QBRef]],TableQBMaster[QBRef],0)),"")</f>
        <v/>
      </c>
      <c r="F74" s="191" t="str">
        <f>IFERROR(INDEX(TableQBMaster[Custom],MATCH(TableQBCalcPts[[#This Row],[QBRef]],TableQBMaster[QBRef],0)),"")</f>
        <v/>
      </c>
      <c r="H74" s="189">
        <f>IFERROR(RANK(TableRBCalcPts[[#This Row],[Custom]],TableRBCalcPts[Custom])+COUNTIF($M$3:M74,M74)-1,"")</f>
        <v>36</v>
      </c>
      <c r="I74" s="189">
        <v>72</v>
      </c>
      <c r="J74" s="189" t="str">
        <f>IFERROR(INDEX(TableRBMaster[Player],MATCH(TableRBCalcPts[[#This Row],[RBRef]],TableRBMaster[RBRef],0)),"")</f>
        <v>Chase Edmonds</v>
      </c>
      <c r="K74" s="189" t="str">
        <f>IFERROR(INDEX(TableRBMaster[TM],MATCH(TableRBCalcPts[[#This Row],[RBRef]],TableRBMaster[RBRef],0)),"")</f>
        <v>MIA</v>
      </c>
      <c r="L74" s="189">
        <f>IFERROR(INDEX(TableRBMaster[BYE],MATCH(TableRBCalcPts[[#This Row],[RBRef]],TableRBMaster[RBRef],0)),"")</f>
        <v>11</v>
      </c>
      <c r="M74" s="191">
        <f>IFERROR(INDEX(TableRBMaster[Custom],MATCH(TableRBCalcPts[[#This Row],[RBRef]],TableRBMaster[RBRef],0)),"")</f>
        <v>117.21232006859266</v>
      </c>
      <c r="O74" s="189">
        <f>IFERROR(RANK(TableWRCalcPts[[#This Row],[Custom]],TableWRCalcPts[Custom])+COUNTIF($T$3:T74,T74)-1,"")</f>
        <v>84</v>
      </c>
      <c r="P74" s="189">
        <v>72</v>
      </c>
      <c r="Q74" s="189" t="str">
        <f>IFERROR(INDEX(TableWRMaster[Player],MATCH(TableWRCalcPts[[#This Row],[WRRef]],TableWRMaster[WRRef],0)),"")</f>
        <v>Nico Collins</v>
      </c>
      <c r="R74" s="189" t="str">
        <f>IFERROR(INDEX(TableWRMaster[TM],MATCH(TableWRCalcPts[[#This Row],[WRRef]],TableWRMaster[WRRef],0)),"")</f>
        <v>HOU</v>
      </c>
      <c r="S74" s="189">
        <f>IFERROR(INDEX(TableWRMaster[BYE],MATCH(TableWRCalcPts[[#This Row],[WRRef]],TableWRMaster[WRRef],0)),"")</f>
        <v>6</v>
      </c>
      <c r="T74" s="191">
        <f>IFERROR(INDEX(TableWRMaster[Custom],MATCH(TableWRCalcPts[[#This Row],[WRRef]],TableWRMaster[WRRef],0)),"")</f>
        <v>72.512646152315625</v>
      </c>
      <c r="V74" s="189">
        <f>IFERROR(RANK(TableTECalcPts[[#This Row],[Custom]],TableTECalcPts[Custom])+COUNTIF($AA$3:AA74,AA74)-1,"")</f>
        <v>82</v>
      </c>
      <c r="W74" s="189">
        <v>72</v>
      </c>
      <c r="X74" s="189" t="str">
        <f>IFERROR(INDEX(TableTEMaster[Player],MATCH(TableTECalcPts[[#This Row],[TERef]],TableTEMaster[TERef],0)),"")</f>
        <v>Jacob Hollister</v>
      </c>
      <c r="Y74" s="189" t="str">
        <f>IFERROR(INDEX(TableTEMaster[TM],MATCH(TableTECalcPts[[#This Row],[TERef]],TableTEMaster[TERef],0)),"")</f>
        <v>LV</v>
      </c>
      <c r="Z74" s="189">
        <f>IFERROR(INDEX(TableTEMaster[BYE],MATCH(TableTECalcPts[[#This Row],[TERef]],TableTEMaster[TERef],0)),"")</f>
        <v>6</v>
      </c>
      <c r="AA74" s="191">
        <f>IFERROR(INDEX(TableTEMaster[Custom],MATCH(TableTECalcPts[[#This Row],[TERef]],TableTEMaster[TERef],0)),"")</f>
        <v>6.6649667723753367</v>
      </c>
      <c r="AI74" s="221" t="s">
        <v>10</v>
      </c>
      <c r="AJ74" s="189">
        <f>IFERROR(RANK(TableWRTECalcPts[[#This Row],[Custom]],TableWRTECalcPts[Custom])+COUNTIF($AP$3:AP74,AP74)-1,"")</f>
        <v>263</v>
      </c>
      <c r="AK74" s="189">
        <v>72</v>
      </c>
      <c r="AL74" s="189" t="str">
        <f>IFERROR(INDEX(TableTEMaster[Player],MATCH(TableWRTECalcPts[[#This Row],[POSRef]],TableTEMaster[TERef],0)),"")</f>
        <v>Jacob Hollister</v>
      </c>
      <c r="AM74" s="189" t="str">
        <f>IFERROR(_xlfn.CONCAT(TableWRTECalcPts[[#This Row],[POS]],INDEX(TableTERanks[RK],MATCH(TableWRTECalcPts[[#This Row],[PLAYER]],TableTERanks[Player],0))),"")</f>
        <v>TE82</v>
      </c>
      <c r="AN74" s="189" t="str">
        <f>IFERROR(INDEX(TableTEMaster[TM],MATCH(TableWRTECalcPts[[#This Row],[POSRef]],TableTEMaster[TERef],0)),"")</f>
        <v>LV</v>
      </c>
      <c r="AO74" s="189">
        <f>IFERROR(INDEX(TableTEMaster[BYE],MATCH(TableWRTECalcPts[[#This Row],[POSRef]],TableTEMaster[TERef],0)),"")</f>
        <v>6</v>
      </c>
      <c r="AP74" s="191">
        <f>IFERROR(INDEX(TableTEMaster[Custom],MATCH(TableWRTECalcPts[[#This Row],[POSRef]],TableTEMaster[TERef],0)),"")</f>
        <v>6.6649667723753367</v>
      </c>
    </row>
    <row r="75" spans="1:42" x14ac:dyDescent="0.3">
      <c r="A75" s="198" t="str">
        <f>IFERROR(RANK(TableQBCalcPts[[#This Row],[Custom]],TableQBCalcPts[Custom])+COUNTIF($F$3:F75,F75)-1,"")</f>
        <v/>
      </c>
      <c r="B75" s="189">
        <v>73</v>
      </c>
      <c r="C75" s="189" t="str">
        <f>IFERROR(INDEX(TableQBMaster[Player],MATCH(TableQBCalcPts[[#This Row],[QBRef]],TableQBMaster[QBRef],0)),"")</f>
        <v/>
      </c>
      <c r="D75" s="189" t="str">
        <f>IFERROR(INDEX(TableQBMaster[TM],MATCH(TableQBCalcPts[[#This Row],[QBRef]],TableQBMaster[QBRef],0)),"")</f>
        <v/>
      </c>
      <c r="E75" s="189" t="str">
        <f>IFERROR(INDEX(TableQBMaster[BYE],MATCH(TableQBCalcPts[[#This Row],[QBRef]],TableQBMaster[QBRef],0)),"")</f>
        <v/>
      </c>
      <c r="F75" s="191" t="str">
        <f>IFERROR(INDEX(TableQBMaster[Custom],MATCH(TableQBCalcPts[[#This Row],[QBRef]],TableQBMaster[QBRef],0)),"")</f>
        <v/>
      </c>
      <c r="H75" s="189">
        <f>IFERROR(RANK(TableRBCalcPts[[#This Row],[Custom]],TableRBCalcPts[Custom])+COUNTIF($M$3:M75,M75)-1,"")</f>
        <v>51</v>
      </c>
      <c r="I75" s="189">
        <v>73</v>
      </c>
      <c r="J75" s="189" t="str">
        <f>IFERROR(INDEX(TableRBMaster[Player],MATCH(TableRBCalcPts[[#This Row],[RBRef]],TableRBMaster[RBRef],0)),"")</f>
        <v>Raheem Mostert</v>
      </c>
      <c r="K75" s="189" t="str">
        <f>IFERROR(INDEX(TableRBMaster[TM],MATCH(TableRBCalcPts[[#This Row],[RBRef]],TableRBMaster[RBRef],0)),"")</f>
        <v>MIA</v>
      </c>
      <c r="L75" s="189">
        <f>IFERROR(INDEX(TableRBMaster[BYE],MATCH(TableRBCalcPts[[#This Row],[RBRef]],TableRBMaster[RBRef],0)),"")</f>
        <v>11</v>
      </c>
      <c r="M75" s="191">
        <f>IFERROR(INDEX(TableRBMaster[Custom],MATCH(TableRBCalcPts[[#This Row],[RBRef]],TableRBMaster[RBRef],0)),"")</f>
        <v>92.80705914161156</v>
      </c>
      <c r="O75" s="189">
        <f>IFERROR(RANK(TableWRCalcPts[[#This Row],[Custom]],TableWRCalcPts[Custom])+COUNTIF($T$3:T75,T75)-1,"")</f>
        <v>111</v>
      </c>
      <c r="P75" s="189">
        <v>73</v>
      </c>
      <c r="Q75" s="189" t="str">
        <f>IFERROR(INDEX(TableWRMaster[Player],MATCH(TableWRCalcPts[[#This Row],[WRRef]],TableWRMaster[WRRef],0)),"")</f>
        <v>Chris Conley</v>
      </c>
      <c r="R75" s="189" t="str">
        <f>IFERROR(INDEX(TableWRMaster[TM],MATCH(TableWRCalcPts[[#This Row],[WRRef]],TableWRMaster[WRRef],0)),"")</f>
        <v>HOU</v>
      </c>
      <c r="S75" s="189">
        <f>IFERROR(INDEX(TableWRMaster[BYE],MATCH(TableWRCalcPts[[#This Row],[WRRef]],TableWRMaster[WRRef],0)),"")</f>
        <v>6</v>
      </c>
      <c r="T75" s="191">
        <f>IFERROR(INDEX(TableWRMaster[Custom],MATCH(TableWRCalcPts[[#This Row],[WRRef]],TableWRMaster[WRRef],0)),"")</f>
        <v>32.477047166674978</v>
      </c>
      <c r="V75" s="189">
        <f>IFERROR(RANK(TableTECalcPts[[#This Row],[Custom]],TableTECalcPts[Custom])+COUNTIF($AA$3:AA75,AA75)-1,"")</f>
        <v>6</v>
      </c>
      <c r="W75" s="189">
        <v>73</v>
      </c>
      <c r="X75" s="189" t="str">
        <f>IFERROR(INDEX(TableTEMaster[Player],MATCH(TableTECalcPts[[#This Row],[TERef]],TableTEMaster[TERef],0)),"")</f>
        <v>Dallas Goedert</v>
      </c>
      <c r="Y75" s="189" t="str">
        <f>IFERROR(INDEX(TableTEMaster[TM],MATCH(TableTECalcPts[[#This Row],[TERef]],TableTEMaster[TERef],0)),"")</f>
        <v>PHI</v>
      </c>
      <c r="Z75" s="189">
        <f>IFERROR(INDEX(TableTEMaster[BYE],MATCH(TableTECalcPts[[#This Row],[TERef]],TableTEMaster[TERef],0)),"")</f>
        <v>7</v>
      </c>
      <c r="AA75" s="191">
        <f>IFERROR(INDEX(TableTEMaster[Custom],MATCH(TableTECalcPts[[#This Row],[TERef]],TableTEMaster[TERef],0)),"")</f>
        <v>119.68741678217346</v>
      </c>
      <c r="AI75" s="221" t="s">
        <v>10</v>
      </c>
      <c r="AJ75" s="189">
        <f>IFERROR(RANK(TableWRTECalcPts[[#This Row],[Custom]],TableWRTECalcPts[Custom])+COUNTIF($AP$3:AP75,AP75)-1,"")</f>
        <v>48</v>
      </c>
      <c r="AK75" s="189">
        <v>73</v>
      </c>
      <c r="AL75" s="189" t="str">
        <f>IFERROR(INDEX(TableTEMaster[Player],MATCH(TableWRTECalcPts[[#This Row],[POSRef]],TableTEMaster[TERef],0)),"")</f>
        <v>Dallas Goedert</v>
      </c>
      <c r="AM75" s="189" t="str">
        <f>IFERROR(_xlfn.CONCAT(TableWRTECalcPts[[#This Row],[POS]],INDEX(TableTERanks[RK],MATCH(TableWRTECalcPts[[#This Row],[PLAYER]],TableTERanks[Player],0))),"")</f>
        <v>TE6</v>
      </c>
      <c r="AN75" s="189" t="str">
        <f>IFERROR(INDEX(TableTEMaster[TM],MATCH(TableWRTECalcPts[[#This Row],[POSRef]],TableTEMaster[TERef],0)),"")</f>
        <v>PHI</v>
      </c>
      <c r="AO75" s="189">
        <f>IFERROR(INDEX(TableTEMaster[BYE],MATCH(TableWRTECalcPts[[#This Row],[POSRef]],TableTEMaster[TERef],0)),"")</f>
        <v>7</v>
      </c>
      <c r="AP75" s="191">
        <f>IFERROR(INDEX(TableTEMaster[Custom],MATCH(TableWRTECalcPts[[#This Row],[POSRef]],TableTEMaster[TERef],0)),"")</f>
        <v>119.68741678217346</v>
      </c>
    </row>
    <row r="76" spans="1:42" x14ac:dyDescent="0.3">
      <c r="A76" s="198" t="str">
        <f>IFERROR(RANK(TableQBCalcPts[[#This Row],[Custom]],TableQBCalcPts[Custom])+COUNTIF($F$3:F76,F76)-1,"")</f>
        <v/>
      </c>
      <c r="B76" s="189">
        <v>74</v>
      </c>
      <c r="C76" s="189" t="str">
        <f>IFERROR(INDEX(TableQBMaster[Player],MATCH(TableQBCalcPts[[#This Row],[QBRef]],TableQBMaster[QBRef],0)),"")</f>
        <v/>
      </c>
      <c r="D76" s="189" t="str">
        <f>IFERROR(INDEX(TableQBMaster[TM],MATCH(TableQBCalcPts[[#This Row],[QBRef]],TableQBMaster[QBRef],0)),"")</f>
        <v/>
      </c>
      <c r="E76" s="189" t="str">
        <f>IFERROR(INDEX(TableQBMaster[BYE],MATCH(TableQBCalcPts[[#This Row],[QBRef]],TableQBMaster[QBRef],0)),"")</f>
        <v/>
      </c>
      <c r="F76" s="191" t="str">
        <f>IFERROR(INDEX(TableQBMaster[Custom],MATCH(TableQBCalcPts[[#This Row],[QBRef]],TableQBMaster[QBRef],0)),"")</f>
        <v/>
      </c>
      <c r="H76" s="189">
        <f>IFERROR(RANK(TableRBCalcPts[[#This Row],[Custom]],TableRBCalcPts[Custom])+COUNTIF($M$3:M76,M76)-1,"")</f>
        <v>67</v>
      </c>
      <c r="I76" s="189">
        <v>74</v>
      </c>
      <c r="J76" s="189" t="str">
        <f>IFERROR(INDEX(TableRBMaster[Player],MATCH(TableRBCalcPts[[#This Row],[RBRef]],TableRBMaster[RBRef],0)),"")</f>
        <v>Sony Michel</v>
      </c>
      <c r="K76" s="189" t="str">
        <f>IFERROR(INDEX(TableRBMaster[TM],MATCH(TableRBCalcPts[[#This Row],[RBRef]],TableRBMaster[RBRef],0)),"")</f>
        <v>MIA</v>
      </c>
      <c r="L76" s="189">
        <f>IFERROR(INDEX(TableRBMaster[BYE],MATCH(TableRBCalcPts[[#This Row],[RBRef]],TableRBMaster[RBRef],0)),"")</f>
        <v>11</v>
      </c>
      <c r="M76" s="191">
        <f>IFERROR(INDEX(TableRBMaster[Custom],MATCH(TableRBCalcPts[[#This Row],[RBRef]],TableRBMaster[RBRef],0)),"")</f>
        <v>48.094947777259016</v>
      </c>
      <c r="O76" s="189">
        <f>IFERROR(RANK(TableWRCalcPts[[#This Row],[Custom]],TableWRCalcPts[Custom])+COUNTIF($T$3:T76,T76)-1,"")</f>
        <v>67</v>
      </c>
      <c r="P76" s="189">
        <v>74</v>
      </c>
      <c r="Q76" s="189" t="str">
        <f>IFERROR(INDEX(TableWRMaster[Player],MATCH(TableWRCalcPts[[#This Row],[WRRef]],TableWRMaster[WRRef],0)),"")</f>
        <v>John Metchie</v>
      </c>
      <c r="R76" s="189" t="str">
        <f>IFERROR(INDEX(TableWRMaster[TM],MATCH(TableWRCalcPts[[#This Row],[WRRef]],TableWRMaster[WRRef],0)),"")</f>
        <v>HOU</v>
      </c>
      <c r="S76" s="189">
        <f>IFERROR(INDEX(TableWRMaster[BYE],MATCH(TableWRCalcPts[[#This Row],[WRRef]],TableWRMaster[WRRef],0)),"")</f>
        <v>6</v>
      </c>
      <c r="T76" s="191">
        <f>IFERROR(INDEX(TableWRMaster[Custom],MATCH(TableWRCalcPts[[#This Row],[WRRef]],TableWRMaster[WRRef],0)),"")</f>
        <v>89.873250374261502</v>
      </c>
      <c r="V76" s="189">
        <f>IFERROR(RANK(TableTECalcPts[[#This Row],[Custom]],TableTECalcPts[Custom])+COUNTIF($AA$3:AA76,AA76)-1,"")</f>
        <v>67</v>
      </c>
      <c r="W76" s="189">
        <v>74</v>
      </c>
      <c r="X76" s="189" t="str">
        <f>IFERROR(INDEX(TableTEMaster[Player],MATCH(TableTECalcPts[[#This Row],[TERef]],TableTEMaster[TERef],0)),"")</f>
        <v>Tyree Jackson</v>
      </c>
      <c r="Y76" s="189" t="str">
        <f>IFERROR(INDEX(TableTEMaster[TM],MATCH(TableTECalcPts[[#This Row],[TERef]],TableTEMaster[TERef],0)),"")</f>
        <v>PHI</v>
      </c>
      <c r="Z76" s="189">
        <f>IFERROR(INDEX(TableTEMaster[BYE],MATCH(TableTECalcPts[[#This Row],[TERef]],TableTEMaster[TERef],0)),"")</f>
        <v>7</v>
      </c>
      <c r="AA76" s="191">
        <f>IFERROR(INDEX(TableTEMaster[Custom],MATCH(TableTECalcPts[[#This Row],[TERef]],TableTEMaster[TERef],0)),"")</f>
        <v>12.58346719098485</v>
      </c>
      <c r="AI76" s="221" t="s">
        <v>10</v>
      </c>
      <c r="AJ76" s="189">
        <f>IFERROR(RANK(TableWRTECalcPts[[#This Row],[Custom]],TableWRTECalcPts[Custom])+COUNTIF($AP$3:AP76,AP76)-1,"")</f>
        <v>226</v>
      </c>
      <c r="AK76" s="189">
        <v>74</v>
      </c>
      <c r="AL76" s="189" t="str">
        <f>IFERROR(INDEX(TableTEMaster[Player],MATCH(TableWRTECalcPts[[#This Row],[POSRef]],TableTEMaster[TERef],0)),"")</f>
        <v>Tyree Jackson</v>
      </c>
      <c r="AM76" s="189" t="str">
        <f>IFERROR(_xlfn.CONCAT(TableWRTECalcPts[[#This Row],[POS]],INDEX(TableTERanks[RK],MATCH(TableWRTECalcPts[[#This Row],[PLAYER]],TableTERanks[Player],0))),"")</f>
        <v>TE67</v>
      </c>
      <c r="AN76" s="189" t="str">
        <f>IFERROR(INDEX(TableTEMaster[TM],MATCH(TableWRTECalcPts[[#This Row],[POSRef]],TableTEMaster[TERef],0)),"")</f>
        <v>PHI</v>
      </c>
      <c r="AO76" s="189">
        <f>IFERROR(INDEX(TableTEMaster[BYE],MATCH(TableWRTECalcPts[[#This Row],[POSRef]],TableTEMaster[TERef],0)),"")</f>
        <v>7</v>
      </c>
      <c r="AP76" s="191">
        <f>IFERROR(INDEX(TableTEMaster[Custom],MATCH(TableWRTECalcPts[[#This Row],[POSRef]],TableTEMaster[TERef],0)),"")</f>
        <v>12.58346719098485</v>
      </c>
    </row>
    <row r="77" spans="1:42" x14ac:dyDescent="0.3">
      <c r="A77" s="198" t="str">
        <f>IFERROR(RANK(TableQBCalcPts[[#This Row],[Custom]],TableQBCalcPts[Custom])+COUNTIF($F$3:F77,F77)-1,"")</f>
        <v/>
      </c>
      <c r="B77" s="189">
        <v>75</v>
      </c>
      <c r="C77" s="189" t="str">
        <f>IFERROR(INDEX(TableQBMaster[Player],MATCH(TableQBCalcPts[[#This Row],[QBRef]],TableQBMaster[QBRef],0)),"")</f>
        <v/>
      </c>
      <c r="D77" s="189" t="str">
        <f>IFERROR(INDEX(TableQBMaster[TM],MATCH(TableQBCalcPts[[#This Row],[QBRef]],TableQBMaster[QBRef],0)),"")</f>
        <v/>
      </c>
      <c r="E77" s="189" t="str">
        <f>IFERROR(INDEX(TableQBMaster[BYE],MATCH(TableQBCalcPts[[#This Row],[QBRef]],TableQBMaster[QBRef],0)),"")</f>
        <v/>
      </c>
      <c r="F77" s="191" t="str">
        <f>IFERROR(INDEX(TableQBMaster[Custom],MATCH(TableQBCalcPts[[#This Row],[QBRef]],TableQBMaster[QBRef],0)),"")</f>
        <v/>
      </c>
      <c r="H77" s="189">
        <f>IFERROR(RANK(TableRBCalcPts[[#This Row],[Custom]],TableRBCalcPts[Custom])+COUNTIF($M$3:M77,M77)-1,"")</f>
        <v>86</v>
      </c>
      <c r="I77" s="189">
        <v>75</v>
      </c>
      <c r="J77" s="189" t="str">
        <f>IFERROR(INDEX(TableRBMaster[Player],MATCH(TableRBCalcPts[[#This Row],[RBRef]],TableRBMaster[RBRef],0)),"")</f>
        <v>ZaQuandre White</v>
      </c>
      <c r="K77" s="189" t="str">
        <f>IFERROR(INDEX(TableRBMaster[TM],MATCH(TableRBCalcPts[[#This Row],[RBRef]],TableRBMaster[RBRef],0)),"")</f>
        <v>MIA</v>
      </c>
      <c r="L77" s="189">
        <f>IFERROR(INDEX(TableRBMaster[BYE],MATCH(TableRBCalcPts[[#This Row],[RBRef]],TableRBMaster[RBRef],0)),"")</f>
        <v>11</v>
      </c>
      <c r="M77" s="191">
        <f>IFERROR(INDEX(TableRBMaster[Custom],MATCH(TableRBCalcPts[[#This Row],[RBRef]],TableRBMaster[RBRef],0)),"")</f>
        <v>22.249247349411675</v>
      </c>
      <c r="O77" s="189">
        <f>IFERROR(RANK(TableWRCalcPts[[#This Row],[Custom]],TableWRCalcPts[Custom])+COUNTIF($T$3:T77,T77)-1,"")</f>
        <v>158</v>
      </c>
      <c r="P77" s="189">
        <v>75</v>
      </c>
      <c r="Q77" s="189" t="str">
        <f>IFERROR(INDEX(TableWRMaster[Player],MATCH(TableWRCalcPts[[#This Row],[WRRef]],TableWRMaster[WRRef],0)),"")</f>
        <v>Phillip Dorsett</v>
      </c>
      <c r="R77" s="189" t="str">
        <f>IFERROR(INDEX(TableWRMaster[TM],MATCH(TableWRCalcPts[[#This Row],[WRRef]],TableWRMaster[WRRef],0)),"")</f>
        <v>HOU</v>
      </c>
      <c r="S77" s="189">
        <f>IFERROR(INDEX(TableWRMaster[BYE],MATCH(TableWRCalcPts[[#This Row],[WRRef]],TableWRMaster[WRRef],0)),"")</f>
        <v>6</v>
      </c>
      <c r="T77" s="191">
        <f>IFERROR(INDEX(TableWRMaster[Custom],MATCH(TableWRCalcPts[[#This Row],[WRRef]],TableWRMaster[WRRef],0)),"")</f>
        <v>12.876327864814634</v>
      </c>
      <c r="V77" s="189">
        <f>IFERROR(RANK(TableTECalcPts[[#This Row],[Custom]],TableTECalcPts[Custom])+COUNTIF($AA$3:AA77,AA77)-1,"")</f>
        <v>79</v>
      </c>
      <c r="W77" s="189">
        <v>75</v>
      </c>
      <c r="X77" s="189" t="str">
        <f>IFERROR(INDEX(TableTEMaster[Player],MATCH(TableTECalcPts[[#This Row],[TERef]],TableTEMaster[TERef],0)),"")</f>
        <v>Grant Calcaterra</v>
      </c>
      <c r="Y77" s="189" t="str">
        <f>IFERROR(INDEX(TableTEMaster[TM],MATCH(TableTECalcPts[[#This Row],[TERef]],TableTEMaster[TERef],0)),"")</f>
        <v>PHI</v>
      </c>
      <c r="Z77" s="189">
        <f>IFERROR(INDEX(TableTEMaster[BYE],MATCH(TableTECalcPts[[#This Row],[TERef]],TableTEMaster[TERef],0)),"")</f>
        <v>7</v>
      </c>
      <c r="AA77" s="191">
        <f>IFERROR(INDEX(TableTEMaster[Custom],MATCH(TableTECalcPts[[#This Row],[TERef]],TableTEMaster[TERef],0)),"")</f>
        <v>7.3031380385457298</v>
      </c>
      <c r="AI77" s="221" t="s">
        <v>10</v>
      </c>
      <c r="AJ77" s="189">
        <f>IFERROR(RANK(TableWRTECalcPts[[#This Row],[Custom]],TableWRTECalcPts[Custom])+COUNTIF($AP$3:AP77,AP77)-1,"")</f>
        <v>256</v>
      </c>
      <c r="AK77" s="189">
        <v>75</v>
      </c>
      <c r="AL77" s="189" t="str">
        <f>IFERROR(INDEX(TableTEMaster[Player],MATCH(TableWRTECalcPts[[#This Row],[POSRef]],TableTEMaster[TERef],0)),"")</f>
        <v>Grant Calcaterra</v>
      </c>
      <c r="AM77" s="189" t="str">
        <f>IFERROR(_xlfn.CONCAT(TableWRTECalcPts[[#This Row],[POS]],INDEX(TableTERanks[RK],MATCH(TableWRTECalcPts[[#This Row],[PLAYER]],TableTERanks[Player],0))),"")</f>
        <v>TE79</v>
      </c>
      <c r="AN77" s="189" t="str">
        <f>IFERROR(INDEX(TableTEMaster[TM],MATCH(TableWRTECalcPts[[#This Row],[POSRef]],TableTEMaster[TERef],0)),"")</f>
        <v>PHI</v>
      </c>
      <c r="AO77" s="189">
        <f>IFERROR(INDEX(TableTEMaster[BYE],MATCH(TableWRTECalcPts[[#This Row],[POSRef]],TableTEMaster[TERef],0)),"")</f>
        <v>7</v>
      </c>
      <c r="AP77" s="191">
        <f>IFERROR(INDEX(TableTEMaster[Custom],MATCH(TableWRTECalcPts[[#This Row],[POSRef]],TableTEMaster[TERef],0)),"")</f>
        <v>7.3031380385457298</v>
      </c>
    </row>
    <row r="78" spans="1:42" x14ac:dyDescent="0.3">
      <c r="A78" s="198" t="str">
        <f>IFERROR(RANK(TableQBCalcPts[[#This Row],[Custom]],TableQBCalcPts[Custom])+COUNTIF($F$3:F78,F78)-1,"")</f>
        <v/>
      </c>
      <c r="B78" s="189">
        <v>76</v>
      </c>
      <c r="C78" s="189" t="str">
        <f>IFERROR(INDEX(TableQBMaster[Player],MATCH(TableQBCalcPts[[#This Row],[QBRef]],TableQBMaster[QBRef],0)),"")</f>
        <v/>
      </c>
      <c r="D78" s="189" t="str">
        <f>IFERROR(INDEX(TableQBMaster[TM],MATCH(TableQBCalcPts[[#This Row],[QBRef]],TableQBMaster[QBRef],0)),"")</f>
        <v/>
      </c>
      <c r="E78" s="189" t="str">
        <f>IFERROR(INDEX(TableQBMaster[BYE],MATCH(TableQBCalcPts[[#This Row],[QBRef]],TableQBMaster[QBRef],0)),"")</f>
        <v/>
      </c>
      <c r="F78" s="191" t="str">
        <f>IFERROR(INDEX(TableQBMaster[Custom],MATCH(TableQBCalcPts[[#This Row],[QBRef]],TableQBMaster[QBRef],0)),"")</f>
        <v/>
      </c>
      <c r="H78" s="189">
        <f>IFERROR(RANK(TableRBCalcPts[[#This Row],[Custom]],TableRBCalcPts[Custom])+COUNTIF($M$3:M78,M78)-1,"")</f>
        <v>8</v>
      </c>
      <c r="I78" s="189">
        <v>76</v>
      </c>
      <c r="J78" s="189" t="str">
        <f>IFERROR(INDEX(TableRBMaster[Player],MATCH(TableRBCalcPts[[#This Row],[RBRef]],TableRBMaster[RBRef],0)),"")</f>
        <v>Dalvin Cook</v>
      </c>
      <c r="K78" s="189" t="str">
        <f>IFERROR(INDEX(TableRBMaster[TM],MATCH(TableRBCalcPts[[#This Row],[RBRef]],TableRBMaster[RBRef],0)),"")</f>
        <v>MIN</v>
      </c>
      <c r="L78" s="189">
        <f>IFERROR(INDEX(TableRBMaster[BYE],MATCH(TableRBCalcPts[[#This Row],[RBRef]],TableRBMaster[RBRef],0)),"")</f>
        <v>7</v>
      </c>
      <c r="M78" s="191">
        <f>IFERROR(INDEX(TableRBMaster[Custom],MATCH(TableRBCalcPts[[#This Row],[RBRef]],TableRBMaster[RBRef],0)),"")</f>
        <v>216.66955355982242</v>
      </c>
      <c r="O78" s="189">
        <f>IFERROR(RANK(TableWRCalcPts[[#This Row],[Custom]],TableWRCalcPts[Custom])+COUNTIF($T$3:T78,T78)-1,"")</f>
        <v>175</v>
      </c>
      <c r="P78" s="189">
        <v>76</v>
      </c>
      <c r="Q78" s="189" t="str">
        <f>IFERROR(INDEX(TableWRMaster[Player],MATCH(TableWRCalcPts[[#This Row],[WRRef]],TableWRMaster[WRRef],0)),"")</f>
        <v>Chris Moore</v>
      </c>
      <c r="R78" s="189" t="str">
        <f>IFERROR(INDEX(TableWRMaster[TM],MATCH(TableWRCalcPts[[#This Row],[WRRef]],TableWRMaster[WRRef],0)),"")</f>
        <v>HOU</v>
      </c>
      <c r="S78" s="189">
        <f>IFERROR(INDEX(TableWRMaster[BYE],MATCH(TableWRCalcPts[[#This Row],[WRRef]],TableWRMaster[WRRef],0)),"")</f>
        <v>6</v>
      </c>
      <c r="T78" s="191">
        <f>IFERROR(INDEX(TableWRMaster[Custom],MATCH(TableWRCalcPts[[#This Row],[WRRef]],TableWRMaster[WRRef],0)),"")</f>
        <v>8.5909616939617983</v>
      </c>
      <c r="V78" s="189">
        <f>IFERROR(RANK(TableTECalcPts[[#This Row],[Custom]],TableTECalcPts[Custom])+COUNTIF($AA$3:AA78,AA78)-1,"")</f>
        <v>14</v>
      </c>
      <c r="W78" s="189">
        <v>76</v>
      </c>
      <c r="X78" s="189" t="str">
        <f>IFERROR(INDEX(TableTEMaster[Player],MATCH(TableTECalcPts[[#This Row],[TERef]],TableTEMaster[TERef],0)),"")</f>
        <v>Pat Freiermuth</v>
      </c>
      <c r="Y78" s="189" t="str">
        <f>IFERROR(INDEX(TableTEMaster[TM],MATCH(TableTECalcPts[[#This Row],[TERef]],TableTEMaster[TERef],0)),"")</f>
        <v>PIT</v>
      </c>
      <c r="Z78" s="189">
        <f>IFERROR(INDEX(TableTEMaster[BYE],MATCH(TableTECalcPts[[#This Row],[TERef]],TableTEMaster[TERef],0)),"")</f>
        <v>9</v>
      </c>
      <c r="AA78" s="191">
        <f>IFERROR(INDEX(TableTEMaster[Custom],MATCH(TableTECalcPts[[#This Row],[TERef]],TableTEMaster[TERef],0)),"")</f>
        <v>95.849834967367968</v>
      </c>
      <c r="AI78" s="221" t="s">
        <v>10</v>
      </c>
      <c r="AJ78" s="189">
        <f>IFERROR(RANK(TableWRTECalcPts[[#This Row],[Custom]],TableWRTECalcPts[Custom])+COUNTIF($AP$3:AP78,AP78)-1,"")</f>
        <v>77</v>
      </c>
      <c r="AK78" s="189">
        <v>76</v>
      </c>
      <c r="AL78" s="189" t="str">
        <f>IFERROR(INDEX(TableTEMaster[Player],MATCH(TableWRTECalcPts[[#This Row],[POSRef]],TableTEMaster[TERef],0)),"")</f>
        <v>Pat Freiermuth</v>
      </c>
      <c r="AM78" s="189" t="str">
        <f>IFERROR(_xlfn.CONCAT(TableWRTECalcPts[[#This Row],[POS]],INDEX(TableTERanks[RK],MATCH(TableWRTECalcPts[[#This Row],[PLAYER]],TableTERanks[Player],0))),"")</f>
        <v>TE14</v>
      </c>
      <c r="AN78" s="189" t="str">
        <f>IFERROR(INDEX(TableTEMaster[TM],MATCH(TableWRTECalcPts[[#This Row],[POSRef]],TableTEMaster[TERef],0)),"")</f>
        <v>PIT</v>
      </c>
      <c r="AO78" s="189">
        <f>IFERROR(INDEX(TableTEMaster[BYE],MATCH(TableWRTECalcPts[[#This Row],[POSRef]],TableTEMaster[TERef],0)),"")</f>
        <v>9</v>
      </c>
      <c r="AP78" s="191">
        <f>IFERROR(INDEX(TableTEMaster[Custom],MATCH(TableWRTECalcPts[[#This Row],[POSRef]],TableTEMaster[TERef],0)),"")</f>
        <v>95.849834967367968</v>
      </c>
    </row>
    <row r="79" spans="1:42" x14ac:dyDescent="0.3">
      <c r="A79" s="198" t="str">
        <f>IFERROR(RANK(TableQBCalcPts[[#This Row],[Custom]],TableQBCalcPts[Custom])+COUNTIF($F$3:F79,F79)-1,"")</f>
        <v/>
      </c>
      <c r="B79" s="189">
        <v>77</v>
      </c>
      <c r="C79" s="189" t="str">
        <f>IFERROR(INDEX(TableQBMaster[Player],MATCH(TableQBCalcPts[[#This Row],[QBRef]],TableQBMaster[QBRef],0)),"")</f>
        <v/>
      </c>
      <c r="D79" s="189" t="str">
        <f>IFERROR(INDEX(TableQBMaster[TM],MATCH(TableQBCalcPts[[#This Row],[QBRef]],TableQBMaster[QBRef],0)),"")</f>
        <v/>
      </c>
      <c r="E79" s="189" t="str">
        <f>IFERROR(INDEX(TableQBMaster[BYE],MATCH(TableQBCalcPts[[#This Row],[QBRef]],TableQBMaster[QBRef],0)),"")</f>
        <v/>
      </c>
      <c r="F79" s="191" t="str">
        <f>IFERROR(INDEX(TableQBMaster[Custom],MATCH(TableQBCalcPts[[#This Row],[QBRef]],TableQBMaster[QBRef],0)),"")</f>
        <v/>
      </c>
      <c r="H79" s="189">
        <f>IFERROR(RANK(TableRBCalcPts[[#This Row],[Custom]],TableRBCalcPts[Custom])+COUNTIF($M$3:M79,M79)-1,"")</f>
        <v>43</v>
      </c>
      <c r="I79" s="189">
        <v>77</v>
      </c>
      <c r="J79" s="189" t="str">
        <f>IFERROR(INDEX(TableRBMaster[Player],MATCH(TableRBCalcPts[[#This Row],[RBRef]],TableRBMaster[RBRef],0)),"")</f>
        <v>Alexander Mattison</v>
      </c>
      <c r="K79" s="189" t="str">
        <f>IFERROR(INDEX(TableRBMaster[TM],MATCH(TableRBCalcPts[[#This Row],[RBRef]],TableRBMaster[RBRef],0)),"")</f>
        <v>MIN</v>
      </c>
      <c r="L79" s="189">
        <f>IFERROR(INDEX(TableRBMaster[BYE],MATCH(TableRBCalcPts[[#This Row],[RBRef]],TableRBMaster[RBRef],0)),"")</f>
        <v>7</v>
      </c>
      <c r="M79" s="191">
        <f>IFERROR(INDEX(TableRBMaster[Custom],MATCH(TableRBCalcPts[[#This Row],[RBRef]],TableRBMaster[RBRef],0)),"")</f>
        <v>99.906737828742521</v>
      </c>
      <c r="O79" s="189">
        <f>IFERROR(RANK(TableWRCalcPts[[#This Row],[Custom]],TableWRCalcPts[Custom])+COUNTIF($T$3:T79,T79)-1,"")</f>
        <v>94</v>
      </c>
      <c r="P79" s="189">
        <v>77</v>
      </c>
      <c r="Q79" s="189" t="str">
        <f>IFERROR(INDEX(TableWRMaster[Player],MATCH(TableWRCalcPts[[#This Row],[WRRef]],TableWRMaster[WRRef],0)),"")</f>
        <v>Parris Campbell</v>
      </c>
      <c r="R79" s="189" t="str">
        <f>IFERROR(INDEX(TableWRMaster[TM],MATCH(TableWRCalcPts[[#This Row],[WRRef]],TableWRMaster[WRRef],0)),"")</f>
        <v>IND</v>
      </c>
      <c r="S79" s="189">
        <f>IFERROR(INDEX(TableWRMaster[BYE],MATCH(TableWRCalcPts[[#This Row],[WRRef]],TableWRMaster[WRRef],0)),"")</f>
        <v>14</v>
      </c>
      <c r="T79" s="191">
        <f>IFERROR(INDEX(TableWRMaster[Custom],MATCH(TableWRCalcPts[[#This Row],[WRRef]],TableWRMaster[WRRef],0)),"")</f>
        <v>53.350300430483863</v>
      </c>
      <c r="V79" s="189">
        <f>IFERROR(RANK(TableTECalcPts[[#This Row],[Custom]],TableTECalcPts[Custom])+COUNTIF($AA$3:AA79,AA79)-1,"")</f>
        <v>70</v>
      </c>
      <c r="W79" s="189">
        <v>77</v>
      </c>
      <c r="X79" s="189" t="str">
        <f>IFERROR(INDEX(TableTEMaster[Player],MATCH(TableTECalcPts[[#This Row],[TERef]],TableTEMaster[TERef],0)),"")</f>
        <v>Zach Gentry</v>
      </c>
      <c r="Y79" s="189" t="str">
        <f>IFERROR(INDEX(TableTEMaster[TM],MATCH(TableTECalcPts[[#This Row],[TERef]],TableTEMaster[TERef],0)),"")</f>
        <v>PIT</v>
      </c>
      <c r="Z79" s="189">
        <f>IFERROR(INDEX(TableTEMaster[BYE],MATCH(TableTECalcPts[[#This Row],[TERef]],TableTEMaster[TERef],0)),"")</f>
        <v>9</v>
      </c>
      <c r="AA79" s="191">
        <f>IFERROR(INDEX(TableTEMaster[Custom],MATCH(TableTECalcPts[[#This Row],[TERef]],TableTEMaster[TERef],0)),"")</f>
        <v>10.814157745203755</v>
      </c>
      <c r="AI79" s="221" t="s">
        <v>10</v>
      </c>
      <c r="AJ79" s="189">
        <f>IFERROR(RANK(TableWRTECalcPts[[#This Row],[Custom]],TableWRTECalcPts[Custom])+COUNTIF($AP$3:AP79,AP79)-1,"")</f>
        <v>235</v>
      </c>
      <c r="AK79" s="189">
        <v>77</v>
      </c>
      <c r="AL79" s="189" t="str">
        <f>IFERROR(INDEX(TableTEMaster[Player],MATCH(TableWRTECalcPts[[#This Row],[POSRef]],TableTEMaster[TERef],0)),"")</f>
        <v>Zach Gentry</v>
      </c>
      <c r="AM79" s="189" t="str">
        <f>IFERROR(_xlfn.CONCAT(TableWRTECalcPts[[#This Row],[POS]],INDEX(TableTERanks[RK],MATCH(TableWRTECalcPts[[#This Row],[PLAYER]],TableTERanks[Player],0))),"")</f>
        <v>TE70</v>
      </c>
      <c r="AN79" s="189" t="str">
        <f>IFERROR(INDEX(TableTEMaster[TM],MATCH(TableWRTECalcPts[[#This Row],[POSRef]],TableTEMaster[TERef],0)),"")</f>
        <v>PIT</v>
      </c>
      <c r="AO79" s="189">
        <f>IFERROR(INDEX(TableTEMaster[BYE],MATCH(TableWRTECalcPts[[#This Row],[POSRef]],TableTEMaster[TERef],0)),"")</f>
        <v>9</v>
      </c>
      <c r="AP79" s="191">
        <f>IFERROR(INDEX(TableTEMaster[Custom],MATCH(TableWRTECalcPts[[#This Row],[POSRef]],TableTEMaster[TERef],0)),"")</f>
        <v>10.814157745203755</v>
      </c>
    </row>
    <row r="80" spans="1:42" x14ac:dyDescent="0.3">
      <c r="A80" s="198" t="str">
        <f>IFERROR(RANK(TableQBCalcPts[[#This Row],[Custom]],TableQBCalcPts[Custom])+COUNTIF($F$3:F80,F80)-1,"")</f>
        <v/>
      </c>
      <c r="B80" s="189">
        <v>78</v>
      </c>
      <c r="C80" s="189" t="str">
        <f>IFERROR(INDEX(TableQBMaster[Player],MATCH(TableQBCalcPts[[#This Row],[QBRef]],TableQBMaster[QBRef],0)),"")</f>
        <v/>
      </c>
      <c r="D80" s="189" t="str">
        <f>IFERROR(INDEX(TableQBMaster[TM],MATCH(TableQBCalcPts[[#This Row],[QBRef]],TableQBMaster[QBRef],0)),"")</f>
        <v/>
      </c>
      <c r="E80" s="189" t="str">
        <f>IFERROR(INDEX(TableQBMaster[BYE],MATCH(TableQBCalcPts[[#This Row],[QBRef]],TableQBMaster[QBRef],0)),"")</f>
        <v/>
      </c>
      <c r="F80" s="191" t="str">
        <f>IFERROR(INDEX(TableQBMaster[Custom],MATCH(TableQBCalcPts[[#This Row],[QBRef]],TableQBMaster[QBRef],0)),"")</f>
        <v/>
      </c>
      <c r="H80" s="189">
        <f>IFERROR(RANK(TableRBCalcPts[[#This Row],[Custom]],TableRBCalcPts[Custom])+COUNTIF($M$3:M80,M80)-1,"")</f>
        <v>113</v>
      </c>
      <c r="I80" s="189">
        <v>78</v>
      </c>
      <c r="J80" s="189" t="str">
        <f>IFERROR(INDEX(TableRBMaster[Player],MATCH(TableRBCalcPts[[#This Row],[RBRef]],TableRBMaster[RBRef],0)),"")</f>
        <v>Kene Nwangwu</v>
      </c>
      <c r="K80" s="189" t="str">
        <f>IFERROR(INDEX(TableRBMaster[TM],MATCH(TableRBCalcPts[[#This Row],[RBRef]],TableRBMaster[RBRef],0)),"")</f>
        <v>MIN</v>
      </c>
      <c r="L80" s="189">
        <f>IFERROR(INDEX(TableRBMaster[BYE],MATCH(TableRBCalcPts[[#This Row],[RBRef]],TableRBMaster[RBRef],0)),"")</f>
        <v>7</v>
      </c>
      <c r="M80" s="191">
        <f>IFERROR(INDEX(TableRBMaster[Custom],MATCH(TableRBCalcPts[[#This Row],[RBRef]],TableRBMaster[RBRef],0)),"")</f>
        <v>9.9852489395806376</v>
      </c>
      <c r="O80" s="189">
        <f>IFERROR(RANK(TableWRCalcPts[[#This Row],[Custom]],TableWRCalcPts[Custom])+COUNTIF($T$3:T80,T80)-1,"")</f>
        <v>13</v>
      </c>
      <c r="P80" s="189">
        <v>78</v>
      </c>
      <c r="Q80" s="189" t="str">
        <f>IFERROR(INDEX(TableWRMaster[Player],MATCH(TableWRCalcPts[[#This Row],[WRRef]],TableWRMaster[WRRef],0)),"")</f>
        <v>Michael Pittman</v>
      </c>
      <c r="R80" s="189" t="str">
        <f>IFERROR(INDEX(TableWRMaster[TM],MATCH(TableWRCalcPts[[#This Row],[WRRef]],TableWRMaster[WRRef],0)),"")</f>
        <v>IND</v>
      </c>
      <c r="S80" s="189">
        <f>IFERROR(INDEX(TableWRMaster[BYE],MATCH(TableWRCalcPts[[#This Row],[WRRef]],TableWRMaster[WRRef],0)),"")</f>
        <v>14</v>
      </c>
      <c r="T80" s="191">
        <f>IFERROR(INDEX(TableWRMaster[Custom],MATCH(TableWRCalcPts[[#This Row],[WRRef]],TableWRMaster[WRRef],0)),"")</f>
        <v>157.32741468517131</v>
      </c>
      <c r="V80" s="189">
        <f>IFERROR(RANK(TableTECalcPts[[#This Row],[Custom]],TableTECalcPts[Custom])+COUNTIF($AA$3:AA80,AA80)-1,"")</f>
        <v>21</v>
      </c>
      <c r="W80" s="189">
        <v>78</v>
      </c>
      <c r="X80" s="189" t="str">
        <f>IFERROR(INDEX(TableTEMaster[Player],MATCH(TableTECalcPts[[#This Row],[TERef]],TableTEMaster[TERef],0)),"")</f>
        <v>Noah Fant</v>
      </c>
      <c r="Y80" s="189" t="str">
        <f>IFERROR(INDEX(TableTEMaster[TM],MATCH(TableTECalcPts[[#This Row],[TERef]],TableTEMaster[TERef],0)),"")</f>
        <v>SEA</v>
      </c>
      <c r="Z80" s="189">
        <f>IFERROR(INDEX(TableTEMaster[BYE],MATCH(TableTECalcPts[[#This Row],[TERef]],TableTEMaster[TERef],0)),"")</f>
        <v>11</v>
      </c>
      <c r="AA80" s="191">
        <f>IFERROR(INDEX(TableTEMaster[Custom],MATCH(TableTECalcPts[[#This Row],[TERef]],TableTEMaster[TERef],0)),"")</f>
        <v>84.555063158015798</v>
      </c>
      <c r="AI80" s="221" t="s">
        <v>10</v>
      </c>
      <c r="AJ80" s="189">
        <f>IFERROR(RANK(TableWRTECalcPts[[#This Row],[Custom]],TableWRTECalcPts[Custom])+COUNTIF($AP$3:AP80,AP80)-1,"")</f>
        <v>94</v>
      </c>
      <c r="AK80" s="189">
        <v>78</v>
      </c>
      <c r="AL80" s="189" t="str">
        <f>IFERROR(INDEX(TableTEMaster[Player],MATCH(TableWRTECalcPts[[#This Row],[POSRef]],TableTEMaster[TERef],0)),"")</f>
        <v>Noah Fant</v>
      </c>
      <c r="AM80" s="189" t="str">
        <f>IFERROR(_xlfn.CONCAT(TableWRTECalcPts[[#This Row],[POS]],INDEX(TableTERanks[RK],MATCH(TableWRTECalcPts[[#This Row],[PLAYER]],TableTERanks[Player],0))),"")</f>
        <v>TE21</v>
      </c>
      <c r="AN80" s="189" t="str">
        <f>IFERROR(INDEX(TableTEMaster[TM],MATCH(TableWRTECalcPts[[#This Row],[POSRef]],TableTEMaster[TERef],0)),"")</f>
        <v>SEA</v>
      </c>
      <c r="AO80" s="189">
        <f>IFERROR(INDEX(TableTEMaster[BYE],MATCH(TableWRTECalcPts[[#This Row],[POSRef]],TableTEMaster[TERef],0)),"")</f>
        <v>11</v>
      </c>
      <c r="AP80" s="191">
        <f>IFERROR(INDEX(TableTEMaster[Custom],MATCH(TableWRTECalcPts[[#This Row],[POSRef]],TableTEMaster[TERef],0)),"")</f>
        <v>84.555063158015798</v>
      </c>
    </row>
    <row r="81" spans="1:42" x14ac:dyDescent="0.3">
      <c r="A81" s="198" t="str">
        <f>IFERROR(RANK(TableQBCalcPts[[#This Row],[Custom]],TableQBCalcPts[Custom])+COUNTIF($F$3:F81,F81)-1,"")</f>
        <v/>
      </c>
      <c r="B81" s="189">
        <v>79</v>
      </c>
      <c r="C81" s="189" t="str">
        <f>IFERROR(INDEX(TableQBMaster[Player],MATCH(TableQBCalcPts[[#This Row],[QBRef]],TableQBMaster[QBRef],0)),"")</f>
        <v/>
      </c>
      <c r="D81" s="189" t="str">
        <f>IFERROR(INDEX(TableQBMaster[TM],MATCH(TableQBCalcPts[[#This Row],[QBRef]],TableQBMaster[QBRef],0)),"")</f>
        <v/>
      </c>
      <c r="E81" s="189" t="str">
        <f>IFERROR(INDEX(TableQBMaster[BYE],MATCH(TableQBCalcPts[[#This Row],[QBRef]],TableQBMaster[QBRef],0)),"")</f>
        <v/>
      </c>
      <c r="F81" s="191" t="str">
        <f>IFERROR(INDEX(TableQBMaster[Custom],MATCH(TableQBCalcPts[[#This Row],[QBRef]],TableQBMaster[QBRef],0)),"")</f>
        <v/>
      </c>
      <c r="H81" s="189">
        <f>IFERROR(RANK(TableRBCalcPts[[#This Row],[Custom]],TableRBCalcPts[Custom])+COUNTIF($M$3:M81,M81)-1,"")</f>
        <v>104</v>
      </c>
      <c r="I81" s="189">
        <v>79</v>
      </c>
      <c r="J81" s="189" t="str">
        <f>IFERROR(INDEX(TableRBMaster[Player],MATCH(TableRBCalcPts[[#This Row],[RBRef]],TableRBMaster[RBRef],0)),"")</f>
        <v>Ty Chandler</v>
      </c>
      <c r="K81" s="189" t="str">
        <f>IFERROR(INDEX(TableRBMaster[TM],MATCH(TableRBCalcPts[[#This Row],[RBRef]],TableRBMaster[RBRef],0)),"")</f>
        <v>MIN</v>
      </c>
      <c r="L81" s="189">
        <f>IFERROR(INDEX(TableRBMaster[BYE],MATCH(TableRBCalcPts[[#This Row],[RBRef]],TableRBMaster[RBRef],0)),"")</f>
        <v>7</v>
      </c>
      <c r="M81" s="191">
        <f>IFERROR(INDEX(TableRBMaster[Custom],MATCH(TableRBCalcPts[[#This Row],[RBRef]],TableRBMaster[RBRef],0)),"")</f>
        <v>13.120960600361327</v>
      </c>
      <c r="O81" s="189">
        <f>IFERROR(RANK(TableWRCalcPts[[#This Row],[Custom]],TableWRCalcPts[Custom])+COUNTIF($T$3:T81,T81)-1,"")</f>
        <v>57</v>
      </c>
      <c r="P81" s="189">
        <v>79</v>
      </c>
      <c r="Q81" s="189" t="str">
        <f>IFERROR(INDEX(TableWRMaster[Player],MATCH(TableWRCalcPts[[#This Row],[WRRef]],TableWRMaster[WRRef],0)),"")</f>
        <v>Alec Pierce</v>
      </c>
      <c r="R81" s="189" t="str">
        <f>IFERROR(INDEX(TableWRMaster[TM],MATCH(TableWRCalcPts[[#This Row],[WRRef]],TableWRMaster[WRRef],0)),"")</f>
        <v>IND</v>
      </c>
      <c r="S81" s="189">
        <f>IFERROR(INDEX(TableWRMaster[BYE],MATCH(TableWRCalcPts[[#This Row],[WRRef]],TableWRMaster[WRRef],0)),"")</f>
        <v>14</v>
      </c>
      <c r="T81" s="191">
        <f>IFERROR(INDEX(TableWRMaster[Custom],MATCH(TableWRCalcPts[[#This Row],[WRRef]],TableWRMaster[WRRef],0)),"")</f>
        <v>101.41919743167956</v>
      </c>
      <c r="V81" s="189">
        <f>IFERROR(RANK(TableTECalcPts[[#This Row],[Custom]],TableTECalcPts[Custom])+COUNTIF($AA$3:AA81,AA81)-1,"")</f>
        <v>48</v>
      </c>
      <c r="W81" s="189">
        <v>79</v>
      </c>
      <c r="X81" s="189" t="str">
        <f>IFERROR(INDEX(TableTEMaster[Player],MATCH(TableTECalcPts[[#This Row],[TERef]],TableTEMaster[TERef],0)),"")</f>
        <v>Will Dissly</v>
      </c>
      <c r="Y81" s="189" t="str">
        <f>IFERROR(INDEX(TableTEMaster[TM],MATCH(TableTECalcPts[[#This Row],[TERef]],TableTEMaster[TERef],0)),"")</f>
        <v>SEA</v>
      </c>
      <c r="Z81" s="189">
        <f>IFERROR(INDEX(TableTEMaster[BYE],MATCH(TableTECalcPts[[#This Row],[TERef]],TableTEMaster[TERef],0)),"")</f>
        <v>11</v>
      </c>
      <c r="AA81" s="191">
        <f>IFERROR(INDEX(TableTEMaster[Custom],MATCH(TableTECalcPts[[#This Row],[TERef]],TableTEMaster[TERef],0)),"")</f>
        <v>24.755236021338916</v>
      </c>
      <c r="AI81" s="221" t="s">
        <v>10</v>
      </c>
      <c r="AJ81" s="189">
        <f>IFERROR(RANK(TableWRTECalcPts[[#This Row],[Custom]],TableWRTECalcPts[Custom])+COUNTIF($AP$3:AP81,AP81)-1,"")</f>
        <v>167</v>
      </c>
      <c r="AK81" s="189">
        <v>79</v>
      </c>
      <c r="AL81" s="189" t="str">
        <f>IFERROR(INDEX(TableTEMaster[Player],MATCH(TableWRTECalcPts[[#This Row],[POSRef]],TableTEMaster[TERef],0)),"")</f>
        <v>Will Dissly</v>
      </c>
      <c r="AM81" s="189" t="str">
        <f>IFERROR(_xlfn.CONCAT(TableWRTECalcPts[[#This Row],[POS]],INDEX(TableTERanks[RK],MATCH(TableWRTECalcPts[[#This Row],[PLAYER]],TableTERanks[Player],0))),"")</f>
        <v>TE48</v>
      </c>
      <c r="AN81" s="189" t="str">
        <f>IFERROR(INDEX(TableTEMaster[TM],MATCH(TableWRTECalcPts[[#This Row],[POSRef]],TableTEMaster[TERef],0)),"")</f>
        <v>SEA</v>
      </c>
      <c r="AO81" s="189">
        <f>IFERROR(INDEX(TableTEMaster[BYE],MATCH(TableWRTECalcPts[[#This Row],[POSRef]],TableTEMaster[TERef],0)),"")</f>
        <v>11</v>
      </c>
      <c r="AP81" s="191">
        <f>IFERROR(INDEX(TableTEMaster[Custom],MATCH(TableWRTECalcPts[[#This Row],[POSRef]],TableTEMaster[TERef],0)),"")</f>
        <v>24.755236021338916</v>
      </c>
    </row>
    <row r="82" spans="1:42" x14ac:dyDescent="0.3">
      <c r="A82" s="198" t="str">
        <f>IFERROR(RANK(TableQBCalcPts[[#This Row],[Custom]],TableQBCalcPts[Custom])+COUNTIF($F$3:F82,F82)-1,"")</f>
        <v/>
      </c>
      <c r="B82" s="189">
        <v>80</v>
      </c>
      <c r="C82" s="189" t="str">
        <f>IFERROR(INDEX(TableQBMaster[Player],MATCH(TableQBCalcPts[[#This Row],[QBRef]],TableQBMaster[QBRef],0)),"")</f>
        <v/>
      </c>
      <c r="D82" s="189" t="str">
        <f>IFERROR(INDEX(TableQBMaster[TM],MATCH(TableQBCalcPts[[#This Row],[QBRef]],TableQBMaster[QBRef],0)),"")</f>
        <v/>
      </c>
      <c r="E82" s="189" t="str">
        <f>IFERROR(INDEX(TableQBMaster[BYE],MATCH(TableQBCalcPts[[#This Row],[QBRef]],TableQBMaster[QBRef],0)),"")</f>
        <v/>
      </c>
      <c r="F82" s="191" t="str">
        <f>IFERROR(INDEX(TableQBMaster[Custom],MATCH(TableQBCalcPts[[#This Row],[QBRef]],TableQBMaster[QBRef],0)),"")</f>
        <v/>
      </c>
      <c r="H82" s="189">
        <f>IFERROR(RANK(TableRBCalcPts[[#This Row],[Custom]],TableRBCalcPts[Custom])+COUNTIF($M$3:M82,M82)-1,"")</f>
        <v>21</v>
      </c>
      <c r="I82" s="189">
        <v>80</v>
      </c>
      <c r="J82" s="189" t="str">
        <f>IFERROR(INDEX(TableRBMaster[Player],MATCH(TableRBCalcPts[[#This Row],[RBRef]],TableRBMaster[RBRef],0)),"")</f>
        <v>Damien Harris</v>
      </c>
      <c r="K82" s="189" t="str">
        <f>IFERROR(INDEX(TableRBMaster[TM],MATCH(TableRBCalcPts[[#This Row],[RBRef]],TableRBMaster[RBRef],0)),"")</f>
        <v>NE</v>
      </c>
      <c r="L82" s="189">
        <f>IFERROR(INDEX(TableRBMaster[BYE],MATCH(TableRBCalcPts[[#This Row],[RBRef]],TableRBMaster[RBRef],0)),"")</f>
        <v>10</v>
      </c>
      <c r="M82" s="191">
        <f>IFERROR(INDEX(TableRBMaster[Custom],MATCH(TableRBCalcPts[[#This Row],[RBRef]],TableRBMaster[RBRef],0)),"")</f>
        <v>172.68702648572901</v>
      </c>
      <c r="O82" s="189">
        <f>IFERROR(RANK(TableWRCalcPts[[#This Row],[Custom]],TableWRCalcPts[Custom])+COUNTIF($T$3:T82,T82)-1,"")</f>
        <v>120</v>
      </c>
      <c r="P82" s="189">
        <v>80</v>
      </c>
      <c r="Q82" s="189" t="str">
        <f>IFERROR(INDEX(TableWRMaster[Player],MATCH(TableWRCalcPts[[#This Row],[WRRef]],TableWRMaster[WRRef],0)),"")</f>
        <v>Ashton Dulin</v>
      </c>
      <c r="R82" s="189" t="str">
        <f>IFERROR(INDEX(TableWRMaster[TM],MATCH(TableWRCalcPts[[#This Row],[WRRef]],TableWRMaster[WRRef],0)),"")</f>
        <v>IND</v>
      </c>
      <c r="S82" s="189">
        <f>IFERROR(INDEX(TableWRMaster[BYE],MATCH(TableWRCalcPts[[#This Row],[WRRef]],TableWRMaster[WRRef],0)),"")</f>
        <v>14</v>
      </c>
      <c r="T82" s="191">
        <f>IFERROR(INDEX(TableWRMaster[Custom],MATCH(TableWRCalcPts[[#This Row],[WRRef]],TableWRMaster[WRRef],0)),"")</f>
        <v>24.755205531254589</v>
      </c>
      <c r="V82" s="189">
        <f>IFERROR(RANK(TableTECalcPts[[#This Row],[Custom]],TableTECalcPts[Custom])+COUNTIF($AA$3:AA82,AA82)-1,"")</f>
        <v>86</v>
      </c>
      <c r="W82" s="189">
        <v>80</v>
      </c>
      <c r="X82" s="189" t="str">
        <f>IFERROR(INDEX(TableTEMaster[Player],MATCH(TableTECalcPts[[#This Row],[TERef]],TableTEMaster[TERef],0)),"")</f>
        <v>Colby Parkinson</v>
      </c>
      <c r="Y82" s="189" t="str">
        <f>IFERROR(INDEX(TableTEMaster[TM],MATCH(TableTECalcPts[[#This Row],[TERef]],TableTEMaster[TERef],0)),"")</f>
        <v>SEA</v>
      </c>
      <c r="Z82" s="189">
        <f>IFERROR(INDEX(TableTEMaster[BYE],MATCH(TableTECalcPts[[#This Row],[TERef]],TableTEMaster[TERef],0)),"")</f>
        <v>11</v>
      </c>
      <c r="AA82" s="191">
        <f>IFERROR(INDEX(TableTEMaster[Custom],MATCH(TableTECalcPts[[#This Row],[TERef]],TableTEMaster[TERef],0)),"")</f>
        <v>5.7870698924154205</v>
      </c>
      <c r="AI82" s="221" t="s">
        <v>10</v>
      </c>
      <c r="AJ82" s="189">
        <f>IFERROR(RANK(TableWRTECalcPts[[#This Row],[Custom]],TableWRTECalcPts[Custom])+COUNTIF($AP$3:AP82,AP82)-1,"")</f>
        <v>268</v>
      </c>
      <c r="AK82" s="189">
        <v>80</v>
      </c>
      <c r="AL82" s="189" t="str">
        <f>IFERROR(INDEX(TableTEMaster[Player],MATCH(TableWRTECalcPts[[#This Row],[POSRef]],TableTEMaster[TERef],0)),"")</f>
        <v>Colby Parkinson</v>
      </c>
      <c r="AM82" s="189" t="str">
        <f>IFERROR(_xlfn.CONCAT(TableWRTECalcPts[[#This Row],[POS]],INDEX(TableTERanks[RK],MATCH(TableWRTECalcPts[[#This Row],[PLAYER]],TableTERanks[Player],0))),"")</f>
        <v>TE86</v>
      </c>
      <c r="AN82" s="189" t="str">
        <f>IFERROR(INDEX(TableTEMaster[TM],MATCH(TableWRTECalcPts[[#This Row],[POSRef]],TableTEMaster[TERef],0)),"")</f>
        <v>SEA</v>
      </c>
      <c r="AO82" s="189">
        <f>IFERROR(INDEX(TableTEMaster[BYE],MATCH(TableWRTECalcPts[[#This Row],[POSRef]],TableTEMaster[TERef],0)),"")</f>
        <v>11</v>
      </c>
      <c r="AP82" s="191">
        <f>IFERROR(INDEX(TableTEMaster[Custom],MATCH(TableWRTECalcPts[[#This Row],[POSRef]],TableTEMaster[TERef],0)),"")</f>
        <v>5.7870698924154205</v>
      </c>
    </row>
    <row r="83" spans="1:42" x14ac:dyDescent="0.3">
      <c r="A83" s="198" t="str">
        <f>IFERROR(RANK(TableQBCalcPts[[#This Row],[Custom]],TableQBCalcPts[Custom])+COUNTIF($F$3:F83,F83)-1,"")</f>
        <v/>
      </c>
      <c r="B83" s="189">
        <v>81</v>
      </c>
      <c r="C83" s="189" t="str">
        <f>IFERROR(INDEX(TableQBMaster[Player],MATCH(TableQBCalcPts[[#This Row],[QBRef]],TableQBMaster[QBRef],0)),"")</f>
        <v/>
      </c>
      <c r="D83" s="189" t="str">
        <f>IFERROR(INDEX(TableQBMaster[TM],MATCH(TableQBCalcPts[[#This Row],[QBRef]],TableQBMaster[QBRef],0)),"")</f>
        <v/>
      </c>
      <c r="E83" s="189" t="str">
        <f>IFERROR(INDEX(TableQBMaster[BYE],MATCH(TableQBCalcPts[[#This Row],[QBRef]],TableQBMaster[QBRef],0)),"")</f>
        <v/>
      </c>
      <c r="F83" s="191" t="str">
        <f>IFERROR(INDEX(TableQBMaster[Custom],MATCH(TableQBCalcPts[[#This Row],[QBRef]],TableQBMaster[QBRef],0)),"")</f>
        <v/>
      </c>
      <c r="H83" s="189">
        <f>IFERROR(RANK(TableRBCalcPts[[#This Row],[Custom]],TableRBCalcPts[Custom])+COUNTIF($M$3:M83,M83)-1,"")</f>
        <v>38</v>
      </c>
      <c r="I83" s="189">
        <v>81</v>
      </c>
      <c r="J83" s="189" t="str">
        <f>IFERROR(INDEX(TableRBMaster[Player],MATCH(TableRBCalcPts[[#This Row],[RBRef]],TableRBMaster[RBRef],0)),"")</f>
        <v>Rhamondre Stevenson</v>
      </c>
      <c r="K83" s="189" t="str">
        <f>IFERROR(INDEX(TableRBMaster[TM],MATCH(TableRBCalcPts[[#This Row],[RBRef]],TableRBMaster[RBRef],0)),"")</f>
        <v>NE</v>
      </c>
      <c r="L83" s="189">
        <f>IFERROR(INDEX(TableRBMaster[BYE],MATCH(TableRBCalcPts[[#This Row],[RBRef]],TableRBMaster[RBRef],0)),"")</f>
        <v>10</v>
      </c>
      <c r="M83" s="191">
        <f>IFERROR(INDEX(TableRBMaster[Custom],MATCH(TableRBCalcPts[[#This Row],[RBRef]],TableRBMaster[RBRef],0)),"")</f>
        <v>114.52110630677849</v>
      </c>
      <c r="O83" s="189">
        <f>IFERROR(RANK(TableWRCalcPts[[#This Row],[Custom]],TableWRCalcPts[Custom])+COUNTIF($T$3:T83,T83)-1,"")</f>
        <v>171</v>
      </c>
      <c r="P83" s="189">
        <v>81</v>
      </c>
      <c r="Q83" s="189" t="str">
        <f>IFERROR(INDEX(TableWRMaster[Player],MATCH(TableWRCalcPts[[#This Row],[WRRef]],TableWRMaster[WRRef],0)),"")</f>
        <v>Mike Strachan</v>
      </c>
      <c r="R83" s="189" t="str">
        <f>IFERROR(INDEX(TableWRMaster[TM],MATCH(TableWRCalcPts[[#This Row],[WRRef]],TableWRMaster[WRRef],0)),"")</f>
        <v>IND</v>
      </c>
      <c r="S83" s="189">
        <f>IFERROR(INDEX(TableWRMaster[BYE],MATCH(TableWRCalcPts[[#This Row],[WRRef]],TableWRMaster[WRRef],0)),"")</f>
        <v>14</v>
      </c>
      <c r="T83" s="191">
        <f>IFERROR(INDEX(TableWRMaster[Custom],MATCH(TableWRCalcPts[[#This Row],[WRRef]],TableWRMaster[WRRef],0)),"")</f>
        <v>9.4845967772622615</v>
      </c>
      <c r="V83" s="189">
        <f>IFERROR(RANK(TableTECalcPts[[#This Row],[Custom]],TableTECalcPts[Custom])+COUNTIF($AA$3:AA83,AA83)-1,"")</f>
        <v>5</v>
      </c>
      <c r="W83" s="189">
        <v>81</v>
      </c>
      <c r="X83" s="189" t="str">
        <f>IFERROR(INDEX(TableTEMaster[Player],MATCH(TableTECalcPts[[#This Row],[TERef]],TableTEMaster[TERef],0)),"")</f>
        <v>George Kittle</v>
      </c>
      <c r="Y83" s="189" t="str">
        <f>IFERROR(INDEX(TableTEMaster[TM],MATCH(TableTECalcPts[[#This Row],[TERef]],TableTEMaster[TERef],0)),"")</f>
        <v>SF</v>
      </c>
      <c r="Z83" s="189">
        <f>IFERROR(INDEX(TableTEMaster[BYE],MATCH(TableTECalcPts[[#This Row],[TERef]],TableTEMaster[TERef],0)),"")</f>
        <v>9</v>
      </c>
      <c r="AA83" s="191">
        <f>IFERROR(INDEX(TableTEMaster[Custom],MATCH(TableTECalcPts[[#This Row],[TERef]],TableTEMaster[TERef],0)),"")</f>
        <v>126.30437701272027</v>
      </c>
      <c r="AI83" s="221" t="s">
        <v>10</v>
      </c>
      <c r="AJ83" s="189">
        <f>IFERROR(RANK(TableWRTECalcPts[[#This Row],[Custom]],TableWRTECalcPts[Custom])+COUNTIF($AP$3:AP83,AP83)-1,"")</f>
        <v>42</v>
      </c>
      <c r="AK83" s="189">
        <v>81</v>
      </c>
      <c r="AL83" s="189" t="str">
        <f>IFERROR(INDEX(TableTEMaster[Player],MATCH(TableWRTECalcPts[[#This Row],[POSRef]],TableTEMaster[TERef],0)),"")</f>
        <v>George Kittle</v>
      </c>
      <c r="AM83" s="189" t="str">
        <f>IFERROR(_xlfn.CONCAT(TableWRTECalcPts[[#This Row],[POS]],INDEX(TableTERanks[RK],MATCH(TableWRTECalcPts[[#This Row],[PLAYER]],TableTERanks[Player],0))),"")</f>
        <v>TE5</v>
      </c>
      <c r="AN83" s="189" t="str">
        <f>IFERROR(INDEX(TableTEMaster[TM],MATCH(TableWRTECalcPts[[#This Row],[POSRef]],TableTEMaster[TERef],0)),"")</f>
        <v>SF</v>
      </c>
      <c r="AO83" s="189">
        <f>IFERROR(INDEX(TableTEMaster[BYE],MATCH(TableWRTECalcPts[[#This Row],[POSRef]],TableTEMaster[TERef],0)),"")</f>
        <v>9</v>
      </c>
      <c r="AP83" s="191">
        <f>IFERROR(INDEX(TableTEMaster[Custom],MATCH(TableWRTECalcPts[[#This Row],[POSRef]],TableTEMaster[TERef],0)),"")</f>
        <v>126.30437701272027</v>
      </c>
    </row>
    <row r="84" spans="1:42" x14ac:dyDescent="0.3">
      <c r="A84" s="198" t="str">
        <f>IFERROR(RANK(TableQBCalcPts[[#This Row],[Custom]],TableQBCalcPts[Custom])+COUNTIF($F$3:F84,F84)-1,"")</f>
        <v/>
      </c>
      <c r="B84" s="189">
        <v>82</v>
      </c>
      <c r="C84" s="189" t="str">
        <f>IFERROR(INDEX(TableQBMaster[Player],MATCH(TableQBCalcPts[[#This Row],[QBRef]],TableQBMaster[QBRef],0)),"")</f>
        <v/>
      </c>
      <c r="D84" s="189" t="str">
        <f>IFERROR(INDEX(TableQBMaster[TM],MATCH(TableQBCalcPts[[#This Row],[QBRef]],TableQBMaster[QBRef],0)),"")</f>
        <v/>
      </c>
      <c r="E84" s="189" t="str">
        <f>IFERROR(INDEX(TableQBMaster[BYE],MATCH(TableQBCalcPts[[#This Row],[QBRef]],TableQBMaster[QBRef],0)),"")</f>
        <v/>
      </c>
      <c r="F84" s="191" t="str">
        <f>IFERROR(INDEX(TableQBMaster[Custom],MATCH(TableQBCalcPts[[#This Row],[QBRef]],TableQBMaster[QBRef],0)),"")</f>
        <v/>
      </c>
      <c r="H84" s="189">
        <f>IFERROR(RANK(TableRBCalcPts[[#This Row],[Custom]],TableRBCalcPts[Custom])+COUNTIF($M$3:M84,M84)-1,"")</f>
        <v>58</v>
      </c>
      <c r="I84" s="189">
        <v>82</v>
      </c>
      <c r="J84" s="189" t="str">
        <f>IFERROR(INDEX(TableRBMaster[Player],MATCH(TableRBCalcPts[[#This Row],[RBRef]],TableRBMaster[RBRef],0)),"")</f>
        <v>James White</v>
      </c>
      <c r="K84" s="189" t="str">
        <f>IFERROR(INDEX(TableRBMaster[TM],MATCH(TableRBCalcPts[[#This Row],[RBRef]],TableRBMaster[RBRef],0)),"")</f>
        <v>NE</v>
      </c>
      <c r="L84" s="189">
        <f>IFERROR(INDEX(TableRBMaster[BYE],MATCH(TableRBCalcPts[[#This Row],[RBRef]],TableRBMaster[RBRef],0)),"")</f>
        <v>10</v>
      </c>
      <c r="M84" s="191">
        <f>IFERROR(INDEX(TableRBMaster[Custom],MATCH(TableRBCalcPts[[#This Row],[RBRef]],TableRBMaster[RBRef],0)),"")</f>
        <v>77.080335669558565</v>
      </c>
      <c r="O84" s="189">
        <f>IFERROR(RANK(TableWRCalcPts[[#This Row],[Custom]],TableWRCalcPts[Custom])+COUNTIF($T$3:T84,T84)-1,"")</f>
        <v>178</v>
      </c>
      <c r="P84" s="189">
        <v>82</v>
      </c>
      <c r="Q84" s="189" t="str">
        <f>IFERROR(INDEX(TableWRMaster[Player],MATCH(TableWRCalcPts[[#This Row],[WRRef]],TableWRMaster[WRRef],0)),"")</f>
        <v>Dezmon Patmon</v>
      </c>
      <c r="R84" s="189" t="str">
        <f>IFERROR(INDEX(TableWRMaster[TM],MATCH(TableWRCalcPts[[#This Row],[WRRef]],TableWRMaster[WRRef],0)),"")</f>
        <v>IND</v>
      </c>
      <c r="S84" s="189">
        <f>IFERROR(INDEX(TableWRMaster[BYE],MATCH(TableWRCalcPts[[#This Row],[WRRef]],TableWRMaster[WRRef],0)),"")</f>
        <v>14</v>
      </c>
      <c r="T84" s="191">
        <f>IFERROR(INDEX(TableWRMaster[Custom],MATCH(TableWRCalcPts[[#This Row],[WRRef]],TableWRMaster[WRRef],0)),"")</f>
        <v>7.2893610559642825</v>
      </c>
      <c r="V84" s="189">
        <f>IFERROR(RANK(TableTECalcPts[[#This Row],[Custom]],TableTECalcPts[Custom])+COUNTIF($AA$3:AA84,AA84)-1,"")</f>
        <v>76</v>
      </c>
      <c r="W84" s="189">
        <v>82</v>
      </c>
      <c r="X84" s="189" t="str">
        <f>IFERROR(INDEX(TableTEMaster[Player],MATCH(TableTECalcPts[[#This Row],[TERef]],TableTEMaster[TERef],0)),"")</f>
        <v>Ross Dwelley</v>
      </c>
      <c r="Y84" s="189" t="str">
        <f>IFERROR(INDEX(TableTEMaster[TM],MATCH(TableTECalcPts[[#This Row],[TERef]],TableTEMaster[TERef],0)),"")</f>
        <v>SF</v>
      </c>
      <c r="Z84" s="189">
        <f>IFERROR(INDEX(TableTEMaster[BYE],MATCH(TableTECalcPts[[#This Row],[TERef]],TableTEMaster[TERef],0)),"")</f>
        <v>9</v>
      </c>
      <c r="AA84" s="191">
        <f>IFERROR(INDEX(TableTEMaster[Custom],MATCH(TableTECalcPts[[#This Row],[TERef]],TableTEMaster[TERef],0)),"")</f>
        <v>8.0552134352965439</v>
      </c>
      <c r="AI84" s="221" t="s">
        <v>10</v>
      </c>
      <c r="AJ84" s="189">
        <f>IFERROR(RANK(TableWRTECalcPts[[#This Row],[Custom]],TableWRTECalcPts[Custom])+COUNTIF($AP$3:AP84,AP84)-1,"")</f>
        <v>252</v>
      </c>
      <c r="AK84" s="189">
        <v>82</v>
      </c>
      <c r="AL84" s="189" t="str">
        <f>IFERROR(INDEX(TableTEMaster[Player],MATCH(TableWRTECalcPts[[#This Row],[POSRef]],TableTEMaster[TERef],0)),"")</f>
        <v>Ross Dwelley</v>
      </c>
      <c r="AM84" s="189" t="str">
        <f>IFERROR(_xlfn.CONCAT(TableWRTECalcPts[[#This Row],[POS]],INDEX(TableTERanks[RK],MATCH(TableWRTECalcPts[[#This Row],[PLAYER]],TableTERanks[Player],0))),"")</f>
        <v>TE76</v>
      </c>
      <c r="AN84" s="189" t="str">
        <f>IFERROR(INDEX(TableTEMaster[TM],MATCH(TableWRTECalcPts[[#This Row],[POSRef]],TableTEMaster[TERef],0)),"")</f>
        <v>SF</v>
      </c>
      <c r="AO84" s="189">
        <f>IFERROR(INDEX(TableTEMaster[BYE],MATCH(TableWRTECalcPts[[#This Row],[POSRef]],TableTEMaster[TERef],0)),"")</f>
        <v>9</v>
      </c>
      <c r="AP84" s="191">
        <f>IFERROR(INDEX(TableTEMaster[Custom],MATCH(TableWRTECalcPts[[#This Row],[POSRef]],TableTEMaster[TERef],0)),"")</f>
        <v>8.0552134352965439</v>
      </c>
    </row>
    <row r="85" spans="1:42" x14ac:dyDescent="0.3">
      <c r="A85" s="198" t="str">
        <f>IFERROR(RANK(TableQBCalcPts[[#This Row],[Custom]],TableQBCalcPts[Custom])+COUNTIF($F$3:F85,F85)-1,"")</f>
        <v/>
      </c>
      <c r="B85" s="189">
        <v>83</v>
      </c>
      <c r="C85" s="189" t="str">
        <f>IFERROR(INDEX(TableQBMaster[Player],MATCH(TableQBCalcPts[[#This Row],[QBRef]],TableQBMaster[QBRef],0)),"")</f>
        <v/>
      </c>
      <c r="D85" s="189" t="str">
        <f>IFERROR(INDEX(TableQBMaster[TM],MATCH(TableQBCalcPts[[#This Row],[QBRef]],TableQBMaster[QBRef],0)),"")</f>
        <v/>
      </c>
      <c r="E85" s="189" t="str">
        <f>IFERROR(INDEX(TableQBMaster[BYE],MATCH(TableQBCalcPts[[#This Row],[QBRef]],TableQBMaster[QBRef],0)),"")</f>
        <v/>
      </c>
      <c r="F85" s="191" t="str">
        <f>IFERROR(INDEX(TableQBMaster[Custom],MATCH(TableQBCalcPts[[#This Row],[QBRef]],TableQBMaster[QBRef],0)),"")</f>
        <v/>
      </c>
      <c r="H85" s="189">
        <f>IFERROR(RANK(TableRBCalcPts[[#This Row],[Custom]],TableRBCalcPts[Custom])+COUNTIF($M$3:M85,M85)-1,"")</f>
        <v>93</v>
      </c>
      <c r="I85" s="189">
        <v>83</v>
      </c>
      <c r="J85" s="189" t="str">
        <f>IFERROR(INDEX(TableRBMaster[Player],MATCH(TableRBCalcPts[[#This Row],[RBRef]],TableRBMaster[RBRef],0)),"")</f>
        <v>Pierre Strong</v>
      </c>
      <c r="K85" s="189" t="str">
        <f>IFERROR(INDEX(TableRBMaster[TM],MATCH(TableRBCalcPts[[#This Row],[RBRef]],TableRBMaster[RBRef],0)),"")</f>
        <v>NE</v>
      </c>
      <c r="L85" s="189">
        <f>IFERROR(INDEX(TableRBMaster[BYE],MATCH(TableRBCalcPts[[#This Row],[RBRef]],TableRBMaster[RBRef],0)),"")</f>
        <v>10</v>
      </c>
      <c r="M85" s="191">
        <f>IFERROR(INDEX(TableRBMaster[Custom],MATCH(TableRBCalcPts[[#This Row],[RBRef]],TableRBMaster[RBRef],0)),"")</f>
        <v>17.933487942625828</v>
      </c>
      <c r="O85" s="189">
        <f>IFERROR(RANK(TableWRCalcPts[[#This Row],[Custom]],TableWRCalcPts[Custom])+COUNTIF($T$3:T85,T85)-1,"")</f>
        <v>38</v>
      </c>
      <c r="P85" s="189">
        <v>83</v>
      </c>
      <c r="Q85" s="189" t="str">
        <f>IFERROR(INDEX(TableWRMaster[Player],MATCH(TableWRCalcPts[[#This Row],[WRRef]],TableWRMaster[WRRef],0)),"")</f>
        <v>Christian Kirk</v>
      </c>
      <c r="R85" s="189" t="str">
        <f>IFERROR(INDEX(TableWRMaster[TM],MATCH(TableWRCalcPts[[#This Row],[WRRef]],TableWRMaster[WRRef],0)),"")</f>
        <v>JAX</v>
      </c>
      <c r="S85" s="189">
        <f>IFERROR(INDEX(TableWRMaster[BYE],MATCH(TableWRCalcPts[[#This Row],[WRRef]],TableWRMaster[WRRef],0)),"")</f>
        <v>11</v>
      </c>
      <c r="T85" s="191">
        <f>IFERROR(INDEX(TableWRMaster[Custom],MATCH(TableWRCalcPts[[#This Row],[WRRef]],TableWRMaster[WRRef],0)),"")</f>
        <v>124.06080172234979</v>
      </c>
      <c r="V85" s="189">
        <f>IFERROR(RANK(TableTECalcPts[[#This Row],[Custom]],TableTECalcPts[Custom])+COUNTIF($AA$3:AA85,AA85)-1,"")</f>
        <v>84</v>
      </c>
      <c r="W85" s="189">
        <v>83</v>
      </c>
      <c r="X85" s="189" t="str">
        <f>IFERROR(INDEX(TableTEMaster[Player],MATCH(TableTECalcPts[[#This Row],[TERef]],TableTEMaster[TERef],0)),"")</f>
        <v>Charlie Woerner</v>
      </c>
      <c r="Y85" s="189" t="str">
        <f>IFERROR(INDEX(TableTEMaster[TM],MATCH(TableTECalcPts[[#This Row],[TERef]],TableTEMaster[TERef],0)),"")</f>
        <v>SF</v>
      </c>
      <c r="Z85" s="189">
        <f>IFERROR(INDEX(TableTEMaster[BYE],MATCH(TableTECalcPts[[#This Row],[TERef]],TableTEMaster[TERef],0)),"")</f>
        <v>9</v>
      </c>
      <c r="AA85" s="191">
        <f>IFERROR(INDEX(TableTEMaster[Custom],MATCH(TableTECalcPts[[#This Row],[TERef]],TableTEMaster[TERef],0)),"")</f>
        <v>6.2327979156029176</v>
      </c>
      <c r="AI85" s="221" t="s">
        <v>10</v>
      </c>
      <c r="AJ85" s="189">
        <f>IFERROR(RANK(TableWRTECalcPts[[#This Row],[Custom]],TableWRTECalcPts[Custom])+COUNTIF($AP$3:AP85,AP85)-1,"")</f>
        <v>266</v>
      </c>
      <c r="AK85" s="189">
        <v>83</v>
      </c>
      <c r="AL85" s="189" t="str">
        <f>IFERROR(INDEX(TableTEMaster[Player],MATCH(TableWRTECalcPts[[#This Row],[POSRef]],TableTEMaster[TERef],0)),"")</f>
        <v>Charlie Woerner</v>
      </c>
      <c r="AM85" s="189" t="str">
        <f>IFERROR(_xlfn.CONCAT(TableWRTECalcPts[[#This Row],[POS]],INDEX(TableTERanks[RK],MATCH(TableWRTECalcPts[[#This Row],[PLAYER]],TableTERanks[Player],0))),"")</f>
        <v>TE84</v>
      </c>
      <c r="AN85" s="189" t="str">
        <f>IFERROR(INDEX(TableTEMaster[TM],MATCH(TableWRTECalcPts[[#This Row],[POSRef]],TableTEMaster[TERef],0)),"")</f>
        <v>SF</v>
      </c>
      <c r="AO85" s="189">
        <f>IFERROR(INDEX(TableTEMaster[BYE],MATCH(TableWRTECalcPts[[#This Row],[POSRef]],TableTEMaster[TERef],0)),"")</f>
        <v>9</v>
      </c>
      <c r="AP85" s="191">
        <f>IFERROR(INDEX(TableTEMaster[Custom],MATCH(TableWRTECalcPts[[#This Row],[POSRef]],TableTEMaster[TERef],0)),"")</f>
        <v>6.2327979156029176</v>
      </c>
    </row>
    <row r="86" spans="1:42" x14ac:dyDescent="0.3">
      <c r="A86" s="198" t="str">
        <f>IFERROR(RANK(TableQBCalcPts[[#This Row],[Custom]],TableQBCalcPts[Custom])+COUNTIF($F$3:F86,F86)-1,"")</f>
        <v/>
      </c>
      <c r="B86" s="189">
        <v>84</v>
      </c>
      <c r="C86" s="189" t="str">
        <f>IFERROR(INDEX(TableQBMaster[Player],MATCH(TableQBCalcPts[[#This Row],[QBRef]],TableQBMaster[QBRef],0)),"")</f>
        <v/>
      </c>
      <c r="D86" s="189" t="str">
        <f>IFERROR(INDEX(TableQBMaster[TM],MATCH(TableQBCalcPts[[#This Row],[QBRef]],TableQBMaster[QBRef],0)),"")</f>
        <v/>
      </c>
      <c r="E86" s="189" t="str">
        <f>IFERROR(INDEX(TableQBMaster[BYE],MATCH(TableQBCalcPts[[#This Row],[QBRef]],TableQBMaster[QBRef],0)),"")</f>
        <v/>
      </c>
      <c r="F86" s="191" t="str">
        <f>IFERROR(INDEX(TableQBMaster[Custom],MATCH(TableQBCalcPts[[#This Row],[QBRef]],TableQBMaster[QBRef],0)),"")</f>
        <v/>
      </c>
      <c r="H86" s="189">
        <f>IFERROR(RANK(TableRBCalcPts[[#This Row],[Custom]],TableRBCalcPts[Custom])+COUNTIF($M$3:M86,M86)-1,"")</f>
        <v>103</v>
      </c>
      <c r="I86" s="189">
        <v>84</v>
      </c>
      <c r="J86" s="189" t="str">
        <f>IFERROR(INDEX(TableRBMaster[Player],MATCH(TableRBCalcPts[[#This Row],[RBRef]],TableRBMaster[RBRef],0)),"")</f>
        <v>Kevin Harris</v>
      </c>
      <c r="K86" s="189" t="str">
        <f>IFERROR(INDEX(TableRBMaster[TM],MATCH(TableRBCalcPts[[#This Row],[RBRef]],TableRBMaster[RBRef],0)),"")</f>
        <v>NE</v>
      </c>
      <c r="L86" s="189">
        <f>IFERROR(INDEX(TableRBMaster[BYE],MATCH(TableRBCalcPts[[#This Row],[RBRef]],TableRBMaster[RBRef],0)),"")</f>
        <v>10</v>
      </c>
      <c r="M86" s="191">
        <f>IFERROR(INDEX(TableRBMaster[Custom],MATCH(TableRBCalcPts[[#This Row],[RBRef]],TableRBMaster[RBRef],0)),"")</f>
        <v>13.200310678794835</v>
      </c>
      <c r="O86" s="189">
        <f>IFERROR(RANK(TableWRCalcPts[[#This Row],[Custom]],TableWRCalcPts[Custom])+COUNTIF($T$3:T86,T86)-1,"")</f>
        <v>54</v>
      </c>
      <c r="P86" s="189">
        <v>84</v>
      </c>
      <c r="Q86" s="189" t="str">
        <f>IFERROR(INDEX(TableWRMaster[Player],MATCH(TableWRCalcPts[[#This Row],[WRRef]],TableWRMaster[WRRef],0)),"")</f>
        <v>Marvin Jones</v>
      </c>
      <c r="R86" s="189" t="str">
        <f>IFERROR(INDEX(TableWRMaster[TM],MATCH(TableWRCalcPts[[#This Row],[WRRef]],TableWRMaster[WRRef],0)),"")</f>
        <v>JAX</v>
      </c>
      <c r="S86" s="189">
        <f>IFERROR(INDEX(TableWRMaster[BYE],MATCH(TableWRCalcPts[[#This Row],[WRRef]],TableWRMaster[WRRef],0)),"")</f>
        <v>11</v>
      </c>
      <c r="T86" s="191">
        <f>IFERROR(INDEX(TableWRMaster[Custom],MATCH(TableWRCalcPts[[#This Row],[WRRef]],TableWRMaster[WRRef],0)),"")</f>
        <v>105.82007116870886</v>
      </c>
      <c r="V86" s="189">
        <f>IFERROR(RANK(TableTECalcPts[[#This Row],[Custom]],TableTECalcPts[Custom])+COUNTIF($AA$3:AA86,AA86)-1,"")</f>
        <v>12</v>
      </c>
      <c r="W86" s="189">
        <v>84</v>
      </c>
      <c r="X86" s="189" t="str">
        <f>IFERROR(INDEX(TableTEMaster[Player],MATCH(TableTECalcPts[[#This Row],[TERef]],TableTEMaster[TERef],0)),"")</f>
        <v>Cameron Brate</v>
      </c>
      <c r="Y86" s="189" t="str">
        <f>IFERROR(INDEX(TableTEMaster[TM],MATCH(TableTECalcPts[[#This Row],[TERef]],TableTEMaster[TERef],0)),"")</f>
        <v>TB</v>
      </c>
      <c r="Z86" s="189">
        <f>IFERROR(INDEX(TableTEMaster[BYE],MATCH(TableTECalcPts[[#This Row],[TERef]],TableTEMaster[TERef],0)),"")</f>
        <v>11</v>
      </c>
      <c r="AA86" s="191">
        <f>IFERROR(INDEX(TableTEMaster[Custom],MATCH(TableTECalcPts[[#This Row],[TERef]],TableTEMaster[TERef],0)),"")</f>
        <v>99.231125452288012</v>
      </c>
      <c r="AI86" s="221" t="s">
        <v>10</v>
      </c>
      <c r="AJ86" s="189">
        <f>IFERROR(RANK(TableWRTECalcPts[[#This Row],[Custom]],TableWRTECalcPts[Custom])+COUNTIF($AP$3:AP86,AP86)-1,"")</f>
        <v>70</v>
      </c>
      <c r="AK86" s="189">
        <v>84</v>
      </c>
      <c r="AL86" s="189" t="str">
        <f>IFERROR(INDEX(TableTEMaster[Player],MATCH(TableWRTECalcPts[[#This Row],[POSRef]],TableTEMaster[TERef],0)),"")</f>
        <v>Cameron Brate</v>
      </c>
      <c r="AM86" s="189" t="str">
        <f>IFERROR(_xlfn.CONCAT(TableWRTECalcPts[[#This Row],[POS]],INDEX(TableTERanks[RK],MATCH(TableWRTECalcPts[[#This Row],[PLAYER]],TableTERanks[Player],0))),"")</f>
        <v>TE12</v>
      </c>
      <c r="AN86" s="189" t="str">
        <f>IFERROR(INDEX(TableTEMaster[TM],MATCH(TableWRTECalcPts[[#This Row],[POSRef]],TableTEMaster[TERef],0)),"")</f>
        <v>TB</v>
      </c>
      <c r="AO86" s="189">
        <f>IFERROR(INDEX(TableTEMaster[BYE],MATCH(TableWRTECalcPts[[#This Row],[POSRef]],TableTEMaster[TERef],0)),"")</f>
        <v>11</v>
      </c>
      <c r="AP86" s="191">
        <f>IFERROR(INDEX(TableTEMaster[Custom],MATCH(TableWRTECalcPts[[#This Row],[POSRef]],TableTEMaster[TERef],0)),"")</f>
        <v>99.231125452288012</v>
      </c>
    </row>
    <row r="87" spans="1:42" x14ac:dyDescent="0.3">
      <c r="A87" s="198" t="str">
        <f>IFERROR(RANK(TableQBCalcPts[[#This Row],[Custom]],TableQBCalcPts[Custom])+COUNTIF($F$3:F87,F87)-1,"")</f>
        <v/>
      </c>
      <c r="B87" s="189">
        <v>85</v>
      </c>
      <c r="C87" s="189" t="str">
        <f>IFERROR(INDEX(TableQBMaster[Player],MATCH(TableQBCalcPts[[#This Row],[QBRef]],TableQBMaster[QBRef],0)),"")</f>
        <v/>
      </c>
      <c r="D87" s="189" t="str">
        <f>IFERROR(INDEX(TableQBMaster[TM],MATCH(TableQBCalcPts[[#This Row],[QBRef]],TableQBMaster[QBRef],0)),"")</f>
        <v/>
      </c>
      <c r="E87" s="189" t="str">
        <f>IFERROR(INDEX(TableQBMaster[BYE],MATCH(TableQBCalcPts[[#This Row],[QBRef]],TableQBMaster[QBRef],0)),"")</f>
        <v/>
      </c>
      <c r="F87" s="191" t="str">
        <f>IFERROR(INDEX(TableQBMaster[Custom],MATCH(TableQBCalcPts[[#This Row],[QBRef]],TableQBMaster[QBRef],0)),"")</f>
        <v/>
      </c>
      <c r="H87" s="189">
        <f>IFERROR(RANK(TableRBCalcPts[[#This Row],[Custom]],TableRBCalcPts[Custom])+COUNTIF($M$3:M87,M87)-1,"")</f>
        <v>18</v>
      </c>
      <c r="I87" s="189">
        <v>85</v>
      </c>
      <c r="J87" s="189" t="str">
        <f>IFERROR(INDEX(TableRBMaster[Player],MATCH(TableRBCalcPts[[#This Row],[RBRef]],TableRBMaster[RBRef],0)),"")</f>
        <v>Alvin Kamara</v>
      </c>
      <c r="K87" s="189" t="str">
        <f>IFERROR(INDEX(TableRBMaster[TM],MATCH(TableRBCalcPts[[#This Row],[RBRef]],TableRBMaster[RBRef],0)),"")</f>
        <v>NO</v>
      </c>
      <c r="L87" s="189">
        <f>IFERROR(INDEX(TableRBMaster[BYE],MATCH(TableRBCalcPts[[#This Row],[RBRef]],TableRBMaster[RBRef],0)),"")</f>
        <v>14</v>
      </c>
      <c r="M87" s="191">
        <f>IFERROR(INDEX(TableRBMaster[Custom],MATCH(TableRBCalcPts[[#This Row],[RBRef]],TableRBMaster[RBRef],0)),"")</f>
        <v>190.20018269680975</v>
      </c>
      <c r="O87" s="189">
        <f>IFERROR(RANK(TableWRCalcPts[[#This Row],[Custom]],TableWRCalcPts[Custom])+COUNTIF($T$3:T87,T87)-1,"")</f>
        <v>88</v>
      </c>
      <c r="P87" s="189">
        <v>85</v>
      </c>
      <c r="Q87" s="189" t="str">
        <f>IFERROR(INDEX(TableWRMaster[Player],MATCH(TableWRCalcPts[[#This Row],[WRRef]],TableWRMaster[WRRef],0)),"")</f>
        <v>Zay Jones</v>
      </c>
      <c r="R87" s="189" t="str">
        <f>IFERROR(INDEX(TableWRMaster[TM],MATCH(TableWRCalcPts[[#This Row],[WRRef]],TableWRMaster[WRRef],0)),"")</f>
        <v>JAX</v>
      </c>
      <c r="S87" s="189">
        <f>IFERROR(INDEX(TableWRMaster[BYE],MATCH(TableWRCalcPts[[#This Row],[WRRef]],TableWRMaster[WRRef],0)),"")</f>
        <v>11</v>
      </c>
      <c r="T87" s="191">
        <f>IFERROR(INDEX(TableWRMaster[Custom],MATCH(TableWRCalcPts[[#This Row],[WRRef]],TableWRMaster[WRRef],0)),"")</f>
        <v>63.571604507371703</v>
      </c>
      <c r="V87" s="189">
        <f>IFERROR(RANK(TableTECalcPts[[#This Row],[Custom]],TableTECalcPts[Custom])+COUNTIF($AA$3:AA87,AA87)-1,"")</f>
        <v>35</v>
      </c>
      <c r="W87" s="189">
        <v>85</v>
      </c>
      <c r="X87" s="189" t="str">
        <f>IFERROR(INDEX(TableTEMaster[Player],MATCH(TableTECalcPts[[#This Row],[TERef]],TableTEMaster[TERef],0)),"")</f>
        <v>Cade Otton</v>
      </c>
      <c r="Y87" s="189" t="str">
        <f>IFERROR(INDEX(TableTEMaster[TM],MATCH(TableTECalcPts[[#This Row],[TERef]],TableTEMaster[TERef],0)),"")</f>
        <v>TB</v>
      </c>
      <c r="Z87" s="189">
        <f>IFERROR(INDEX(TableTEMaster[BYE],MATCH(TableTECalcPts[[#This Row],[TERef]],TableTEMaster[TERef],0)),"")</f>
        <v>11</v>
      </c>
      <c r="AA87" s="191">
        <f>IFERROR(INDEX(TableTEMaster[Custom],MATCH(TableTECalcPts[[#This Row],[TERef]],TableTEMaster[TERef],0)),"")</f>
        <v>38.578392188776903</v>
      </c>
      <c r="AI87" s="221" t="s">
        <v>10</v>
      </c>
      <c r="AJ87" s="189">
        <f>IFERROR(RANK(TableWRTECalcPts[[#This Row],[Custom]],TableWRTECalcPts[Custom])+COUNTIF($AP$3:AP87,AP87)-1,"")</f>
        <v>142</v>
      </c>
      <c r="AK87" s="189">
        <v>85</v>
      </c>
      <c r="AL87" s="189" t="str">
        <f>IFERROR(INDEX(TableTEMaster[Player],MATCH(TableWRTECalcPts[[#This Row],[POSRef]],TableTEMaster[TERef],0)),"")</f>
        <v>Cade Otton</v>
      </c>
      <c r="AM87" s="189" t="str">
        <f>IFERROR(_xlfn.CONCAT(TableWRTECalcPts[[#This Row],[POS]],INDEX(TableTERanks[RK],MATCH(TableWRTECalcPts[[#This Row],[PLAYER]],TableTERanks[Player],0))),"")</f>
        <v>TE35</v>
      </c>
      <c r="AN87" s="189" t="str">
        <f>IFERROR(INDEX(TableTEMaster[TM],MATCH(TableWRTECalcPts[[#This Row],[POSRef]],TableTEMaster[TERef],0)),"")</f>
        <v>TB</v>
      </c>
      <c r="AO87" s="189">
        <f>IFERROR(INDEX(TableTEMaster[BYE],MATCH(TableWRTECalcPts[[#This Row],[POSRef]],TableTEMaster[TERef],0)),"")</f>
        <v>11</v>
      </c>
      <c r="AP87" s="191">
        <f>IFERROR(INDEX(TableTEMaster[Custom],MATCH(TableWRTECalcPts[[#This Row],[POSRef]],TableTEMaster[TERef],0)),"")</f>
        <v>38.578392188776903</v>
      </c>
    </row>
    <row r="88" spans="1:42" x14ac:dyDescent="0.3">
      <c r="A88" s="198" t="str">
        <f>IFERROR(RANK(TableQBCalcPts[[#This Row],[Custom]],TableQBCalcPts[Custom])+COUNTIF($F$3:F88,F88)-1,"")</f>
        <v/>
      </c>
      <c r="B88" s="189">
        <v>86</v>
      </c>
      <c r="C88" s="189" t="str">
        <f>IFERROR(INDEX(TableQBMaster[Player],MATCH(TableQBCalcPts[[#This Row],[QBRef]],TableQBMaster[QBRef],0)),"")</f>
        <v/>
      </c>
      <c r="D88" s="189" t="str">
        <f>IFERROR(INDEX(TableQBMaster[TM],MATCH(TableQBCalcPts[[#This Row],[QBRef]],TableQBMaster[QBRef],0)),"")</f>
        <v/>
      </c>
      <c r="E88" s="189" t="str">
        <f>IFERROR(INDEX(TableQBMaster[BYE],MATCH(TableQBCalcPts[[#This Row],[QBRef]],TableQBMaster[QBRef],0)),"")</f>
        <v/>
      </c>
      <c r="F88" s="191" t="str">
        <f>IFERROR(INDEX(TableQBMaster[Custom],MATCH(TableQBCalcPts[[#This Row],[QBRef]],TableQBMaster[QBRef],0)),"")</f>
        <v/>
      </c>
      <c r="H88" s="189">
        <f>IFERROR(RANK(TableRBCalcPts[[#This Row],[Custom]],TableRBCalcPts[Custom])+COUNTIF($M$3:M88,M88)-1,"")</f>
        <v>42</v>
      </c>
      <c r="I88" s="189">
        <v>86</v>
      </c>
      <c r="J88" s="189" t="str">
        <f>IFERROR(INDEX(TableRBMaster[Player],MATCH(TableRBCalcPts[[#This Row],[RBRef]],TableRBMaster[RBRef],0)),"")</f>
        <v>Mark Ingram</v>
      </c>
      <c r="K88" s="189" t="str">
        <f>IFERROR(INDEX(TableRBMaster[TM],MATCH(TableRBCalcPts[[#This Row],[RBRef]],TableRBMaster[RBRef],0)),"")</f>
        <v>NO</v>
      </c>
      <c r="L88" s="189">
        <f>IFERROR(INDEX(TableRBMaster[BYE],MATCH(TableRBCalcPts[[#This Row],[RBRef]],TableRBMaster[RBRef],0)),"")</f>
        <v>14</v>
      </c>
      <c r="M88" s="191">
        <f>IFERROR(INDEX(TableRBMaster[Custom],MATCH(TableRBCalcPts[[#This Row],[RBRef]],TableRBMaster[RBRef],0)),"")</f>
        <v>101.31917018025943</v>
      </c>
      <c r="O88" s="189">
        <f>IFERROR(RANK(TableWRCalcPts[[#This Row],[Custom]],TableWRCalcPts[Custom])+COUNTIF($T$3:T88,T88)-1,"")</f>
        <v>106</v>
      </c>
      <c r="P88" s="189">
        <v>86</v>
      </c>
      <c r="Q88" s="189" t="str">
        <f>IFERROR(INDEX(TableWRMaster[Player],MATCH(TableWRCalcPts[[#This Row],[WRRef]],TableWRMaster[WRRef],0)),"")</f>
        <v>Laviska Shenault</v>
      </c>
      <c r="R88" s="189" t="str">
        <f>IFERROR(INDEX(TableWRMaster[TM],MATCH(TableWRCalcPts[[#This Row],[WRRef]],TableWRMaster[WRRef],0)),"")</f>
        <v>JAX</v>
      </c>
      <c r="S88" s="189">
        <f>IFERROR(INDEX(TableWRMaster[BYE],MATCH(TableWRCalcPts[[#This Row],[WRRef]],TableWRMaster[WRRef],0)),"")</f>
        <v>11</v>
      </c>
      <c r="T88" s="191">
        <f>IFERROR(INDEX(TableWRMaster[Custom],MATCH(TableWRCalcPts[[#This Row],[WRRef]],TableWRMaster[WRRef],0)),"")</f>
        <v>40.413989999832708</v>
      </c>
      <c r="V88" s="189">
        <f>IFERROR(RANK(TableTECalcPts[[#This Row],[Custom]],TableTECalcPts[Custom])+COUNTIF($AA$3:AA88,AA88)-1,"")</f>
        <v>85</v>
      </c>
      <c r="W88" s="189">
        <v>86</v>
      </c>
      <c r="X88" s="189" t="str">
        <f>IFERROR(INDEX(TableTEMaster[Player],MATCH(TableTECalcPts[[#This Row],[TERef]],TableTEMaster[TERef],0)),"")</f>
        <v>Ko Kieft</v>
      </c>
      <c r="Y88" s="189" t="str">
        <f>IFERROR(INDEX(TableTEMaster[TM],MATCH(TableTECalcPts[[#This Row],[TERef]],TableTEMaster[TERef],0)),"")</f>
        <v>TB</v>
      </c>
      <c r="Z88" s="189">
        <f>IFERROR(INDEX(TableTEMaster[BYE],MATCH(TableTECalcPts[[#This Row],[TERef]],TableTEMaster[TERef],0)),"")</f>
        <v>11</v>
      </c>
      <c r="AA88" s="191">
        <f>IFERROR(INDEX(TableTEMaster[Custom],MATCH(TableTECalcPts[[#This Row],[TERef]],TableTEMaster[TERef],0)),"")</f>
        <v>6.0774354386616594</v>
      </c>
      <c r="AI88" s="221" t="s">
        <v>10</v>
      </c>
      <c r="AJ88" s="189">
        <f>IFERROR(RANK(TableWRTECalcPts[[#This Row],[Custom]],TableWRTECalcPts[Custom])+COUNTIF($AP$3:AP88,AP88)-1,"")</f>
        <v>267</v>
      </c>
      <c r="AK88" s="189">
        <v>86</v>
      </c>
      <c r="AL88" s="189" t="str">
        <f>IFERROR(INDEX(TableTEMaster[Player],MATCH(TableWRTECalcPts[[#This Row],[POSRef]],TableTEMaster[TERef],0)),"")</f>
        <v>Ko Kieft</v>
      </c>
      <c r="AM88" s="189" t="str">
        <f>IFERROR(_xlfn.CONCAT(TableWRTECalcPts[[#This Row],[POS]],INDEX(TableTERanks[RK],MATCH(TableWRTECalcPts[[#This Row],[PLAYER]],TableTERanks[Player],0))),"")</f>
        <v>TE85</v>
      </c>
      <c r="AN88" s="189" t="str">
        <f>IFERROR(INDEX(TableTEMaster[TM],MATCH(TableWRTECalcPts[[#This Row],[POSRef]],TableTEMaster[TERef],0)),"")</f>
        <v>TB</v>
      </c>
      <c r="AO88" s="189">
        <f>IFERROR(INDEX(TableTEMaster[BYE],MATCH(TableWRTECalcPts[[#This Row],[POSRef]],TableTEMaster[TERef],0)),"")</f>
        <v>11</v>
      </c>
      <c r="AP88" s="191">
        <f>IFERROR(INDEX(TableTEMaster[Custom],MATCH(TableWRTECalcPts[[#This Row],[POSRef]],TableTEMaster[TERef],0)),"")</f>
        <v>6.0774354386616594</v>
      </c>
    </row>
    <row r="89" spans="1:42" x14ac:dyDescent="0.3">
      <c r="A89" s="198" t="str">
        <f>IFERROR(RANK(TableQBCalcPts[[#This Row],[Custom]],TableQBCalcPts[Custom])+COUNTIF($F$3:F89,F89)-1,"")</f>
        <v/>
      </c>
      <c r="B89" s="189">
        <v>87</v>
      </c>
      <c r="C89" s="189" t="str">
        <f>IFERROR(INDEX(TableQBMaster[Player],MATCH(TableQBCalcPts[[#This Row],[QBRef]],TableQBMaster[QBRef],0)),"")</f>
        <v/>
      </c>
      <c r="D89" s="189" t="str">
        <f>IFERROR(INDEX(TableQBMaster[TM],MATCH(TableQBCalcPts[[#This Row],[QBRef]],TableQBMaster[QBRef],0)),"")</f>
        <v/>
      </c>
      <c r="E89" s="189" t="str">
        <f>IFERROR(INDEX(TableQBMaster[BYE],MATCH(TableQBCalcPts[[#This Row],[QBRef]],TableQBMaster[QBRef],0)),"")</f>
        <v/>
      </c>
      <c r="F89" s="191" t="str">
        <f>IFERROR(INDEX(TableQBMaster[Custom],MATCH(TableQBCalcPts[[#This Row],[QBRef]],TableQBMaster[QBRef],0)),"")</f>
        <v/>
      </c>
      <c r="H89" s="189">
        <f>IFERROR(RANK(TableRBCalcPts[[#This Row],[Custom]],TableRBCalcPts[Custom])+COUNTIF($M$3:M89,M89)-1,"")</f>
        <v>75</v>
      </c>
      <c r="I89" s="189">
        <v>87</v>
      </c>
      <c r="J89" s="189" t="str">
        <f>IFERROR(INDEX(TableRBMaster[Player],MATCH(TableRBCalcPts[[#This Row],[RBRef]],TableRBMaster[RBRef],0)),"")</f>
        <v>Tony Jones</v>
      </c>
      <c r="K89" s="189" t="str">
        <f>IFERROR(INDEX(TableRBMaster[TM],MATCH(TableRBCalcPts[[#This Row],[RBRef]],TableRBMaster[RBRef],0)),"")</f>
        <v>NO</v>
      </c>
      <c r="L89" s="189">
        <f>IFERROR(INDEX(TableRBMaster[BYE],MATCH(TableRBCalcPts[[#This Row],[RBRef]],TableRBMaster[RBRef],0)),"")</f>
        <v>14</v>
      </c>
      <c r="M89" s="191">
        <f>IFERROR(INDEX(TableRBMaster[Custom],MATCH(TableRBCalcPts[[#This Row],[RBRef]],TableRBMaster[RBRef],0)),"")</f>
        <v>35.395921736950839</v>
      </c>
      <c r="O89" s="189">
        <f>IFERROR(RANK(TableWRCalcPts[[#This Row],[Custom]],TableWRCalcPts[Custom])+COUNTIF($T$3:T89,T89)-1,"")</f>
        <v>166</v>
      </c>
      <c r="P89" s="189">
        <v>87</v>
      </c>
      <c r="Q89" s="189" t="str">
        <f>IFERROR(INDEX(TableWRMaster[Player],MATCH(TableWRCalcPts[[#This Row],[WRRef]],TableWRMaster[WRRef],0)),"")</f>
        <v>Jamal Agnew</v>
      </c>
      <c r="R89" s="189" t="str">
        <f>IFERROR(INDEX(TableWRMaster[TM],MATCH(TableWRCalcPts[[#This Row],[WRRef]],TableWRMaster[WRRef],0)),"")</f>
        <v>JAX</v>
      </c>
      <c r="S89" s="189">
        <f>IFERROR(INDEX(TableWRMaster[BYE],MATCH(TableWRCalcPts[[#This Row],[WRRef]],TableWRMaster[WRRef],0)),"")</f>
        <v>11</v>
      </c>
      <c r="T89" s="191">
        <f>IFERROR(INDEX(TableWRMaster[Custom],MATCH(TableWRCalcPts[[#This Row],[WRRef]],TableWRMaster[WRRef],0)),"")</f>
        <v>10.768144786225456</v>
      </c>
      <c r="V89" s="189">
        <f>IFERROR(RANK(TableTECalcPts[[#This Row],[Custom]],TableTECalcPts[Custom])+COUNTIF($AA$3:AA89,AA89)-1,"")</f>
        <v>28</v>
      </c>
      <c r="W89" s="189">
        <v>87</v>
      </c>
      <c r="X89" s="189" t="str">
        <f>IFERROR(INDEX(TableTEMaster[Player],MATCH(TableTECalcPts[[#This Row],[TERef]],TableTEMaster[TERef],0)),"")</f>
        <v>Austin Hooper</v>
      </c>
      <c r="Y89" s="189" t="str">
        <f>IFERROR(INDEX(TableTEMaster[TM],MATCH(TableTECalcPts[[#This Row],[TERef]],TableTEMaster[TERef],0)),"")</f>
        <v>TEN</v>
      </c>
      <c r="Z89" s="189">
        <f>IFERROR(INDEX(TableTEMaster[BYE],MATCH(TableTECalcPts[[#This Row],[TERef]],TableTEMaster[TERef],0)),"")</f>
        <v>6</v>
      </c>
      <c r="AA89" s="191">
        <f>IFERROR(INDEX(TableTEMaster[Custom],MATCH(TableTECalcPts[[#This Row],[TERef]],TableTEMaster[TERef],0)),"")</f>
        <v>74.609358572769963</v>
      </c>
      <c r="AI89" s="221" t="s">
        <v>10</v>
      </c>
      <c r="AJ89" s="189">
        <f>IFERROR(RANK(TableWRTECalcPts[[#This Row],[Custom]],TableWRTECalcPts[Custom])+COUNTIF($AP$3:AP89,AP89)-1,"")</f>
        <v>107</v>
      </c>
      <c r="AK89" s="189">
        <v>87</v>
      </c>
      <c r="AL89" s="189" t="str">
        <f>IFERROR(INDEX(TableTEMaster[Player],MATCH(TableWRTECalcPts[[#This Row],[POSRef]],TableTEMaster[TERef],0)),"")</f>
        <v>Austin Hooper</v>
      </c>
      <c r="AM89" s="189" t="str">
        <f>IFERROR(_xlfn.CONCAT(TableWRTECalcPts[[#This Row],[POS]],INDEX(TableTERanks[RK],MATCH(TableWRTECalcPts[[#This Row],[PLAYER]],TableTERanks[Player],0))),"")</f>
        <v>TE28</v>
      </c>
      <c r="AN89" s="189" t="str">
        <f>IFERROR(INDEX(TableTEMaster[TM],MATCH(TableWRTECalcPts[[#This Row],[POSRef]],TableTEMaster[TERef],0)),"")</f>
        <v>TEN</v>
      </c>
      <c r="AO89" s="189">
        <f>IFERROR(INDEX(TableTEMaster[BYE],MATCH(TableWRTECalcPts[[#This Row],[POSRef]],TableTEMaster[TERef],0)),"")</f>
        <v>6</v>
      </c>
      <c r="AP89" s="191">
        <f>IFERROR(INDEX(TableTEMaster[Custom],MATCH(TableWRTECalcPts[[#This Row],[POSRef]],TableTEMaster[TERef],0)),"")</f>
        <v>74.609358572769963</v>
      </c>
    </row>
    <row r="90" spans="1:42" x14ac:dyDescent="0.3">
      <c r="A90" s="198" t="str">
        <f>IFERROR(RANK(TableQBCalcPts[[#This Row],[Custom]],TableQBCalcPts[Custom])+COUNTIF($F$3:F90,F90)-1,"")</f>
        <v/>
      </c>
      <c r="B90" s="189">
        <v>88</v>
      </c>
      <c r="C90" s="189" t="str">
        <f>IFERROR(INDEX(TableQBMaster[Player],MATCH(TableQBCalcPts[[#This Row],[QBRef]],TableQBMaster[QBRef],0)),"")</f>
        <v/>
      </c>
      <c r="D90" s="189" t="str">
        <f>IFERROR(INDEX(TableQBMaster[TM],MATCH(TableQBCalcPts[[#This Row],[QBRef]],TableQBMaster[QBRef],0)),"")</f>
        <v/>
      </c>
      <c r="E90" s="189" t="str">
        <f>IFERROR(INDEX(TableQBMaster[BYE],MATCH(TableQBCalcPts[[#This Row],[QBRef]],TableQBMaster[QBRef],0)),"")</f>
        <v/>
      </c>
      <c r="F90" s="191" t="str">
        <f>IFERROR(INDEX(TableQBMaster[Custom],MATCH(TableQBCalcPts[[#This Row],[QBRef]],TableQBMaster[QBRef],0)),"")</f>
        <v/>
      </c>
      <c r="H90" s="189">
        <f>IFERROR(RANK(TableRBCalcPts[[#This Row],[Custom]],TableRBCalcPts[Custom])+COUNTIF($M$3:M90,M90)-1,"")</f>
        <v>92</v>
      </c>
      <c r="I90" s="189">
        <v>88</v>
      </c>
      <c r="J90" s="189" t="str">
        <f>IFERROR(INDEX(TableRBMaster[Player],MATCH(TableRBCalcPts[[#This Row],[RBRef]],TableRBMaster[RBRef],0)),"")</f>
        <v>Abram Smith</v>
      </c>
      <c r="K90" s="189" t="str">
        <f>IFERROR(INDEX(TableRBMaster[TM],MATCH(TableRBCalcPts[[#This Row],[RBRef]],TableRBMaster[RBRef],0)),"")</f>
        <v>NO</v>
      </c>
      <c r="L90" s="189">
        <f>IFERROR(INDEX(TableRBMaster[BYE],MATCH(TableRBCalcPts[[#This Row],[RBRef]],TableRBMaster[RBRef],0)),"")</f>
        <v>14</v>
      </c>
      <c r="M90" s="191">
        <f>IFERROR(INDEX(TableRBMaster[Custom],MATCH(TableRBCalcPts[[#This Row],[RBRef]],TableRBMaster[RBRef],0)),"")</f>
        <v>19.140250585141398</v>
      </c>
      <c r="O90" s="189">
        <f>IFERROR(RANK(TableWRCalcPts[[#This Row],[Custom]],TableWRCalcPts[Custom])+COUNTIF($T$3:T90,T90)-1,"")</f>
        <v>100</v>
      </c>
      <c r="P90" s="189">
        <v>88</v>
      </c>
      <c r="Q90" s="189" t="str">
        <f>IFERROR(INDEX(TableWRMaster[Player],MATCH(TableWRCalcPts[[#This Row],[WRRef]],TableWRMaster[WRRef],0)),"")</f>
        <v>Laquon Treadwell</v>
      </c>
      <c r="R90" s="189" t="str">
        <f>IFERROR(INDEX(TableWRMaster[TM],MATCH(TableWRCalcPts[[#This Row],[WRRef]],TableWRMaster[WRRef],0)),"")</f>
        <v>JAX</v>
      </c>
      <c r="S90" s="189">
        <f>IFERROR(INDEX(TableWRMaster[BYE],MATCH(TableWRCalcPts[[#This Row],[WRRef]],TableWRMaster[WRRef],0)),"")</f>
        <v>11</v>
      </c>
      <c r="T90" s="191">
        <f>IFERROR(INDEX(TableWRMaster[Custom],MATCH(TableWRCalcPts[[#This Row],[WRRef]],TableWRMaster[WRRef],0)),"")</f>
        <v>47.277068597833136</v>
      </c>
      <c r="V90" s="189">
        <f>IFERROR(RANK(TableTECalcPts[[#This Row],[Custom]],TableTECalcPts[Custom])+COUNTIF($AA$3:AA90,AA90)-1,"")</f>
        <v>36</v>
      </c>
      <c r="W90" s="189">
        <v>88</v>
      </c>
      <c r="X90" s="189" t="str">
        <f>IFERROR(INDEX(TableTEMaster[Player],MATCH(TableTECalcPts[[#This Row],[TERef]],TableTEMaster[TERef],0)),"")</f>
        <v>Geoff Swaim</v>
      </c>
      <c r="Y90" s="189" t="str">
        <f>IFERROR(INDEX(TableTEMaster[TM],MATCH(TableTECalcPts[[#This Row],[TERef]],TableTEMaster[TERef],0)),"")</f>
        <v>TEN</v>
      </c>
      <c r="Z90" s="189">
        <f>IFERROR(INDEX(TableTEMaster[BYE],MATCH(TableTECalcPts[[#This Row],[TERef]],TableTEMaster[TERef],0)),"")</f>
        <v>6</v>
      </c>
      <c r="AA90" s="191">
        <f>IFERROR(INDEX(TableTEMaster[Custom],MATCH(TableTECalcPts[[#This Row],[TERef]],TableTEMaster[TERef],0)),"")</f>
        <v>38.183041253692494</v>
      </c>
      <c r="AI90" s="221" t="s">
        <v>10</v>
      </c>
      <c r="AJ90" s="189">
        <f>IFERROR(RANK(TableWRTECalcPts[[#This Row],[Custom]],TableWRTECalcPts[Custom])+COUNTIF($AP$3:AP90,AP90)-1,"")</f>
        <v>143</v>
      </c>
      <c r="AK90" s="189">
        <v>88</v>
      </c>
      <c r="AL90" s="189" t="str">
        <f>IFERROR(INDEX(TableTEMaster[Player],MATCH(TableWRTECalcPts[[#This Row],[POSRef]],TableTEMaster[TERef],0)),"")</f>
        <v>Geoff Swaim</v>
      </c>
      <c r="AM90" s="189" t="str">
        <f>IFERROR(_xlfn.CONCAT(TableWRTECalcPts[[#This Row],[POS]],INDEX(TableTERanks[RK],MATCH(TableWRTECalcPts[[#This Row],[PLAYER]],TableTERanks[Player],0))),"")</f>
        <v>TE36</v>
      </c>
      <c r="AN90" s="189" t="str">
        <f>IFERROR(INDEX(TableTEMaster[TM],MATCH(TableWRTECalcPts[[#This Row],[POSRef]],TableTEMaster[TERef],0)),"")</f>
        <v>TEN</v>
      </c>
      <c r="AO90" s="189">
        <f>IFERROR(INDEX(TableTEMaster[BYE],MATCH(TableWRTECalcPts[[#This Row],[POSRef]],TableTEMaster[TERef],0)),"")</f>
        <v>6</v>
      </c>
      <c r="AP90" s="191">
        <f>IFERROR(INDEX(TableTEMaster[Custom],MATCH(TableWRTECalcPts[[#This Row],[POSRef]],TableTEMaster[TERef],0)),"")</f>
        <v>38.183041253692494</v>
      </c>
    </row>
    <row r="91" spans="1:42" x14ac:dyDescent="0.3">
      <c r="A91" s="198" t="str">
        <f>IFERROR(RANK(TableQBCalcPts[[#This Row],[Custom]],TableQBCalcPts[Custom])+COUNTIF($F$3:F91,F91)-1,"")</f>
        <v/>
      </c>
      <c r="B91" s="189">
        <v>89</v>
      </c>
      <c r="C91" s="189" t="str">
        <f>IFERROR(INDEX(TableQBMaster[Player],MATCH(TableQBCalcPts[[#This Row],[QBRef]],TableQBMaster[QBRef],0)),"")</f>
        <v/>
      </c>
      <c r="D91" s="189" t="str">
        <f>IFERROR(INDEX(TableQBMaster[TM],MATCH(TableQBCalcPts[[#This Row],[QBRef]],TableQBMaster[QBRef],0)),"")</f>
        <v/>
      </c>
      <c r="E91" s="189" t="str">
        <f>IFERROR(INDEX(TableQBMaster[BYE],MATCH(TableQBCalcPts[[#This Row],[QBRef]],TableQBMaster[QBRef],0)),"")</f>
        <v/>
      </c>
      <c r="F91" s="191" t="str">
        <f>IFERROR(INDEX(TableQBMaster[Custom],MATCH(TableQBCalcPts[[#This Row],[QBRef]],TableQBMaster[QBRef],0)),"")</f>
        <v/>
      </c>
      <c r="H91" s="189">
        <f>IFERROR(RANK(TableRBCalcPts[[#This Row],[Custom]],TableRBCalcPts[Custom])+COUNTIF($M$3:M91,M91)-1,"")</f>
        <v>11</v>
      </c>
      <c r="I91" s="189">
        <v>89</v>
      </c>
      <c r="J91" s="189" t="str">
        <f>IFERROR(INDEX(TableRBMaster[Player],MATCH(TableRBCalcPts[[#This Row],[RBRef]],TableRBMaster[RBRef],0)),"")</f>
        <v>Saquon Barkley</v>
      </c>
      <c r="K91" s="189" t="str">
        <f>IFERROR(INDEX(TableRBMaster[TM],MATCH(TableRBCalcPts[[#This Row],[RBRef]],TableRBMaster[RBRef],0)),"")</f>
        <v>NYG</v>
      </c>
      <c r="L91" s="189">
        <f>IFERROR(INDEX(TableRBMaster[BYE],MATCH(TableRBCalcPts[[#This Row],[RBRef]],TableRBMaster[RBRef],0)),"")</f>
        <v>9</v>
      </c>
      <c r="M91" s="191">
        <f>IFERROR(INDEX(TableRBMaster[Custom],MATCH(TableRBCalcPts[[#This Row],[RBRef]],TableRBMaster[RBRef],0)),"")</f>
        <v>208.83160199086635</v>
      </c>
      <c r="O91" s="189">
        <f>IFERROR(RANK(TableWRCalcPts[[#This Row],[Custom]],TableWRCalcPts[Custom])+COUNTIF($T$3:T91,T91)-1,"")</f>
        <v>26</v>
      </c>
      <c r="P91" s="189">
        <v>89</v>
      </c>
      <c r="Q91" s="189" t="str">
        <f>IFERROR(INDEX(TableWRMaster[Player],MATCH(TableWRCalcPts[[#This Row],[WRRef]],TableWRMaster[WRRef],0)),"")</f>
        <v>JuJu Smith-Schuster</v>
      </c>
      <c r="R91" s="189" t="str">
        <f>IFERROR(INDEX(TableWRMaster[TM],MATCH(TableWRCalcPts[[#This Row],[WRRef]],TableWRMaster[WRRef],0)),"")</f>
        <v>KC</v>
      </c>
      <c r="S91" s="189">
        <f>IFERROR(INDEX(TableWRMaster[BYE],MATCH(TableWRCalcPts[[#This Row],[WRRef]],TableWRMaster[WRRef],0)),"")</f>
        <v>8</v>
      </c>
      <c r="T91" s="191">
        <f>IFERROR(INDEX(TableWRMaster[Custom],MATCH(TableWRCalcPts[[#This Row],[WRRef]],TableWRMaster[WRRef],0)),"")</f>
        <v>141.77739977868507</v>
      </c>
      <c r="V91" s="189">
        <f>IFERROR(RANK(TableTECalcPts[[#This Row],[Custom]],TableTECalcPts[Custom])+COUNTIF($AA$3:AA91,AA91)-1,"")</f>
        <v>78</v>
      </c>
      <c r="W91" s="189">
        <v>89</v>
      </c>
      <c r="X91" s="189" t="str">
        <f>IFERROR(INDEX(TableTEMaster[Player],MATCH(TableTECalcPts[[#This Row],[TERef]],TableTEMaster[TERef],0)),"")</f>
        <v>Chigoziem Okonkwo</v>
      </c>
      <c r="Y91" s="189" t="str">
        <f>IFERROR(INDEX(TableTEMaster[TM],MATCH(TableTECalcPts[[#This Row],[TERef]],TableTEMaster[TERef],0)),"")</f>
        <v>TEN</v>
      </c>
      <c r="Z91" s="189">
        <f>IFERROR(INDEX(TableTEMaster[BYE],MATCH(TableTECalcPts[[#This Row],[TERef]],TableTEMaster[TERef],0)),"")</f>
        <v>6</v>
      </c>
      <c r="AA91" s="191">
        <f>IFERROR(INDEX(TableTEMaster[Custom],MATCH(TableTECalcPts[[#This Row],[TERef]],TableTEMaster[TERef],0)),"")</f>
        <v>7.3622479869012727</v>
      </c>
      <c r="AI91" s="221" t="s">
        <v>10</v>
      </c>
      <c r="AJ91" s="189">
        <f>IFERROR(RANK(TableWRTECalcPts[[#This Row],[Custom]],TableWRTECalcPts[Custom])+COUNTIF($AP$3:AP91,AP91)-1,"")</f>
        <v>255</v>
      </c>
      <c r="AK91" s="189">
        <v>89</v>
      </c>
      <c r="AL91" s="189" t="str">
        <f>IFERROR(INDEX(TableTEMaster[Player],MATCH(TableWRTECalcPts[[#This Row],[POSRef]],TableTEMaster[TERef],0)),"")</f>
        <v>Chigoziem Okonkwo</v>
      </c>
      <c r="AM91" s="189" t="str">
        <f>IFERROR(_xlfn.CONCAT(TableWRTECalcPts[[#This Row],[POS]],INDEX(TableTERanks[RK],MATCH(TableWRTECalcPts[[#This Row],[PLAYER]],TableTERanks[Player],0))),"")</f>
        <v>TE78</v>
      </c>
      <c r="AN91" s="189" t="str">
        <f>IFERROR(INDEX(TableTEMaster[TM],MATCH(TableWRTECalcPts[[#This Row],[POSRef]],TableTEMaster[TERef],0)),"")</f>
        <v>TEN</v>
      </c>
      <c r="AO91" s="189">
        <f>IFERROR(INDEX(TableTEMaster[BYE],MATCH(TableWRTECalcPts[[#This Row],[POSRef]],TableTEMaster[TERef],0)),"")</f>
        <v>6</v>
      </c>
      <c r="AP91" s="191">
        <f>IFERROR(INDEX(TableTEMaster[Custom],MATCH(TableWRTECalcPts[[#This Row],[POSRef]],TableTEMaster[TERef],0)),"")</f>
        <v>7.3622479869012727</v>
      </c>
    </row>
    <row r="92" spans="1:42" x14ac:dyDescent="0.3">
      <c r="A92" s="198" t="str">
        <f>IFERROR(RANK(TableQBCalcPts[[#This Row],[Custom]],TableQBCalcPts[Custom])+COUNTIF($F$3:F92,F92)-1,"")</f>
        <v/>
      </c>
      <c r="B92" s="189">
        <v>90</v>
      </c>
      <c r="C92" s="189" t="str">
        <f>IFERROR(INDEX(TableQBMaster[Player],MATCH(TableQBCalcPts[[#This Row],[QBRef]],TableQBMaster[QBRef],0)),"")</f>
        <v/>
      </c>
      <c r="D92" s="189" t="str">
        <f>IFERROR(INDEX(TableQBMaster[TM],MATCH(TableQBCalcPts[[#This Row],[QBRef]],TableQBMaster[QBRef],0)),"")</f>
        <v/>
      </c>
      <c r="E92" s="189" t="str">
        <f>IFERROR(INDEX(TableQBMaster[BYE],MATCH(TableQBCalcPts[[#This Row],[QBRef]],TableQBMaster[QBRef],0)),"")</f>
        <v/>
      </c>
      <c r="F92" s="191" t="str">
        <f>IFERROR(INDEX(TableQBMaster[Custom],MATCH(TableQBCalcPts[[#This Row],[QBRef]],TableQBMaster[QBRef],0)),"")</f>
        <v/>
      </c>
      <c r="H92" s="189">
        <f>IFERROR(RANK(TableRBCalcPts[[#This Row],[Custom]],TableRBCalcPts[Custom])+COUNTIF($M$3:M92,M92)-1,"")</f>
        <v>64</v>
      </c>
      <c r="I92" s="189">
        <v>90</v>
      </c>
      <c r="J92" s="189" t="str">
        <f>IFERROR(INDEX(TableRBMaster[Player],MATCH(TableRBCalcPts[[#This Row],[RBRef]],TableRBMaster[RBRef],0)),"")</f>
        <v>Matt Breida</v>
      </c>
      <c r="K92" s="189" t="str">
        <f>IFERROR(INDEX(TableRBMaster[TM],MATCH(TableRBCalcPts[[#This Row],[RBRef]],TableRBMaster[RBRef],0)),"")</f>
        <v>NYG</v>
      </c>
      <c r="L92" s="189">
        <f>IFERROR(INDEX(TableRBMaster[BYE],MATCH(TableRBCalcPts[[#This Row],[RBRef]],TableRBMaster[RBRef],0)),"")</f>
        <v>9</v>
      </c>
      <c r="M92" s="191">
        <f>IFERROR(INDEX(TableRBMaster[Custom],MATCH(TableRBCalcPts[[#This Row],[RBRef]],TableRBMaster[RBRef],0)),"")</f>
        <v>56.543567379074069</v>
      </c>
      <c r="O92" s="189">
        <f>IFERROR(RANK(TableWRCalcPts[[#This Row],[Custom]],TableWRCalcPts[Custom])+COUNTIF($T$3:T92,T92)-1,"")</f>
        <v>53</v>
      </c>
      <c r="P92" s="189">
        <v>90</v>
      </c>
      <c r="Q92" s="189" t="str">
        <f>IFERROR(INDEX(TableWRMaster[Player],MATCH(TableWRCalcPts[[#This Row],[WRRef]],TableWRMaster[WRRef],0)),"")</f>
        <v>Mecole Hardman</v>
      </c>
      <c r="R92" s="189" t="str">
        <f>IFERROR(INDEX(TableWRMaster[TM],MATCH(TableWRCalcPts[[#This Row],[WRRef]],TableWRMaster[WRRef],0)),"")</f>
        <v>KC</v>
      </c>
      <c r="S92" s="189">
        <f>IFERROR(INDEX(TableWRMaster[BYE],MATCH(TableWRCalcPts[[#This Row],[WRRef]],TableWRMaster[WRRef],0)),"")</f>
        <v>8</v>
      </c>
      <c r="T92" s="191">
        <f>IFERROR(INDEX(TableWRMaster[Custom],MATCH(TableWRCalcPts[[#This Row],[WRRef]],TableWRMaster[WRRef],0)),"")</f>
        <v>106.4869180452002</v>
      </c>
      <c r="V92" s="189">
        <f>IFERROR(RANK(TableTECalcPts[[#This Row],[Custom]],TableTECalcPts[Custom])+COUNTIF($AA$3:AA92,AA92)-1,"")</f>
        <v>22</v>
      </c>
      <c r="W92" s="189">
        <v>90</v>
      </c>
      <c r="X92" s="189" t="str">
        <f>IFERROR(INDEX(TableTEMaster[Player],MATCH(TableTECalcPts[[#This Row],[TERef]],TableTEMaster[TERef],0)),"")</f>
        <v>Logan Thomas</v>
      </c>
      <c r="Y92" s="189" t="str">
        <f>IFERROR(INDEX(TableTEMaster[TM],MATCH(TableTECalcPts[[#This Row],[TERef]],TableTEMaster[TERef],0)),"")</f>
        <v>WSH</v>
      </c>
      <c r="Z92" s="189">
        <f>IFERROR(INDEX(TableTEMaster[BYE],MATCH(TableTECalcPts[[#This Row],[TERef]],TableTEMaster[TERef],0)),"")</f>
        <v>14</v>
      </c>
      <c r="AA92" s="191">
        <f>IFERROR(INDEX(TableTEMaster[Custom],MATCH(TableTECalcPts[[#This Row],[TERef]],TableTEMaster[TERef],0)),"")</f>
        <v>84.483769417527256</v>
      </c>
      <c r="AI92" s="221" t="s">
        <v>10</v>
      </c>
      <c r="AJ92" s="189">
        <f>IFERROR(RANK(TableWRTECalcPts[[#This Row],[Custom]],TableWRTECalcPts[Custom])+COUNTIF($AP$3:AP92,AP92)-1,"")</f>
        <v>95</v>
      </c>
      <c r="AK92" s="189">
        <v>90</v>
      </c>
      <c r="AL92" s="189" t="str">
        <f>IFERROR(INDEX(TableTEMaster[Player],MATCH(TableWRTECalcPts[[#This Row],[POSRef]],TableTEMaster[TERef],0)),"")</f>
        <v>Logan Thomas</v>
      </c>
      <c r="AM92" s="189" t="str">
        <f>IFERROR(_xlfn.CONCAT(TableWRTECalcPts[[#This Row],[POS]],INDEX(TableTERanks[RK],MATCH(TableWRTECalcPts[[#This Row],[PLAYER]],TableTERanks[Player],0))),"")</f>
        <v>TE22</v>
      </c>
      <c r="AN92" s="189" t="str">
        <f>IFERROR(INDEX(TableTEMaster[TM],MATCH(TableWRTECalcPts[[#This Row],[POSRef]],TableTEMaster[TERef],0)),"")</f>
        <v>WSH</v>
      </c>
      <c r="AO92" s="189">
        <f>IFERROR(INDEX(TableTEMaster[BYE],MATCH(TableWRTECalcPts[[#This Row],[POSRef]],TableTEMaster[TERef],0)),"")</f>
        <v>14</v>
      </c>
      <c r="AP92" s="191">
        <f>IFERROR(INDEX(TableTEMaster[Custom],MATCH(TableWRTECalcPts[[#This Row],[POSRef]],TableTEMaster[TERef],0)),"")</f>
        <v>84.483769417527256</v>
      </c>
    </row>
    <row r="93" spans="1:42" x14ac:dyDescent="0.3">
      <c r="A93" s="198" t="str">
        <f>IFERROR(RANK(TableQBCalcPts[[#This Row],[Custom]],TableQBCalcPts[Custom])+COUNTIF($F$3:F93,F93)-1,"")</f>
        <v/>
      </c>
      <c r="B93" s="189">
        <v>91</v>
      </c>
      <c r="C93" s="189" t="str">
        <f>IFERROR(INDEX(TableQBMaster[Player],MATCH(TableQBCalcPts[[#This Row],[QBRef]],TableQBMaster[QBRef],0)),"")</f>
        <v/>
      </c>
      <c r="D93" s="189" t="str">
        <f>IFERROR(INDEX(TableQBMaster[TM],MATCH(TableQBCalcPts[[#This Row],[QBRef]],TableQBMaster[QBRef],0)),"")</f>
        <v/>
      </c>
      <c r="E93" s="189" t="str">
        <f>IFERROR(INDEX(TableQBMaster[BYE],MATCH(TableQBCalcPts[[#This Row],[QBRef]],TableQBMaster[QBRef],0)),"")</f>
        <v/>
      </c>
      <c r="F93" s="191" t="str">
        <f>IFERROR(INDEX(TableQBMaster[Custom],MATCH(TableQBCalcPts[[#This Row],[QBRef]],TableQBMaster[QBRef],0)),"")</f>
        <v/>
      </c>
      <c r="H93" s="189">
        <f>IFERROR(RANK(TableRBCalcPts[[#This Row],[Custom]],TableRBCalcPts[Custom])+COUNTIF($M$3:M93,M93)-1,"")</f>
        <v>122</v>
      </c>
      <c r="I93" s="189">
        <v>91</v>
      </c>
      <c r="J93" s="189" t="str">
        <f>IFERROR(INDEX(TableRBMaster[Player],MATCH(TableRBCalcPts[[#This Row],[RBRef]],TableRBMaster[RBRef],0)),"")</f>
        <v>Gary Brightwell</v>
      </c>
      <c r="K93" s="189" t="str">
        <f>IFERROR(INDEX(TableRBMaster[TM],MATCH(TableRBCalcPts[[#This Row],[RBRef]],TableRBMaster[RBRef],0)),"")</f>
        <v>NYG</v>
      </c>
      <c r="L93" s="189">
        <f>IFERROR(INDEX(TableRBMaster[BYE],MATCH(TableRBCalcPts[[#This Row],[RBRef]],TableRBMaster[RBRef],0)),"")</f>
        <v>9</v>
      </c>
      <c r="M93" s="191">
        <f>IFERROR(INDEX(TableRBMaster[Custom],MATCH(TableRBCalcPts[[#This Row],[RBRef]],TableRBMaster[RBRef],0)),"")</f>
        <v>5.7487981486157302</v>
      </c>
      <c r="O93" s="189">
        <f>IFERROR(RANK(TableWRCalcPts[[#This Row],[Custom]],TableWRCalcPts[Custom])+COUNTIF($T$3:T93,T93)-1,"")</f>
        <v>64</v>
      </c>
      <c r="P93" s="189">
        <v>91</v>
      </c>
      <c r="Q93" s="189" t="str">
        <f>IFERROR(INDEX(TableWRMaster[Player],MATCH(TableWRCalcPts[[#This Row],[WRRef]],TableWRMaster[WRRef],0)),"")</f>
        <v>Skyy Moore</v>
      </c>
      <c r="R93" s="189" t="str">
        <f>IFERROR(INDEX(TableWRMaster[TM],MATCH(TableWRCalcPts[[#This Row],[WRRef]],TableWRMaster[WRRef],0)),"")</f>
        <v>KC</v>
      </c>
      <c r="S93" s="189">
        <f>IFERROR(INDEX(TableWRMaster[BYE],MATCH(TableWRCalcPts[[#This Row],[WRRef]],TableWRMaster[WRRef],0)),"")</f>
        <v>8</v>
      </c>
      <c r="T93" s="191">
        <f>IFERROR(INDEX(TableWRMaster[Custom],MATCH(TableWRCalcPts[[#This Row],[WRRef]],TableWRMaster[WRRef],0)),"")</f>
        <v>95.335174796868472</v>
      </c>
      <c r="V93" s="189">
        <f>IFERROR(RANK(TableTECalcPts[[#This Row],[Custom]],TableTECalcPts[Custom])+COUNTIF($AA$3:AA93,AA93)-1,"")</f>
        <v>44</v>
      </c>
      <c r="W93" s="189">
        <v>91</v>
      </c>
      <c r="X93" s="189" t="str">
        <f>IFERROR(INDEX(TableTEMaster[Player],MATCH(TableTECalcPts[[#This Row],[TERef]],TableTEMaster[TERef],0)),"")</f>
        <v>John Bates</v>
      </c>
      <c r="Y93" s="189" t="str">
        <f>IFERROR(INDEX(TableTEMaster[TM],MATCH(TableTECalcPts[[#This Row],[TERef]],TableTEMaster[TERef],0)),"")</f>
        <v>WSH</v>
      </c>
      <c r="Z93" s="189">
        <f>IFERROR(INDEX(TableTEMaster[BYE],MATCH(TableTECalcPts[[#This Row],[TERef]],TableTEMaster[TERef],0)),"")</f>
        <v>14</v>
      </c>
      <c r="AA93" s="191">
        <f>IFERROR(INDEX(TableTEMaster[Custom],MATCH(TableTECalcPts[[#This Row],[TERef]],TableTEMaster[TERef],0)),"")</f>
        <v>28.379723029633141</v>
      </c>
      <c r="AI93" s="221" t="s">
        <v>10</v>
      </c>
      <c r="AJ93" s="189">
        <f>IFERROR(RANK(TableWRTECalcPts[[#This Row],[Custom]],TableWRTECalcPts[Custom])+COUNTIF($AP$3:AP93,AP93)-1,"")</f>
        <v>158</v>
      </c>
      <c r="AK93" s="189">
        <v>91</v>
      </c>
      <c r="AL93" s="189" t="str">
        <f>IFERROR(INDEX(TableTEMaster[Player],MATCH(TableWRTECalcPts[[#This Row],[POSRef]],TableTEMaster[TERef],0)),"")</f>
        <v>John Bates</v>
      </c>
      <c r="AM93" s="189" t="str">
        <f>IFERROR(_xlfn.CONCAT(TableWRTECalcPts[[#This Row],[POS]],INDEX(TableTERanks[RK],MATCH(TableWRTECalcPts[[#This Row],[PLAYER]],TableTERanks[Player],0))),"")</f>
        <v>TE44</v>
      </c>
      <c r="AN93" s="189" t="str">
        <f>IFERROR(INDEX(TableTEMaster[TM],MATCH(TableWRTECalcPts[[#This Row],[POSRef]],TableTEMaster[TERef],0)),"")</f>
        <v>WSH</v>
      </c>
      <c r="AO93" s="189">
        <f>IFERROR(INDEX(TableTEMaster[BYE],MATCH(TableWRTECalcPts[[#This Row],[POSRef]],TableTEMaster[TERef],0)),"")</f>
        <v>14</v>
      </c>
      <c r="AP93" s="191">
        <f>IFERROR(INDEX(TableTEMaster[Custom],MATCH(TableWRTECalcPts[[#This Row],[POSRef]],TableTEMaster[TERef],0)),"")</f>
        <v>28.379723029633141</v>
      </c>
    </row>
    <row r="94" spans="1:42" x14ac:dyDescent="0.3">
      <c r="A94" s="198" t="str">
        <f>IFERROR(RANK(TableQBCalcPts[[#This Row],[Custom]],TableQBCalcPts[Custom])+COUNTIF($F$3:F94,F94)-1,"")</f>
        <v/>
      </c>
      <c r="B94" s="189">
        <v>92</v>
      </c>
      <c r="C94" s="189" t="str">
        <f>IFERROR(INDEX(TableQBMaster[Player],MATCH(TableQBCalcPts[[#This Row],[QBRef]],TableQBMaster[QBRef],0)),"")</f>
        <v/>
      </c>
      <c r="D94" s="189" t="str">
        <f>IFERROR(INDEX(TableQBMaster[TM],MATCH(TableQBCalcPts[[#This Row],[QBRef]],TableQBMaster[QBRef],0)),"")</f>
        <v/>
      </c>
      <c r="E94" s="189" t="str">
        <f>IFERROR(INDEX(TableQBMaster[BYE],MATCH(TableQBCalcPts[[#This Row],[QBRef]],TableQBMaster[QBRef],0)),"")</f>
        <v/>
      </c>
      <c r="F94" s="191" t="str">
        <f>IFERROR(INDEX(TableQBMaster[Custom],MATCH(TableQBCalcPts[[#This Row],[QBRef]],TableQBMaster[QBRef],0)),"")</f>
        <v/>
      </c>
      <c r="H94" s="189">
        <f>IFERROR(RANK(TableRBCalcPts[[#This Row],[Custom]],TableRBCalcPts[Custom])+COUNTIF($M$3:M94,M94)-1,"")</f>
        <v>89</v>
      </c>
      <c r="I94" s="189">
        <v>92</v>
      </c>
      <c r="J94" s="189" t="str">
        <f>IFERROR(INDEX(TableRBMaster[Player],MATCH(TableRBCalcPts[[#This Row],[RBRef]],TableRBMaster[RBRef],0)),"")</f>
        <v>Jashaun Corbin</v>
      </c>
      <c r="K94" s="189" t="str">
        <f>IFERROR(INDEX(TableRBMaster[TM],MATCH(TableRBCalcPts[[#This Row],[RBRef]],TableRBMaster[RBRef],0)),"")</f>
        <v>NYG</v>
      </c>
      <c r="L94" s="189">
        <f>IFERROR(INDEX(TableRBMaster[BYE],MATCH(TableRBCalcPts[[#This Row],[RBRef]],TableRBMaster[RBRef],0)),"")</f>
        <v>9</v>
      </c>
      <c r="M94" s="191">
        <f>IFERROR(INDEX(TableRBMaster[Custom],MATCH(TableRBCalcPts[[#This Row],[RBRef]],TableRBMaster[RBRef],0)),"")</f>
        <v>21.05921723337142</v>
      </c>
      <c r="O94" s="189">
        <f>IFERROR(RANK(TableWRCalcPts[[#This Row],[Custom]],TableWRCalcPts[Custom])+COUNTIF($T$3:T94,T94)-1,"")</f>
        <v>72</v>
      </c>
      <c r="P94" s="189">
        <v>92</v>
      </c>
      <c r="Q94" s="189" t="str">
        <f>IFERROR(INDEX(TableWRMaster[Player],MATCH(TableWRCalcPts[[#This Row],[WRRef]],TableWRMaster[WRRef],0)),"")</f>
        <v>Marquez Valdes-Scantling</v>
      </c>
      <c r="R94" s="189" t="str">
        <f>IFERROR(INDEX(TableWRMaster[TM],MATCH(TableWRCalcPts[[#This Row],[WRRef]],TableWRMaster[WRRef],0)),"")</f>
        <v>KC</v>
      </c>
      <c r="S94" s="189">
        <f>IFERROR(INDEX(TableWRMaster[BYE],MATCH(TableWRCalcPts[[#This Row],[WRRef]],TableWRMaster[WRRef],0)),"")</f>
        <v>8</v>
      </c>
      <c r="T94" s="191">
        <f>IFERROR(INDEX(TableWRMaster[Custom],MATCH(TableWRCalcPts[[#This Row],[WRRef]],TableWRMaster[WRRef],0)),"")</f>
        <v>85.989633923707842</v>
      </c>
      <c r="V94" s="189">
        <f>IFERROR(RANK(TableTECalcPts[[#This Row],[Custom]],TableTECalcPts[Custom])+COUNTIF($AA$3:AA94,AA94)-1,"")</f>
        <v>90</v>
      </c>
      <c r="W94" s="189">
        <v>92</v>
      </c>
      <c r="X94" s="189" t="str">
        <f>IFERROR(INDEX(TableTEMaster[Player],MATCH(TableTECalcPts[[#This Row],[TERef]],TableTEMaster[TERef],0)),"")</f>
        <v>Cole Turner</v>
      </c>
      <c r="Y94" s="189" t="str">
        <f>IFERROR(INDEX(TableTEMaster[TM],MATCH(TableTECalcPts[[#This Row],[TERef]],TableTEMaster[TERef],0)),"")</f>
        <v>WSH</v>
      </c>
      <c r="Z94" s="189">
        <f>IFERROR(INDEX(TableTEMaster[BYE],MATCH(TableTECalcPts[[#This Row],[TERef]],TableTEMaster[TERef],0)),"")</f>
        <v>14</v>
      </c>
      <c r="AA94" s="191">
        <f>IFERROR(INDEX(TableTEMaster[Custom],MATCH(TableTECalcPts[[#This Row],[TERef]],TableTEMaster[TERef],0)),"")</f>
        <v>4.9365385445064334</v>
      </c>
      <c r="AI94" s="221" t="s">
        <v>10</v>
      </c>
      <c r="AJ94" s="189">
        <f>IFERROR(RANK(TableWRTECalcPts[[#This Row],[Custom]],TableWRTECalcPts[Custom])+COUNTIF($AP$3:AP94,AP94)-1,"")</f>
        <v>272</v>
      </c>
      <c r="AK94" s="189">
        <v>92</v>
      </c>
      <c r="AL94" s="189" t="str">
        <f>IFERROR(INDEX(TableTEMaster[Player],MATCH(TableWRTECalcPts[[#This Row],[POSRef]],TableTEMaster[TERef],0)),"")</f>
        <v>Cole Turner</v>
      </c>
      <c r="AM94" s="189" t="str">
        <f>IFERROR(_xlfn.CONCAT(TableWRTECalcPts[[#This Row],[POS]],INDEX(TableTERanks[RK],MATCH(TableWRTECalcPts[[#This Row],[PLAYER]],TableTERanks[Player],0))),"")</f>
        <v>TE90</v>
      </c>
      <c r="AN94" s="189" t="str">
        <f>IFERROR(INDEX(TableTEMaster[TM],MATCH(TableWRTECalcPts[[#This Row],[POSRef]],TableTEMaster[TERef],0)),"")</f>
        <v>WSH</v>
      </c>
      <c r="AO94" s="189">
        <f>IFERROR(INDEX(TableTEMaster[BYE],MATCH(TableWRTECalcPts[[#This Row],[POSRef]],TableTEMaster[TERef],0)),"")</f>
        <v>14</v>
      </c>
      <c r="AP94" s="191">
        <f>IFERROR(INDEX(TableTEMaster[Custom],MATCH(TableWRTECalcPts[[#This Row],[POSRef]],TableTEMaster[TERef],0)),"")</f>
        <v>4.9365385445064334</v>
      </c>
    </row>
    <row r="95" spans="1:42" x14ac:dyDescent="0.3">
      <c r="A95" s="198" t="str">
        <f>IFERROR(RANK(TableQBCalcPts[[#This Row],[Custom]],TableQBCalcPts[Custom])+COUNTIF($F$3:F95,F95)-1,"")</f>
        <v/>
      </c>
      <c r="B95" s="189">
        <v>93</v>
      </c>
      <c r="C95" s="189" t="str">
        <f>IFERROR(INDEX(TableQBMaster[Player],MATCH(TableQBCalcPts[[#This Row],[QBRef]],TableQBMaster[QBRef],0)),"")</f>
        <v/>
      </c>
      <c r="D95" s="189" t="str">
        <f>IFERROR(INDEX(TableQBMaster[TM],MATCH(TableQBCalcPts[[#This Row],[QBRef]],TableQBMaster[QBRef],0)),"")</f>
        <v/>
      </c>
      <c r="E95" s="189" t="str">
        <f>IFERROR(INDEX(TableQBMaster[BYE],MATCH(TableQBCalcPts[[#This Row],[QBRef]],TableQBMaster[QBRef],0)),"")</f>
        <v/>
      </c>
      <c r="F95" s="191" t="str">
        <f>IFERROR(INDEX(TableQBMaster[Custom],MATCH(TableQBCalcPts[[#This Row],[QBRef]],TableQBMaster[QBRef],0)),"")</f>
        <v/>
      </c>
      <c r="H95" s="189">
        <f>IFERROR(RANK(TableRBCalcPts[[#This Row],[Custom]],TableRBCalcPts[Custom])+COUNTIF($M$3:M95,M95)-1,"")</f>
        <v>24</v>
      </c>
      <c r="I95" s="189">
        <v>93</v>
      </c>
      <c r="J95" s="189" t="str">
        <f>IFERROR(INDEX(TableRBMaster[Player],MATCH(TableRBCalcPts[[#This Row],[RBRef]],TableRBMaster[RBRef],0)),"")</f>
        <v>Breece Hall</v>
      </c>
      <c r="K95" s="189" t="str">
        <f>IFERROR(INDEX(TableRBMaster[TM],MATCH(TableRBCalcPts[[#This Row],[RBRef]],TableRBMaster[RBRef],0)),"")</f>
        <v>NYJ</v>
      </c>
      <c r="L95" s="189">
        <f>IFERROR(INDEX(TableRBMaster[BYE],MATCH(TableRBCalcPts[[#This Row],[RBRef]],TableRBMaster[RBRef],0)),"")</f>
        <v>10</v>
      </c>
      <c r="M95" s="191">
        <f>IFERROR(INDEX(TableRBMaster[Custom],MATCH(TableRBCalcPts[[#This Row],[RBRef]],TableRBMaster[RBRef],0)),"")</f>
        <v>160.02904924432423</v>
      </c>
      <c r="O95" s="189">
        <f>IFERROR(RANK(TableWRCalcPts[[#This Row],[Custom]],TableWRCalcPts[Custom])+COUNTIF($T$3:T95,T95)-1,"")</f>
        <v>167</v>
      </c>
      <c r="P95" s="189">
        <v>93</v>
      </c>
      <c r="Q95" s="189" t="str">
        <f>IFERROR(INDEX(TableWRMaster[Player],MATCH(TableWRCalcPts[[#This Row],[WRRef]],TableWRMaster[WRRef],0)),"")</f>
        <v>Josh Gordon</v>
      </c>
      <c r="R95" s="189" t="str">
        <f>IFERROR(INDEX(TableWRMaster[TM],MATCH(TableWRCalcPts[[#This Row],[WRRef]],TableWRMaster[WRRef],0)),"")</f>
        <v>KC</v>
      </c>
      <c r="S95" s="189">
        <f>IFERROR(INDEX(TableWRMaster[BYE],MATCH(TableWRCalcPts[[#This Row],[WRRef]],TableWRMaster[WRRef],0)),"")</f>
        <v>8</v>
      </c>
      <c r="T95" s="191">
        <f>IFERROR(INDEX(TableWRMaster[Custom],MATCH(TableWRCalcPts[[#This Row],[WRRef]],TableWRMaster[WRRef],0)),"")</f>
        <v>10.218172388167712</v>
      </c>
      <c r="V95" s="189" t="str">
        <f>IFERROR(RANK(TableTECalcPts[[#This Row],[Custom]],TableTECalcPts[Custom])+COUNTIF($AA$3:AA95,AA95)-1,"")</f>
        <v/>
      </c>
      <c r="W95" s="189">
        <v>93</v>
      </c>
      <c r="X95" s="189" t="str">
        <f>IFERROR(INDEX(TableTEMaster[Player],MATCH(TableTECalcPts[[#This Row],[TERef]],TableTEMaster[TERef],0)),"")</f>
        <v/>
      </c>
      <c r="Y95" s="189" t="str">
        <f>IFERROR(INDEX(TableTEMaster[TM],MATCH(TableTECalcPts[[#This Row],[TERef]],TableTEMaster[TERef],0)),"")</f>
        <v/>
      </c>
      <c r="Z95" s="189" t="str">
        <f>IFERROR(INDEX(TableTEMaster[BYE],MATCH(TableTECalcPts[[#This Row],[TERef]],TableTEMaster[TERef],0)),"")</f>
        <v/>
      </c>
      <c r="AA95" s="191" t="str">
        <f>IFERROR(INDEX(TableTEMaster[Custom],MATCH(TableTECalcPts[[#This Row],[TERef]],TableTEMaster[TERef],0)),"")</f>
        <v/>
      </c>
      <c r="AI95" s="221" t="s">
        <v>10</v>
      </c>
      <c r="AJ95" s="189" t="str">
        <f>IFERROR(RANK(TableWRTECalcPts[[#This Row],[Custom]],TableWRTECalcPts[Custom])+COUNTIF($AP$3:AP95,AP95)-1,"")</f>
        <v/>
      </c>
      <c r="AK95" s="189">
        <v>93</v>
      </c>
      <c r="AL95" s="189" t="str">
        <f>IFERROR(INDEX(TableTEMaster[Player],MATCH(TableWRTECalcPts[[#This Row],[POSRef]],TableTEMaster[TERef],0)),"")</f>
        <v/>
      </c>
      <c r="AM95" s="189" t="str">
        <f>IFERROR(_xlfn.CONCAT(TableWRTECalcPts[[#This Row],[POS]],INDEX(TableTERanks[RK],MATCH(TableWRTECalcPts[[#This Row],[PLAYER]],TableTERanks[Player],0))),"")</f>
        <v>TE93</v>
      </c>
      <c r="AN95" s="189" t="str">
        <f>IFERROR(INDEX(TableTEMaster[TM],MATCH(TableWRTECalcPts[[#This Row],[POSRef]],TableTEMaster[TERef],0)),"")</f>
        <v/>
      </c>
      <c r="AO95" s="189" t="str">
        <f>IFERROR(INDEX(TableTEMaster[BYE],MATCH(TableWRTECalcPts[[#This Row],[POSRef]],TableTEMaster[TERef],0)),"")</f>
        <v/>
      </c>
      <c r="AP95" s="191" t="str">
        <f>IFERROR(INDEX(TableTEMaster[Custom],MATCH(TableWRTECalcPts[[#This Row],[POSRef]],TableTEMaster[TERef],0)),"")</f>
        <v/>
      </c>
    </row>
    <row r="96" spans="1:42" x14ac:dyDescent="0.3">
      <c r="A96" s="198" t="str">
        <f>IFERROR(RANK(TableQBCalcPts[[#This Row],[Custom]],TableQBCalcPts[Custom])+COUNTIF($F$3:F96,F96)-1,"")</f>
        <v/>
      </c>
      <c r="B96" s="189">
        <v>94</v>
      </c>
      <c r="C96" s="189" t="str">
        <f>IFERROR(INDEX(TableQBMaster[Player],MATCH(TableQBCalcPts[[#This Row],[QBRef]],TableQBMaster[QBRef],0)),"")</f>
        <v/>
      </c>
      <c r="D96" s="189" t="str">
        <f>IFERROR(INDEX(TableQBMaster[TM],MATCH(TableQBCalcPts[[#This Row],[QBRef]],TableQBMaster[QBRef],0)),"")</f>
        <v/>
      </c>
      <c r="E96" s="189" t="str">
        <f>IFERROR(INDEX(TableQBMaster[BYE],MATCH(TableQBCalcPts[[#This Row],[QBRef]],TableQBMaster[QBRef],0)),"")</f>
        <v/>
      </c>
      <c r="F96" s="191" t="str">
        <f>IFERROR(INDEX(TableQBMaster[Custom],MATCH(TableQBCalcPts[[#This Row],[QBRef]],TableQBMaster[QBRef],0)),"")</f>
        <v/>
      </c>
      <c r="H96" s="189">
        <f>IFERROR(RANK(TableRBCalcPts[[#This Row],[Custom]],TableRBCalcPts[Custom])+COUNTIF($M$3:M96,M96)-1,"")</f>
        <v>53</v>
      </c>
      <c r="I96" s="189">
        <v>94</v>
      </c>
      <c r="J96" s="189" t="str">
        <f>IFERROR(INDEX(TableRBMaster[Player],MATCH(TableRBCalcPts[[#This Row],[RBRef]],TableRBMaster[RBRef],0)),"")</f>
        <v>Michael Carter</v>
      </c>
      <c r="K96" s="189" t="str">
        <f>IFERROR(INDEX(TableRBMaster[TM],MATCH(TableRBCalcPts[[#This Row],[RBRef]],TableRBMaster[RBRef],0)),"")</f>
        <v>NYJ</v>
      </c>
      <c r="L96" s="189">
        <f>IFERROR(INDEX(TableRBMaster[BYE],MATCH(TableRBCalcPts[[#This Row],[RBRef]],TableRBMaster[RBRef],0)),"")</f>
        <v>10</v>
      </c>
      <c r="M96" s="191">
        <f>IFERROR(INDEX(TableRBMaster[Custom],MATCH(TableRBCalcPts[[#This Row],[RBRef]],TableRBMaster[RBRef],0)),"")</f>
        <v>89.910367875968873</v>
      </c>
      <c r="O96" s="189">
        <f>IFERROR(RANK(TableWRCalcPts[[#This Row],[Custom]],TableWRCalcPts[Custom])+COUNTIF($T$3:T96,T96)-1,"")</f>
        <v>15</v>
      </c>
      <c r="P96" s="189">
        <v>94</v>
      </c>
      <c r="Q96" s="189" t="str">
        <f>IFERROR(INDEX(TableWRMaster[Player],MATCH(TableWRCalcPts[[#This Row],[WRRef]],TableWRMaster[WRRef],0)),"")</f>
        <v>Keenan Allen</v>
      </c>
      <c r="R96" s="189" t="str">
        <f>IFERROR(INDEX(TableWRMaster[TM],MATCH(TableWRCalcPts[[#This Row],[WRRef]],TableWRMaster[WRRef],0)),"")</f>
        <v>LAC</v>
      </c>
      <c r="S96" s="189">
        <f>IFERROR(INDEX(TableWRMaster[BYE],MATCH(TableWRCalcPts[[#This Row],[WRRef]],TableWRMaster[WRRef],0)),"")</f>
        <v>8</v>
      </c>
      <c r="T96" s="191">
        <f>IFERROR(INDEX(TableWRMaster[Custom],MATCH(TableWRCalcPts[[#This Row],[WRRef]],TableWRMaster[WRRef],0)),"")</f>
        <v>151.05767453585224</v>
      </c>
      <c r="V96" s="189" t="str">
        <f>IFERROR(RANK(TableTECalcPts[[#This Row],[Custom]],TableTECalcPts[Custom])+COUNTIF($AA$3:AA96,AA96)-1,"")</f>
        <v/>
      </c>
      <c r="W96" s="189">
        <v>94</v>
      </c>
      <c r="X96" s="189" t="str">
        <f>IFERROR(INDEX(TableTEMaster[Player],MATCH(TableTECalcPts[[#This Row],[TERef]],TableTEMaster[TERef],0)),"")</f>
        <v/>
      </c>
      <c r="Y96" s="189" t="str">
        <f>IFERROR(INDEX(TableTEMaster[TM],MATCH(TableTECalcPts[[#This Row],[TERef]],TableTEMaster[TERef],0)),"")</f>
        <v/>
      </c>
      <c r="Z96" s="189" t="str">
        <f>IFERROR(INDEX(TableTEMaster[BYE],MATCH(TableTECalcPts[[#This Row],[TERef]],TableTEMaster[TERef],0)),"")</f>
        <v/>
      </c>
      <c r="AA96" s="191" t="str">
        <f>IFERROR(INDEX(TableTEMaster[Custom],MATCH(TableTECalcPts[[#This Row],[TERef]],TableTEMaster[TERef],0)),"")</f>
        <v/>
      </c>
      <c r="AI96" s="221" t="s">
        <v>10</v>
      </c>
      <c r="AJ96" s="189" t="str">
        <f>IFERROR(RANK(TableWRTECalcPts[[#This Row],[Custom]],TableWRTECalcPts[Custom])+COUNTIF($AP$3:AP96,AP96)-1,"")</f>
        <v/>
      </c>
      <c r="AK96" s="189">
        <v>94</v>
      </c>
      <c r="AL96" s="189" t="str">
        <f>IFERROR(INDEX(TableTEMaster[Player],MATCH(TableWRTECalcPts[[#This Row],[POSRef]],TableTEMaster[TERef],0)),"")</f>
        <v/>
      </c>
      <c r="AM96" s="189" t="str">
        <f>IFERROR(_xlfn.CONCAT(TableWRTECalcPts[[#This Row],[POS]],INDEX(TableTERanks[RK],MATCH(TableWRTECalcPts[[#This Row],[PLAYER]],TableTERanks[Player],0))),"")</f>
        <v>TE93</v>
      </c>
      <c r="AN96" s="189" t="str">
        <f>IFERROR(INDEX(TableTEMaster[TM],MATCH(TableWRTECalcPts[[#This Row],[POSRef]],TableTEMaster[TERef],0)),"")</f>
        <v/>
      </c>
      <c r="AO96" s="189" t="str">
        <f>IFERROR(INDEX(TableTEMaster[BYE],MATCH(TableWRTECalcPts[[#This Row],[POSRef]],TableTEMaster[TERef],0)),"")</f>
        <v/>
      </c>
      <c r="AP96" s="191" t="str">
        <f>IFERROR(INDEX(TableTEMaster[Custom],MATCH(TableWRTECalcPts[[#This Row],[POSRef]],TableTEMaster[TERef],0)),"")</f>
        <v/>
      </c>
    </row>
    <row r="97" spans="1:42" x14ac:dyDescent="0.3">
      <c r="A97" s="198" t="str">
        <f>IFERROR(RANK(TableQBCalcPts[[#This Row],[Custom]],TableQBCalcPts[Custom])+COUNTIF($F$3:F97,F97)-1,"")</f>
        <v/>
      </c>
      <c r="B97" s="189">
        <v>95</v>
      </c>
      <c r="C97" s="189" t="str">
        <f>IFERROR(INDEX(TableQBMaster[Player],MATCH(TableQBCalcPts[[#This Row],[QBRef]],TableQBMaster[QBRef],0)),"")</f>
        <v/>
      </c>
      <c r="D97" s="189" t="str">
        <f>IFERROR(INDEX(TableQBMaster[TM],MATCH(TableQBCalcPts[[#This Row],[QBRef]],TableQBMaster[QBRef],0)),"")</f>
        <v/>
      </c>
      <c r="E97" s="189" t="str">
        <f>IFERROR(INDEX(TableQBMaster[BYE],MATCH(TableQBCalcPts[[#This Row],[QBRef]],TableQBMaster[QBRef],0)),"")</f>
        <v/>
      </c>
      <c r="F97" s="191" t="str">
        <f>IFERROR(INDEX(TableQBMaster[Custom],MATCH(TableQBCalcPts[[#This Row],[QBRef]],TableQBMaster[QBRef],0)),"")</f>
        <v/>
      </c>
      <c r="H97" s="189">
        <f>IFERROR(RANK(TableRBCalcPts[[#This Row],[Custom]],TableRBCalcPts[Custom])+COUNTIF($M$3:M97,M97)-1,"")</f>
        <v>102</v>
      </c>
      <c r="I97" s="189">
        <v>95</v>
      </c>
      <c r="J97" s="189" t="str">
        <f>IFERROR(INDEX(TableRBMaster[Player],MATCH(TableRBCalcPts[[#This Row],[RBRef]],TableRBMaster[RBRef],0)),"")</f>
        <v>Tevin Coleman</v>
      </c>
      <c r="K97" s="189" t="str">
        <f>IFERROR(INDEX(TableRBMaster[TM],MATCH(TableRBCalcPts[[#This Row],[RBRef]],TableRBMaster[RBRef],0)),"")</f>
        <v>NYJ</v>
      </c>
      <c r="L97" s="189">
        <f>IFERROR(INDEX(TableRBMaster[BYE],MATCH(TableRBCalcPts[[#This Row],[RBRef]],TableRBMaster[RBRef],0)),"")</f>
        <v>10</v>
      </c>
      <c r="M97" s="191">
        <f>IFERROR(INDEX(TableRBMaster[Custom],MATCH(TableRBCalcPts[[#This Row],[RBRef]],TableRBMaster[RBRef],0)),"")</f>
        <v>13.394921257962649</v>
      </c>
      <c r="O97" s="189">
        <f>IFERROR(RANK(TableWRCalcPts[[#This Row],[Custom]],TableWRCalcPts[Custom])+COUNTIF($T$3:T97,T97)-1,"")</f>
        <v>12</v>
      </c>
      <c r="P97" s="189">
        <v>95</v>
      </c>
      <c r="Q97" s="189" t="str">
        <f>IFERROR(INDEX(TableWRMaster[Player],MATCH(TableWRCalcPts[[#This Row],[WRRef]],TableWRMaster[WRRef],0)),"")</f>
        <v>Mike Williams</v>
      </c>
      <c r="R97" s="189" t="str">
        <f>IFERROR(INDEX(TableWRMaster[TM],MATCH(TableWRCalcPts[[#This Row],[WRRef]],TableWRMaster[WRRef],0)),"")</f>
        <v>LAC</v>
      </c>
      <c r="S97" s="189">
        <f>IFERROR(INDEX(TableWRMaster[BYE],MATCH(TableWRCalcPts[[#This Row],[WRRef]],TableWRMaster[WRRef],0)),"")</f>
        <v>8</v>
      </c>
      <c r="T97" s="191">
        <f>IFERROR(INDEX(TableWRMaster[Custom],MATCH(TableWRCalcPts[[#This Row],[WRRef]],TableWRMaster[WRRef],0)),"")</f>
        <v>161.21370314796229</v>
      </c>
      <c r="V97" s="189" t="str">
        <f>IFERROR(RANK(TableTECalcPts[[#This Row],[Custom]],TableTECalcPts[Custom])+COUNTIF($AA$3:AA97,AA97)-1,"")</f>
        <v/>
      </c>
      <c r="W97" s="189">
        <v>95</v>
      </c>
      <c r="X97" s="189" t="str">
        <f>IFERROR(INDEX(TableTEMaster[Player],MATCH(TableTECalcPts[[#This Row],[TERef]],TableTEMaster[TERef],0)),"")</f>
        <v/>
      </c>
      <c r="Y97" s="189" t="str">
        <f>IFERROR(INDEX(TableTEMaster[TM],MATCH(TableTECalcPts[[#This Row],[TERef]],TableTEMaster[TERef],0)),"")</f>
        <v/>
      </c>
      <c r="Z97" s="189" t="str">
        <f>IFERROR(INDEX(TableTEMaster[BYE],MATCH(TableTECalcPts[[#This Row],[TERef]],TableTEMaster[TERef],0)),"")</f>
        <v/>
      </c>
      <c r="AA97" s="191" t="str">
        <f>IFERROR(INDEX(TableTEMaster[Custom],MATCH(TableTECalcPts[[#This Row],[TERef]],TableTEMaster[TERef],0)),"")</f>
        <v/>
      </c>
      <c r="AI97" s="221" t="s">
        <v>10</v>
      </c>
      <c r="AJ97" s="189" t="str">
        <f>IFERROR(RANK(TableWRTECalcPts[[#This Row],[Custom]],TableWRTECalcPts[Custom])+COUNTIF($AP$3:AP97,AP97)-1,"")</f>
        <v/>
      </c>
      <c r="AK97" s="189">
        <v>95</v>
      </c>
      <c r="AL97" s="189" t="str">
        <f>IFERROR(INDEX(TableTEMaster[Player],MATCH(TableWRTECalcPts[[#This Row],[POSRef]],TableTEMaster[TERef],0)),"")</f>
        <v/>
      </c>
      <c r="AM97" s="189" t="str">
        <f>IFERROR(_xlfn.CONCAT(TableWRTECalcPts[[#This Row],[POS]],INDEX(TableTERanks[RK],MATCH(TableWRTECalcPts[[#This Row],[PLAYER]],TableTERanks[Player],0))),"")</f>
        <v>TE93</v>
      </c>
      <c r="AN97" s="189" t="str">
        <f>IFERROR(INDEX(TableTEMaster[TM],MATCH(TableWRTECalcPts[[#This Row],[POSRef]],TableTEMaster[TERef],0)),"")</f>
        <v/>
      </c>
      <c r="AO97" s="189" t="str">
        <f>IFERROR(INDEX(TableTEMaster[BYE],MATCH(TableWRTECalcPts[[#This Row],[POSRef]],TableTEMaster[TERef],0)),"")</f>
        <v/>
      </c>
      <c r="AP97" s="191" t="str">
        <f>IFERROR(INDEX(TableTEMaster[Custom],MATCH(TableWRTECalcPts[[#This Row],[POSRef]],TableTEMaster[TERef],0)),"")</f>
        <v/>
      </c>
    </row>
    <row r="98" spans="1:42" x14ac:dyDescent="0.3">
      <c r="A98" s="198" t="str">
        <f>IFERROR(RANK(TableQBCalcPts[[#This Row],[Custom]],TableQBCalcPts[Custom])+COUNTIF($F$3:F98,F98)-1,"")</f>
        <v/>
      </c>
      <c r="B98" s="189">
        <v>96</v>
      </c>
      <c r="C98" s="189" t="str">
        <f>IFERROR(INDEX(TableQBMaster[Player],MATCH(TableQBCalcPts[[#This Row],[QBRef]],TableQBMaster[QBRef],0)),"")</f>
        <v/>
      </c>
      <c r="D98" s="189" t="str">
        <f>IFERROR(INDEX(TableQBMaster[TM],MATCH(TableQBCalcPts[[#This Row],[QBRef]],TableQBMaster[QBRef],0)),"")</f>
        <v/>
      </c>
      <c r="E98" s="189" t="str">
        <f>IFERROR(INDEX(TableQBMaster[BYE],MATCH(TableQBCalcPts[[#This Row],[QBRef]],TableQBMaster[QBRef],0)),"")</f>
        <v/>
      </c>
      <c r="F98" s="191" t="str">
        <f>IFERROR(INDEX(TableQBMaster[Custom],MATCH(TableQBCalcPts[[#This Row],[QBRef]],TableQBMaster[QBRef],0)),"")</f>
        <v/>
      </c>
      <c r="H98" s="189">
        <f>IFERROR(RANK(TableRBCalcPts[[#This Row],[Custom]],TableRBCalcPts[Custom])+COUNTIF($M$3:M98,M98)-1,"")</f>
        <v>110</v>
      </c>
      <c r="I98" s="189">
        <v>96</v>
      </c>
      <c r="J98" s="189" t="str">
        <f>IFERROR(INDEX(TableRBMaster[Player],MATCH(TableRBCalcPts[[#This Row],[RBRef]],TableRBMaster[RBRef],0)),"")</f>
        <v>Ty Johnson</v>
      </c>
      <c r="K98" s="189" t="str">
        <f>IFERROR(INDEX(TableRBMaster[TM],MATCH(TableRBCalcPts[[#This Row],[RBRef]],TableRBMaster[RBRef],0)),"")</f>
        <v>NYJ</v>
      </c>
      <c r="L98" s="189">
        <f>IFERROR(INDEX(TableRBMaster[BYE],MATCH(TableRBCalcPts[[#This Row],[RBRef]],TableRBMaster[RBRef],0)),"")</f>
        <v>10</v>
      </c>
      <c r="M98" s="191">
        <f>IFERROR(INDEX(TableRBMaster[Custom],MATCH(TableRBCalcPts[[#This Row],[RBRef]],TableRBMaster[RBRef],0)),"")</f>
        <v>11.452856067334441</v>
      </c>
      <c r="O98" s="189">
        <f>IFERROR(RANK(TableWRCalcPts[[#This Row],[Custom]],TableWRCalcPts[Custom])+COUNTIF($T$3:T98,T98)-1,"")</f>
        <v>86</v>
      </c>
      <c r="P98" s="189">
        <v>96</v>
      </c>
      <c r="Q98" s="189" t="str">
        <f>IFERROR(INDEX(TableWRMaster[Player],MATCH(TableWRCalcPts[[#This Row],[WRRef]],TableWRMaster[WRRef],0)),"")</f>
        <v>Jalen Guyton</v>
      </c>
      <c r="R98" s="189" t="str">
        <f>IFERROR(INDEX(TableWRMaster[TM],MATCH(TableWRCalcPts[[#This Row],[WRRef]],TableWRMaster[WRRef],0)),"")</f>
        <v>LAC</v>
      </c>
      <c r="S98" s="189">
        <f>IFERROR(INDEX(TableWRMaster[BYE],MATCH(TableWRCalcPts[[#This Row],[WRRef]],TableWRMaster[WRRef],0)),"")</f>
        <v>8</v>
      </c>
      <c r="T98" s="191">
        <f>IFERROR(INDEX(TableWRMaster[Custom],MATCH(TableWRCalcPts[[#This Row],[WRRef]],TableWRMaster[WRRef],0)),"")</f>
        <v>69.095204526235136</v>
      </c>
      <c r="V98" s="189" t="str">
        <f>IFERROR(RANK(TableTECalcPts[[#This Row],[Custom]],TableTECalcPts[Custom])+COUNTIF($AA$3:AA98,AA98)-1,"")</f>
        <v/>
      </c>
      <c r="W98" s="189">
        <v>96</v>
      </c>
      <c r="X98" s="189" t="str">
        <f>IFERROR(INDEX(TableTEMaster[Player],MATCH(TableTECalcPts[[#This Row],[TERef]],TableTEMaster[TERef],0)),"")</f>
        <v/>
      </c>
      <c r="Y98" s="189" t="str">
        <f>IFERROR(INDEX(TableTEMaster[TM],MATCH(TableTECalcPts[[#This Row],[TERef]],TableTEMaster[TERef],0)),"")</f>
        <v/>
      </c>
      <c r="Z98" s="189" t="str">
        <f>IFERROR(INDEX(TableTEMaster[BYE],MATCH(TableTECalcPts[[#This Row],[TERef]],TableTEMaster[TERef],0)),"")</f>
        <v/>
      </c>
      <c r="AA98" s="191" t="str">
        <f>IFERROR(INDEX(TableTEMaster[Custom],MATCH(TableTECalcPts[[#This Row],[TERef]],TableTEMaster[TERef],0)),"")</f>
        <v/>
      </c>
      <c r="AI98" s="221" t="s">
        <v>10</v>
      </c>
      <c r="AJ98" s="189" t="str">
        <f>IFERROR(RANK(TableWRTECalcPts[[#This Row],[Custom]],TableWRTECalcPts[Custom])+COUNTIF($AP$3:AP98,AP98)-1,"")</f>
        <v/>
      </c>
      <c r="AK98" s="189">
        <v>96</v>
      </c>
      <c r="AL98" s="189" t="str">
        <f>IFERROR(INDEX(TableTEMaster[Player],MATCH(TableWRTECalcPts[[#This Row],[POSRef]],TableTEMaster[TERef],0)),"")</f>
        <v/>
      </c>
      <c r="AM98" s="189" t="str">
        <f>IFERROR(_xlfn.CONCAT(TableWRTECalcPts[[#This Row],[POS]],INDEX(TableTERanks[RK],MATCH(TableWRTECalcPts[[#This Row],[PLAYER]],TableTERanks[Player],0))),"")</f>
        <v>TE93</v>
      </c>
      <c r="AN98" s="189" t="str">
        <f>IFERROR(INDEX(TableTEMaster[TM],MATCH(TableWRTECalcPts[[#This Row],[POSRef]],TableTEMaster[TERef],0)),"")</f>
        <v/>
      </c>
      <c r="AO98" s="189" t="str">
        <f>IFERROR(INDEX(TableTEMaster[BYE],MATCH(TableWRTECalcPts[[#This Row],[POSRef]],TableTEMaster[TERef],0)),"")</f>
        <v/>
      </c>
      <c r="AP98" s="191" t="str">
        <f>IFERROR(INDEX(TableTEMaster[Custom],MATCH(TableWRTECalcPts[[#This Row],[POSRef]],TableTEMaster[TERef],0)),"")</f>
        <v/>
      </c>
    </row>
    <row r="99" spans="1:42" x14ac:dyDescent="0.3">
      <c r="A99" s="198" t="str">
        <f>IFERROR(RANK(TableQBCalcPts[[#This Row],[Custom]],TableQBCalcPts[Custom])+COUNTIF($F$3:F99,F99)-1,"")</f>
        <v/>
      </c>
      <c r="B99" s="189">
        <v>97</v>
      </c>
      <c r="C99" s="189" t="str">
        <f>IFERROR(INDEX(TableQBMaster[Player],MATCH(TableQBCalcPts[[#This Row],[QBRef]],TableQBMaster[QBRef],0)),"")</f>
        <v/>
      </c>
      <c r="D99" s="189" t="str">
        <f>IFERROR(INDEX(TableQBMaster[TM],MATCH(TableQBCalcPts[[#This Row],[QBRef]],TableQBMaster[QBRef],0)),"")</f>
        <v/>
      </c>
      <c r="E99" s="189" t="str">
        <f>IFERROR(INDEX(TableQBMaster[BYE],MATCH(TableQBCalcPts[[#This Row],[QBRef]],TableQBMaster[QBRef],0)),"")</f>
        <v/>
      </c>
      <c r="F99" s="191" t="str">
        <f>IFERROR(INDEX(TableQBMaster[Custom],MATCH(TableQBCalcPts[[#This Row],[QBRef]],TableQBMaster[QBRef],0)),"")</f>
        <v/>
      </c>
      <c r="H99" s="189">
        <f>IFERROR(RANK(TableRBCalcPts[[#This Row],[Custom]],TableRBCalcPts[Custom])+COUNTIF($M$3:M99,M99)-1,"")</f>
        <v>33</v>
      </c>
      <c r="I99" s="189">
        <v>97</v>
      </c>
      <c r="J99" s="189" t="str">
        <f>IFERROR(INDEX(TableRBMaster[Player],MATCH(TableRBCalcPts[[#This Row],[RBRef]],TableRBMaster[RBRef],0)),"")</f>
        <v>Miles Sanders</v>
      </c>
      <c r="K99" s="189" t="str">
        <f>IFERROR(INDEX(TableRBMaster[TM],MATCH(TableRBCalcPts[[#This Row],[RBRef]],TableRBMaster[RBRef],0)),"")</f>
        <v>PHI</v>
      </c>
      <c r="L99" s="189">
        <f>IFERROR(INDEX(TableRBMaster[BYE],MATCH(TableRBCalcPts[[#This Row],[RBRef]],TableRBMaster[RBRef],0)),"")</f>
        <v>7</v>
      </c>
      <c r="M99" s="191">
        <f>IFERROR(INDEX(TableRBMaster[Custom],MATCH(TableRBCalcPts[[#This Row],[RBRef]],TableRBMaster[RBRef],0)),"")</f>
        <v>128.25968330598508</v>
      </c>
      <c r="O99" s="189">
        <f>IFERROR(RANK(TableWRCalcPts[[#This Row],[Custom]],TableWRCalcPts[Custom])+COUNTIF($T$3:T99,T99)-1,"")</f>
        <v>71</v>
      </c>
      <c r="P99" s="189">
        <v>97</v>
      </c>
      <c r="Q99" s="189" t="str">
        <f>IFERROR(INDEX(TableWRMaster[Player],MATCH(TableWRCalcPts[[#This Row],[WRRef]],TableWRMaster[WRRef],0)),"")</f>
        <v>Joshua Palmer</v>
      </c>
      <c r="R99" s="189" t="str">
        <f>IFERROR(INDEX(TableWRMaster[TM],MATCH(TableWRCalcPts[[#This Row],[WRRef]],TableWRMaster[WRRef],0)),"")</f>
        <v>LAC</v>
      </c>
      <c r="S99" s="189">
        <f>IFERROR(INDEX(TableWRMaster[BYE],MATCH(TableWRCalcPts[[#This Row],[WRRef]],TableWRMaster[WRRef],0)),"")</f>
        <v>8</v>
      </c>
      <c r="T99" s="191">
        <f>IFERROR(INDEX(TableWRMaster[Custom],MATCH(TableWRCalcPts[[#This Row],[WRRef]],TableWRMaster[WRRef],0)),"")</f>
        <v>86.180512483488769</v>
      </c>
      <c r="V99" s="189" t="str">
        <f>IFERROR(RANK(TableTECalcPts[[#This Row],[Custom]],TableTECalcPts[Custom])+COUNTIF($AA$3:AA99,AA99)-1,"")</f>
        <v/>
      </c>
      <c r="W99" s="189">
        <v>97</v>
      </c>
      <c r="X99" s="189" t="str">
        <f>IFERROR(INDEX(TableTEMaster[Player],MATCH(TableTECalcPts[[#This Row],[TERef]],TableTEMaster[TERef],0)),"")</f>
        <v/>
      </c>
      <c r="Y99" s="189" t="str">
        <f>IFERROR(INDEX(TableTEMaster[TM],MATCH(TableTECalcPts[[#This Row],[TERef]],TableTEMaster[TERef],0)),"")</f>
        <v/>
      </c>
      <c r="Z99" s="189" t="str">
        <f>IFERROR(INDEX(TableTEMaster[BYE],MATCH(TableTECalcPts[[#This Row],[TERef]],TableTEMaster[TERef],0)),"")</f>
        <v/>
      </c>
      <c r="AA99" s="191" t="str">
        <f>IFERROR(INDEX(TableTEMaster[Custom],MATCH(TableTECalcPts[[#This Row],[TERef]],TableTEMaster[TERef],0)),"")</f>
        <v/>
      </c>
      <c r="AI99" s="221" t="s">
        <v>10</v>
      </c>
      <c r="AJ99" s="189" t="str">
        <f>IFERROR(RANK(TableWRTECalcPts[[#This Row],[Custom]],TableWRTECalcPts[Custom])+COUNTIF($AP$3:AP99,AP99)-1,"")</f>
        <v/>
      </c>
      <c r="AK99" s="189">
        <v>97</v>
      </c>
      <c r="AL99" s="189" t="str">
        <f>IFERROR(INDEX(TableTEMaster[Player],MATCH(TableWRTECalcPts[[#This Row],[POSRef]],TableTEMaster[TERef],0)),"")</f>
        <v/>
      </c>
      <c r="AM99" s="189" t="str">
        <f>IFERROR(_xlfn.CONCAT(TableWRTECalcPts[[#This Row],[POS]],INDEX(TableTERanks[RK],MATCH(TableWRTECalcPts[[#This Row],[PLAYER]],TableTERanks[Player],0))),"")</f>
        <v>TE93</v>
      </c>
      <c r="AN99" s="189" t="str">
        <f>IFERROR(INDEX(TableTEMaster[TM],MATCH(TableWRTECalcPts[[#This Row],[POSRef]],TableTEMaster[TERef],0)),"")</f>
        <v/>
      </c>
      <c r="AO99" s="189" t="str">
        <f>IFERROR(INDEX(TableTEMaster[BYE],MATCH(TableWRTECalcPts[[#This Row],[POSRef]],TableTEMaster[TERef],0)),"")</f>
        <v/>
      </c>
      <c r="AP99" s="191" t="str">
        <f>IFERROR(INDEX(TableTEMaster[Custom],MATCH(TableWRTECalcPts[[#This Row],[POSRef]],TableTEMaster[TERef],0)),"")</f>
        <v/>
      </c>
    </row>
    <row r="100" spans="1:42" x14ac:dyDescent="0.3">
      <c r="A100" s="198" t="str">
        <f>IFERROR(RANK(TableQBCalcPts[[#This Row],[Custom]],TableQBCalcPts[Custom])+COUNTIF($F$3:F100,F100)-1,"")</f>
        <v/>
      </c>
      <c r="B100" s="189">
        <v>98</v>
      </c>
      <c r="C100" s="189" t="str">
        <f>IFERROR(INDEX(TableQBMaster[Player],MATCH(TableQBCalcPts[[#This Row],[QBRef]],TableQBMaster[QBRef],0)),"")</f>
        <v/>
      </c>
      <c r="D100" s="189" t="str">
        <f>IFERROR(INDEX(TableQBMaster[TM],MATCH(TableQBCalcPts[[#This Row],[QBRef]],TableQBMaster[QBRef],0)),"")</f>
        <v/>
      </c>
      <c r="E100" s="189" t="str">
        <f>IFERROR(INDEX(TableQBMaster[BYE],MATCH(TableQBCalcPts[[#This Row],[QBRef]],TableQBMaster[QBRef],0)),"")</f>
        <v/>
      </c>
      <c r="F100" s="191" t="str">
        <f>IFERROR(INDEX(TableQBMaster[Custom],MATCH(TableQBCalcPts[[#This Row],[QBRef]],TableQBMaster[QBRef],0)),"")</f>
        <v/>
      </c>
      <c r="H100" s="189">
        <f>IFERROR(RANK(TableRBCalcPts[[#This Row],[Custom]],TableRBCalcPts[Custom])+COUNTIF($M$3:M100,M100)-1,"")</f>
        <v>45</v>
      </c>
      <c r="I100" s="189">
        <v>98</v>
      </c>
      <c r="J100" s="189" t="str">
        <f>IFERROR(INDEX(TableRBMaster[Player],MATCH(TableRBCalcPts[[#This Row],[RBRef]],TableRBMaster[RBRef],0)),"")</f>
        <v>Kenneth Gainwell</v>
      </c>
      <c r="K100" s="189" t="str">
        <f>IFERROR(INDEX(TableRBMaster[TM],MATCH(TableRBCalcPts[[#This Row],[RBRef]],TableRBMaster[RBRef],0)),"")</f>
        <v>PHI</v>
      </c>
      <c r="L100" s="189">
        <f>IFERROR(INDEX(TableRBMaster[BYE],MATCH(TableRBCalcPts[[#This Row],[RBRef]],TableRBMaster[RBRef],0)),"")</f>
        <v>7</v>
      </c>
      <c r="M100" s="191">
        <f>IFERROR(INDEX(TableRBMaster[Custom],MATCH(TableRBCalcPts[[#This Row],[RBRef]],TableRBMaster[RBRef],0)),"")</f>
        <v>97.466462689647429</v>
      </c>
      <c r="O100" s="189">
        <f>IFERROR(RANK(TableWRCalcPts[[#This Row],[Custom]],TableWRCalcPts[Custom])+COUNTIF($T$3:T100,T100)-1,"")</f>
        <v>154</v>
      </c>
      <c r="P100" s="189">
        <v>98</v>
      </c>
      <c r="Q100" s="189" t="str">
        <f>IFERROR(INDEX(TableWRMaster[Player],MATCH(TableWRCalcPts[[#This Row],[WRRef]],TableWRMaster[WRRef],0)),"")</f>
        <v>DeAndre Carter</v>
      </c>
      <c r="R100" s="189" t="str">
        <f>IFERROR(INDEX(TableWRMaster[TM],MATCH(TableWRCalcPts[[#This Row],[WRRef]],TableWRMaster[WRRef],0)),"")</f>
        <v>LAC</v>
      </c>
      <c r="S100" s="189">
        <f>IFERROR(INDEX(TableWRMaster[BYE],MATCH(TableWRCalcPts[[#This Row],[WRRef]],TableWRMaster[WRRef],0)),"")</f>
        <v>8</v>
      </c>
      <c r="T100" s="191">
        <f>IFERROR(INDEX(TableWRMaster[Custom],MATCH(TableWRCalcPts[[#This Row],[WRRef]],TableWRMaster[WRRef],0)),"")</f>
        <v>13.327148477988143</v>
      </c>
      <c r="V100" s="189" t="str">
        <f>IFERROR(RANK(TableTECalcPts[[#This Row],[Custom]],TableTECalcPts[Custom])+COUNTIF($AA$3:AA100,AA100)-1,"")</f>
        <v/>
      </c>
      <c r="W100" s="189">
        <v>98</v>
      </c>
      <c r="X100" s="189" t="str">
        <f>IFERROR(INDEX(TableTEMaster[Player],MATCH(TableTECalcPts[[#This Row],[TERef]],TableTEMaster[TERef],0)),"")</f>
        <v/>
      </c>
      <c r="Y100" s="189" t="str">
        <f>IFERROR(INDEX(TableTEMaster[TM],MATCH(TableTECalcPts[[#This Row],[TERef]],TableTEMaster[TERef],0)),"")</f>
        <v/>
      </c>
      <c r="Z100" s="189" t="str">
        <f>IFERROR(INDEX(TableTEMaster[BYE],MATCH(TableTECalcPts[[#This Row],[TERef]],TableTEMaster[TERef],0)),"")</f>
        <v/>
      </c>
      <c r="AA100" s="191" t="str">
        <f>IFERROR(INDEX(TableTEMaster[Custom],MATCH(TableTECalcPts[[#This Row],[TERef]],TableTEMaster[TERef],0)),"")</f>
        <v/>
      </c>
      <c r="AI100" s="221" t="s">
        <v>10</v>
      </c>
      <c r="AJ100" s="189" t="str">
        <f>IFERROR(RANK(TableWRTECalcPts[[#This Row],[Custom]],TableWRTECalcPts[Custom])+COUNTIF($AP$3:AP100,AP100)-1,"")</f>
        <v/>
      </c>
      <c r="AK100" s="189">
        <v>98</v>
      </c>
      <c r="AL100" s="189" t="str">
        <f>IFERROR(INDEX(TableTEMaster[Player],MATCH(TableWRTECalcPts[[#This Row],[POSRef]],TableTEMaster[TERef],0)),"")</f>
        <v/>
      </c>
      <c r="AM100" s="189" t="str">
        <f>IFERROR(_xlfn.CONCAT(TableWRTECalcPts[[#This Row],[POS]],INDEX(TableTERanks[RK],MATCH(TableWRTECalcPts[[#This Row],[PLAYER]],TableTERanks[Player],0))),"")</f>
        <v>TE93</v>
      </c>
      <c r="AN100" s="189" t="str">
        <f>IFERROR(INDEX(TableTEMaster[TM],MATCH(TableWRTECalcPts[[#This Row],[POSRef]],TableTEMaster[TERef],0)),"")</f>
        <v/>
      </c>
      <c r="AO100" s="189" t="str">
        <f>IFERROR(INDEX(TableTEMaster[BYE],MATCH(TableWRTECalcPts[[#This Row],[POSRef]],TableTEMaster[TERef],0)),"")</f>
        <v/>
      </c>
      <c r="AP100" s="191" t="str">
        <f>IFERROR(INDEX(TableTEMaster[Custom],MATCH(TableWRTECalcPts[[#This Row],[POSRef]],TableTEMaster[TERef],0)),"")</f>
        <v/>
      </c>
    </row>
    <row r="101" spans="1:42" x14ac:dyDescent="0.3">
      <c r="A101" s="198" t="str">
        <f>IFERROR(RANK(TableQBCalcPts[[#This Row],[Custom]],TableQBCalcPts[Custom])+COUNTIF($F$3:F101,F101)-1,"")</f>
        <v/>
      </c>
      <c r="B101" s="189">
        <v>99</v>
      </c>
      <c r="C101" s="189" t="str">
        <f>IFERROR(INDEX(TableQBMaster[Player],MATCH(TableQBCalcPts[[#This Row],[QBRef]],TableQBMaster[QBRef],0)),"")</f>
        <v/>
      </c>
      <c r="D101" s="189" t="str">
        <f>IFERROR(INDEX(TableQBMaster[TM],MATCH(TableQBCalcPts[[#This Row],[QBRef]],TableQBMaster[QBRef],0)),"")</f>
        <v/>
      </c>
      <c r="E101" s="189" t="str">
        <f>IFERROR(INDEX(TableQBMaster[BYE],MATCH(TableQBCalcPts[[#This Row],[QBRef]],TableQBMaster[QBRef],0)),"")</f>
        <v/>
      </c>
      <c r="F101" s="191" t="str">
        <f>IFERROR(INDEX(TableQBMaster[Custom],MATCH(TableQBCalcPts[[#This Row],[QBRef]],TableQBMaster[QBRef],0)),"")</f>
        <v/>
      </c>
      <c r="H101" s="189">
        <f>IFERROR(RANK(TableRBCalcPts[[#This Row],[Custom]],TableRBCalcPts[Custom])+COUNTIF($M$3:M101,M101)-1,"")</f>
        <v>63</v>
      </c>
      <c r="I101" s="189">
        <v>99</v>
      </c>
      <c r="J101" s="189" t="str">
        <f>IFERROR(INDEX(TableRBMaster[Player],MATCH(TableRBCalcPts[[#This Row],[RBRef]],TableRBMaster[RBRef],0)),"")</f>
        <v>Boston Scott</v>
      </c>
      <c r="K101" s="189" t="str">
        <f>IFERROR(INDEX(TableRBMaster[TM],MATCH(TableRBCalcPts[[#This Row],[RBRef]],TableRBMaster[RBRef],0)),"")</f>
        <v>PHI</v>
      </c>
      <c r="L101" s="189">
        <f>IFERROR(INDEX(TableRBMaster[BYE],MATCH(TableRBCalcPts[[#This Row],[RBRef]],TableRBMaster[RBRef],0)),"")</f>
        <v>7</v>
      </c>
      <c r="M101" s="191">
        <f>IFERROR(INDEX(TableRBMaster[Custom],MATCH(TableRBCalcPts[[#This Row],[RBRef]],TableRBMaster[RBRef],0)),"")</f>
        <v>59.282920955883633</v>
      </c>
      <c r="O101" s="189">
        <f>IFERROR(RANK(TableWRCalcPts[[#This Row],[Custom]],TableWRCalcPts[Custom])+COUNTIF($T$3:T101,T101)-1,"")</f>
        <v>173</v>
      </c>
      <c r="P101" s="189">
        <v>99</v>
      </c>
      <c r="Q101" s="189" t="str">
        <f>IFERROR(INDEX(TableWRMaster[Player],MATCH(TableWRCalcPts[[#This Row],[WRRef]],TableWRMaster[WRRef],0)),"")</f>
        <v>Jason Moore</v>
      </c>
      <c r="R101" s="189" t="str">
        <f>IFERROR(INDEX(TableWRMaster[TM],MATCH(TableWRCalcPts[[#This Row],[WRRef]],TableWRMaster[WRRef],0)),"")</f>
        <v>LAC</v>
      </c>
      <c r="S101" s="189">
        <f>IFERROR(INDEX(TableWRMaster[BYE],MATCH(TableWRCalcPts[[#This Row],[WRRef]],TableWRMaster[WRRef],0)),"")</f>
        <v>8</v>
      </c>
      <c r="T101" s="191">
        <f>IFERROR(INDEX(TableWRMaster[Custom],MATCH(TableWRCalcPts[[#This Row],[WRRef]],TableWRMaster[WRRef],0)),"")</f>
        <v>8.9314553250464517</v>
      </c>
      <c r="V101" s="189" t="str">
        <f>IFERROR(RANK(TableTECalcPts[[#This Row],[Custom]],TableTECalcPts[Custom])+COUNTIF($AA$3:AA101,AA101)-1,"")</f>
        <v/>
      </c>
      <c r="W101" s="189">
        <v>99</v>
      </c>
      <c r="X101" s="189" t="str">
        <f>IFERROR(INDEX(TableTEMaster[Player],MATCH(TableTECalcPts[[#This Row],[TERef]],TableTEMaster[TERef],0)),"")</f>
        <v/>
      </c>
      <c r="Y101" s="189" t="str">
        <f>IFERROR(INDEX(TableTEMaster[TM],MATCH(TableTECalcPts[[#This Row],[TERef]],TableTEMaster[TERef],0)),"")</f>
        <v/>
      </c>
      <c r="Z101" s="189" t="str">
        <f>IFERROR(INDEX(TableTEMaster[BYE],MATCH(TableTECalcPts[[#This Row],[TERef]],TableTEMaster[TERef],0)),"")</f>
        <v/>
      </c>
      <c r="AA101" s="191" t="str">
        <f>IFERROR(INDEX(TableTEMaster[Custom],MATCH(TableTECalcPts[[#This Row],[TERef]],TableTEMaster[TERef],0)),"")</f>
        <v/>
      </c>
      <c r="AI101" s="221" t="s">
        <v>10</v>
      </c>
      <c r="AJ101" s="189" t="str">
        <f>IFERROR(RANK(TableWRTECalcPts[[#This Row],[Custom]],TableWRTECalcPts[Custom])+COUNTIF($AP$3:AP101,AP101)-1,"")</f>
        <v/>
      </c>
      <c r="AK101" s="189">
        <v>99</v>
      </c>
      <c r="AL101" s="189" t="str">
        <f>IFERROR(INDEX(TableTEMaster[Player],MATCH(TableWRTECalcPts[[#This Row],[POSRef]],TableTEMaster[TERef],0)),"")</f>
        <v/>
      </c>
      <c r="AM101" s="189" t="str">
        <f>IFERROR(_xlfn.CONCAT(TableWRTECalcPts[[#This Row],[POS]],INDEX(TableTERanks[RK],MATCH(TableWRTECalcPts[[#This Row],[PLAYER]],TableTERanks[Player],0))),"")</f>
        <v>TE93</v>
      </c>
      <c r="AN101" s="189" t="str">
        <f>IFERROR(INDEX(TableTEMaster[TM],MATCH(TableWRTECalcPts[[#This Row],[POSRef]],TableTEMaster[TERef],0)),"")</f>
        <v/>
      </c>
      <c r="AO101" s="189" t="str">
        <f>IFERROR(INDEX(TableTEMaster[BYE],MATCH(TableWRTECalcPts[[#This Row],[POSRef]],TableTEMaster[TERef],0)),"")</f>
        <v/>
      </c>
      <c r="AP101" s="191" t="str">
        <f>IFERROR(INDEX(TableTEMaster[Custom],MATCH(TableWRTECalcPts[[#This Row],[POSRef]],TableTEMaster[TERef],0)),"")</f>
        <v/>
      </c>
    </row>
    <row r="102" spans="1:42" x14ac:dyDescent="0.3">
      <c r="A102" s="198" t="str">
        <f>IFERROR(RANK(TableQBCalcPts[[#This Row],[Custom]],TableQBCalcPts[Custom])+COUNTIF($F$3:F102,F102)-1,"")</f>
        <v/>
      </c>
      <c r="B102" s="189">
        <v>100</v>
      </c>
      <c r="C102" s="189" t="str">
        <f>IFERROR(INDEX(TableQBMaster[Player],MATCH(TableQBCalcPts[[#This Row],[QBRef]],TableQBMaster[QBRef],0)),"")</f>
        <v/>
      </c>
      <c r="D102" s="189" t="str">
        <f>IFERROR(INDEX(TableQBMaster[TM],MATCH(TableQBCalcPts[[#This Row],[QBRef]],TableQBMaster[QBRef],0)),"")</f>
        <v/>
      </c>
      <c r="E102" s="189" t="str">
        <f>IFERROR(INDEX(TableQBMaster[BYE],MATCH(TableQBCalcPts[[#This Row],[QBRef]],TableQBMaster[QBRef],0)),"")</f>
        <v/>
      </c>
      <c r="F102" s="191" t="str">
        <f>IFERROR(INDEX(TableQBMaster[Custom],MATCH(TableQBCalcPts[[#This Row],[QBRef]],TableQBMaster[QBRef],0)),"")</f>
        <v/>
      </c>
      <c r="H102" s="189">
        <f>IFERROR(RANK(TableRBCalcPts[[#This Row],[Custom]],TableRBCalcPts[Custom])+COUNTIF($M$3:M102,M102)-1,"")</f>
        <v>120</v>
      </c>
      <c r="I102" s="189">
        <v>100</v>
      </c>
      <c r="J102" s="189" t="str">
        <f>IFERROR(INDEX(TableRBMaster[Player],MATCH(TableRBCalcPts[[#This Row],[RBRef]],TableRBMaster[RBRef],0)),"")</f>
        <v>Kennedy Brooks</v>
      </c>
      <c r="K102" s="189" t="str">
        <f>IFERROR(INDEX(TableRBMaster[TM],MATCH(TableRBCalcPts[[#This Row],[RBRef]],TableRBMaster[RBRef],0)),"")</f>
        <v>PHI</v>
      </c>
      <c r="L102" s="189">
        <f>IFERROR(INDEX(TableRBMaster[BYE],MATCH(TableRBCalcPts[[#This Row],[RBRef]],TableRBMaster[RBRef],0)),"")</f>
        <v>7</v>
      </c>
      <c r="M102" s="191">
        <f>IFERROR(INDEX(TableRBMaster[Custom],MATCH(TableRBCalcPts[[#This Row],[RBRef]],TableRBMaster[RBRef],0)),"")</f>
        <v>6.7061968142944002</v>
      </c>
      <c r="O102" s="189">
        <f>IFERROR(RANK(TableWRCalcPts[[#This Row],[Custom]],TableWRCalcPts[Custom])+COUNTIF($T$3:T102,T102)-1,"")</f>
        <v>17</v>
      </c>
      <c r="P102" s="189">
        <v>100</v>
      </c>
      <c r="Q102" s="189" t="str">
        <f>IFERROR(INDEX(TableWRMaster[Player],MATCH(TableWRCalcPts[[#This Row],[WRRef]],TableWRMaster[WRRef],0)),"")</f>
        <v>Allen Robinson</v>
      </c>
      <c r="R102" s="189" t="str">
        <f>IFERROR(INDEX(TableWRMaster[TM],MATCH(TableWRCalcPts[[#This Row],[WRRef]],TableWRMaster[WRRef],0)),"")</f>
        <v>LAR</v>
      </c>
      <c r="S102" s="189">
        <f>IFERROR(INDEX(TableWRMaster[BYE],MATCH(TableWRCalcPts[[#This Row],[WRRef]],TableWRMaster[WRRef],0)),"")</f>
        <v>7</v>
      </c>
      <c r="T102" s="191">
        <f>IFERROR(INDEX(TableWRMaster[Custom],MATCH(TableWRCalcPts[[#This Row],[WRRef]],TableWRMaster[WRRef],0)),"")</f>
        <v>150.34659128848409</v>
      </c>
      <c r="V102" s="189" t="str">
        <f>IFERROR(RANK(TableTECalcPts[[#This Row],[Custom]],TableTECalcPts[Custom])+COUNTIF($AA$3:AA102,AA102)-1,"")</f>
        <v/>
      </c>
      <c r="W102" s="189">
        <v>100</v>
      </c>
      <c r="X102" s="189" t="str">
        <f>IFERROR(INDEX(TableTEMaster[Player],MATCH(TableTECalcPts[[#This Row],[TERef]],TableTEMaster[TERef],0)),"")</f>
        <v/>
      </c>
      <c r="Y102" s="189" t="str">
        <f>IFERROR(INDEX(TableTEMaster[TM],MATCH(TableTECalcPts[[#This Row],[TERef]],TableTEMaster[TERef],0)),"")</f>
        <v/>
      </c>
      <c r="Z102" s="189" t="str">
        <f>IFERROR(INDEX(TableTEMaster[BYE],MATCH(TableTECalcPts[[#This Row],[TERef]],TableTEMaster[TERef],0)),"")</f>
        <v/>
      </c>
      <c r="AA102" s="191" t="str">
        <f>IFERROR(INDEX(TableTEMaster[Custom],MATCH(TableTECalcPts[[#This Row],[TERef]],TableTEMaster[TERef],0)),"")</f>
        <v/>
      </c>
      <c r="AI102" s="221" t="s">
        <v>10</v>
      </c>
      <c r="AJ102" s="189" t="str">
        <f>IFERROR(RANK(TableWRTECalcPts[[#This Row],[Custom]],TableWRTECalcPts[Custom])+COUNTIF($AP$3:AP102,AP102)-1,"")</f>
        <v/>
      </c>
      <c r="AK102" s="189">
        <v>100</v>
      </c>
      <c r="AL102" s="189" t="str">
        <f>IFERROR(INDEX(TableTEMaster[Player],MATCH(TableWRTECalcPts[[#This Row],[POSRef]],TableTEMaster[TERef],0)),"")</f>
        <v/>
      </c>
      <c r="AM102" s="189" t="str">
        <f>IFERROR(_xlfn.CONCAT(TableWRTECalcPts[[#This Row],[POS]],INDEX(TableTERanks[RK],MATCH(TableWRTECalcPts[[#This Row],[PLAYER]],TableTERanks[Player],0))),"")</f>
        <v>TE93</v>
      </c>
      <c r="AN102" s="189" t="str">
        <f>IFERROR(INDEX(TableTEMaster[TM],MATCH(TableWRTECalcPts[[#This Row],[POSRef]],TableTEMaster[TERef],0)),"")</f>
        <v/>
      </c>
      <c r="AO102" s="189" t="str">
        <f>IFERROR(INDEX(TableTEMaster[BYE],MATCH(TableWRTECalcPts[[#This Row],[POSRef]],TableTEMaster[TERef],0)),"")</f>
        <v/>
      </c>
      <c r="AP102" s="191" t="str">
        <f>IFERROR(INDEX(TableTEMaster[Custom],MATCH(TableWRTECalcPts[[#This Row],[POSRef]],TableTEMaster[TERef],0)),"")</f>
        <v/>
      </c>
    </row>
    <row r="103" spans="1:42" x14ac:dyDescent="0.3">
      <c r="H103" s="189">
        <f>IFERROR(RANK(TableRBCalcPts[[#This Row],[Custom]],TableRBCalcPts[Custom])+COUNTIF($M$3:M103,M103)-1,"")</f>
        <v>4</v>
      </c>
      <c r="I103" s="189">
        <v>101</v>
      </c>
      <c r="J103" s="189" t="str">
        <f>IFERROR(INDEX(TableRBMaster[Player],MATCH(TableRBCalcPts[[#This Row],[RBRef]],TableRBMaster[RBRef],0)),"")</f>
        <v>Najee Harris</v>
      </c>
      <c r="K103" s="189" t="str">
        <f>IFERROR(INDEX(TableRBMaster[TM],MATCH(TableRBCalcPts[[#This Row],[RBRef]],TableRBMaster[RBRef],0)),"")</f>
        <v>PIT</v>
      </c>
      <c r="L103" s="189">
        <f>IFERROR(INDEX(TableRBMaster[BYE],MATCH(TableRBCalcPts[[#This Row],[RBRef]],TableRBMaster[RBRef],0)),"")</f>
        <v>9</v>
      </c>
      <c r="M103" s="191">
        <f>IFERROR(INDEX(TableRBMaster[Custom],MATCH(TableRBCalcPts[[#This Row],[RBRef]],TableRBMaster[RBRef],0)),"")</f>
        <v>242.15741386619138</v>
      </c>
      <c r="O103" s="189">
        <f>IFERROR(RANK(TableWRCalcPts[[#This Row],[Custom]],TableWRCalcPts[Custom])+COUNTIF($T$3:T103,T103)-1,"")</f>
        <v>1</v>
      </c>
      <c r="P103" s="189">
        <v>101</v>
      </c>
      <c r="Q103" s="189" t="str">
        <f>IFERROR(INDEX(TableWRMaster[Player],MATCH(TableWRCalcPts[[#This Row],[WRRef]],TableWRMaster[WRRef],0)),"")</f>
        <v>Cooper Kupp</v>
      </c>
      <c r="R103" s="189" t="str">
        <f>IFERROR(INDEX(TableWRMaster[TM],MATCH(TableWRCalcPts[[#This Row],[WRRef]],TableWRMaster[WRRef],0)),"")</f>
        <v>LAR</v>
      </c>
      <c r="S103" s="189">
        <f>IFERROR(INDEX(TableWRMaster[BYE],MATCH(TableWRCalcPts[[#This Row],[WRRef]],TableWRMaster[WRRef],0)),"")</f>
        <v>7</v>
      </c>
      <c r="T103" s="191">
        <f>IFERROR(INDEX(TableWRMaster[Custom],MATCH(TableWRCalcPts[[#This Row],[WRRef]],TableWRMaster[WRRef],0)),"")</f>
        <v>238.89381844067441</v>
      </c>
      <c r="AI103" s="221" t="s">
        <v>358</v>
      </c>
      <c r="AJ103" s="189">
        <f>IFERROR(RANK(TableWRTECalcPts[[#This Row],[Custom]],TableWRTECalcPts[Custom])+COUNTIF($AP$3:AP103,AP103)-1,"")</f>
        <v>66</v>
      </c>
      <c r="AK103" s="218">
        <v>1</v>
      </c>
      <c r="AL103" s="219" t="str">
        <f>IFERROR(INDEX(TableWRMaster[Player],MATCH(TableWRTECalcPts[[#This Row],[POSRef]],TableWRMaster[WRRef],0)),"")</f>
        <v>DeAndre Hopkins</v>
      </c>
      <c r="AM103" s="219" t="str">
        <f>IFERROR(_xlfn.CONCAT(TableWRTECalcPts[[#This Row],[POS]],INDEX(TableWRRanks[RK],MATCH(TableWRTECalcPts[[#This Row],[PLAYER]],TableWRRanks[Player],0))),"")</f>
        <v>WR56</v>
      </c>
      <c r="AN103" s="219" t="str">
        <f>IFERROR(INDEX(TableWRMaster[TM],MATCH(TableWRTECalcPts[[#This Row],[POSRef]],TableWRMaster[WRRef],0)),"")</f>
        <v>ARI</v>
      </c>
      <c r="AO103" s="219">
        <f>IFERROR(INDEX(TableWRMaster[BYE],MATCH(TableWRTECalcPts[[#This Row],[POSRef]],TableWRMaster[WRRef],0)),"")</f>
        <v>13</v>
      </c>
      <c r="AP103" s="220">
        <f>IFERROR(INDEX(TableWRMaster[Custom],MATCH(TableWRTECalcPts[[#This Row],[POSRef]],TableWRMaster[WRRef],0)),"")</f>
        <v>101.49414320839625</v>
      </c>
    </row>
    <row r="104" spans="1:42" x14ac:dyDescent="0.3">
      <c r="H104" s="189">
        <f>IFERROR(RANK(TableRBCalcPts[[#This Row],[Custom]],TableRBCalcPts[Custom])+COUNTIF($M$3:M104,M104)-1,"")</f>
        <v>94</v>
      </c>
      <c r="I104" s="189">
        <v>102</v>
      </c>
      <c r="J104" s="189" t="str">
        <f>IFERROR(INDEX(TableRBMaster[Player],MATCH(TableRBCalcPts[[#This Row],[RBRef]],TableRBMaster[RBRef],0)),"")</f>
        <v>Benny Snell</v>
      </c>
      <c r="K104" s="189" t="str">
        <f>IFERROR(INDEX(TableRBMaster[TM],MATCH(TableRBCalcPts[[#This Row],[RBRef]],TableRBMaster[RBRef],0)),"")</f>
        <v>PIT</v>
      </c>
      <c r="L104" s="189">
        <f>IFERROR(INDEX(TableRBMaster[BYE],MATCH(TableRBCalcPts[[#This Row],[RBRef]],TableRBMaster[RBRef],0)),"")</f>
        <v>9</v>
      </c>
      <c r="M104" s="191">
        <f>IFERROR(INDEX(TableRBMaster[Custom],MATCH(TableRBCalcPts[[#This Row],[RBRef]],TableRBMaster[RBRef],0)),"")</f>
        <v>17.493678221063099</v>
      </c>
      <c r="O104" s="189">
        <f>IFERROR(RANK(TableWRCalcPts[[#This Row],[Custom]],TableWRCalcPts[Custom])+COUNTIF($T$3:T104,T104)-1,"")</f>
        <v>52</v>
      </c>
      <c r="P104" s="189">
        <v>102</v>
      </c>
      <c r="Q104" s="189" t="str">
        <f>IFERROR(INDEX(TableWRMaster[Player],MATCH(TableWRCalcPts[[#This Row],[WRRef]],TableWRMaster[WRRef],0)),"")</f>
        <v>Van Jefferson</v>
      </c>
      <c r="R104" s="189" t="str">
        <f>IFERROR(INDEX(TableWRMaster[TM],MATCH(TableWRCalcPts[[#This Row],[WRRef]],TableWRMaster[WRRef],0)),"")</f>
        <v>LAR</v>
      </c>
      <c r="S104" s="189">
        <f>IFERROR(INDEX(TableWRMaster[BYE],MATCH(TableWRCalcPts[[#This Row],[WRRef]],TableWRMaster[WRRef],0)),"")</f>
        <v>7</v>
      </c>
      <c r="T104" s="191">
        <f>IFERROR(INDEX(TableWRMaster[Custom],MATCH(TableWRCalcPts[[#This Row],[WRRef]],TableWRMaster[WRRef],0)),"")</f>
        <v>106.76394680560256</v>
      </c>
      <c r="AI104" s="221" t="s">
        <v>358</v>
      </c>
      <c r="AJ104" s="189">
        <f>IFERROR(RANK(TableWRTECalcPts[[#This Row],[Custom]],TableWRTECalcPts[Custom])+COUNTIF($AP$3:AP104,AP104)-1,"")</f>
        <v>41</v>
      </c>
      <c r="AK104" s="218">
        <v>2</v>
      </c>
      <c r="AL104" s="219" t="str">
        <f>IFERROR(INDEX(TableWRMaster[Player],MATCH(TableWRTECalcPts[[#This Row],[POSRef]],TableWRMaster[WRRef],0)),"")</f>
        <v>Marquise Brown</v>
      </c>
      <c r="AM104" s="219" t="str">
        <f>IFERROR(_xlfn.CONCAT(TableWRTECalcPts[[#This Row],[POS]],INDEX(TableWRRanks[RK],MATCH(TableWRTECalcPts[[#This Row],[PLAYER]],TableWRRanks[Player],0))),"")</f>
        <v>WR37</v>
      </c>
      <c r="AN104" s="219" t="str">
        <f>IFERROR(INDEX(TableWRMaster[TM],MATCH(TableWRTECalcPts[[#This Row],[POSRef]],TableWRMaster[WRRef],0)),"")</f>
        <v>ARI</v>
      </c>
      <c r="AO104" s="219">
        <f>IFERROR(INDEX(TableWRMaster[BYE],MATCH(TableWRTECalcPts[[#This Row],[POSRef]],TableWRMaster[WRRef],0)),"")</f>
        <v>13</v>
      </c>
      <c r="AP104" s="220">
        <f>IFERROR(INDEX(TableWRMaster[Custom],MATCH(TableWRTECalcPts[[#This Row],[POSRef]],TableWRMaster[WRRef],0)),"")</f>
        <v>131.59638525679199</v>
      </c>
    </row>
    <row r="105" spans="1:42" x14ac:dyDescent="0.3">
      <c r="H105" s="189">
        <f>IFERROR(RANK(TableRBCalcPts[[#This Row],[Custom]],TableRBCalcPts[Custom])+COUNTIF($M$3:M105,M105)-1,"")</f>
        <v>121</v>
      </c>
      <c r="I105" s="189">
        <v>103</v>
      </c>
      <c r="J105" s="189" t="str">
        <f>IFERROR(INDEX(TableRBMaster[Player],MATCH(TableRBCalcPts[[#This Row],[RBRef]],TableRBMaster[RBRef],0)),"")</f>
        <v>Anthony McFarland</v>
      </c>
      <c r="K105" s="189" t="str">
        <f>IFERROR(INDEX(TableRBMaster[TM],MATCH(TableRBCalcPts[[#This Row],[RBRef]],TableRBMaster[RBRef],0)),"")</f>
        <v>PIT</v>
      </c>
      <c r="L105" s="189">
        <f>IFERROR(INDEX(TableRBMaster[BYE],MATCH(TableRBCalcPts[[#This Row],[RBRef]],TableRBMaster[RBRef],0)),"")</f>
        <v>9</v>
      </c>
      <c r="M105" s="191">
        <f>IFERROR(INDEX(TableRBMaster[Custom],MATCH(TableRBCalcPts[[#This Row],[RBRef]],TableRBMaster[RBRef],0)),"")</f>
        <v>6.3171757321495008</v>
      </c>
      <c r="O105" s="189">
        <f>IFERROR(RANK(TableWRCalcPts[[#This Row],[Custom]],TableWRCalcPts[Custom])+COUNTIF($T$3:T105,T105)-1,"")</f>
        <v>129</v>
      </c>
      <c r="P105" s="189">
        <v>103</v>
      </c>
      <c r="Q105" s="189" t="str">
        <f>IFERROR(INDEX(TableWRMaster[Player],MATCH(TableWRCalcPts[[#This Row],[WRRef]],TableWRMaster[WRRef],0)),"")</f>
        <v>Ben Skowronek</v>
      </c>
      <c r="R105" s="189" t="str">
        <f>IFERROR(INDEX(TableWRMaster[TM],MATCH(TableWRCalcPts[[#This Row],[WRRef]],TableWRMaster[WRRef],0)),"")</f>
        <v>LAR</v>
      </c>
      <c r="S105" s="189">
        <f>IFERROR(INDEX(TableWRMaster[BYE],MATCH(TableWRCalcPts[[#This Row],[WRRef]],TableWRMaster[WRRef],0)),"")</f>
        <v>7</v>
      </c>
      <c r="T105" s="191">
        <f>IFERROR(INDEX(TableWRMaster[Custom],MATCH(TableWRCalcPts[[#This Row],[WRRef]],TableWRMaster[WRRef],0)),"")</f>
        <v>22.067779718861189</v>
      </c>
      <c r="AI105" s="221" t="s">
        <v>358</v>
      </c>
      <c r="AJ105" s="189">
        <f>IFERROR(RANK(TableWRTECalcPts[[#This Row],[Custom]],TableWRTECalcPts[Custom])+COUNTIF($AP$3:AP105,AP105)-1,"")</f>
        <v>81</v>
      </c>
      <c r="AK105" s="218">
        <v>3</v>
      </c>
      <c r="AL105" s="219" t="str">
        <f>IFERROR(INDEX(TableWRMaster[Player],MATCH(TableWRTECalcPts[[#This Row],[POSRef]],TableWRMaster[WRRef],0)),"")</f>
        <v>Rondale Moore</v>
      </c>
      <c r="AM105" s="219" t="str">
        <f>IFERROR(_xlfn.CONCAT(TableWRTECalcPts[[#This Row],[POS]],INDEX(TableWRRanks[RK],MATCH(TableWRTECalcPts[[#This Row],[PLAYER]],TableWRRanks[Player],0))),"")</f>
        <v>WR65</v>
      </c>
      <c r="AN105" s="219" t="str">
        <f>IFERROR(INDEX(TableWRMaster[TM],MATCH(TableWRTECalcPts[[#This Row],[POSRef]],TableWRMaster[WRRef],0)),"")</f>
        <v>ARI</v>
      </c>
      <c r="AO105" s="219">
        <f>IFERROR(INDEX(TableWRMaster[BYE],MATCH(TableWRTECalcPts[[#This Row],[POSRef]],TableWRMaster[WRRef],0)),"")</f>
        <v>13</v>
      </c>
      <c r="AP105" s="220">
        <f>IFERROR(INDEX(TableWRMaster[Custom],MATCH(TableWRTECalcPts[[#This Row],[POSRef]],TableWRMaster[WRRef],0)),"")</f>
        <v>92.583937690627096</v>
      </c>
    </row>
    <row r="106" spans="1:42" x14ac:dyDescent="0.3">
      <c r="H106" s="189">
        <f>IFERROR(RANK(TableRBCalcPts[[#This Row],[Custom]],TableRBCalcPts[Custom])+COUNTIF($M$3:M106,M106)-1,"")</f>
        <v>115</v>
      </c>
      <c r="I106" s="189">
        <v>104</v>
      </c>
      <c r="J106" s="189" t="str">
        <f>IFERROR(INDEX(TableRBMaster[Player],MATCH(TableRBCalcPts[[#This Row],[RBRef]],TableRBMaster[RBRef],0)),"")</f>
        <v>Mateo Durant</v>
      </c>
      <c r="K106" s="189" t="str">
        <f>IFERROR(INDEX(TableRBMaster[TM],MATCH(TableRBCalcPts[[#This Row],[RBRef]],TableRBMaster[RBRef],0)),"")</f>
        <v>PIT</v>
      </c>
      <c r="L106" s="189">
        <f>IFERROR(INDEX(TableRBMaster[BYE],MATCH(TableRBCalcPts[[#This Row],[RBRef]],TableRBMaster[RBRef],0)),"")</f>
        <v>9</v>
      </c>
      <c r="M106" s="191">
        <f>IFERROR(INDEX(TableRBMaster[Custom],MATCH(TableRBCalcPts[[#This Row],[RBRef]],TableRBMaster[RBRef],0)),"")</f>
        <v>8.5881778728159155</v>
      </c>
      <c r="O106" s="189">
        <f>IFERROR(RANK(TableWRCalcPts[[#This Row],[Custom]],TableWRCalcPts[Custom])+COUNTIF($T$3:T106,T106)-1,"")</f>
        <v>141</v>
      </c>
      <c r="P106" s="189">
        <v>104</v>
      </c>
      <c r="Q106" s="189" t="str">
        <f>IFERROR(INDEX(TableWRMaster[Player],MATCH(TableWRCalcPts[[#This Row],[WRRef]],TableWRMaster[WRRef],0)),"")</f>
        <v>Tutu Atwell</v>
      </c>
      <c r="R106" s="189" t="str">
        <f>IFERROR(INDEX(TableWRMaster[TM],MATCH(TableWRCalcPts[[#This Row],[WRRef]],TableWRMaster[WRRef],0)),"")</f>
        <v>LAR</v>
      </c>
      <c r="S106" s="189">
        <f>IFERROR(INDEX(TableWRMaster[BYE],MATCH(TableWRCalcPts[[#This Row],[WRRef]],TableWRMaster[WRRef],0)),"")</f>
        <v>7</v>
      </c>
      <c r="T106" s="191">
        <f>IFERROR(INDEX(TableWRMaster[Custom],MATCH(TableWRCalcPts[[#This Row],[WRRef]],TableWRMaster[WRRef],0)),"")</f>
        <v>17.411240387793896</v>
      </c>
      <c r="AI106" s="221" t="s">
        <v>358</v>
      </c>
      <c r="AJ106" s="189">
        <f>IFERROR(RANK(TableWRTECalcPts[[#This Row],[Custom]],TableWRTECalcPts[Custom])+COUNTIF($AP$3:AP106,AP106)-1,"")</f>
        <v>122</v>
      </c>
      <c r="AK106" s="218">
        <v>4</v>
      </c>
      <c r="AL106" s="219" t="str">
        <f>IFERROR(INDEX(TableWRMaster[Player],MATCH(TableWRTECalcPts[[#This Row],[POSRef]],TableWRMaster[WRRef],0)),"")</f>
        <v>A.J. Green</v>
      </c>
      <c r="AM106" s="219" t="str">
        <f>IFERROR(_xlfn.CONCAT(TableWRTECalcPts[[#This Row],[POS]],INDEX(TableWRRanks[RK],MATCH(TableWRTECalcPts[[#This Row],[PLAYER]],TableWRRanks[Player],0))),"")</f>
        <v>WR93</v>
      </c>
      <c r="AN106" s="219" t="str">
        <f>IFERROR(INDEX(TableWRMaster[TM],MATCH(TableWRTECalcPts[[#This Row],[POSRef]],TableWRMaster[WRRef],0)),"")</f>
        <v>ARI</v>
      </c>
      <c r="AO106" s="219">
        <f>IFERROR(INDEX(TableWRMaster[BYE],MATCH(TableWRTECalcPts[[#This Row],[POSRef]],TableWRMaster[WRRef],0)),"")</f>
        <v>13</v>
      </c>
      <c r="AP106" s="220">
        <f>IFERROR(INDEX(TableWRMaster[Custom],MATCH(TableWRTECalcPts[[#This Row],[POSRef]],TableWRMaster[WRRef],0)),"")</f>
        <v>54.6611752499904</v>
      </c>
    </row>
    <row r="107" spans="1:42" x14ac:dyDescent="0.3">
      <c r="H107" s="189">
        <f>IFERROR(RANK(TableRBCalcPts[[#This Row],[Custom]],TableRBCalcPts[Custom])+COUNTIF($M$3:M107,M107)-1,"")</f>
        <v>27</v>
      </c>
      <c r="I107" s="189">
        <v>105</v>
      </c>
      <c r="J107" s="189" t="str">
        <f>IFERROR(INDEX(TableRBMaster[Player],MATCH(TableRBCalcPts[[#This Row],[RBRef]],TableRBMaster[RBRef],0)),"")</f>
        <v>Ken Walker</v>
      </c>
      <c r="K107" s="189" t="str">
        <f>IFERROR(INDEX(TableRBMaster[TM],MATCH(TableRBCalcPts[[#This Row],[RBRef]],TableRBMaster[RBRef],0)),"")</f>
        <v>SEA</v>
      </c>
      <c r="L107" s="189">
        <f>IFERROR(INDEX(TableRBMaster[BYE],MATCH(TableRBCalcPts[[#This Row],[RBRef]],TableRBMaster[RBRef],0)),"")</f>
        <v>11</v>
      </c>
      <c r="M107" s="191">
        <f>IFERROR(INDEX(TableRBMaster[Custom],MATCH(TableRBCalcPts[[#This Row],[RBRef]],TableRBMaster[RBRef],0)),"")</f>
        <v>142.27892276141387</v>
      </c>
      <c r="O107" s="189">
        <f>IFERROR(RANK(TableWRCalcPts[[#This Row],[Custom]],TableWRCalcPts[Custom])+COUNTIF($T$3:T107,T107)-1,"")</f>
        <v>6</v>
      </c>
      <c r="P107" s="189">
        <v>105</v>
      </c>
      <c r="Q107" s="189" t="str">
        <f>IFERROR(INDEX(TableWRMaster[Player],MATCH(TableWRCalcPts[[#This Row],[WRRef]],TableWRMaster[WRRef],0)),"")</f>
        <v>Davante Adams</v>
      </c>
      <c r="R107" s="189" t="str">
        <f>IFERROR(INDEX(TableWRMaster[TM],MATCH(TableWRCalcPts[[#This Row],[WRRef]],TableWRMaster[WRRef],0)),"")</f>
        <v>LV</v>
      </c>
      <c r="S107" s="189">
        <f>IFERROR(INDEX(TableWRMaster[BYE],MATCH(TableWRCalcPts[[#This Row],[WRRef]],TableWRMaster[WRRef],0)),"")</f>
        <v>6</v>
      </c>
      <c r="T107" s="191">
        <f>IFERROR(INDEX(TableWRMaster[Custom],MATCH(TableWRCalcPts[[#This Row],[WRRef]],TableWRMaster[WRRef],0)),"")</f>
        <v>186.68481728142513</v>
      </c>
      <c r="AI107" s="221" t="s">
        <v>358</v>
      </c>
      <c r="AJ107" s="189">
        <f>IFERROR(RANK(TableWRTECalcPts[[#This Row],[Custom]],TableWRTECalcPts[Custom])+COUNTIF($AP$3:AP107,AP107)-1,"")</f>
        <v>212</v>
      </c>
      <c r="AK107" s="218">
        <v>5</v>
      </c>
      <c r="AL107" s="219" t="str">
        <f>IFERROR(INDEX(TableWRMaster[Player],MATCH(TableWRTECalcPts[[#This Row],[POSRef]],TableWRMaster[WRRef],0)),"")</f>
        <v>Andy Isabella</v>
      </c>
      <c r="AM107" s="219" t="str">
        <f>IFERROR(_xlfn.CONCAT(TableWRTECalcPts[[#This Row],[POS]],INDEX(TableWRRanks[RK],MATCH(TableWRTECalcPts[[#This Row],[PLAYER]],TableWRRanks[Player],0))),"")</f>
        <v>WR149</v>
      </c>
      <c r="AN107" s="219" t="str">
        <f>IFERROR(INDEX(TableWRMaster[TM],MATCH(TableWRTECalcPts[[#This Row],[POSRef]],TableWRMaster[WRRef],0)),"")</f>
        <v>ARI</v>
      </c>
      <c r="AO107" s="219">
        <f>IFERROR(INDEX(TableWRMaster[BYE],MATCH(TableWRTECalcPts[[#This Row],[POSRef]],TableWRMaster[WRRef],0)),"")</f>
        <v>13</v>
      </c>
      <c r="AP107" s="220">
        <f>IFERROR(INDEX(TableWRMaster[Custom],MATCH(TableWRTECalcPts[[#This Row],[POSRef]],TableWRMaster[WRRef],0)),"")</f>
        <v>14.509907838994287</v>
      </c>
    </row>
    <row r="108" spans="1:42" x14ac:dyDescent="0.3">
      <c r="H108" s="189">
        <f>IFERROR(RANK(TableRBCalcPts[[#This Row],[Custom]],TableRBCalcPts[Custom])+COUNTIF($M$3:M108,M108)-1,"")</f>
        <v>34</v>
      </c>
      <c r="I108" s="189">
        <v>106</v>
      </c>
      <c r="J108" s="189" t="str">
        <f>IFERROR(INDEX(TableRBMaster[Player],MATCH(TableRBCalcPts[[#This Row],[RBRef]],TableRBMaster[RBRef],0)),"")</f>
        <v>Rashaad Penny</v>
      </c>
      <c r="K108" s="189" t="str">
        <f>IFERROR(INDEX(TableRBMaster[TM],MATCH(TableRBCalcPts[[#This Row],[RBRef]],TableRBMaster[RBRef],0)),"")</f>
        <v>SEA</v>
      </c>
      <c r="L108" s="189">
        <f>IFERROR(INDEX(TableRBMaster[BYE],MATCH(TableRBCalcPts[[#This Row],[RBRef]],TableRBMaster[RBRef],0)),"")</f>
        <v>11</v>
      </c>
      <c r="M108" s="191">
        <f>IFERROR(INDEX(TableRBMaster[Custom],MATCH(TableRBCalcPts[[#This Row],[RBRef]],TableRBMaster[RBRef],0)),"")</f>
        <v>123.99955197448789</v>
      </c>
      <c r="O108" s="189">
        <f>IFERROR(RANK(TableWRCalcPts[[#This Row],[Custom]],TableWRCalcPts[Custom])+COUNTIF($T$3:T108,T108)-1,"")</f>
        <v>35</v>
      </c>
      <c r="P108" s="189">
        <v>106</v>
      </c>
      <c r="Q108" s="189" t="str">
        <f>IFERROR(INDEX(TableWRMaster[Player],MATCH(TableWRCalcPts[[#This Row],[WRRef]],TableWRMaster[WRRef],0)),"")</f>
        <v>Hunter Renfrow</v>
      </c>
      <c r="R108" s="189" t="str">
        <f>IFERROR(INDEX(TableWRMaster[TM],MATCH(TableWRCalcPts[[#This Row],[WRRef]],TableWRMaster[WRRef],0)),"")</f>
        <v>LV</v>
      </c>
      <c r="S108" s="189">
        <f>IFERROR(INDEX(TableWRMaster[BYE],MATCH(TableWRCalcPts[[#This Row],[WRRef]],TableWRMaster[WRRef],0)),"")</f>
        <v>6</v>
      </c>
      <c r="T108" s="191">
        <f>IFERROR(INDEX(TableWRMaster[Custom],MATCH(TableWRCalcPts[[#This Row],[WRRef]],TableWRMaster[WRRef],0)),"")</f>
        <v>132.55605237294674</v>
      </c>
      <c r="AI108" s="221" t="s">
        <v>358</v>
      </c>
      <c r="AJ108" s="189">
        <f>IFERROR(RANK(TableWRTECalcPts[[#This Row],[Custom]],TableWRTECalcPts[Custom])+COUNTIF($AP$3:AP108,AP108)-1,"")</f>
        <v>227</v>
      </c>
      <c r="AK108" s="218">
        <v>6</v>
      </c>
      <c r="AL108" s="219" t="str">
        <f>IFERROR(INDEX(TableWRMaster[Player],MATCH(TableWRTECalcPts[[#This Row],[POSRef]],TableWRMaster[WRRef],0)),"")</f>
        <v>Antoine Wesley</v>
      </c>
      <c r="AM108" s="219" t="str">
        <f>IFERROR(_xlfn.CONCAT(TableWRTECalcPts[[#This Row],[POS]],INDEX(TableWRRanks[RK],MATCH(TableWRTECalcPts[[#This Row],[PLAYER]],TableWRRanks[Player],0))),"")</f>
        <v>WR160</v>
      </c>
      <c r="AN108" s="219" t="str">
        <f>IFERROR(INDEX(TableWRMaster[TM],MATCH(TableWRTECalcPts[[#This Row],[POSRef]],TableWRMaster[WRRef],0)),"")</f>
        <v>ARI</v>
      </c>
      <c r="AO108" s="219">
        <f>IFERROR(INDEX(TableWRMaster[BYE],MATCH(TableWRTECalcPts[[#This Row],[POSRef]],TableWRMaster[WRRef],0)),"")</f>
        <v>13</v>
      </c>
      <c r="AP108" s="220">
        <f>IFERROR(INDEX(TableWRMaster[Custom],MATCH(TableWRTECalcPts[[#This Row],[POSRef]],TableWRMaster[WRRef],0)),"")</f>
        <v>12.486852153852277</v>
      </c>
    </row>
    <row r="109" spans="1:42" x14ac:dyDescent="0.3">
      <c r="H109" s="189">
        <f>IFERROR(RANK(TableRBCalcPts[[#This Row],[Custom]],TableRBCalcPts[Custom])+COUNTIF($M$3:M109,M109)-1,"")</f>
        <v>111</v>
      </c>
      <c r="I109" s="189">
        <v>107</v>
      </c>
      <c r="J109" s="189" t="str">
        <f>IFERROR(INDEX(TableRBMaster[Player],MATCH(TableRBCalcPts[[#This Row],[RBRef]],TableRBMaster[RBRef],0)),"")</f>
        <v>DeeJay Dallas</v>
      </c>
      <c r="K109" s="189" t="str">
        <f>IFERROR(INDEX(TableRBMaster[TM],MATCH(TableRBCalcPts[[#This Row],[RBRef]],TableRBMaster[RBRef],0)),"")</f>
        <v>SEA</v>
      </c>
      <c r="L109" s="189">
        <f>IFERROR(INDEX(TableRBMaster[BYE],MATCH(TableRBCalcPts[[#This Row],[RBRef]],TableRBMaster[RBRef],0)),"")</f>
        <v>11</v>
      </c>
      <c r="M109" s="191">
        <f>IFERROR(INDEX(TableRBMaster[Custom],MATCH(TableRBCalcPts[[#This Row],[RBRef]],TableRBMaster[RBRef],0)),"")</f>
        <v>11.344162867392939</v>
      </c>
      <c r="O109" s="189">
        <f>IFERROR(RANK(TableWRCalcPts[[#This Row],[Custom]],TableWRCalcPts[Custom])+COUNTIF($T$3:T109,T109)-1,"")</f>
        <v>108</v>
      </c>
      <c r="P109" s="189">
        <v>107</v>
      </c>
      <c r="Q109" s="189" t="str">
        <f>IFERROR(INDEX(TableWRMaster[Player],MATCH(TableWRCalcPts[[#This Row],[WRRef]],TableWRMaster[WRRef],0)),"")</f>
        <v>Demarcus Robinson</v>
      </c>
      <c r="R109" s="189" t="str">
        <f>IFERROR(INDEX(TableWRMaster[TM],MATCH(TableWRCalcPts[[#This Row],[WRRef]],TableWRMaster[WRRef],0)),"")</f>
        <v>LV</v>
      </c>
      <c r="S109" s="189">
        <f>IFERROR(INDEX(TableWRMaster[BYE],MATCH(TableWRCalcPts[[#This Row],[WRRef]],TableWRMaster[WRRef],0)),"")</f>
        <v>6</v>
      </c>
      <c r="T109" s="191">
        <f>IFERROR(INDEX(TableWRMaster[Custom],MATCH(TableWRCalcPts[[#This Row],[WRRef]],TableWRMaster[WRRef],0)),"")</f>
        <v>35.322918725494581</v>
      </c>
      <c r="AI109" s="221" t="s">
        <v>358</v>
      </c>
      <c r="AJ109" s="189">
        <f>IFERROR(RANK(TableWRTECalcPts[[#This Row],[Custom]],TableWRTECalcPts[Custom])+COUNTIF($AP$3:AP109,AP109)-1,"")</f>
        <v>36</v>
      </c>
      <c r="AK109" s="218">
        <v>7</v>
      </c>
      <c r="AL109" s="219" t="str">
        <f>IFERROR(INDEX(TableWRMaster[Player],MATCH(TableWRTECalcPts[[#This Row],[POSRef]],TableWRMaster[WRRef],0)),"")</f>
        <v>Drake London</v>
      </c>
      <c r="AM109" s="219" t="str">
        <f>IFERROR(_xlfn.CONCAT(TableWRTECalcPts[[#This Row],[POS]],INDEX(TableWRRanks[RK],MATCH(TableWRTECalcPts[[#This Row],[PLAYER]],TableWRRanks[Player],0))),"")</f>
        <v>WR33</v>
      </c>
      <c r="AN109" s="219" t="str">
        <f>IFERROR(INDEX(TableWRMaster[TM],MATCH(TableWRTECalcPts[[#This Row],[POSRef]],TableWRMaster[WRRef],0)),"")</f>
        <v>ATL</v>
      </c>
      <c r="AO109" s="219">
        <f>IFERROR(INDEX(TableWRMaster[BYE],MATCH(TableWRTECalcPts[[#This Row],[POSRef]],TableWRMaster[WRRef],0)),"")</f>
        <v>14</v>
      </c>
      <c r="AP109" s="220">
        <f>IFERROR(INDEX(TableWRMaster[Custom],MATCH(TableWRTECalcPts[[#This Row],[POSRef]],TableWRMaster[WRRef],0)),"")</f>
        <v>133.93393650127959</v>
      </c>
    </row>
    <row r="110" spans="1:42" x14ac:dyDescent="0.3">
      <c r="H110" s="189">
        <f>IFERROR(RANK(TableRBCalcPts[[#This Row],[Custom]],TableRBCalcPts[Custom])+COUNTIF($M$3:M110,M110)-1,"")</f>
        <v>108</v>
      </c>
      <c r="I110" s="189">
        <v>108</v>
      </c>
      <c r="J110" s="189" t="str">
        <f>IFERROR(INDEX(TableRBMaster[Player],MATCH(TableRBCalcPts[[#This Row],[RBRef]],TableRBMaster[RBRef],0)),"")</f>
        <v>Travis Homer</v>
      </c>
      <c r="K110" s="189" t="str">
        <f>IFERROR(INDEX(TableRBMaster[TM],MATCH(TableRBCalcPts[[#This Row],[RBRef]],TableRBMaster[RBRef],0)),"")</f>
        <v>SEA</v>
      </c>
      <c r="L110" s="189">
        <f>IFERROR(INDEX(TableRBMaster[BYE],MATCH(TableRBCalcPts[[#This Row],[RBRef]],TableRBMaster[RBRef],0)),"")</f>
        <v>11</v>
      </c>
      <c r="M110" s="191">
        <f>IFERROR(INDEX(TableRBMaster[Custom],MATCH(TableRBCalcPts[[#This Row],[RBRef]],TableRBMaster[RBRef],0)),"")</f>
        <v>11.516901631706066</v>
      </c>
      <c r="O110" s="189">
        <f>IFERROR(RANK(TableWRCalcPts[[#This Row],[Custom]],TableWRCalcPts[Custom])+COUNTIF($T$3:T110,T110)-1,"")</f>
        <v>136</v>
      </c>
      <c r="P110" s="189">
        <v>108</v>
      </c>
      <c r="Q110" s="189" t="str">
        <f>IFERROR(INDEX(TableWRMaster[Player],MATCH(TableWRCalcPts[[#This Row],[WRRef]],TableWRMaster[WRRef],0)),"")</f>
        <v>Mack Hollins</v>
      </c>
      <c r="R110" s="189" t="str">
        <f>IFERROR(INDEX(TableWRMaster[TM],MATCH(TableWRCalcPts[[#This Row],[WRRef]],TableWRMaster[WRRef],0)),"")</f>
        <v>LV</v>
      </c>
      <c r="S110" s="189">
        <f>IFERROR(INDEX(TableWRMaster[BYE],MATCH(TableWRCalcPts[[#This Row],[WRRef]],TableWRMaster[WRRef],0)),"")</f>
        <v>6</v>
      </c>
      <c r="T110" s="191">
        <f>IFERROR(INDEX(TableWRMaster[Custom],MATCH(TableWRCalcPts[[#This Row],[WRRef]],TableWRMaster[WRRef],0)),"")</f>
        <v>18.867715638529205</v>
      </c>
      <c r="AI110" s="221" t="s">
        <v>358</v>
      </c>
      <c r="AJ110" s="189">
        <f>IFERROR(RANK(TableWRTECalcPts[[#This Row],[Custom]],TableWRTECalcPts[Custom])+COUNTIF($AP$3:AP110,AP110)-1,"")</f>
        <v>131</v>
      </c>
      <c r="AK110" s="218">
        <v>8</v>
      </c>
      <c r="AL110" s="219" t="str">
        <f>IFERROR(INDEX(TableWRMaster[Player],MATCH(TableWRTECalcPts[[#This Row],[POSRef]],TableWRMaster[WRRef],0)),"")</f>
        <v>Bryan Edwards</v>
      </c>
      <c r="AM110" s="219" t="str">
        <f>IFERROR(_xlfn.CONCAT(TableWRTECalcPts[[#This Row],[POS]],INDEX(TableWRRanks[RK],MATCH(TableWRTECalcPts[[#This Row],[PLAYER]],TableWRRanks[Player],0))),"")</f>
        <v>WR99</v>
      </c>
      <c r="AN110" s="219" t="str">
        <f>IFERROR(INDEX(TableWRMaster[TM],MATCH(TableWRTECalcPts[[#This Row],[POSRef]],TableWRMaster[WRRef],0)),"")</f>
        <v>ATL</v>
      </c>
      <c r="AO110" s="219">
        <f>IFERROR(INDEX(TableWRMaster[BYE],MATCH(TableWRTECalcPts[[#This Row],[POSRef]],TableWRMaster[WRRef],0)),"")</f>
        <v>14</v>
      </c>
      <c r="AP110" s="220">
        <f>IFERROR(INDEX(TableWRMaster[Custom],MATCH(TableWRTECalcPts[[#This Row],[POSRef]],TableWRMaster[WRRef],0)),"")</f>
        <v>47.814013950587054</v>
      </c>
    </row>
    <row r="111" spans="1:42" x14ac:dyDescent="0.3">
      <c r="H111" s="189">
        <f>IFERROR(RANK(TableRBCalcPts[[#This Row],[Custom]],TableRBCalcPts[Custom])+COUNTIF($M$3:M111,M111)-1,"")</f>
        <v>22</v>
      </c>
      <c r="I111" s="189">
        <v>109</v>
      </c>
      <c r="J111" s="189" t="str">
        <f>IFERROR(INDEX(TableRBMaster[Player],MATCH(TableRBCalcPts[[#This Row],[RBRef]],TableRBMaster[RBRef],0)),"")</f>
        <v>Elijah Mitchell</v>
      </c>
      <c r="K111" s="189" t="str">
        <f>IFERROR(INDEX(TableRBMaster[TM],MATCH(TableRBCalcPts[[#This Row],[RBRef]],TableRBMaster[RBRef],0)),"")</f>
        <v>SF</v>
      </c>
      <c r="L111" s="189">
        <f>IFERROR(INDEX(TableRBMaster[BYE],MATCH(TableRBCalcPts[[#This Row],[RBRef]],TableRBMaster[RBRef],0)),"")</f>
        <v>9</v>
      </c>
      <c r="M111" s="191">
        <f>IFERROR(INDEX(TableRBMaster[Custom],MATCH(TableRBCalcPts[[#This Row],[RBRef]],TableRBMaster[RBRef],0)),"")</f>
        <v>165.25365451656748</v>
      </c>
      <c r="O111" s="189">
        <f>IFERROR(RANK(TableWRCalcPts[[#This Row],[Custom]],TableWRCalcPts[Custom])+COUNTIF($T$3:T111,T111)-1,"")</f>
        <v>134</v>
      </c>
      <c r="P111" s="189">
        <v>109</v>
      </c>
      <c r="Q111" s="189" t="str">
        <f>IFERROR(INDEX(TableWRMaster[Player],MATCH(TableWRCalcPts[[#This Row],[WRRef]],TableWRMaster[WRRef],0)),"")</f>
        <v>Keelan Cole</v>
      </c>
      <c r="R111" s="189" t="str">
        <f>IFERROR(INDEX(TableWRMaster[TM],MATCH(TableWRCalcPts[[#This Row],[WRRef]],TableWRMaster[WRRef],0)),"")</f>
        <v>LV</v>
      </c>
      <c r="S111" s="189">
        <f>IFERROR(INDEX(TableWRMaster[BYE],MATCH(TableWRCalcPts[[#This Row],[WRRef]],TableWRMaster[WRRef],0)),"")</f>
        <v>6</v>
      </c>
      <c r="T111" s="191">
        <f>IFERROR(INDEX(TableWRMaster[Custom],MATCH(TableWRCalcPts[[#This Row],[WRRef]],TableWRMaster[WRRef],0)),"")</f>
        <v>19.428639238758887</v>
      </c>
      <c r="AI111" s="221" t="s">
        <v>358</v>
      </c>
      <c r="AJ111" s="189">
        <f>IFERROR(RANK(TableWRTECalcPts[[#This Row],[Custom]],TableWRTECalcPts[Custom])+COUNTIF($AP$3:AP111,AP111)-1,"")</f>
        <v>126</v>
      </c>
      <c r="AK111" s="218">
        <v>9</v>
      </c>
      <c r="AL111" s="219" t="str">
        <f>IFERROR(INDEX(TableWRMaster[Player],MATCH(TableWRTECalcPts[[#This Row],[POSRef]],TableWRMaster[WRRef],0)),"")</f>
        <v>Olamide Zaccheaus</v>
      </c>
      <c r="AM111" s="219" t="str">
        <f>IFERROR(_xlfn.CONCAT(TableWRTECalcPts[[#This Row],[POS]],INDEX(TableWRRanks[RK],MATCH(TableWRTECalcPts[[#This Row],[PLAYER]],TableWRRanks[Player],0))),"")</f>
        <v>WR96</v>
      </c>
      <c r="AN111" s="219" t="str">
        <f>IFERROR(INDEX(TableWRMaster[TM],MATCH(TableWRTECalcPts[[#This Row],[POSRef]],TableWRMaster[WRRef],0)),"")</f>
        <v>ATL</v>
      </c>
      <c r="AO111" s="219">
        <f>IFERROR(INDEX(TableWRMaster[BYE],MATCH(TableWRTECalcPts[[#This Row],[POSRef]],TableWRMaster[WRRef],0)),"")</f>
        <v>14</v>
      </c>
      <c r="AP111" s="220">
        <f>IFERROR(INDEX(TableWRMaster[Custom],MATCH(TableWRTECalcPts[[#This Row],[POSRef]],TableWRMaster[WRRef],0)),"")</f>
        <v>51.177073421678053</v>
      </c>
    </row>
    <row r="112" spans="1:42" x14ac:dyDescent="0.3">
      <c r="H112" s="189">
        <f>IFERROR(RANK(TableRBCalcPts[[#This Row],[Custom]],TableRBCalcPts[Custom])+COUNTIF($M$3:M112,M112)-1,"")</f>
        <v>87</v>
      </c>
      <c r="I112" s="189">
        <v>110</v>
      </c>
      <c r="J112" s="189" t="str">
        <f>IFERROR(INDEX(TableRBMaster[Player],MATCH(TableRBCalcPts[[#This Row],[RBRef]],TableRBMaster[RBRef],0)),"")</f>
        <v>Jeff Wilson</v>
      </c>
      <c r="K112" s="189" t="str">
        <f>IFERROR(INDEX(TableRBMaster[TM],MATCH(TableRBCalcPts[[#This Row],[RBRef]],TableRBMaster[RBRef],0)),"")</f>
        <v>SF</v>
      </c>
      <c r="L112" s="189">
        <f>IFERROR(INDEX(TableRBMaster[BYE],MATCH(TableRBCalcPts[[#This Row],[RBRef]],TableRBMaster[RBRef],0)),"")</f>
        <v>9</v>
      </c>
      <c r="M112" s="191">
        <f>IFERROR(INDEX(TableRBMaster[Custom],MATCH(TableRBCalcPts[[#This Row],[RBRef]],TableRBMaster[RBRef],0)),"")</f>
        <v>22.176805142525897</v>
      </c>
      <c r="O112" s="189">
        <f>IFERROR(RANK(TableWRCalcPts[[#This Row],[Custom]],TableWRCalcPts[Custom])+COUNTIF($T$3:T112,T112)-1,"")</f>
        <v>10</v>
      </c>
      <c r="P112" s="189">
        <v>110</v>
      </c>
      <c r="Q112" s="189" t="str">
        <f>IFERROR(INDEX(TableWRMaster[Player],MATCH(TableWRCalcPts[[#This Row],[WRRef]],TableWRMaster[WRRef],0)),"")</f>
        <v>Tyreek Hill</v>
      </c>
      <c r="R112" s="189" t="str">
        <f>IFERROR(INDEX(TableWRMaster[TM],MATCH(TableWRCalcPts[[#This Row],[WRRef]],TableWRMaster[WRRef],0)),"")</f>
        <v>MIA</v>
      </c>
      <c r="S112" s="189">
        <f>IFERROR(INDEX(TableWRMaster[BYE],MATCH(TableWRCalcPts[[#This Row],[WRRef]],TableWRMaster[WRRef],0)),"")</f>
        <v>11</v>
      </c>
      <c r="T112" s="191">
        <f>IFERROR(INDEX(TableWRMaster[Custom],MATCH(TableWRCalcPts[[#This Row],[WRRef]],TableWRMaster[WRRef],0)),"")</f>
        <v>170.43250907909703</v>
      </c>
      <c r="AI112" s="221" t="s">
        <v>358</v>
      </c>
      <c r="AJ112" s="189">
        <f>IFERROR(RANK(TableWRTECalcPts[[#This Row],[Custom]],TableWRTECalcPts[Custom])+COUNTIF($AP$3:AP112,AP112)-1,"")</f>
        <v>177</v>
      </c>
      <c r="AK112" s="218">
        <v>10</v>
      </c>
      <c r="AL112" s="219" t="str">
        <f>IFERROR(INDEX(TableWRMaster[Player],MATCH(TableWRTECalcPts[[#This Row],[POSRef]],TableWRMaster[WRRef],0)),"")</f>
        <v>KhaDarel Hodge</v>
      </c>
      <c r="AM112" s="219" t="str">
        <f>IFERROR(_xlfn.CONCAT(TableWRTECalcPts[[#This Row],[POS]],INDEX(TableWRRanks[RK],MATCH(TableWRTECalcPts[[#This Row],[PLAYER]],TableWRRanks[Player],0))),"")</f>
        <v>WR128</v>
      </c>
      <c r="AN112" s="219" t="str">
        <f>IFERROR(INDEX(TableWRMaster[TM],MATCH(TableWRTECalcPts[[#This Row],[POSRef]],TableWRMaster[WRRef],0)),"")</f>
        <v>ATL</v>
      </c>
      <c r="AO112" s="219">
        <f>IFERROR(INDEX(TableWRMaster[BYE],MATCH(TableWRTECalcPts[[#This Row],[POSRef]],TableWRMaster[WRRef],0)),"")</f>
        <v>14</v>
      </c>
      <c r="AP112" s="220">
        <f>IFERROR(INDEX(TableWRMaster[Custom],MATCH(TableWRTECalcPts[[#This Row],[POSRef]],TableWRMaster[WRRef],0)),"")</f>
        <v>22.265489269749821</v>
      </c>
    </row>
    <row r="113" spans="8:42" x14ac:dyDescent="0.3">
      <c r="H113" s="189">
        <f>IFERROR(RANK(TableRBCalcPts[[#This Row],[Custom]],TableRBCalcPts[Custom])+COUNTIF($M$3:M113,M113)-1,"")</f>
        <v>117</v>
      </c>
      <c r="I113" s="189">
        <v>111</v>
      </c>
      <c r="J113" s="189" t="str">
        <f>IFERROR(INDEX(TableRBMaster[Player],MATCH(TableRBCalcPts[[#This Row],[RBRef]],TableRBMaster[RBRef],0)),"")</f>
        <v>Trey Sermon</v>
      </c>
      <c r="K113" s="189" t="str">
        <f>IFERROR(INDEX(TableRBMaster[TM],MATCH(TableRBCalcPts[[#This Row],[RBRef]],TableRBMaster[RBRef],0)),"")</f>
        <v>SF</v>
      </c>
      <c r="L113" s="189">
        <f>IFERROR(INDEX(TableRBMaster[BYE],MATCH(TableRBCalcPts[[#This Row],[RBRef]],TableRBMaster[RBRef],0)),"")</f>
        <v>9</v>
      </c>
      <c r="M113" s="191">
        <f>IFERROR(INDEX(TableRBMaster[Custom],MATCH(TableRBCalcPts[[#This Row],[RBRef]],TableRBMaster[RBRef],0)),"")</f>
        <v>7.9660245732847432</v>
      </c>
      <c r="O113" s="189">
        <f>IFERROR(RANK(TableWRCalcPts[[#This Row],[Custom]],TableWRCalcPts[Custom])+COUNTIF($T$3:T113,T113)-1,"")</f>
        <v>21</v>
      </c>
      <c r="P113" s="189">
        <v>111</v>
      </c>
      <c r="Q113" s="189" t="str">
        <f>IFERROR(INDEX(TableWRMaster[Player],MATCH(TableWRCalcPts[[#This Row],[WRRef]],TableWRMaster[WRRef],0)),"")</f>
        <v>Jaylen Waddle</v>
      </c>
      <c r="R113" s="189" t="str">
        <f>IFERROR(INDEX(TableWRMaster[TM],MATCH(TableWRCalcPts[[#This Row],[WRRef]],TableWRMaster[WRRef],0)),"")</f>
        <v>MIA</v>
      </c>
      <c r="S113" s="189">
        <f>IFERROR(INDEX(TableWRMaster[BYE],MATCH(TableWRCalcPts[[#This Row],[WRRef]],TableWRMaster[WRRef],0)),"")</f>
        <v>11</v>
      </c>
      <c r="T113" s="191">
        <f>IFERROR(INDEX(TableWRMaster[Custom],MATCH(TableWRCalcPts[[#This Row],[WRRef]],TableWRMaster[WRRef],0)),"")</f>
        <v>147.75272085722844</v>
      </c>
      <c r="AI113" s="221" t="s">
        <v>358</v>
      </c>
      <c r="AJ113" s="189">
        <f>IFERROR(RANK(TableWRTECalcPts[[#This Row],[Custom]],TableWRTECalcPts[Custom])+COUNTIF($AP$3:AP113,AP113)-1,"")</f>
        <v>174</v>
      </c>
      <c r="AK113" s="218">
        <v>11</v>
      </c>
      <c r="AL113" s="219" t="str">
        <f>IFERROR(INDEX(TableWRMaster[Player],MATCH(TableWRTECalcPts[[#This Row],[POSRef]],TableWRMaster[WRRef],0)),"")</f>
        <v>Auden Tate</v>
      </c>
      <c r="AM113" s="219" t="str">
        <f>IFERROR(_xlfn.CONCAT(TableWRTECalcPts[[#This Row],[POS]],INDEX(TableWRRanks[RK],MATCH(TableWRTECalcPts[[#This Row],[PLAYER]],TableWRRanks[Player],0))),"")</f>
        <v>WR126</v>
      </c>
      <c r="AN113" s="219" t="str">
        <f>IFERROR(INDEX(TableWRMaster[TM],MATCH(TableWRTECalcPts[[#This Row],[POSRef]],TableWRMaster[WRRef],0)),"")</f>
        <v>ATL</v>
      </c>
      <c r="AO113" s="219">
        <f>IFERROR(INDEX(TableWRMaster[BYE],MATCH(TableWRTECalcPts[[#This Row],[POSRef]],TableWRMaster[WRRef],0)),"")</f>
        <v>14</v>
      </c>
      <c r="AP113" s="220">
        <f>IFERROR(INDEX(TableWRMaster[Custom],MATCH(TableWRTECalcPts[[#This Row],[POSRef]],TableWRMaster[WRRef],0)),"")</f>
        <v>22.711400034276718</v>
      </c>
    </row>
    <row r="114" spans="8:42" x14ac:dyDescent="0.3">
      <c r="H114" s="189">
        <f>IFERROR(RANK(TableRBCalcPts[[#This Row],[Custom]],TableRBCalcPts[Custom])+COUNTIF($M$3:M114,M114)-1,"")</f>
        <v>74</v>
      </c>
      <c r="I114" s="189">
        <v>112</v>
      </c>
      <c r="J114" s="189" t="str">
        <f>IFERROR(INDEX(TableRBMaster[Player],MATCH(TableRBCalcPts[[#This Row],[RBRef]],TableRBMaster[RBRef],0)),"")</f>
        <v>Tyrion Davis-Price</v>
      </c>
      <c r="K114" s="189" t="str">
        <f>IFERROR(INDEX(TableRBMaster[TM],MATCH(TableRBCalcPts[[#This Row],[RBRef]],TableRBMaster[RBRef],0)),"")</f>
        <v>SF</v>
      </c>
      <c r="L114" s="189">
        <f>IFERROR(INDEX(TableRBMaster[BYE],MATCH(TableRBCalcPts[[#This Row],[RBRef]],TableRBMaster[RBRef],0)),"")</f>
        <v>9</v>
      </c>
      <c r="M114" s="191">
        <f>IFERROR(INDEX(TableRBMaster[Custom],MATCH(TableRBCalcPts[[#This Row],[RBRef]],TableRBMaster[RBRef],0)),"")</f>
        <v>36.149053134488504</v>
      </c>
      <c r="O114" s="189">
        <f>IFERROR(RANK(TableWRCalcPts[[#This Row],[Custom]],TableWRCalcPts[Custom])+COUNTIF($T$3:T114,T114)-1,"")</f>
        <v>74</v>
      </c>
      <c r="P114" s="189">
        <v>112</v>
      </c>
      <c r="Q114" s="189" t="str">
        <f>IFERROR(INDEX(TableWRMaster[Player],MATCH(TableWRCalcPts[[#This Row],[WRRef]],TableWRMaster[WRRef],0)),"")</f>
        <v>Cedrick Wilson</v>
      </c>
      <c r="R114" s="189" t="str">
        <f>IFERROR(INDEX(TableWRMaster[TM],MATCH(TableWRCalcPts[[#This Row],[WRRef]],TableWRMaster[WRRef],0)),"")</f>
        <v>MIA</v>
      </c>
      <c r="S114" s="189">
        <f>IFERROR(INDEX(TableWRMaster[BYE],MATCH(TableWRCalcPts[[#This Row],[WRRef]],TableWRMaster[WRRef],0)),"")</f>
        <v>11</v>
      </c>
      <c r="T114" s="191">
        <f>IFERROR(INDEX(TableWRMaster[Custom],MATCH(TableWRCalcPts[[#This Row],[WRRef]],TableWRMaster[WRRef],0)),"")</f>
        <v>83.805271165984095</v>
      </c>
      <c r="AI114" s="221" t="s">
        <v>358</v>
      </c>
      <c r="AJ114" s="189">
        <f>IFERROR(RANK(TableWRTECalcPts[[#This Row],[Custom]],TableWRTECalcPts[Custom])+COUNTIF($AP$3:AP114,AP114)-1,"")</f>
        <v>162</v>
      </c>
      <c r="AK114" s="218">
        <v>12</v>
      </c>
      <c r="AL114" s="219" t="str">
        <f>IFERROR(INDEX(TableWRMaster[Player],MATCH(TableWRTECalcPts[[#This Row],[POSRef]],TableWRMaster[WRRef],0)),"")</f>
        <v>Damiere Byrd</v>
      </c>
      <c r="AM114" s="219" t="str">
        <f>IFERROR(_xlfn.CONCAT(TableWRTECalcPts[[#This Row],[POS]],INDEX(TableWRRanks[RK],MATCH(TableWRTECalcPts[[#This Row],[PLAYER]],TableWRRanks[Player],0))),"")</f>
        <v>WR116</v>
      </c>
      <c r="AN114" s="219" t="str">
        <f>IFERROR(INDEX(TableWRMaster[TM],MATCH(TableWRTECalcPts[[#This Row],[POSRef]],TableWRMaster[WRRef],0)),"")</f>
        <v>ATL</v>
      </c>
      <c r="AO114" s="219">
        <f>IFERROR(INDEX(TableWRMaster[BYE],MATCH(TableWRTECalcPts[[#This Row],[POSRef]],TableWRMaster[WRRef],0)),"")</f>
        <v>14</v>
      </c>
      <c r="AP114" s="220">
        <f>IFERROR(INDEX(TableWRMaster[Custom],MATCH(TableWRTECalcPts[[#This Row],[POSRef]],TableWRMaster[WRRef],0)),"")</f>
        <v>26.381639591041044</v>
      </c>
    </row>
    <row r="115" spans="8:42" x14ac:dyDescent="0.3">
      <c r="H115" s="189">
        <f>IFERROR(RANK(TableRBCalcPts[[#This Row],[Custom]],TableRBCalcPts[Custom])+COUNTIF($M$3:M115,M115)-1,"")</f>
        <v>77</v>
      </c>
      <c r="I115" s="189">
        <v>113</v>
      </c>
      <c r="J115" s="189" t="str">
        <f>IFERROR(INDEX(TableRBMaster[Player],MATCH(TableRBCalcPts[[#This Row],[RBRef]],TableRBMaster[RBRef],0)),"")</f>
        <v>Kyle Juszczyk</v>
      </c>
      <c r="K115" s="189" t="str">
        <f>IFERROR(INDEX(TableRBMaster[TM],MATCH(TableRBCalcPts[[#This Row],[RBRef]],TableRBMaster[RBRef],0)),"")</f>
        <v>SF</v>
      </c>
      <c r="L115" s="189">
        <f>IFERROR(INDEX(TableRBMaster[BYE],MATCH(TableRBCalcPts[[#This Row],[RBRef]],TableRBMaster[RBRef],0)),"")</f>
        <v>9</v>
      </c>
      <c r="M115" s="191">
        <f>IFERROR(INDEX(TableRBMaster[Custom],MATCH(TableRBCalcPts[[#This Row],[RBRef]],TableRBMaster[RBRef],0)),"")</f>
        <v>28.443327184365195</v>
      </c>
      <c r="O115" s="189">
        <f>IFERROR(RANK(TableWRCalcPts[[#This Row],[Custom]],TableWRCalcPts[Custom])+COUNTIF($T$3:T115,T115)-1,"")</f>
        <v>164</v>
      </c>
      <c r="P115" s="189">
        <v>113</v>
      </c>
      <c r="Q115" s="189" t="str">
        <f>IFERROR(INDEX(TableWRMaster[Player],MATCH(TableWRCalcPts[[#This Row],[WRRef]],TableWRMaster[WRRef],0)),"")</f>
        <v>Trent Sherfield</v>
      </c>
      <c r="R115" s="189" t="str">
        <f>IFERROR(INDEX(TableWRMaster[TM],MATCH(TableWRCalcPts[[#This Row],[WRRef]],TableWRMaster[WRRef],0)),"")</f>
        <v>MIA</v>
      </c>
      <c r="S115" s="189">
        <f>IFERROR(INDEX(TableWRMaster[BYE],MATCH(TableWRCalcPts[[#This Row],[WRRef]],TableWRMaster[WRRef],0)),"")</f>
        <v>11</v>
      </c>
      <c r="T115" s="191">
        <f>IFERROR(INDEX(TableWRMaster[Custom],MATCH(TableWRCalcPts[[#This Row],[WRRef]],TableWRMaster[WRRef],0)),"")</f>
        <v>11.073930520196011</v>
      </c>
      <c r="AI115" s="221" t="s">
        <v>358</v>
      </c>
      <c r="AJ115" s="189">
        <f>IFERROR(RANK(TableWRTECalcPts[[#This Row],[Custom]],TableWRTECalcPts[Custom])+COUNTIF($AP$3:AP115,AP115)-1,"")</f>
        <v>23</v>
      </c>
      <c r="AK115" s="218">
        <v>13</v>
      </c>
      <c r="AL115" s="219" t="str">
        <f>IFERROR(INDEX(TableWRMaster[Player],MATCH(TableWRTECalcPts[[#This Row],[POSRef]],TableWRMaster[WRRef],0)),"")</f>
        <v>Rashod Bateman</v>
      </c>
      <c r="AM115" s="219" t="str">
        <f>IFERROR(_xlfn.CONCAT(TableWRTECalcPts[[#This Row],[POS]],INDEX(TableWRRanks[RK],MATCH(TableWRTECalcPts[[#This Row],[PLAYER]],TableWRRanks[Player],0))),"")</f>
        <v>WR20</v>
      </c>
      <c r="AN115" s="219" t="str">
        <f>IFERROR(INDEX(TableWRMaster[TM],MATCH(TableWRTECalcPts[[#This Row],[POSRef]],TableWRMaster[WRRef],0)),"")</f>
        <v>BAL</v>
      </c>
      <c r="AO115" s="219">
        <f>IFERROR(INDEX(TableWRMaster[BYE],MATCH(TableWRTECalcPts[[#This Row],[POSRef]],TableWRMaster[WRRef],0)),"")</f>
        <v>10</v>
      </c>
      <c r="AP115" s="220">
        <f>IFERROR(INDEX(TableWRMaster[Custom],MATCH(TableWRTECalcPts[[#This Row],[POSRef]],TableWRMaster[WRRef],0)),"")</f>
        <v>148.63992321748958</v>
      </c>
    </row>
    <row r="116" spans="8:42" x14ac:dyDescent="0.3">
      <c r="H116" s="189">
        <f>IFERROR(RANK(TableRBCalcPts[[#This Row],[Custom]],TableRBCalcPts[Custom])+COUNTIF($M$3:M116,M116)-1,"")</f>
        <v>13</v>
      </c>
      <c r="I116" s="189">
        <v>114</v>
      </c>
      <c r="J116" s="189" t="str">
        <f>IFERROR(INDEX(TableRBMaster[Player],MATCH(TableRBCalcPts[[#This Row],[RBRef]],TableRBMaster[RBRef],0)),"")</f>
        <v>Leonard Fournette</v>
      </c>
      <c r="K116" s="189" t="str">
        <f>IFERROR(INDEX(TableRBMaster[TM],MATCH(TableRBCalcPts[[#This Row],[RBRef]],TableRBMaster[RBRef],0)),"")</f>
        <v>TB</v>
      </c>
      <c r="L116" s="189">
        <f>IFERROR(INDEX(TableRBMaster[BYE],MATCH(TableRBCalcPts[[#This Row],[RBRef]],TableRBMaster[RBRef],0)),"")</f>
        <v>11</v>
      </c>
      <c r="M116" s="191">
        <f>IFERROR(INDEX(TableRBMaster[Custom],MATCH(TableRBCalcPts[[#This Row],[RBRef]],TableRBMaster[RBRef],0)),"")</f>
        <v>200.23463104926964</v>
      </c>
      <c r="O116" s="189">
        <f>IFERROR(RANK(TableWRCalcPts[[#This Row],[Custom]],TableWRCalcPts[Custom])+COUNTIF($T$3:T116,T116)-1,"")</f>
        <v>156</v>
      </c>
      <c r="P116" s="189">
        <v>114</v>
      </c>
      <c r="Q116" s="189" t="str">
        <f>IFERROR(INDEX(TableWRMaster[Player],MATCH(TableWRCalcPts[[#This Row],[WRRef]],TableWRMaster[WRRef],0)),"")</f>
        <v>Preston Williams</v>
      </c>
      <c r="R116" s="189" t="str">
        <f>IFERROR(INDEX(TableWRMaster[TM],MATCH(TableWRCalcPts[[#This Row],[WRRef]],TableWRMaster[WRRef],0)),"")</f>
        <v>MIA</v>
      </c>
      <c r="S116" s="189">
        <f>IFERROR(INDEX(TableWRMaster[BYE],MATCH(TableWRCalcPts[[#This Row],[WRRef]],TableWRMaster[WRRef],0)),"")</f>
        <v>11</v>
      </c>
      <c r="T116" s="191">
        <f>IFERROR(INDEX(TableWRMaster[Custom],MATCH(TableWRCalcPts[[#This Row],[WRRef]],TableWRMaster[WRRef],0)),"")</f>
        <v>13.045031667985134</v>
      </c>
      <c r="AI116" s="221" t="s">
        <v>358</v>
      </c>
      <c r="AJ116" s="189">
        <f>IFERROR(RANK(TableWRTECalcPts[[#This Row],[Custom]],TableWRTECalcPts[Custom])+COUNTIF($AP$3:AP116,AP116)-1,"")</f>
        <v>106</v>
      </c>
      <c r="AK116" s="218">
        <v>14</v>
      </c>
      <c r="AL116" s="219" t="str">
        <f>IFERROR(INDEX(TableWRMaster[Player],MATCH(TableWRTECalcPts[[#This Row],[POSRef]],TableWRMaster[WRRef],0)),"")</f>
        <v>Devin Duvernay</v>
      </c>
      <c r="AM116" s="219" t="str">
        <f>IFERROR(_xlfn.CONCAT(TableWRTECalcPts[[#This Row],[POS]],INDEX(TableWRRanks[RK],MATCH(TableWRTECalcPts[[#This Row],[PLAYER]],TableWRRanks[Player],0))),"")</f>
        <v>WR79</v>
      </c>
      <c r="AN116" s="219" t="str">
        <f>IFERROR(INDEX(TableWRMaster[TM],MATCH(TableWRTECalcPts[[#This Row],[POSRef]],TableWRMaster[WRRef],0)),"")</f>
        <v>BAL</v>
      </c>
      <c r="AO116" s="219">
        <f>IFERROR(INDEX(TableWRMaster[BYE],MATCH(TableWRTECalcPts[[#This Row],[POSRef]],TableWRMaster[WRRef],0)),"")</f>
        <v>10</v>
      </c>
      <c r="AP116" s="220">
        <f>IFERROR(INDEX(TableWRMaster[Custom],MATCH(TableWRTECalcPts[[#This Row],[POSRef]],TableWRMaster[WRRef],0)),"")</f>
        <v>74.782966884277229</v>
      </c>
    </row>
    <row r="117" spans="8:42" x14ac:dyDescent="0.3">
      <c r="H117" s="189">
        <f>IFERROR(RANK(TableRBCalcPts[[#This Row],[Custom]],TableRBCalcPts[Custom])+COUNTIF($M$3:M117,M117)-1,"")</f>
        <v>56</v>
      </c>
      <c r="I117" s="189">
        <v>115</v>
      </c>
      <c r="J117" s="189" t="str">
        <f>IFERROR(INDEX(TableRBMaster[Player],MATCH(TableRBCalcPts[[#This Row],[RBRef]],TableRBMaster[RBRef],0)),"")</f>
        <v>Rachaad White</v>
      </c>
      <c r="K117" s="189" t="str">
        <f>IFERROR(INDEX(TableRBMaster[TM],MATCH(TableRBCalcPts[[#This Row],[RBRef]],TableRBMaster[RBRef],0)),"")</f>
        <v>TB</v>
      </c>
      <c r="L117" s="189">
        <f>IFERROR(INDEX(TableRBMaster[BYE],MATCH(TableRBCalcPts[[#This Row],[RBRef]],TableRBMaster[RBRef],0)),"")</f>
        <v>11</v>
      </c>
      <c r="M117" s="191">
        <f>IFERROR(INDEX(TableRBMaster[Custom],MATCH(TableRBCalcPts[[#This Row],[RBRef]],TableRBMaster[RBRef],0)),"")</f>
        <v>85.06673198999485</v>
      </c>
      <c r="O117" s="189">
        <f>IFERROR(RANK(TableWRCalcPts[[#This Row],[Custom]],TableWRCalcPts[Custom])+COUNTIF($T$3:T117,T117)-1,"")</f>
        <v>172</v>
      </c>
      <c r="P117" s="189">
        <v>115</v>
      </c>
      <c r="Q117" s="189" t="str">
        <f>IFERROR(INDEX(TableWRMaster[Player],MATCH(TableWRCalcPts[[#This Row],[WRRef]],TableWRMaster[WRRef],0)),"")</f>
        <v>Erik Ezukanma</v>
      </c>
      <c r="R117" s="189" t="str">
        <f>IFERROR(INDEX(TableWRMaster[TM],MATCH(TableWRCalcPts[[#This Row],[WRRef]],TableWRMaster[WRRef],0)),"")</f>
        <v>MIA</v>
      </c>
      <c r="S117" s="189">
        <f>IFERROR(INDEX(TableWRMaster[BYE],MATCH(TableWRCalcPts[[#This Row],[WRRef]],TableWRMaster[WRRef],0)),"")</f>
        <v>11</v>
      </c>
      <c r="T117" s="191">
        <f>IFERROR(INDEX(TableWRMaster[Custom],MATCH(TableWRCalcPts[[#This Row],[WRRef]],TableWRMaster[WRRef],0)),"")</f>
        <v>9.3489125569533069</v>
      </c>
      <c r="AI117" s="221" t="s">
        <v>358</v>
      </c>
      <c r="AJ117" s="189">
        <f>IFERROR(RANK(TableWRTECalcPts[[#This Row],[Custom]],TableWRTECalcPts[Custom])+COUNTIF($AP$3:AP117,AP117)-1,"")</f>
        <v>134</v>
      </c>
      <c r="AK117" s="218">
        <v>15</v>
      </c>
      <c r="AL117" s="219" t="str">
        <f>IFERROR(INDEX(TableWRMaster[Player],MATCH(TableWRTECalcPts[[#This Row],[POSRef]],TableWRMaster[WRRef],0)),"")</f>
        <v>James Proche</v>
      </c>
      <c r="AM117" s="219" t="str">
        <f>IFERROR(_xlfn.CONCAT(TableWRTECalcPts[[#This Row],[POS]],INDEX(TableWRRanks[RK],MATCH(TableWRTECalcPts[[#This Row],[PLAYER]],TableWRRanks[Player],0))),"")</f>
        <v>WR102</v>
      </c>
      <c r="AN117" s="219" t="str">
        <f>IFERROR(INDEX(TableWRMaster[TM],MATCH(TableWRTECalcPts[[#This Row],[POSRef]],TableWRMaster[WRRef],0)),"")</f>
        <v>BAL</v>
      </c>
      <c r="AO117" s="219">
        <f>IFERROR(INDEX(TableWRMaster[BYE],MATCH(TableWRTECalcPts[[#This Row],[POSRef]],TableWRMaster[WRRef],0)),"")</f>
        <v>10</v>
      </c>
      <c r="AP117" s="220">
        <f>IFERROR(INDEX(TableWRMaster[Custom],MATCH(TableWRTECalcPts[[#This Row],[POSRef]],TableWRMaster[WRRef],0)),"")</f>
        <v>46.152657475365487</v>
      </c>
    </row>
    <row r="118" spans="8:42" x14ac:dyDescent="0.3">
      <c r="H118" s="189">
        <f>IFERROR(RANK(TableRBCalcPts[[#This Row],[Custom]],TableRBCalcPts[Custom])+COUNTIF($M$3:M118,M118)-1,"")</f>
        <v>70</v>
      </c>
      <c r="I118" s="189">
        <v>116</v>
      </c>
      <c r="J118" s="189" t="str">
        <f>IFERROR(INDEX(TableRBMaster[Player],MATCH(TableRBCalcPts[[#This Row],[RBRef]],TableRBMaster[RBRef],0)),"")</f>
        <v>Giovani Bernard</v>
      </c>
      <c r="K118" s="189" t="str">
        <f>IFERROR(INDEX(TableRBMaster[TM],MATCH(TableRBCalcPts[[#This Row],[RBRef]],TableRBMaster[RBRef],0)),"")</f>
        <v>TB</v>
      </c>
      <c r="L118" s="189">
        <f>IFERROR(INDEX(TableRBMaster[BYE],MATCH(TableRBCalcPts[[#This Row],[RBRef]],TableRBMaster[RBRef],0)),"")</f>
        <v>11</v>
      </c>
      <c r="M118" s="191">
        <f>IFERROR(INDEX(TableRBMaster[Custom],MATCH(TableRBCalcPts[[#This Row],[RBRef]],TableRBMaster[RBRef],0)),"")</f>
        <v>41.758958386492125</v>
      </c>
      <c r="O118" s="189">
        <f>IFERROR(RANK(TableWRCalcPts[[#This Row],[Custom]],TableWRCalcPts[Custom])+COUNTIF($T$3:T118,T118)-1,"")</f>
        <v>4</v>
      </c>
      <c r="P118" s="189">
        <v>116</v>
      </c>
      <c r="Q118" s="189" t="str">
        <f>IFERROR(INDEX(TableWRMaster[Player],MATCH(TableWRCalcPts[[#This Row],[WRRef]],TableWRMaster[WRRef],0)),"")</f>
        <v>Justin Jefferson</v>
      </c>
      <c r="R118" s="189" t="str">
        <f>IFERROR(INDEX(TableWRMaster[TM],MATCH(TableWRCalcPts[[#This Row],[WRRef]],TableWRMaster[WRRef],0)),"")</f>
        <v>MIN</v>
      </c>
      <c r="S118" s="189">
        <f>IFERROR(INDEX(TableWRMaster[BYE],MATCH(TableWRCalcPts[[#This Row],[WRRef]],TableWRMaster[WRRef],0)),"")</f>
        <v>7</v>
      </c>
      <c r="T118" s="191">
        <f>IFERROR(INDEX(TableWRMaster[Custom],MATCH(TableWRCalcPts[[#This Row],[WRRef]],TableWRMaster[WRRef],0)),"")</f>
        <v>202.65658638405648</v>
      </c>
      <c r="AI118" s="221" t="s">
        <v>358</v>
      </c>
      <c r="AJ118" s="189">
        <f>IFERROR(RANK(TableWRTECalcPts[[#This Row],[Custom]],TableWRTECalcPts[Custom])+COUNTIF($AP$3:AP118,AP118)-1,"")</f>
        <v>259</v>
      </c>
      <c r="AK118" s="218">
        <v>16</v>
      </c>
      <c r="AL118" s="219" t="str">
        <f>IFERROR(INDEX(TableWRMaster[Player],MATCH(TableWRTECalcPts[[#This Row],[POSRef]],TableWRMaster[WRRef],0)),"")</f>
        <v>Tylan Wallace</v>
      </c>
      <c r="AM118" s="219" t="str">
        <f>IFERROR(_xlfn.CONCAT(TableWRTECalcPts[[#This Row],[POS]],INDEX(TableWRRanks[RK],MATCH(TableWRTECalcPts[[#This Row],[PLAYER]],TableWRRanks[Player],0))),"")</f>
        <v>WR180</v>
      </c>
      <c r="AN118" s="219" t="str">
        <f>IFERROR(INDEX(TableWRMaster[TM],MATCH(TableWRTECalcPts[[#This Row],[POSRef]],TableWRMaster[WRRef],0)),"")</f>
        <v>BAL</v>
      </c>
      <c r="AO118" s="219">
        <f>IFERROR(INDEX(TableWRMaster[BYE],MATCH(TableWRTECalcPts[[#This Row],[POSRef]],TableWRMaster[WRRef],0)),"")</f>
        <v>10</v>
      </c>
      <c r="AP118" s="220">
        <f>IFERROR(INDEX(TableWRMaster[Custom],MATCH(TableWRTECalcPts[[#This Row],[POSRef]],TableWRMaster[WRRef],0)),"")</f>
        <v>7.1753802088779821</v>
      </c>
    </row>
    <row r="119" spans="8:42" x14ac:dyDescent="0.3">
      <c r="H119" s="189">
        <f>IFERROR(RANK(TableRBCalcPts[[#This Row],[Custom]],TableRBCalcPts[Custom])+COUNTIF($M$3:M119,M119)-1,"")</f>
        <v>88</v>
      </c>
      <c r="I119" s="189">
        <v>117</v>
      </c>
      <c r="J119" s="189" t="str">
        <f>IFERROR(INDEX(TableRBMaster[Player],MATCH(TableRBCalcPts[[#This Row],[RBRef]],TableRBMaster[RBRef],0)),"")</f>
        <v>Ke'Shawn Vaughn</v>
      </c>
      <c r="K119" s="189" t="str">
        <f>IFERROR(INDEX(TableRBMaster[TM],MATCH(TableRBCalcPts[[#This Row],[RBRef]],TableRBMaster[RBRef],0)),"")</f>
        <v>TB</v>
      </c>
      <c r="L119" s="189">
        <f>IFERROR(INDEX(TableRBMaster[BYE],MATCH(TableRBCalcPts[[#This Row],[RBRef]],TableRBMaster[RBRef],0)),"")</f>
        <v>11</v>
      </c>
      <c r="M119" s="191">
        <f>IFERROR(INDEX(TableRBMaster[Custom],MATCH(TableRBCalcPts[[#This Row],[RBRef]],TableRBMaster[RBRef],0)),"")</f>
        <v>21.745369875224792</v>
      </c>
      <c r="O119" s="189">
        <f>IFERROR(RANK(TableWRCalcPts[[#This Row],[Custom]],TableWRCalcPts[Custom])+COUNTIF($T$3:T119,T119)-1,"")</f>
        <v>39</v>
      </c>
      <c r="P119" s="189">
        <v>117</v>
      </c>
      <c r="Q119" s="189" t="str">
        <f>IFERROR(INDEX(TableWRMaster[Player],MATCH(TableWRCalcPts[[#This Row],[WRRef]],TableWRMaster[WRRef],0)),"")</f>
        <v>Adam Thielen</v>
      </c>
      <c r="R119" s="189" t="str">
        <f>IFERROR(INDEX(TableWRMaster[TM],MATCH(TableWRCalcPts[[#This Row],[WRRef]],TableWRMaster[WRRef],0)),"")</f>
        <v>MIN</v>
      </c>
      <c r="S119" s="189">
        <f>IFERROR(INDEX(TableWRMaster[BYE],MATCH(TableWRCalcPts[[#This Row],[WRRef]],TableWRMaster[WRRef],0)),"")</f>
        <v>7</v>
      </c>
      <c r="T119" s="191">
        <f>IFERROR(INDEX(TableWRMaster[Custom],MATCH(TableWRCalcPts[[#This Row],[WRRef]],TableWRMaster[WRRef],0)),"")</f>
        <v>123.40827254262244</v>
      </c>
      <c r="AI119" s="221" t="s">
        <v>358</v>
      </c>
      <c r="AJ119" s="189">
        <f>IFERROR(RANK(TableWRTECalcPts[[#This Row],[Custom]],TableWRTECalcPts[Custom])+COUNTIF($AP$3:AP119,AP119)-1,"")</f>
        <v>277</v>
      </c>
      <c r="AK119" s="218">
        <v>17</v>
      </c>
      <c r="AL119" s="219" t="str">
        <f>IFERROR(INDEX(TableWRMaster[Player],MATCH(TableWRTECalcPts[[#This Row],[POSRef]],TableWRMaster[WRRef],0)),"")</f>
        <v>Makai Polk</v>
      </c>
      <c r="AM119" s="219" t="str">
        <f>IFERROR(_xlfn.CONCAT(TableWRTECalcPts[[#This Row],[POS]],INDEX(TableWRRanks[RK],MATCH(TableWRTECalcPts[[#This Row],[PLAYER]],TableWRRanks[Player],0))),"")</f>
        <v>WR185</v>
      </c>
      <c r="AN119" s="219" t="str">
        <f>IFERROR(INDEX(TableWRMaster[TM],MATCH(TableWRTECalcPts[[#This Row],[POSRef]],TableWRMaster[WRRef],0)),"")</f>
        <v>BAL</v>
      </c>
      <c r="AO119" s="219">
        <f>IFERROR(INDEX(TableWRMaster[BYE],MATCH(TableWRTECalcPts[[#This Row],[POSRef]],TableWRMaster[WRRef],0)),"")</f>
        <v>10</v>
      </c>
      <c r="AP119" s="220">
        <f>IFERROR(INDEX(TableWRMaster[Custom],MATCH(TableWRTECalcPts[[#This Row],[POSRef]],TableWRMaster[WRRef],0)),"")</f>
        <v>1.6672180579530638</v>
      </c>
    </row>
    <row r="120" spans="8:42" x14ac:dyDescent="0.3">
      <c r="H120" s="189">
        <f>IFERROR(RANK(TableRBCalcPts[[#This Row],[Custom]],TableRBCalcPts[Custom])+COUNTIF($M$3:M120,M120)-1,"")</f>
        <v>2</v>
      </c>
      <c r="I120" s="189">
        <v>118</v>
      </c>
      <c r="J120" s="189" t="str">
        <f>IFERROR(INDEX(TableRBMaster[Player],MATCH(TableRBCalcPts[[#This Row],[RBRef]],TableRBMaster[RBRef],0)),"")</f>
        <v>Derrick Henry</v>
      </c>
      <c r="K120" s="189" t="str">
        <f>IFERROR(INDEX(TableRBMaster[TM],MATCH(TableRBCalcPts[[#This Row],[RBRef]],TableRBMaster[RBRef],0)),"")</f>
        <v>TEN</v>
      </c>
      <c r="L120" s="189">
        <f>IFERROR(INDEX(TableRBMaster[BYE],MATCH(TableRBCalcPts[[#This Row],[RBRef]],TableRBMaster[RBRef],0)),"")</f>
        <v>6</v>
      </c>
      <c r="M120" s="191">
        <f>IFERROR(INDEX(TableRBMaster[Custom],MATCH(TableRBCalcPts[[#This Row],[RBRef]],TableRBMaster[RBRef],0)),"")</f>
        <v>289.44642681060907</v>
      </c>
      <c r="O120" s="189">
        <f>IFERROR(RANK(TableWRCalcPts[[#This Row],[Custom]],TableWRCalcPts[Custom])+COUNTIF($T$3:T120,T120)-1,"")</f>
        <v>155</v>
      </c>
      <c r="P120" s="189">
        <v>118</v>
      </c>
      <c r="Q120" s="189" t="str">
        <f>IFERROR(INDEX(TableWRMaster[Player],MATCH(TableWRCalcPts[[#This Row],[WRRef]],TableWRMaster[WRRef],0)),"")</f>
        <v>Ihmir Smith-Marsette</v>
      </c>
      <c r="R120" s="189" t="str">
        <f>IFERROR(INDEX(TableWRMaster[TM],MATCH(TableWRCalcPts[[#This Row],[WRRef]],TableWRMaster[WRRef],0)),"")</f>
        <v>MIN</v>
      </c>
      <c r="S120" s="189">
        <f>IFERROR(INDEX(TableWRMaster[BYE],MATCH(TableWRCalcPts[[#This Row],[WRRef]],TableWRMaster[WRRef],0)),"")</f>
        <v>7</v>
      </c>
      <c r="T120" s="191">
        <f>IFERROR(INDEX(TableWRMaster[Custom],MATCH(TableWRCalcPts[[#This Row],[WRRef]],TableWRMaster[WRRef],0)),"")</f>
        <v>13.232471753790474</v>
      </c>
      <c r="AI120" s="221" t="s">
        <v>358</v>
      </c>
      <c r="AJ120" s="189">
        <f>IFERROR(RANK(TableWRTECalcPts[[#This Row],[Custom]],TableWRTECalcPts[Custom])+COUNTIF($AP$3:AP120,AP120)-1,"")</f>
        <v>171</v>
      </c>
      <c r="AK120" s="218">
        <v>18</v>
      </c>
      <c r="AL120" s="219" t="str">
        <f>IFERROR(INDEX(TableWRMaster[Player],MATCH(TableWRTECalcPts[[#This Row],[POSRef]],TableWRMaster[WRRef],0)),"")</f>
        <v>Jaylon Moore</v>
      </c>
      <c r="AM120" s="219" t="str">
        <f>IFERROR(_xlfn.CONCAT(TableWRTECalcPts[[#This Row],[POS]],INDEX(TableWRRanks[RK],MATCH(TableWRTECalcPts[[#This Row],[PLAYER]],TableWRRanks[Player],0))),"")</f>
        <v>WR123</v>
      </c>
      <c r="AN120" s="219" t="str">
        <f>IFERROR(INDEX(TableWRMaster[TM],MATCH(TableWRTECalcPts[[#This Row],[POSRef]],TableWRMaster[WRRef],0)),"")</f>
        <v>BAL</v>
      </c>
      <c r="AO120" s="219">
        <f>IFERROR(INDEX(TableWRMaster[BYE],MATCH(TableWRTECalcPts[[#This Row],[POSRef]],TableWRMaster[WRRef],0)),"")</f>
        <v>10</v>
      </c>
      <c r="AP120" s="220">
        <f>IFERROR(INDEX(TableWRMaster[Custom],MATCH(TableWRTECalcPts[[#This Row],[POSRef]],TableWRMaster[WRRef],0)),"")</f>
        <v>23.760689221327276</v>
      </c>
    </row>
    <row r="121" spans="8:42" x14ac:dyDescent="0.3">
      <c r="H121" s="189">
        <f>IFERROR(RANK(TableRBCalcPts[[#This Row],[Custom]],TableRBCalcPts[Custom])+COUNTIF($M$3:M121,M121)-1,"")</f>
        <v>72</v>
      </c>
      <c r="I121" s="189">
        <v>119</v>
      </c>
      <c r="J121" s="189" t="str">
        <f>IFERROR(INDEX(TableRBMaster[Player],MATCH(TableRBCalcPts[[#This Row],[RBRef]],TableRBMaster[RBRef],0)),"")</f>
        <v>Hassan Haskins</v>
      </c>
      <c r="K121" s="189" t="str">
        <f>IFERROR(INDEX(TableRBMaster[TM],MATCH(TableRBCalcPts[[#This Row],[RBRef]],TableRBMaster[RBRef],0)),"")</f>
        <v>TEN</v>
      </c>
      <c r="L121" s="189">
        <f>IFERROR(INDEX(TableRBMaster[BYE],MATCH(TableRBCalcPts[[#This Row],[RBRef]],TableRBMaster[RBRef],0)),"")</f>
        <v>6</v>
      </c>
      <c r="M121" s="191">
        <f>IFERROR(INDEX(TableRBMaster[Custom],MATCH(TableRBCalcPts[[#This Row],[RBRef]],TableRBMaster[RBRef],0)),"")</f>
        <v>40.841685253732471</v>
      </c>
      <c r="O121" s="189">
        <f>IFERROR(RANK(TableWRCalcPts[[#This Row],[Custom]],TableWRCalcPts[Custom])+COUNTIF($T$3:T121,T121)-1,"")</f>
        <v>75</v>
      </c>
      <c r="P121" s="189">
        <v>119</v>
      </c>
      <c r="Q121" s="189" t="str">
        <f>IFERROR(INDEX(TableWRMaster[Player],MATCH(TableWRCalcPts[[#This Row],[WRRef]],TableWRMaster[WRRef],0)),"")</f>
        <v>K.J. Osborn</v>
      </c>
      <c r="R121" s="189" t="str">
        <f>IFERROR(INDEX(TableWRMaster[TM],MATCH(TableWRCalcPts[[#This Row],[WRRef]],TableWRMaster[WRRef],0)),"")</f>
        <v>MIN</v>
      </c>
      <c r="S121" s="189">
        <f>IFERROR(INDEX(TableWRMaster[BYE],MATCH(TableWRCalcPts[[#This Row],[WRRef]],TableWRMaster[WRRef],0)),"")</f>
        <v>7</v>
      </c>
      <c r="T121" s="191">
        <f>IFERROR(INDEX(TableWRMaster[Custom],MATCH(TableWRCalcPts[[#This Row],[WRRef]],TableWRMaster[WRRef],0)),"")</f>
        <v>80.302367519801066</v>
      </c>
      <c r="AI121" s="221" t="s">
        <v>358</v>
      </c>
      <c r="AJ121" s="189">
        <f>IFERROR(RANK(TableWRTECalcPts[[#This Row],[Custom]],TableWRTECalcPts[Custom])+COUNTIF($AP$3:AP121,AP121)-1,"")</f>
        <v>5</v>
      </c>
      <c r="AK121" s="218">
        <v>19</v>
      </c>
      <c r="AL121" s="219" t="str">
        <f>IFERROR(INDEX(TableWRMaster[Player],MATCH(TableWRTECalcPts[[#This Row],[POSRef]],TableWRMaster[WRRef],0)),"")</f>
        <v>Stefon Diggs</v>
      </c>
      <c r="AM121" s="219" t="str">
        <f>IFERROR(_xlfn.CONCAT(TableWRTECalcPts[[#This Row],[POS]],INDEX(TableWRRanks[RK],MATCH(TableWRTECalcPts[[#This Row],[PLAYER]],TableWRRanks[Player],0))),"")</f>
        <v>WR5</v>
      </c>
      <c r="AN121" s="219" t="str">
        <f>IFERROR(INDEX(TableWRMaster[TM],MATCH(TableWRTECalcPts[[#This Row],[POSRef]],TableWRMaster[WRRef],0)),"")</f>
        <v>BUF</v>
      </c>
      <c r="AO121" s="219">
        <f>IFERROR(INDEX(TableWRMaster[BYE],MATCH(TableWRTECalcPts[[#This Row],[POSRef]],TableWRMaster[WRRef],0)),"")</f>
        <v>7</v>
      </c>
      <c r="AP121" s="220">
        <f>IFERROR(INDEX(TableWRMaster[Custom],MATCH(TableWRTECalcPts[[#This Row],[POSRef]],TableWRMaster[WRRef],0)),"")</f>
        <v>187.79224518431042</v>
      </c>
    </row>
    <row r="122" spans="8:42" x14ac:dyDescent="0.3">
      <c r="H122" s="189">
        <f>IFERROR(RANK(TableRBCalcPts[[#This Row],[Custom]],TableRBCalcPts[Custom])+COUNTIF($M$3:M122,M122)-1,"")</f>
        <v>71</v>
      </c>
      <c r="I122" s="189">
        <v>120</v>
      </c>
      <c r="J122" s="189" t="str">
        <f>IFERROR(INDEX(TableRBMaster[Player],MATCH(TableRBCalcPts[[#This Row],[RBRef]],TableRBMaster[RBRef],0)),"")</f>
        <v>Dontrell Hilliard</v>
      </c>
      <c r="K122" s="189" t="str">
        <f>IFERROR(INDEX(TableRBMaster[TM],MATCH(TableRBCalcPts[[#This Row],[RBRef]],TableRBMaster[RBRef],0)),"")</f>
        <v>TEN</v>
      </c>
      <c r="L122" s="189">
        <f>IFERROR(INDEX(TableRBMaster[BYE],MATCH(TableRBCalcPts[[#This Row],[RBRef]],TableRBMaster[RBRef],0)),"")</f>
        <v>6</v>
      </c>
      <c r="M122" s="191">
        <f>IFERROR(INDEX(TableRBMaster[Custom],MATCH(TableRBCalcPts[[#This Row],[RBRef]],TableRBMaster[RBRef],0)),"")</f>
        <v>40.937847165105438</v>
      </c>
      <c r="O122" s="189">
        <f>IFERROR(RANK(TableWRCalcPts[[#This Row],[Custom]],TableWRCalcPts[Custom])+COUNTIF($T$3:T122,T122)-1,"")</f>
        <v>174</v>
      </c>
      <c r="P122" s="189">
        <v>120</v>
      </c>
      <c r="Q122" s="189" t="str">
        <f>IFERROR(INDEX(TableWRMaster[Player],MATCH(TableWRCalcPts[[#This Row],[WRRef]],TableWRMaster[WRRef],0)),"")</f>
        <v>Jalen Nailor</v>
      </c>
      <c r="R122" s="189" t="str">
        <f>IFERROR(INDEX(TableWRMaster[TM],MATCH(TableWRCalcPts[[#This Row],[WRRef]],TableWRMaster[WRRef],0)),"")</f>
        <v>MIN</v>
      </c>
      <c r="S122" s="189">
        <f>IFERROR(INDEX(TableWRMaster[BYE],MATCH(TableWRCalcPts[[#This Row],[WRRef]],TableWRMaster[WRRef],0)),"")</f>
        <v>7</v>
      </c>
      <c r="T122" s="191">
        <f>IFERROR(INDEX(TableWRMaster[Custom],MATCH(TableWRCalcPts[[#This Row],[WRRef]],TableWRMaster[WRRef],0)),"")</f>
        <v>8.6483568154288335</v>
      </c>
      <c r="AI122" s="221" t="s">
        <v>358</v>
      </c>
      <c r="AJ122" s="189">
        <f>IFERROR(RANK(TableWRTECalcPts[[#This Row],[Custom]],TableWRTECalcPts[Custom])+COUNTIF($AP$3:AP122,AP122)-1,"")</f>
        <v>22</v>
      </c>
      <c r="AK122" s="218">
        <v>20</v>
      </c>
      <c r="AL122" s="219" t="str">
        <f>IFERROR(INDEX(TableWRMaster[Player],MATCH(TableWRTECalcPts[[#This Row],[POSRef]],TableWRMaster[WRRef],0)),"")</f>
        <v>Gabriel Davis</v>
      </c>
      <c r="AM122" s="219" t="str">
        <f>IFERROR(_xlfn.CONCAT(TableWRTECalcPts[[#This Row],[POS]],INDEX(TableWRRanks[RK],MATCH(TableWRTECalcPts[[#This Row],[PLAYER]],TableWRRanks[Player],0))),"")</f>
        <v>WR19</v>
      </c>
      <c r="AN122" s="219" t="str">
        <f>IFERROR(INDEX(TableWRMaster[TM],MATCH(TableWRTECalcPts[[#This Row],[POSRef]],TableWRMaster[WRRef],0)),"")</f>
        <v>BUF</v>
      </c>
      <c r="AO122" s="219">
        <f>IFERROR(INDEX(TableWRMaster[BYE],MATCH(TableWRTECalcPts[[#This Row],[POSRef]],TableWRMaster[WRRef],0)),"")</f>
        <v>7</v>
      </c>
      <c r="AP122" s="220">
        <f>IFERROR(INDEX(TableWRMaster[Custom],MATCH(TableWRTECalcPts[[#This Row],[POSRef]],TableWRMaster[WRRef],0)),"")</f>
        <v>149.8562933454524</v>
      </c>
    </row>
    <row r="123" spans="8:42" x14ac:dyDescent="0.3">
      <c r="H123" s="189">
        <f>IFERROR(RANK(TableRBCalcPts[[#This Row],[Custom]],TableRBCalcPts[Custom])+COUNTIF($M$3:M123,M123)-1,"")</f>
        <v>14</v>
      </c>
      <c r="I123" s="189">
        <v>121</v>
      </c>
      <c r="J123" s="189" t="str">
        <f>IFERROR(INDEX(TableRBMaster[Player],MATCH(TableRBCalcPts[[#This Row],[RBRef]],TableRBMaster[RBRef],0)),"")</f>
        <v>Antonio Gibson</v>
      </c>
      <c r="K123" s="189" t="str">
        <f>IFERROR(INDEX(TableRBMaster[TM],MATCH(TableRBCalcPts[[#This Row],[RBRef]],TableRBMaster[RBRef],0)),"")</f>
        <v>WSH</v>
      </c>
      <c r="L123" s="189">
        <f>IFERROR(INDEX(TableRBMaster[BYE],MATCH(TableRBCalcPts[[#This Row],[RBRef]],TableRBMaster[RBRef],0)),"")</f>
        <v>14</v>
      </c>
      <c r="M123" s="191">
        <f>IFERROR(INDEX(TableRBMaster[Custom],MATCH(TableRBCalcPts[[#This Row],[RBRef]],TableRBMaster[RBRef],0)),"")</f>
        <v>200.04508768685292</v>
      </c>
      <c r="O123" s="189">
        <f>IFERROR(RANK(TableWRCalcPts[[#This Row],[Custom]],TableWRCalcPts[Custom])+COUNTIF($T$3:T123,T123)-1,"")</f>
        <v>140</v>
      </c>
      <c r="P123" s="189">
        <v>121</v>
      </c>
      <c r="Q123" s="189" t="str">
        <f>IFERROR(INDEX(TableWRMaster[Player],MATCH(TableWRCalcPts[[#This Row],[WRRef]],TableWRMaster[WRRef],0)),"")</f>
        <v>Olabisi Johnson</v>
      </c>
      <c r="R123" s="189" t="str">
        <f>IFERROR(INDEX(TableWRMaster[TM],MATCH(TableWRCalcPts[[#This Row],[WRRef]],TableWRMaster[WRRef],0)),"")</f>
        <v>MIN</v>
      </c>
      <c r="S123" s="189">
        <f>IFERROR(INDEX(TableWRMaster[BYE],MATCH(TableWRCalcPts[[#This Row],[WRRef]],TableWRMaster[WRRef],0)),"")</f>
        <v>7</v>
      </c>
      <c r="T123" s="191">
        <f>IFERROR(INDEX(TableWRMaster[Custom],MATCH(TableWRCalcPts[[#This Row],[WRRef]],TableWRMaster[WRRef],0)),"")</f>
        <v>17.451560558101846</v>
      </c>
      <c r="AI123" s="221" t="s">
        <v>358</v>
      </c>
      <c r="AJ123" s="189">
        <f>IFERROR(RANK(TableWRTECalcPts[[#This Row],[Custom]],TableWRTECalcPts[Custom])+COUNTIF($AP$3:AP123,AP123)-1,"")</f>
        <v>250</v>
      </c>
      <c r="AK123" s="218">
        <v>21</v>
      </c>
      <c r="AL123" s="219" t="str">
        <f>IFERROR(INDEX(TableWRMaster[Player],MATCH(TableWRTECalcPts[[#This Row],[POSRef]],TableWRMaster[WRRef],0)),"")</f>
        <v>Marquez Stevenson</v>
      </c>
      <c r="AM123" s="219" t="str">
        <f>IFERROR(_xlfn.CONCAT(TableWRTECalcPts[[#This Row],[POS]],INDEX(TableWRRanks[RK],MATCH(TableWRTECalcPts[[#This Row],[PLAYER]],TableWRRanks[Player],0))),"")</f>
        <v>WR176</v>
      </c>
      <c r="AN123" s="219" t="str">
        <f>IFERROR(INDEX(TableWRMaster[TM],MATCH(TableWRTECalcPts[[#This Row],[POSRef]],TableWRMaster[WRRef],0)),"")</f>
        <v>BUF</v>
      </c>
      <c r="AO123" s="219">
        <f>IFERROR(INDEX(TableWRMaster[BYE],MATCH(TableWRTECalcPts[[#This Row],[POSRef]],TableWRMaster[WRRef],0)),"")</f>
        <v>7</v>
      </c>
      <c r="AP123" s="220">
        <f>IFERROR(INDEX(TableWRMaster[Custom],MATCH(TableWRTECalcPts[[#This Row],[POSRef]],TableWRMaster[WRRef],0)),"")</f>
        <v>8.566595854902161</v>
      </c>
    </row>
    <row r="124" spans="8:42" x14ac:dyDescent="0.3">
      <c r="H124" s="189">
        <f>IFERROR(RANK(TableRBCalcPts[[#This Row],[Custom]],TableRBCalcPts[Custom])+COUNTIF($M$3:M124,M124)-1,"")</f>
        <v>55</v>
      </c>
      <c r="I124" s="189">
        <v>122</v>
      </c>
      <c r="J124" s="189" t="str">
        <f>IFERROR(INDEX(TableRBMaster[Player],MATCH(TableRBCalcPts[[#This Row],[RBRef]],TableRBMaster[RBRef],0)),"")</f>
        <v>J.D. McKissic</v>
      </c>
      <c r="K124" s="189" t="str">
        <f>IFERROR(INDEX(TableRBMaster[TM],MATCH(TableRBCalcPts[[#This Row],[RBRef]],TableRBMaster[RBRef],0)),"")</f>
        <v>WSH</v>
      </c>
      <c r="L124" s="189">
        <f>IFERROR(INDEX(TableRBMaster[BYE],MATCH(TableRBCalcPts[[#This Row],[RBRef]],TableRBMaster[RBRef],0)),"")</f>
        <v>14</v>
      </c>
      <c r="M124" s="191">
        <f>IFERROR(INDEX(TableRBMaster[Custom],MATCH(TableRBCalcPts[[#This Row],[RBRef]],TableRBMaster[RBRef],0)),"")</f>
        <v>87.400718156019607</v>
      </c>
      <c r="O124" s="189">
        <f>IFERROR(RANK(TableWRCalcPts[[#This Row],[Custom]],TableWRCalcPts[Custom])+COUNTIF($T$3:T124,T124)-1,"")</f>
        <v>68</v>
      </c>
      <c r="P124" s="189">
        <v>122</v>
      </c>
      <c r="Q124" s="189" t="str">
        <f>IFERROR(INDEX(TableWRMaster[Player],MATCH(TableWRCalcPts[[#This Row],[WRRef]],TableWRMaster[WRRef],0)),"")</f>
        <v>DeVante Parker</v>
      </c>
      <c r="R124" s="189" t="str">
        <f>IFERROR(INDEX(TableWRMaster[TM],MATCH(TableWRCalcPts[[#This Row],[WRRef]],TableWRMaster[WRRef],0)),"")</f>
        <v>NE</v>
      </c>
      <c r="S124" s="189">
        <f>IFERROR(INDEX(TableWRMaster[BYE],MATCH(TableWRCalcPts[[#This Row],[WRRef]],TableWRMaster[WRRef],0)),"")</f>
        <v>10</v>
      </c>
      <c r="T124" s="191">
        <f>IFERROR(INDEX(TableWRMaster[Custom],MATCH(TableWRCalcPts[[#This Row],[WRRef]],TableWRMaster[WRRef],0)),"")</f>
        <v>87.406039713146185</v>
      </c>
      <c r="AI124" s="221" t="s">
        <v>358</v>
      </c>
      <c r="AJ124" s="189">
        <f>IFERROR(RANK(TableWRTECalcPts[[#This Row],[Custom]],TableWRTECalcPts[Custom])+COUNTIF($AP$3:AP124,AP124)-1,"")</f>
        <v>109</v>
      </c>
      <c r="AK124" s="218">
        <v>22</v>
      </c>
      <c r="AL124" s="219" t="str">
        <f>IFERROR(INDEX(TableWRMaster[Player],MATCH(TableWRTECalcPts[[#This Row],[POSRef]],TableWRMaster[WRRef],0)),"")</f>
        <v>Jamison Crowder</v>
      </c>
      <c r="AM124" s="219" t="str">
        <f>IFERROR(_xlfn.CONCAT(TableWRTECalcPts[[#This Row],[POS]],INDEX(TableWRRanks[RK],MATCH(TableWRTECalcPts[[#This Row],[PLAYER]],TableWRRanks[Player],0))),"")</f>
        <v>WR81</v>
      </c>
      <c r="AN124" s="219" t="str">
        <f>IFERROR(INDEX(TableWRMaster[TM],MATCH(TableWRTECalcPts[[#This Row],[POSRef]],TableWRMaster[WRRef],0)),"")</f>
        <v>BUF</v>
      </c>
      <c r="AO124" s="219">
        <f>IFERROR(INDEX(TableWRMaster[BYE],MATCH(TableWRTECalcPts[[#This Row],[POSRef]],TableWRMaster[WRRef],0)),"")</f>
        <v>7</v>
      </c>
      <c r="AP124" s="220">
        <f>IFERROR(INDEX(TableWRMaster[Custom],MATCH(TableWRTECalcPts[[#This Row],[POSRef]],TableWRMaster[WRRef],0)),"")</f>
        <v>74.485484004772331</v>
      </c>
    </row>
    <row r="125" spans="8:42" x14ac:dyDescent="0.3">
      <c r="H125" s="189">
        <f>IFERROR(RANK(TableRBCalcPts[[#This Row],[Custom]],TableRBCalcPts[Custom])+COUNTIF($M$3:M125,M125)-1,"")</f>
        <v>66</v>
      </c>
      <c r="I125" s="189">
        <v>123</v>
      </c>
      <c r="J125" s="189" t="str">
        <f>IFERROR(INDEX(TableRBMaster[Player],MATCH(TableRBCalcPts[[#This Row],[RBRef]],TableRBMaster[RBRef],0)),"")</f>
        <v>Brian Robinson</v>
      </c>
      <c r="K125" s="189" t="str">
        <f>IFERROR(INDEX(TableRBMaster[TM],MATCH(TableRBCalcPts[[#This Row],[RBRef]],TableRBMaster[RBRef],0)),"")</f>
        <v>WSH</v>
      </c>
      <c r="L125" s="189">
        <f>IFERROR(INDEX(TableRBMaster[BYE],MATCH(TableRBCalcPts[[#This Row],[RBRef]],TableRBMaster[RBRef],0)),"")</f>
        <v>14</v>
      </c>
      <c r="M125" s="191">
        <f>IFERROR(INDEX(TableRBMaster[Custom],MATCH(TableRBCalcPts[[#This Row],[RBRef]],TableRBMaster[RBRef],0)),"")</f>
        <v>52.436730302224909</v>
      </c>
      <c r="O125" s="189">
        <f>IFERROR(RANK(TableWRCalcPts[[#This Row],[Custom]],TableWRCalcPts[Custom])+COUNTIF($T$3:T125,T125)-1,"")</f>
        <v>66</v>
      </c>
      <c r="P125" s="189">
        <v>123</v>
      </c>
      <c r="Q125" s="189" t="str">
        <f>IFERROR(INDEX(TableWRMaster[Player],MATCH(TableWRCalcPts[[#This Row],[WRRef]],TableWRMaster[WRRef],0)),"")</f>
        <v>Jakobi Meyers</v>
      </c>
      <c r="R125" s="189" t="str">
        <f>IFERROR(INDEX(TableWRMaster[TM],MATCH(TableWRCalcPts[[#This Row],[WRRef]],TableWRMaster[WRRef],0)),"")</f>
        <v>NE</v>
      </c>
      <c r="S125" s="189">
        <f>IFERROR(INDEX(TableWRMaster[BYE],MATCH(TableWRCalcPts[[#This Row],[WRRef]],TableWRMaster[WRRef],0)),"")</f>
        <v>10</v>
      </c>
      <c r="T125" s="191">
        <f>IFERROR(INDEX(TableWRMaster[Custom],MATCH(TableWRCalcPts[[#This Row],[WRRef]],TableWRMaster[WRRef],0)),"")</f>
        <v>90.896112461128411</v>
      </c>
      <c r="AI125" s="221" t="s">
        <v>358</v>
      </c>
      <c r="AJ125" s="189">
        <f>IFERROR(RANK(TableWRTECalcPts[[#This Row],[Custom]],TableWRTECalcPts[Custom])+COUNTIF($AP$3:AP125,AP125)-1,"")</f>
        <v>133</v>
      </c>
      <c r="AK125" s="218">
        <v>23</v>
      </c>
      <c r="AL125" s="219" t="str">
        <f>IFERROR(INDEX(TableWRMaster[Player],MATCH(TableWRTECalcPts[[#This Row],[POSRef]],TableWRMaster[WRRef],0)),"")</f>
        <v>Isaiah McKenzie</v>
      </c>
      <c r="AM125" s="219" t="str">
        <f>IFERROR(_xlfn.CONCAT(TableWRTECalcPts[[#This Row],[POS]],INDEX(TableWRRanks[RK],MATCH(TableWRTECalcPts[[#This Row],[PLAYER]],TableWRRanks[Player],0))),"")</f>
        <v>WR101</v>
      </c>
      <c r="AN125" s="219" t="str">
        <f>IFERROR(INDEX(TableWRMaster[TM],MATCH(TableWRTECalcPts[[#This Row],[POSRef]],TableWRMaster[WRRef],0)),"")</f>
        <v>BUF</v>
      </c>
      <c r="AO125" s="219">
        <f>IFERROR(INDEX(TableWRMaster[BYE],MATCH(TableWRTECalcPts[[#This Row],[POSRef]],TableWRMaster[WRRef],0)),"")</f>
        <v>7</v>
      </c>
      <c r="AP125" s="220">
        <f>IFERROR(INDEX(TableWRMaster[Custom],MATCH(TableWRTECalcPts[[#This Row],[POSRef]],TableWRMaster[WRRef],0)),"")</f>
        <v>46.563602815971421</v>
      </c>
    </row>
    <row r="126" spans="8:42" x14ac:dyDescent="0.3">
      <c r="H126" s="189">
        <f>IFERROR(RANK(TableRBCalcPts[[#This Row],[Custom]],TableRBCalcPts[Custom])+COUNTIF($M$3:M126,M126)-1,"")</f>
        <v>118</v>
      </c>
      <c r="I126" s="189">
        <v>124</v>
      </c>
      <c r="J126" s="189" t="str">
        <f>IFERROR(INDEX(TableRBMaster[Player],MATCH(TableRBCalcPts[[#This Row],[RBRef]],TableRBMaster[RBRef],0)),"")</f>
        <v>Jaret Patterson</v>
      </c>
      <c r="K126" s="189" t="str">
        <f>IFERROR(INDEX(TableRBMaster[TM],MATCH(TableRBCalcPts[[#This Row],[RBRef]],TableRBMaster[RBRef],0)),"")</f>
        <v>WSH</v>
      </c>
      <c r="L126" s="189">
        <f>IFERROR(INDEX(TableRBMaster[BYE],MATCH(TableRBCalcPts[[#This Row],[RBRef]],TableRBMaster[RBRef],0)),"")</f>
        <v>14</v>
      </c>
      <c r="M126" s="191">
        <f>IFERROR(INDEX(TableRBMaster[Custom],MATCH(TableRBCalcPts[[#This Row],[RBRef]],TableRBMaster[RBRef],0)),"")</f>
        <v>6.9914425224020054</v>
      </c>
      <c r="O126" s="189">
        <f>IFERROR(RANK(TableWRCalcPts[[#This Row],[Custom]],TableWRCalcPts[Custom])+COUNTIF($T$3:T126,T126)-1,"")</f>
        <v>83</v>
      </c>
      <c r="P126" s="189">
        <v>124</v>
      </c>
      <c r="Q126" s="189" t="str">
        <f>IFERROR(INDEX(TableWRMaster[Player],MATCH(TableWRCalcPts[[#This Row],[WRRef]],TableWRMaster[WRRef],0)),"")</f>
        <v>Kendrick Bourne</v>
      </c>
      <c r="R126" s="189" t="str">
        <f>IFERROR(INDEX(TableWRMaster[TM],MATCH(TableWRCalcPts[[#This Row],[WRRef]],TableWRMaster[WRRef],0)),"")</f>
        <v>NE</v>
      </c>
      <c r="S126" s="189">
        <f>IFERROR(INDEX(TableWRMaster[BYE],MATCH(TableWRCalcPts[[#This Row],[WRRef]],TableWRMaster[WRRef],0)),"")</f>
        <v>10</v>
      </c>
      <c r="T126" s="191">
        <f>IFERROR(INDEX(TableWRMaster[Custom],MATCH(TableWRCalcPts[[#This Row],[WRRef]],TableWRMaster[WRRef],0)),"")</f>
        <v>72.660276936222047</v>
      </c>
      <c r="AI126" s="221" t="s">
        <v>358</v>
      </c>
      <c r="AJ126" s="189">
        <f>IFERROR(RANK(TableWRTECalcPts[[#This Row],[Custom]],TableWRTECalcPts[Custom])+COUNTIF($AP$3:AP126,AP126)-1,"")</f>
        <v>202</v>
      </c>
      <c r="AK126" s="218">
        <v>24</v>
      </c>
      <c r="AL126" s="219" t="str">
        <f>IFERROR(INDEX(TableWRMaster[Player],MATCH(TableWRTECalcPts[[#This Row],[POSRef]],TableWRMaster[WRRef],0)),"")</f>
        <v>Khalil Shakir</v>
      </c>
      <c r="AM126" s="219" t="str">
        <f>IFERROR(_xlfn.CONCAT(TableWRTECalcPts[[#This Row],[POS]],INDEX(TableWRRanks[RK],MATCH(TableWRTECalcPts[[#This Row],[PLAYER]],TableWRRanks[Player],0))),"")</f>
        <v>WR143</v>
      </c>
      <c r="AN126" s="219" t="str">
        <f>IFERROR(INDEX(TableWRMaster[TM],MATCH(TableWRTECalcPts[[#This Row],[POSRef]],TableWRMaster[WRRef],0)),"")</f>
        <v>BUF</v>
      </c>
      <c r="AO126" s="219">
        <f>IFERROR(INDEX(TableWRMaster[BYE],MATCH(TableWRTECalcPts[[#This Row],[POSRef]],TableWRMaster[WRRef],0)),"")</f>
        <v>7</v>
      </c>
      <c r="AP126" s="220">
        <f>IFERROR(INDEX(TableWRMaster[Custom],MATCH(TableWRTECalcPts[[#This Row],[POSRef]],TableWRMaster[WRRef],0)),"")</f>
        <v>16.720762056006564</v>
      </c>
    </row>
    <row r="127" spans="8:42" x14ac:dyDescent="0.3">
      <c r="H127" s="189" t="str">
        <f>IFERROR(RANK(TableRBCalcPts[[#This Row],[Custom]],TableRBCalcPts[Custom])+COUNTIF($M$3:M127,M127)-1,"")</f>
        <v/>
      </c>
      <c r="I127" s="189">
        <v>125</v>
      </c>
      <c r="J127" s="189" t="str">
        <f>IFERROR(INDEX(TableRBMaster[Player],MATCH(TableRBCalcPts[[#This Row],[RBRef]],TableRBMaster[RBRef],0)),"")</f>
        <v/>
      </c>
      <c r="K127" s="189" t="str">
        <f>IFERROR(INDEX(TableRBMaster[TM],MATCH(TableRBCalcPts[[#This Row],[RBRef]],TableRBMaster[RBRef],0)),"")</f>
        <v/>
      </c>
      <c r="L127" s="189" t="str">
        <f>IFERROR(INDEX(TableRBMaster[BYE],MATCH(TableRBCalcPts[[#This Row],[RBRef]],TableRBMaster[RBRef],0)),"")</f>
        <v/>
      </c>
      <c r="M127" s="191" t="str">
        <f>IFERROR(INDEX(TableRBMaster[Custom],MATCH(TableRBCalcPts[[#This Row],[RBRef]],TableRBMaster[RBRef],0)),"")</f>
        <v/>
      </c>
      <c r="O127" s="189">
        <f>IFERROR(RANK(TableWRCalcPts[[#This Row],[Custom]],TableWRCalcPts[Custom])+COUNTIF($T$3:T127,T127)-1,"")</f>
        <v>115</v>
      </c>
      <c r="P127" s="189">
        <v>125</v>
      </c>
      <c r="Q127" s="189" t="str">
        <f>IFERROR(INDEX(TableWRMaster[Player],MATCH(TableWRCalcPts[[#This Row],[WRRef]],TableWRMaster[WRRef],0)),"")</f>
        <v>Tyquan Thornton</v>
      </c>
      <c r="R127" s="189" t="str">
        <f>IFERROR(INDEX(TableWRMaster[TM],MATCH(TableWRCalcPts[[#This Row],[WRRef]],TableWRMaster[WRRef],0)),"")</f>
        <v>NE</v>
      </c>
      <c r="S127" s="189">
        <f>IFERROR(INDEX(TableWRMaster[BYE],MATCH(TableWRCalcPts[[#This Row],[WRRef]],TableWRMaster[WRRef],0)),"")</f>
        <v>10</v>
      </c>
      <c r="T127" s="191">
        <f>IFERROR(INDEX(TableWRMaster[Custom],MATCH(TableWRCalcPts[[#This Row],[WRRef]],TableWRMaster[WRRef],0)),"")</f>
        <v>28.18513651423002</v>
      </c>
      <c r="AI127" s="221" t="s">
        <v>358</v>
      </c>
      <c r="AJ127" s="189">
        <f>IFERROR(RANK(TableWRTECalcPts[[#This Row],[Custom]],TableWRTECalcPts[Custom])+COUNTIF($AP$3:AP127,AP127)-1,"")</f>
        <v>25</v>
      </c>
      <c r="AK127" s="218">
        <v>25</v>
      </c>
      <c r="AL127" s="219" t="str">
        <f>IFERROR(INDEX(TableWRMaster[Player],MATCH(TableWRTECalcPts[[#This Row],[POSRef]],TableWRMaster[WRRef],0)),"")</f>
        <v>DJ Moore</v>
      </c>
      <c r="AM127" s="219" t="str">
        <f>IFERROR(_xlfn.CONCAT(TableWRTECalcPts[[#This Row],[POS]],INDEX(TableWRRanks[RK],MATCH(TableWRTECalcPts[[#This Row],[PLAYER]],TableWRRanks[Player],0))),"")</f>
        <v>WR22</v>
      </c>
      <c r="AN127" s="219" t="str">
        <f>IFERROR(INDEX(TableWRMaster[TM],MATCH(TableWRTECalcPts[[#This Row],[POSRef]],TableWRMaster[WRRef],0)),"")</f>
        <v>CAR</v>
      </c>
      <c r="AO127" s="219">
        <f>IFERROR(INDEX(TableWRMaster[BYE],MATCH(TableWRTECalcPts[[#This Row],[POSRef]],TableWRMaster[WRRef],0)),"")</f>
        <v>13</v>
      </c>
      <c r="AP127" s="220">
        <f>IFERROR(INDEX(TableWRMaster[Custom],MATCH(TableWRTECalcPts[[#This Row],[POSRef]],TableWRMaster[WRRef],0)),"")</f>
        <v>145.62594698031444</v>
      </c>
    </row>
    <row r="128" spans="8:42" x14ac:dyDescent="0.3">
      <c r="H128" s="189" t="str">
        <f>IFERROR(RANK(TableRBCalcPts[[#This Row],[Custom]],TableRBCalcPts[Custom])+COUNTIF($M$3:M128,M128)-1,"")</f>
        <v/>
      </c>
      <c r="I128" s="189">
        <v>126</v>
      </c>
      <c r="J128" s="189" t="str">
        <f>IFERROR(INDEX(TableRBMaster[Player],MATCH(TableRBCalcPts[[#This Row],[RBRef]],TableRBMaster[RBRef],0)),"")</f>
        <v/>
      </c>
      <c r="K128" s="189" t="str">
        <f>IFERROR(INDEX(TableRBMaster[TM],MATCH(TableRBCalcPts[[#This Row],[RBRef]],TableRBMaster[RBRef],0)),"")</f>
        <v/>
      </c>
      <c r="L128" s="189" t="str">
        <f>IFERROR(INDEX(TableRBMaster[BYE],MATCH(TableRBCalcPts[[#This Row],[RBRef]],TableRBMaster[RBRef],0)),"")</f>
        <v/>
      </c>
      <c r="M128" s="191" t="str">
        <f>IFERROR(INDEX(TableRBMaster[Custom],MATCH(TableRBCalcPts[[#This Row],[RBRef]],TableRBMaster[RBRef],0)),"")</f>
        <v/>
      </c>
      <c r="O128" s="189">
        <f>IFERROR(RANK(TableWRCalcPts[[#This Row],[Custom]],TableWRCalcPts[Custom])+COUNTIF($T$3:T128,T128)-1,"")</f>
        <v>147</v>
      </c>
      <c r="P128" s="189">
        <v>126</v>
      </c>
      <c r="Q128" s="189" t="str">
        <f>IFERROR(INDEX(TableWRMaster[Player],MATCH(TableWRCalcPts[[#This Row],[WRRef]],TableWRMaster[WRRef],0)),"")</f>
        <v>Ty Montgomery</v>
      </c>
      <c r="R128" s="189" t="str">
        <f>IFERROR(INDEX(TableWRMaster[TM],MATCH(TableWRCalcPts[[#This Row],[WRRef]],TableWRMaster[WRRef],0)),"")</f>
        <v>NE</v>
      </c>
      <c r="S128" s="189">
        <f>IFERROR(INDEX(TableWRMaster[BYE],MATCH(TableWRCalcPts[[#This Row],[WRRef]],TableWRMaster[WRRef],0)),"")</f>
        <v>10</v>
      </c>
      <c r="T128" s="191">
        <f>IFERROR(INDEX(TableWRMaster[Custom],MATCH(TableWRCalcPts[[#This Row],[WRRef]],TableWRMaster[WRRef],0)),"")</f>
        <v>14.628730848439291</v>
      </c>
      <c r="AI128" s="221" t="s">
        <v>358</v>
      </c>
      <c r="AJ128" s="189">
        <f>IFERROR(RANK(TableWRTECalcPts[[#This Row],[Custom]],TableWRTECalcPts[Custom])+COUNTIF($AP$3:AP128,AP128)-1,"")</f>
        <v>71</v>
      </c>
      <c r="AK128" s="218">
        <v>26</v>
      </c>
      <c r="AL128" s="219" t="str">
        <f>IFERROR(INDEX(TableWRMaster[Player],MATCH(TableWRTECalcPts[[#This Row],[POSRef]],TableWRMaster[WRRef],0)),"")</f>
        <v>Robbie Anderson</v>
      </c>
      <c r="AM128" s="219" t="str">
        <f>IFERROR(_xlfn.CONCAT(TableWRTECalcPts[[#This Row],[POS]],INDEX(TableWRRanks[RK],MATCH(TableWRTECalcPts[[#This Row],[PLAYER]],TableWRRanks[Player],0))),"")</f>
        <v>WR59</v>
      </c>
      <c r="AN128" s="219" t="str">
        <f>IFERROR(INDEX(TableWRMaster[TM],MATCH(TableWRTECalcPts[[#This Row],[POSRef]],TableWRMaster[WRRef],0)),"")</f>
        <v>CAR</v>
      </c>
      <c r="AO128" s="219">
        <f>IFERROR(INDEX(TableWRMaster[BYE],MATCH(TableWRTECalcPts[[#This Row],[POSRef]],TableWRMaster[WRRef],0)),"")</f>
        <v>13</v>
      </c>
      <c r="AP128" s="220">
        <f>IFERROR(INDEX(TableWRMaster[Custom],MATCH(TableWRTECalcPts[[#This Row],[POSRef]],TableWRMaster[WRRef],0)),"")</f>
        <v>99.022998253309396</v>
      </c>
    </row>
    <row r="129" spans="8:42" x14ac:dyDescent="0.3">
      <c r="H129" s="189" t="str">
        <f>IFERROR(RANK(TableRBCalcPts[[#This Row],[Custom]],TableRBCalcPts[Custom])+COUNTIF($M$3:M129,M129)-1,"")</f>
        <v/>
      </c>
      <c r="I129" s="189">
        <v>127</v>
      </c>
      <c r="J129" s="189" t="str">
        <f>IFERROR(INDEX(TableRBMaster[Player],MATCH(TableRBCalcPts[[#This Row],[RBRef]],TableRBMaster[RBRef],0)),"")</f>
        <v/>
      </c>
      <c r="K129" s="189" t="str">
        <f>IFERROR(INDEX(TableRBMaster[TM],MATCH(TableRBCalcPts[[#This Row],[RBRef]],TableRBMaster[RBRef],0)),"")</f>
        <v/>
      </c>
      <c r="L129" s="189" t="str">
        <f>IFERROR(INDEX(TableRBMaster[BYE],MATCH(TableRBCalcPts[[#This Row],[RBRef]],TableRBMaster[RBRef],0)),"")</f>
        <v/>
      </c>
      <c r="M129" s="191" t="str">
        <f>IFERROR(INDEX(TableRBMaster[Custom],MATCH(TableRBCalcPts[[#This Row],[RBRef]],TableRBMaster[RBRef],0)),"")</f>
        <v/>
      </c>
      <c r="O129" s="189">
        <f>IFERROR(RANK(TableWRCalcPts[[#This Row],[Custom]],TableWRCalcPts[Custom])+COUNTIF($T$3:T129,T129)-1,"")</f>
        <v>135</v>
      </c>
      <c r="P129" s="189">
        <v>127</v>
      </c>
      <c r="Q129" s="189" t="str">
        <f>IFERROR(INDEX(TableWRMaster[Player],MATCH(TableWRCalcPts[[#This Row],[WRRef]],TableWRMaster[WRRef],0)),"")</f>
        <v>Nelson Agholor</v>
      </c>
      <c r="R129" s="189" t="str">
        <f>IFERROR(INDEX(TableWRMaster[TM],MATCH(TableWRCalcPts[[#This Row],[WRRef]],TableWRMaster[WRRef],0)),"")</f>
        <v>NE</v>
      </c>
      <c r="S129" s="189">
        <f>IFERROR(INDEX(TableWRMaster[BYE],MATCH(TableWRCalcPts[[#This Row],[WRRef]],TableWRMaster[WRRef],0)),"")</f>
        <v>10</v>
      </c>
      <c r="T129" s="191">
        <f>IFERROR(INDEX(TableWRMaster[Custom],MATCH(TableWRCalcPts[[#This Row],[WRRef]],TableWRMaster[WRRef],0)),"")</f>
        <v>19.29962773583124</v>
      </c>
      <c r="AI129" s="221" t="s">
        <v>358</v>
      </c>
      <c r="AJ129" s="189">
        <f>IFERROR(RANK(TableWRTECalcPts[[#This Row],[Custom]],TableWRTECalcPts[Custom])+COUNTIF($AP$3:AP129,AP129)-1,"")</f>
        <v>118</v>
      </c>
      <c r="AK129" s="218">
        <v>27</v>
      </c>
      <c r="AL129" s="219" t="str">
        <f>IFERROR(INDEX(TableWRMaster[Player],MATCH(TableWRTECalcPts[[#This Row],[POSRef]],TableWRMaster[WRRef],0)),"")</f>
        <v>Terrace Marshall</v>
      </c>
      <c r="AM129" s="219" t="str">
        <f>IFERROR(_xlfn.CONCAT(TableWRTECalcPts[[#This Row],[POS]],INDEX(TableWRRanks[RK],MATCH(TableWRTECalcPts[[#This Row],[PLAYER]],TableWRRanks[Player],0))),"")</f>
        <v>WR89</v>
      </c>
      <c r="AN129" s="219" t="str">
        <f>IFERROR(INDEX(TableWRMaster[TM],MATCH(TableWRTECalcPts[[#This Row],[POSRef]],TableWRMaster[WRRef],0)),"")</f>
        <v>CAR</v>
      </c>
      <c r="AO129" s="219">
        <f>IFERROR(INDEX(TableWRMaster[BYE],MATCH(TableWRTECalcPts[[#This Row],[POSRef]],TableWRMaster[WRRef],0)),"")</f>
        <v>13</v>
      </c>
      <c r="AP129" s="220">
        <f>IFERROR(INDEX(TableWRMaster[Custom],MATCH(TableWRTECalcPts[[#This Row],[POSRef]],TableWRMaster[WRRef],0)),"")</f>
        <v>59.809797928534088</v>
      </c>
    </row>
    <row r="130" spans="8:42" x14ac:dyDescent="0.3">
      <c r="H130" s="189" t="str">
        <f>IFERROR(RANK(TableRBCalcPts[[#This Row],[Custom]],TableRBCalcPts[Custom])+COUNTIF($M$3:M130,M130)-1,"")</f>
        <v/>
      </c>
      <c r="I130" s="189">
        <v>128</v>
      </c>
      <c r="J130" s="189" t="str">
        <f>IFERROR(INDEX(TableRBMaster[Player],MATCH(TableRBCalcPts[[#This Row],[RBRef]],TableRBMaster[RBRef],0)),"")</f>
        <v/>
      </c>
      <c r="K130" s="189" t="str">
        <f>IFERROR(INDEX(TableRBMaster[TM],MATCH(TableRBCalcPts[[#This Row],[RBRef]],TableRBMaster[RBRef],0)),"")</f>
        <v/>
      </c>
      <c r="L130" s="189" t="str">
        <f>IFERROR(INDEX(TableRBMaster[BYE],MATCH(TableRBCalcPts[[#This Row],[RBRef]],TableRBMaster[RBRef],0)),"")</f>
        <v/>
      </c>
      <c r="M130" s="191" t="str">
        <f>IFERROR(INDEX(TableRBMaster[Custom],MATCH(TableRBCalcPts[[#This Row],[RBRef]],TableRBMaster[RBRef],0)),"")</f>
        <v/>
      </c>
      <c r="O130" s="189">
        <f>IFERROR(RANK(TableWRCalcPts[[#This Row],[Custom]],TableWRCalcPts[Custom])+COUNTIF($T$3:T130,T130)-1,"")</f>
        <v>49</v>
      </c>
      <c r="P130" s="189">
        <v>128</v>
      </c>
      <c r="Q130" s="189" t="str">
        <f>IFERROR(INDEX(TableWRMaster[Player],MATCH(TableWRCalcPts[[#This Row],[WRRef]],TableWRMaster[WRRef],0)),"")</f>
        <v>Michael Thomas</v>
      </c>
      <c r="R130" s="189" t="str">
        <f>IFERROR(INDEX(TableWRMaster[TM],MATCH(TableWRCalcPts[[#This Row],[WRRef]],TableWRMaster[WRRef],0)),"")</f>
        <v>NO</v>
      </c>
      <c r="S130" s="189">
        <f>IFERROR(INDEX(TableWRMaster[BYE],MATCH(TableWRCalcPts[[#This Row],[WRRef]],TableWRMaster[WRRef],0)),"")</f>
        <v>14</v>
      </c>
      <c r="T130" s="191">
        <f>IFERROR(INDEX(TableWRMaster[Custom],MATCH(TableWRCalcPts[[#This Row],[WRRef]],TableWRMaster[WRRef],0)),"")</f>
        <v>109.96520155385335</v>
      </c>
      <c r="AI130" s="221" t="s">
        <v>358</v>
      </c>
      <c r="AJ130" s="189">
        <f>IFERROR(RANK(TableWRTECalcPts[[#This Row],[Custom]],TableWRTECalcPts[Custom])+COUNTIF($AP$3:AP130,AP130)-1,"")</f>
        <v>173</v>
      </c>
      <c r="AK130" s="218">
        <v>28</v>
      </c>
      <c r="AL130" s="219" t="str">
        <f>IFERROR(INDEX(TableWRMaster[Player],MATCH(TableWRTECalcPts[[#This Row],[POSRef]],TableWRMaster[WRRef],0)),"")</f>
        <v>Rashard Higgins</v>
      </c>
      <c r="AM130" s="219" t="str">
        <f>IFERROR(_xlfn.CONCAT(TableWRTECalcPts[[#This Row],[POS]],INDEX(TableWRRanks[RK],MATCH(TableWRTECalcPts[[#This Row],[PLAYER]],TableWRRanks[Player],0))),"")</f>
        <v>WR125</v>
      </c>
      <c r="AN130" s="219" t="str">
        <f>IFERROR(INDEX(TableWRMaster[TM],MATCH(TableWRTECalcPts[[#This Row],[POSRef]],TableWRMaster[WRRef],0)),"")</f>
        <v>CAR</v>
      </c>
      <c r="AO130" s="219">
        <f>IFERROR(INDEX(TableWRMaster[BYE],MATCH(TableWRTECalcPts[[#This Row],[POSRef]],TableWRMaster[WRRef],0)),"")</f>
        <v>13</v>
      </c>
      <c r="AP130" s="220">
        <f>IFERROR(INDEX(TableWRMaster[Custom],MATCH(TableWRTECalcPts[[#This Row],[POSRef]],TableWRMaster[WRRef],0)),"")</f>
        <v>23.388939153604547</v>
      </c>
    </row>
    <row r="131" spans="8:42" x14ac:dyDescent="0.3">
      <c r="H131" s="189" t="str">
        <f>IFERROR(RANK(TableRBCalcPts[[#This Row],[Custom]],TableRBCalcPts[Custom])+COUNTIF($M$3:M131,M131)-1,"")</f>
        <v/>
      </c>
      <c r="I131" s="189">
        <v>129</v>
      </c>
      <c r="J131" s="189" t="str">
        <f>IFERROR(INDEX(TableRBMaster[Player],MATCH(TableRBCalcPts[[#This Row],[RBRef]],TableRBMaster[RBRef],0)),"")</f>
        <v/>
      </c>
      <c r="K131" s="189" t="str">
        <f>IFERROR(INDEX(TableRBMaster[TM],MATCH(TableRBCalcPts[[#This Row],[RBRef]],TableRBMaster[RBRef],0)),"")</f>
        <v/>
      </c>
      <c r="L131" s="189" t="str">
        <f>IFERROR(INDEX(TableRBMaster[BYE],MATCH(TableRBCalcPts[[#This Row],[RBRef]],TableRBMaster[RBRef],0)),"")</f>
        <v/>
      </c>
      <c r="M131" s="191" t="str">
        <f>IFERROR(INDEX(TableRBMaster[Custom],MATCH(TableRBCalcPts[[#This Row],[RBRef]],TableRBMaster[RBRef],0)),"")</f>
        <v/>
      </c>
      <c r="O131" s="189">
        <f>IFERROR(RANK(TableWRCalcPts[[#This Row],[Custom]],TableWRCalcPts[Custom])+COUNTIF($T$3:T131,T131)-1,"")</f>
        <v>50</v>
      </c>
      <c r="P131" s="189">
        <v>129</v>
      </c>
      <c r="Q131" s="189" t="str">
        <f>IFERROR(INDEX(TableWRMaster[Player],MATCH(TableWRCalcPts[[#This Row],[WRRef]],TableWRMaster[WRRef],0)),"")</f>
        <v>Chris Olave</v>
      </c>
      <c r="R131" s="189" t="str">
        <f>IFERROR(INDEX(TableWRMaster[TM],MATCH(TableWRCalcPts[[#This Row],[WRRef]],TableWRMaster[WRRef],0)),"")</f>
        <v>NO</v>
      </c>
      <c r="S131" s="189">
        <f>IFERROR(INDEX(TableWRMaster[BYE],MATCH(TableWRCalcPts[[#This Row],[WRRef]],TableWRMaster[WRRef],0)),"")</f>
        <v>14</v>
      </c>
      <c r="T131" s="191">
        <f>IFERROR(INDEX(TableWRMaster[Custom],MATCH(TableWRCalcPts[[#This Row],[WRRef]],TableWRMaster[WRRef],0)),"")</f>
        <v>108.97249273047609</v>
      </c>
      <c r="AI131" s="221" t="s">
        <v>358</v>
      </c>
      <c r="AJ131" s="189">
        <f>IFERROR(RANK(TableWRTECalcPts[[#This Row],[Custom]],TableWRTECalcPts[Custom])+COUNTIF($AP$3:AP131,AP131)-1,"")</f>
        <v>218</v>
      </c>
      <c r="AK131" s="218">
        <v>29</v>
      </c>
      <c r="AL131" s="219" t="str">
        <f>IFERROR(INDEX(TableWRMaster[Player],MATCH(TableWRTECalcPts[[#This Row],[POSRef]],TableWRMaster[WRRef],0)),"")</f>
        <v>Brandon Zylstra</v>
      </c>
      <c r="AM131" s="219" t="str">
        <f>IFERROR(_xlfn.CONCAT(TableWRTECalcPts[[#This Row],[POS]],INDEX(TableWRRanks[RK],MATCH(TableWRTECalcPts[[#This Row],[PLAYER]],TableWRRanks[Player],0))),"")</f>
        <v>WR153</v>
      </c>
      <c r="AN131" s="219" t="str">
        <f>IFERROR(INDEX(TableWRMaster[TM],MATCH(TableWRTECalcPts[[#This Row],[POSRef]],TableWRMaster[WRRef],0)),"")</f>
        <v>CAR</v>
      </c>
      <c r="AO131" s="219">
        <f>IFERROR(INDEX(TableWRMaster[BYE],MATCH(TableWRTECalcPts[[#This Row],[POSRef]],TableWRMaster[WRRef],0)),"")</f>
        <v>13</v>
      </c>
      <c r="AP131" s="220">
        <f>IFERROR(INDEX(TableWRMaster[Custom],MATCH(TableWRTECalcPts[[#This Row],[POSRef]],TableWRMaster[WRRef],0)),"")</f>
        <v>13.741457224291679</v>
      </c>
    </row>
    <row r="132" spans="8:42" x14ac:dyDescent="0.3">
      <c r="H132" s="189" t="str">
        <f>IFERROR(RANK(TableRBCalcPts[[#This Row],[Custom]],TableRBCalcPts[Custom])+COUNTIF($M$3:M132,M132)-1,"")</f>
        <v/>
      </c>
      <c r="I132" s="189">
        <v>130</v>
      </c>
      <c r="J132" s="189" t="str">
        <f>IFERROR(INDEX(TableRBMaster[Player],MATCH(TableRBCalcPts[[#This Row],[RBRef]],TableRBMaster[RBRef],0)),"")</f>
        <v/>
      </c>
      <c r="K132" s="189" t="str">
        <f>IFERROR(INDEX(TableRBMaster[TM],MATCH(TableRBCalcPts[[#This Row],[RBRef]],TableRBMaster[RBRef],0)),"")</f>
        <v/>
      </c>
      <c r="L132" s="189" t="str">
        <f>IFERROR(INDEX(TableRBMaster[BYE],MATCH(TableRBCalcPts[[#This Row],[RBRef]],TableRBMaster[RBRef],0)),"")</f>
        <v/>
      </c>
      <c r="M132" s="191" t="str">
        <f>IFERROR(INDEX(TableRBMaster[Custom],MATCH(TableRBCalcPts[[#This Row],[RBRef]],TableRBMaster[RBRef],0)),"")</f>
        <v/>
      </c>
      <c r="O132" s="189">
        <f>IFERROR(RANK(TableWRCalcPts[[#This Row],[Custom]],TableWRCalcPts[Custom])+COUNTIF($T$3:T132,T132)-1,"")</f>
        <v>58</v>
      </c>
      <c r="P132" s="189">
        <v>130</v>
      </c>
      <c r="Q132" s="189" t="str">
        <f>IFERROR(INDEX(TableWRMaster[Player],MATCH(TableWRCalcPts[[#This Row],[WRRef]],TableWRMaster[WRRef],0)),"")</f>
        <v>Jarvis Landry</v>
      </c>
      <c r="R132" s="189" t="str">
        <f>IFERROR(INDEX(TableWRMaster[TM],MATCH(TableWRCalcPts[[#This Row],[WRRef]],TableWRMaster[WRRef],0)),"")</f>
        <v>NO</v>
      </c>
      <c r="S132" s="189">
        <f>IFERROR(INDEX(TableWRMaster[BYE],MATCH(TableWRCalcPts[[#This Row],[WRRef]],TableWRMaster[WRRef],0)),"")</f>
        <v>14</v>
      </c>
      <c r="T132" s="191">
        <f>IFERROR(INDEX(TableWRMaster[Custom],MATCH(TableWRCalcPts[[#This Row],[WRRef]],TableWRMaster[WRRef],0)),"")</f>
        <v>100.36232784392826</v>
      </c>
      <c r="AI132" s="221" t="s">
        <v>358</v>
      </c>
      <c r="AJ132" s="189">
        <f>IFERROR(RANK(TableWRTECalcPts[[#This Row],[Custom]],TableWRTECalcPts[Custom])+COUNTIF($AP$3:AP132,AP132)-1,"")</f>
        <v>35</v>
      </c>
      <c r="AK132" s="218">
        <v>30</v>
      </c>
      <c r="AL132" s="219" t="str">
        <f>IFERROR(INDEX(TableWRMaster[Player],MATCH(TableWRTECalcPts[[#This Row],[POSRef]],TableWRMaster[WRRef],0)),"")</f>
        <v>Darnell Mooney</v>
      </c>
      <c r="AM132" s="219" t="str">
        <f>IFERROR(_xlfn.CONCAT(TableWRTECalcPts[[#This Row],[POS]],INDEX(TableWRRanks[RK],MATCH(TableWRTECalcPts[[#This Row],[PLAYER]],TableWRRanks[Player],0))),"")</f>
        <v>WR32</v>
      </c>
      <c r="AN132" s="219" t="str">
        <f>IFERROR(INDEX(TableWRMaster[TM],MATCH(TableWRTECalcPts[[#This Row],[POSRef]],TableWRMaster[WRRef],0)),"")</f>
        <v>CHI</v>
      </c>
      <c r="AO132" s="219">
        <f>IFERROR(INDEX(TableWRMaster[BYE],MATCH(TableWRTECalcPts[[#This Row],[POSRef]],TableWRMaster[WRRef],0)),"")</f>
        <v>14</v>
      </c>
      <c r="AP132" s="220">
        <f>IFERROR(INDEX(TableWRMaster[Custom],MATCH(TableWRTECalcPts[[#This Row],[POSRef]],TableWRMaster[WRRef],0)),"")</f>
        <v>134.25338130240169</v>
      </c>
    </row>
    <row r="133" spans="8:42" x14ac:dyDescent="0.3">
      <c r="H133" s="189" t="str">
        <f>IFERROR(RANK(TableRBCalcPts[[#This Row],[Custom]],TableRBCalcPts[Custom])+COUNTIF($M$3:M133,M133)-1,"")</f>
        <v/>
      </c>
      <c r="I133" s="189">
        <v>131</v>
      </c>
      <c r="J133" s="189" t="str">
        <f>IFERROR(INDEX(TableRBMaster[Player],MATCH(TableRBCalcPts[[#This Row],[RBRef]],TableRBMaster[RBRef],0)),"")</f>
        <v/>
      </c>
      <c r="K133" s="189" t="str">
        <f>IFERROR(INDEX(TableRBMaster[TM],MATCH(TableRBCalcPts[[#This Row],[RBRef]],TableRBMaster[RBRef],0)),"")</f>
        <v/>
      </c>
      <c r="L133" s="189" t="str">
        <f>IFERROR(INDEX(TableRBMaster[BYE],MATCH(TableRBCalcPts[[#This Row],[RBRef]],TableRBMaster[RBRef],0)),"")</f>
        <v/>
      </c>
      <c r="M133" s="191" t="str">
        <f>IFERROR(INDEX(TableRBMaster[Custom],MATCH(TableRBCalcPts[[#This Row],[RBRef]],TableRBMaster[RBRef],0)),"")</f>
        <v/>
      </c>
      <c r="O133" s="189">
        <f>IFERROR(RANK(TableWRCalcPts[[#This Row],[Custom]],TableWRCalcPts[Custom])+COUNTIF($T$3:T133,T133)-1,"")</f>
        <v>109</v>
      </c>
      <c r="P133" s="189">
        <v>131</v>
      </c>
      <c r="Q133" s="189" t="str">
        <f>IFERROR(INDEX(TableWRMaster[Player],MATCH(TableWRCalcPts[[#This Row],[WRRef]],TableWRMaster[WRRef],0)),"")</f>
        <v>Marquez Callaway</v>
      </c>
      <c r="R133" s="189" t="str">
        <f>IFERROR(INDEX(TableWRMaster[TM],MATCH(TableWRCalcPts[[#This Row],[WRRef]],TableWRMaster[WRRef],0)),"")</f>
        <v>NO</v>
      </c>
      <c r="S133" s="189">
        <f>IFERROR(INDEX(TableWRMaster[BYE],MATCH(TableWRCalcPts[[#This Row],[WRRef]],TableWRMaster[WRRef],0)),"")</f>
        <v>14</v>
      </c>
      <c r="T133" s="191">
        <f>IFERROR(INDEX(TableWRMaster[Custom],MATCH(TableWRCalcPts[[#This Row],[WRRef]],TableWRMaster[WRRef],0)),"")</f>
        <v>35.071330105964549</v>
      </c>
      <c r="AI133" s="221" t="s">
        <v>358</v>
      </c>
      <c r="AJ133" s="189">
        <f>IFERROR(RANK(TableWRTECalcPts[[#This Row],[Custom]],TableWRTECalcPts[Custom])+COUNTIF($AP$3:AP133,AP133)-1,"")</f>
        <v>87</v>
      </c>
      <c r="AK133" s="218">
        <v>31</v>
      </c>
      <c r="AL133" s="219" t="str">
        <f>IFERROR(INDEX(TableWRMaster[Player],MATCH(TableWRTECalcPts[[#This Row],[POSRef]],TableWRMaster[WRRef],0)),"")</f>
        <v>Byron Pringle</v>
      </c>
      <c r="AM133" s="219" t="str">
        <f>IFERROR(_xlfn.CONCAT(TableWRTECalcPts[[#This Row],[POS]],INDEX(TableWRRanks[RK],MATCH(TableWRTECalcPts[[#This Row],[PLAYER]],TableWRRanks[Player],0))),"")</f>
        <v>WR70</v>
      </c>
      <c r="AN133" s="219" t="str">
        <f>IFERROR(INDEX(TableWRMaster[TM],MATCH(TableWRTECalcPts[[#This Row],[POSRef]],TableWRMaster[WRRef],0)),"")</f>
        <v>CHI</v>
      </c>
      <c r="AO133" s="219">
        <f>IFERROR(INDEX(TableWRMaster[BYE],MATCH(TableWRTECalcPts[[#This Row],[POSRef]],TableWRMaster[WRRef],0)),"")</f>
        <v>14</v>
      </c>
      <c r="AP133" s="220">
        <f>IFERROR(INDEX(TableWRMaster[Custom],MATCH(TableWRTECalcPts[[#This Row],[POSRef]],TableWRMaster[WRRef],0)),"")</f>
        <v>86.965222387666444</v>
      </c>
    </row>
    <row r="134" spans="8:42" x14ac:dyDescent="0.3">
      <c r="H134" s="189" t="str">
        <f>IFERROR(RANK(TableRBCalcPts[[#This Row],[Custom]],TableRBCalcPts[Custom])+COUNTIF($M$3:M134,M134)-1,"")</f>
        <v/>
      </c>
      <c r="I134" s="189">
        <v>132</v>
      </c>
      <c r="J134" s="189" t="str">
        <f>IFERROR(INDEX(TableRBMaster[Player],MATCH(TableRBCalcPts[[#This Row],[RBRef]],TableRBMaster[RBRef],0)),"")</f>
        <v/>
      </c>
      <c r="K134" s="189" t="str">
        <f>IFERROR(INDEX(TableRBMaster[TM],MATCH(TableRBCalcPts[[#This Row],[RBRef]],TableRBMaster[RBRef],0)),"")</f>
        <v/>
      </c>
      <c r="L134" s="189" t="str">
        <f>IFERROR(INDEX(TableRBMaster[BYE],MATCH(TableRBCalcPts[[#This Row],[RBRef]],TableRBMaster[RBRef],0)),"")</f>
        <v/>
      </c>
      <c r="M134" s="191" t="str">
        <f>IFERROR(INDEX(TableRBMaster[Custom],MATCH(TableRBCalcPts[[#This Row],[RBRef]],TableRBMaster[RBRef],0)),"")</f>
        <v/>
      </c>
      <c r="O134" s="189">
        <f>IFERROR(RANK(TableWRCalcPts[[#This Row],[Custom]],TableWRCalcPts[Custom])+COUNTIF($T$3:T134,T134)-1,"")</f>
        <v>132</v>
      </c>
      <c r="P134" s="189">
        <v>132</v>
      </c>
      <c r="Q134" s="189" t="str">
        <f>IFERROR(INDEX(TableWRMaster[Player],MATCH(TableWRCalcPts[[#This Row],[WRRef]],TableWRMaster[WRRef],0)),"")</f>
        <v>Tre'Quan Smith</v>
      </c>
      <c r="R134" s="189" t="str">
        <f>IFERROR(INDEX(TableWRMaster[TM],MATCH(TableWRCalcPts[[#This Row],[WRRef]],TableWRMaster[WRRef],0)),"")</f>
        <v>NO</v>
      </c>
      <c r="S134" s="189">
        <f>IFERROR(INDEX(TableWRMaster[BYE],MATCH(TableWRCalcPts[[#This Row],[WRRef]],TableWRMaster[WRRef],0)),"")</f>
        <v>14</v>
      </c>
      <c r="T134" s="191">
        <f>IFERROR(INDEX(TableWRMaster[Custom],MATCH(TableWRCalcPts[[#This Row],[WRRef]],TableWRMaster[WRRef],0)),"")</f>
        <v>20.717203124655729</v>
      </c>
      <c r="AI134" s="221" t="s">
        <v>358</v>
      </c>
      <c r="AJ134" s="189">
        <f>IFERROR(RANK(TableWRTECalcPts[[#This Row],[Custom]],TableWRTECalcPts[Custom])+COUNTIF($AP$3:AP134,AP134)-1,"")</f>
        <v>183</v>
      </c>
      <c r="AK134" s="218">
        <v>32</v>
      </c>
      <c r="AL134" s="219" t="str">
        <f>IFERROR(INDEX(TableWRMaster[Player],MATCH(TableWRTECalcPts[[#This Row],[POSRef]],TableWRMaster[WRRef],0)),"")</f>
        <v>Equanimeous St. Brown</v>
      </c>
      <c r="AM134" s="219" t="str">
        <f>IFERROR(_xlfn.CONCAT(TableWRTECalcPts[[#This Row],[POS]],INDEX(TableWRRanks[RK],MATCH(TableWRTECalcPts[[#This Row],[PLAYER]],TableWRRanks[Player],0))),"")</f>
        <v>WR131</v>
      </c>
      <c r="AN134" s="219" t="str">
        <f>IFERROR(INDEX(TableWRMaster[TM],MATCH(TableWRTECalcPts[[#This Row],[POSRef]],TableWRMaster[WRRef],0)),"")</f>
        <v>CHI</v>
      </c>
      <c r="AO134" s="219">
        <f>IFERROR(INDEX(TableWRMaster[BYE],MATCH(TableWRTECalcPts[[#This Row],[POSRef]],TableWRMaster[WRRef],0)),"")</f>
        <v>14</v>
      </c>
      <c r="AP134" s="220">
        <f>IFERROR(INDEX(TableWRMaster[Custom],MATCH(TableWRTECalcPts[[#This Row],[POSRef]],TableWRMaster[WRRef],0)),"")</f>
        <v>21.07897725115906</v>
      </c>
    </row>
    <row r="135" spans="8:42" x14ac:dyDescent="0.3">
      <c r="H135" s="189" t="str">
        <f>IFERROR(RANK(TableRBCalcPts[[#This Row],[Custom]],TableRBCalcPts[Custom])+COUNTIF($M$3:M135,M135)-1,"")</f>
        <v/>
      </c>
      <c r="I135" s="189">
        <v>133</v>
      </c>
      <c r="J135" s="189" t="str">
        <f>IFERROR(INDEX(TableRBMaster[Player],MATCH(TableRBCalcPts[[#This Row],[RBRef]],TableRBMaster[RBRef],0)),"")</f>
        <v/>
      </c>
      <c r="K135" s="189" t="str">
        <f>IFERROR(INDEX(TableRBMaster[TM],MATCH(TableRBCalcPts[[#This Row],[RBRef]],TableRBMaster[RBRef],0)),"")</f>
        <v/>
      </c>
      <c r="L135" s="189" t="str">
        <f>IFERROR(INDEX(TableRBMaster[BYE],MATCH(TableRBCalcPts[[#This Row],[RBRef]],TableRBMaster[RBRef],0)),"")</f>
        <v/>
      </c>
      <c r="M135" s="191" t="str">
        <f>IFERROR(INDEX(TableRBMaster[Custom],MATCH(TableRBCalcPts[[#This Row],[RBRef]],TableRBMaster[RBRef],0)),"")</f>
        <v/>
      </c>
      <c r="O135" s="189">
        <f>IFERROR(RANK(TableWRCalcPts[[#This Row],[Custom]],TableWRCalcPts[Custom])+COUNTIF($T$3:T135,T135)-1,"")</f>
        <v>146</v>
      </c>
      <c r="P135" s="189">
        <v>133</v>
      </c>
      <c r="Q135" s="189" t="str">
        <f>IFERROR(INDEX(TableWRMaster[Player],MATCH(TableWRCalcPts[[#This Row],[WRRef]],TableWRMaster[WRRef],0)),"")</f>
        <v>Deonte Harty</v>
      </c>
      <c r="R135" s="189" t="str">
        <f>IFERROR(INDEX(TableWRMaster[TM],MATCH(TableWRCalcPts[[#This Row],[WRRef]],TableWRMaster[WRRef],0)),"")</f>
        <v>NO</v>
      </c>
      <c r="S135" s="189">
        <f>IFERROR(INDEX(TableWRMaster[BYE],MATCH(TableWRCalcPts[[#This Row],[WRRef]],TableWRMaster[WRRef],0)),"")</f>
        <v>14</v>
      </c>
      <c r="T135" s="191">
        <f>IFERROR(INDEX(TableWRMaster[Custom],MATCH(TableWRCalcPts[[#This Row],[WRRef]],TableWRMaster[WRRef],0)),"")</f>
        <v>16.077201517724664</v>
      </c>
      <c r="AI135" s="221" t="s">
        <v>358</v>
      </c>
      <c r="AJ135" s="189">
        <f>IFERROR(RANK(TableWRTECalcPts[[#This Row],[Custom]],TableWRTECalcPts[Custom])+COUNTIF($AP$3:AP135,AP135)-1,"")</f>
        <v>121</v>
      </c>
      <c r="AK135" s="218">
        <v>33</v>
      </c>
      <c r="AL135" s="219" t="str">
        <f>IFERROR(INDEX(TableWRMaster[Player],MATCH(TableWRTECalcPts[[#This Row],[POSRef]],TableWRMaster[WRRef],0)),"")</f>
        <v>Velus Jones</v>
      </c>
      <c r="AM135" s="219" t="str">
        <f>IFERROR(_xlfn.CONCAT(TableWRTECalcPts[[#This Row],[POS]],INDEX(TableWRRanks[RK],MATCH(TableWRTECalcPts[[#This Row],[PLAYER]],TableWRRanks[Player],0))),"")</f>
        <v>WR92</v>
      </c>
      <c r="AN135" s="219" t="str">
        <f>IFERROR(INDEX(TableWRMaster[TM],MATCH(TableWRTECalcPts[[#This Row],[POSRef]],TableWRMaster[WRRef],0)),"")</f>
        <v>CHI</v>
      </c>
      <c r="AO135" s="219">
        <f>IFERROR(INDEX(TableWRMaster[BYE],MATCH(TableWRTECalcPts[[#This Row],[POSRef]],TableWRMaster[WRRef],0)),"")</f>
        <v>14</v>
      </c>
      <c r="AP135" s="220">
        <f>IFERROR(INDEX(TableWRMaster[Custom],MATCH(TableWRTECalcPts[[#This Row],[POSRef]],TableWRMaster[WRRef],0)),"")</f>
        <v>56.106932884563086</v>
      </c>
    </row>
    <row r="136" spans="8:42" x14ac:dyDescent="0.3">
      <c r="H136" s="189" t="str">
        <f>IFERROR(RANK(TableRBCalcPts[[#This Row],[Custom]],TableRBCalcPts[Custom])+COUNTIF($M$3:M136,M136)-1,"")</f>
        <v/>
      </c>
      <c r="I136" s="189">
        <v>134</v>
      </c>
      <c r="J136" s="189" t="str">
        <f>IFERROR(INDEX(TableRBMaster[Player],MATCH(TableRBCalcPts[[#This Row],[RBRef]],TableRBMaster[RBRef],0)),"")</f>
        <v/>
      </c>
      <c r="K136" s="189" t="str">
        <f>IFERROR(INDEX(TableRBMaster[TM],MATCH(TableRBCalcPts[[#This Row],[RBRef]],TableRBMaster[RBRef],0)),"")</f>
        <v/>
      </c>
      <c r="L136" s="189" t="str">
        <f>IFERROR(INDEX(TableRBMaster[BYE],MATCH(TableRBCalcPts[[#This Row],[RBRef]],TableRBMaster[RBRef],0)),"")</f>
        <v/>
      </c>
      <c r="M136" s="191" t="str">
        <f>IFERROR(INDEX(TableRBMaster[Custom],MATCH(TableRBCalcPts[[#This Row],[RBRef]],TableRBMaster[RBRef],0)),"")</f>
        <v/>
      </c>
      <c r="O136" s="189">
        <f>IFERROR(RANK(TableWRCalcPts[[#This Row],[Custom]],TableWRCalcPts[Custom])+COUNTIF($T$3:T136,T136)-1,"")</f>
        <v>55</v>
      </c>
      <c r="P136" s="189">
        <v>134</v>
      </c>
      <c r="Q136" s="189" t="str">
        <f>IFERROR(INDEX(TableWRMaster[Player],MATCH(TableWRCalcPts[[#This Row],[WRRef]],TableWRMaster[WRRef],0)),"")</f>
        <v>Kenny Golladay</v>
      </c>
      <c r="R136" s="189" t="str">
        <f>IFERROR(INDEX(TableWRMaster[TM],MATCH(TableWRCalcPts[[#This Row],[WRRef]],TableWRMaster[WRRef],0)),"")</f>
        <v>NYG</v>
      </c>
      <c r="S136" s="189">
        <f>IFERROR(INDEX(TableWRMaster[BYE],MATCH(TableWRCalcPts[[#This Row],[WRRef]],TableWRMaster[WRRef],0)),"")</f>
        <v>9</v>
      </c>
      <c r="T136" s="191">
        <f>IFERROR(INDEX(TableWRMaster[Custom],MATCH(TableWRCalcPts[[#This Row],[WRRef]],TableWRMaster[WRRef],0)),"")</f>
        <v>104.4107223692055</v>
      </c>
      <c r="AI136" s="221" t="s">
        <v>358</v>
      </c>
      <c r="AJ136" s="189">
        <f>IFERROR(RANK(TableWRTECalcPts[[#This Row],[Custom]],TableWRTECalcPts[Custom])+COUNTIF($AP$3:AP136,AP136)-1,"")</f>
        <v>217</v>
      </c>
      <c r="AK136" s="218">
        <v>34</v>
      </c>
      <c r="AL136" s="219" t="str">
        <f>IFERROR(INDEX(TableWRMaster[Player],MATCH(TableWRTECalcPts[[#This Row],[POSRef]],TableWRMaster[WRRef],0)),"")</f>
        <v>Dante Pettis</v>
      </c>
      <c r="AM136" s="219" t="str">
        <f>IFERROR(_xlfn.CONCAT(TableWRTECalcPts[[#This Row],[POS]],INDEX(TableWRRanks[RK],MATCH(TableWRTECalcPts[[#This Row],[PLAYER]],TableWRRanks[Player],0))),"")</f>
        <v>WR152</v>
      </c>
      <c r="AN136" s="219" t="str">
        <f>IFERROR(INDEX(TableWRMaster[TM],MATCH(TableWRTECalcPts[[#This Row],[POSRef]],TableWRMaster[WRRef],0)),"")</f>
        <v>CHI</v>
      </c>
      <c r="AO136" s="219">
        <f>IFERROR(INDEX(TableWRMaster[BYE],MATCH(TableWRTECalcPts[[#This Row],[POSRef]],TableWRMaster[WRRef],0)),"")</f>
        <v>14</v>
      </c>
      <c r="AP136" s="220">
        <f>IFERROR(INDEX(TableWRMaster[Custom],MATCH(TableWRTECalcPts[[#This Row],[POSRef]],TableWRMaster[WRRef],0)),"")</f>
        <v>13.749726037576302</v>
      </c>
    </row>
    <row r="137" spans="8:42" x14ac:dyDescent="0.3">
      <c r="H137" s="189" t="str">
        <f>IFERROR(RANK(TableRBCalcPts[[#This Row],[Custom]],TableRBCalcPts[Custom])+COUNTIF($M$3:M137,M137)-1,"")</f>
        <v/>
      </c>
      <c r="I137" s="189">
        <v>135</v>
      </c>
      <c r="J137" s="189" t="str">
        <f>IFERROR(INDEX(TableRBMaster[Player],MATCH(TableRBCalcPts[[#This Row],[RBRef]],TableRBMaster[RBRef],0)),"")</f>
        <v/>
      </c>
      <c r="K137" s="189" t="str">
        <f>IFERROR(INDEX(TableRBMaster[TM],MATCH(TableRBCalcPts[[#This Row],[RBRef]],TableRBMaster[RBRef],0)),"")</f>
        <v/>
      </c>
      <c r="L137" s="189" t="str">
        <f>IFERROR(INDEX(TableRBMaster[BYE],MATCH(TableRBCalcPts[[#This Row],[RBRef]],TableRBMaster[RBRef],0)),"")</f>
        <v/>
      </c>
      <c r="M137" s="191" t="str">
        <f>IFERROR(INDEX(TableRBMaster[Custom],MATCH(TableRBCalcPts[[#This Row],[RBRef]],TableRBMaster[RBRef],0)),"")</f>
        <v/>
      </c>
      <c r="O137" s="189">
        <f>IFERROR(RANK(TableWRCalcPts[[#This Row],[Custom]],TableWRCalcPts[Custom])+COUNTIF($T$3:T137,T137)-1,"")</f>
        <v>85</v>
      </c>
      <c r="P137" s="189">
        <v>135</v>
      </c>
      <c r="Q137" s="189" t="str">
        <f>IFERROR(INDEX(TableWRMaster[Player],MATCH(TableWRCalcPts[[#This Row],[WRRef]],TableWRMaster[WRRef],0)),"")</f>
        <v>Sterling Shepard</v>
      </c>
      <c r="R137" s="189" t="str">
        <f>IFERROR(INDEX(TableWRMaster[TM],MATCH(TableWRCalcPts[[#This Row],[WRRef]],TableWRMaster[WRRef],0)),"")</f>
        <v>NYG</v>
      </c>
      <c r="S137" s="189">
        <f>IFERROR(INDEX(TableWRMaster[BYE],MATCH(TableWRCalcPts[[#This Row],[WRRef]],TableWRMaster[WRRef],0)),"")</f>
        <v>9</v>
      </c>
      <c r="T137" s="191">
        <f>IFERROR(INDEX(TableWRMaster[Custom],MATCH(TableWRCalcPts[[#This Row],[WRRef]],TableWRMaster[WRRef],0)),"")</f>
        <v>69.979573413176695</v>
      </c>
      <c r="AI137" s="221" t="s">
        <v>358</v>
      </c>
      <c r="AJ137" s="189">
        <f>IFERROR(RANK(TableWRTECalcPts[[#This Row],[Custom]],TableWRTECalcPts[Custom])+COUNTIF($AP$3:AP137,AP137)-1,"")</f>
        <v>228</v>
      </c>
      <c r="AK137" s="218">
        <v>35</v>
      </c>
      <c r="AL137" s="219" t="str">
        <f>IFERROR(INDEX(TableWRMaster[Player],MATCH(TableWRTECalcPts[[#This Row],[POSRef]],TableWRMaster[WRRef],0)),"")</f>
        <v>Dazz Newsome</v>
      </c>
      <c r="AM137" s="219" t="str">
        <f>IFERROR(_xlfn.CONCAT(TableWRTECalcPts[[#This Row],[POS]],INDEX(TableWRRanks[RK],MATCH(TableWRTECalcPts[[#This Row],[PLAYER]],TableWRRanks[Player],0))),"")</f>
        <v>WR161</v>
      </c>
      <c r="AN137" s="219" t="str">
        <f>IFERROR(INDEX(TableWRMaster[TM],MATCH(TableWRTECalcPts[[#This Row],[POSRef]],TableWRMaster[WRRef],0)),"")</f>
        <v>CHI</v>
      </c>
      <c r="AO137" s="219">
        <f>IFERROR(INDEX(TableWRMaster[BYE],MATCH(TableWRTECalcPts[[#This Row],[POSRef]],TableWRMaster[WRRef],0)),"")</f>
        <v>14</v>
      </c>
      <c r="AP137" s="220">
        <f>IFERROR(INDEX(TableWRMaster[Custom],MATCH(TableWRTECalcPts[[#This Row],[POSRef]],TableWRMaster[WRRef],0)),"")</f>
        <v>12.174862018266934</v>
      </c>
    </row>
    <row r="138" spans="8:42" x14ac:dyDescent="0.3">
      <c r="H138" s="189" t="str">
        <f>IFERROR(RANK(TableRBCalcPts[[#This Row],[Custom]],TableRBCalcPts[Custom])+COUNTIF($M$3:M138,M138)-1,"")</f>
        <v/>
      </c>
      <c r="I138" s="189">
        <v>136</v>
      </c>
      <c r="J138" s="189" t="str">
        <f>IFERROR(INDEX(TableRBMaster[Player],MATCH(TableRBCalcPts[[#This Row],[RBRef]],TableRBMaster[RBRef],0)),"")</f>
        <v/>
      </c>
      <c r="K138" s="189" t="str">
        <f>IFERROR(INDEX(TableRBMaster[TM],MATCH(TableRBCalcPts[[#This Row],[RBRef]],TableRBMaster[RBRef],0)),"")</f>
        <v/>
      </c>
      <c r="L138" s="189" t="str">
        <f>IFERROR(INDEX(TableRBMaster[BYE],MATCH(TableRBCalcPts[[#This Row],[RBRef]],TableRBMaster[RBRef],0)),"")</f>
        <v/>
      </c>
      <c r="M138" s="191" t="str">
        <f>IFERROR(INDEX(TableRBMaster[Custom],MATCH(TableRBCalcPts[[#This Row],[RBRef]],TableRBMaster[RBRef],0)),"")</f>
        <v/>
      </c>
      <c r="O138" s="189">
        <f>IFERROR(RANK(TableWRCalcPts[[#This Row],[Custom]],TableWRCalcPts[Custom])+COUNTIF($T$3:T138,T138)-1,"")</f>
        <v>61</v>
      </c>
      <c r="P138" s="189">
        <v>136</v>
      </c>
      <c r="Q138" s="189" t="str">
        <f>IFERROR(INDEX(TableWRMaster[Player],MATCH(TableWRCalcPts[[#This Row],[WRRef]],TableWRMaster[WRRef],0)),"")</f>
        <v>Kadarius Toney</v>
      </c>
      <c r="R138" s="189" t="str">
        <f>IFERROR(INDEX(TableWRMaster[TM],MATCH(TableWRCalcPts[[#This Row],[WRRef]],TableWRMaster[WRRef],0)),"")</f>
        <v>NYG</v>
      </c>
      <c r="S138" s="189">
        <f>IFERROR(INDEX(TableWRMaster[BYE],MATCH(TableWRCalcPts[[#This Row],[WRRef]],TableWRMaster[WRRef],0)),"")</f>
        <v>9</v>
      </c>
      <c r="T138" s="191">
        <f>IFERROR(INDEX(TableWRMaster[Custom],MATCH(TableWRCalcPts[[#This Row],[WRRef]],TableWRMaster[WRRef],0)),"")</f>
        <v>97.721870227738862</v>
      </c>
      <c r="AI138" s="221" t="s">
        <v>358</v>
      </c>
      <c r="AJ138" s="189">
        <f>IFERROR(RANK(TableWRTECalcPts[[#This Row],[Custom]],TableWRTECalcPts[Custom])+COUNTIF($AP$3:AP138,AP138)-1,"")</f>
        <v>2</v>
      </c>
      <c r="AK138" s="218">
        <v>36</v>
      </c>
      <c r="AL138" s="219" t="str">
        <f>IFERROR(INDEX(TableWRMaster[Player],MATCH(TableWRTECalcPts[[#This Row],[POSRef]],TableWRMaster[WRRef],0)),"")</f>
        <v>Ja'Marr Chase</v>
      </c>
      <c r="AM138" s="219" t="str">
        <f>IFERROR(_xlfn.CONCAT(TableWRTECalcPts[[#This Row],[POS]],INDEX(TableWRRanks[RK],MATCH(TableWRTECalcPts[[#This Row],[PLAYER]],TableWRRanks[Player],0))),"")</f>
        <v>WR2</v>
      </c>
      <c r="AN138" s="219" t="str">
        <f>IFERROR(INDEX(TableWRMaster[TM],MATCH(TableWRTECalcPts[[#This Row],[POSRef]],TableWRMaster[WRRef],0)),"")</f>
        <v>CIN</v>
      </c>
      <c r="AO138" s="219">
        <f>IFERROR(INDEX(TableWRMaster[BYE],MATCH(TableWRTECalcPts[[#This Row],[POSRef]],TableWRMaster[WRRef],0)),"")</f>
        <v>10</v>
      </c>
      <c r="AP138" s="220">
        <f>IFERROR(INDEX(TableWRMaster[Custom],MATCH(TableWRTECalcPts[[#This Row],[POSRef]],TableWRMaster[WRRef],0)),"")</f>
        <v>233.9846437068403</v>
      </c>
    </row>
    <row r="139" spans="8:42" x14ac:dyDescent="0.3">
      <c r="H139" s="189" t="str">
        <f>IFERROR(RANK(TableRBCalcPts[[#This Row],[Custom]],TableRBCalcPts[Custom])+COUNTIF($M$3:M139,M139)-1,"")</f>
        <v/>
      </c>
      <c r="I139" s="189">
        <v>137</v>
      </c>
      <c r="J139" s="189" t="str">
        <f>IFERROR(INDEX(TableRBMaster[Player],MATCH(TableRBCalcPts[[#This Row],[RBRef]],TableRBMaster[RBRef],0)),"")</f>
        <v/>
      </c>
      <c r="K139" s="189" t="str">
        <f>IFERROR(INDEX(TableRBMaster[TM],MATCH(TableRBCalcPts[[#This Row],[RBRef]],TableRBMaster[RBRef],0)),"")</f>
        <v/>
      </c>
      <c r="L139" s="189" t="str">
        <f>IFERROR(INDEX(TableRBMaster[BYE],MATCH(TableRBCalcPts[[#This Row],[RBRef]],TableRBMaster[RBRef],0)),"")</f>
        <v/>
      </c>
      <c r="M139" s="191" t="str">
        <f>IFERROR(INDEX(TableRBMaster[Custom],MATCH(TableRBCalcPts[[#This Row],[RBRef]],TableRBMaster[RBRef],0)),"")</f>
        <v/>
      </c>
      <c r="O139" s="189">
        <f>IFERROR(RANK(TableWRCalcPts[[#This Row],[Custom]],TableWRCalcPts[Custom])+COUNTIF($T$3:T139,T139)-1,"")</f>
        <v>119</v>
      </c>
      <c r="P139" s="189">
        <v>137</v>
      </c>
      <c r="Q139" s="189" t="str">
        <f>IFERROR(INDEX(TableWRMaster[Player],MATCH(TableWRCalcPts[[#This Row],[WRRef]],TableWRMaster[WRRef],0)),"")</f>
        <v>Darius Slayton</v>
      </c>
      <c r="R139" s="189" t="str">
        <f>IFERROR(INDEX(TableWRMaster[TM],MATCH(TableWRCalcPts[[#This Row],[WRRef]],TableWRMaster[WRRef],0)),"")</f>
        <v>NYG</v>
      </c>
      <c r="S139" s="189">
        <f>IFERROR(INDEX(TableWRMaster[BYE],MATCH(TableWRCalcPts[[#This Row],[WRRef]],TableWRMaster[WRRef],0)),"")</f>
        <v>9</v>
      </c>
      <c r="T139" s="191">
        <f>IFERROR(INDEX(TableWRMaster[Custom],MATCH(TableWRCalcPts[[#This Row],[WRRef]],TableWRMaster[WRRef],0)),"")</f>
        <v>25.280290759337788</v>
      </c>
      <c r="AI139" s="221" t="s">
        <v>358</v>
      </c>
      <c r="AJ139" s="189">
        <f>IFERROR(RANK(TableWRTECalcPts[[#This Row],[Custom]],TableWRTECalcPts[Custom])+COUNTIF($AP$3:AP139,AP139)-1,"")</f>
        <v>9</v>
      </c>
      <c r="AK139" s="218">
        <v>37</v>
      </c>
      <c r="AL139" s="219" t="str">
        <f>IFERROR(INDEX(TableWRMaster[Player],MATCH(TableWRTECalcPts[[#This Row],[POSRef]],TableWRMaster[WRRef],0)),"")</f>
        <v>Tee Higgins</v>
      </c>
      <c r="AM139" s="219" t="str">
        <f>IFERROR(_xlfn.CONCAT(TableWRTECalcPts[[#This Row],[POS]],INDEX(TableWRRanks[RK],MATCH(TableWRTECalcPts[[#This Row],[PLAYER]],TableWRRanks[Player],0))),"")</f>
        <v>WR9</v>
      </c>
      <c r="AN139" s="219" t="str">
        <f>IFERROR(INDEX(TableWRMaster[TM],MATCH(TableWRTECalcPts[[#This Row],[POSRef]],TableWRMaster[WRRef],0)),"")</f>
        <v>CIN</v>
      </c>
      <c r="AO139" s="219">
        <f>IFERROR(INDEX(TableWRMaster[BYE],MATCH(TableWRTECalcPts[[#This Row],[POSRef]],TableWRMaster[WRRef],0)),"")</f>
        <v>10</v>
      </c>
      <c r="AP139" s="220">
        <f>IFERROR(INDEX(TableWRMaster[Custom],MATCH(TableWRTECalcPts[[#This Row],[POSRef]],TableWRMaster[WRRef],0)),"")</f>
        <v>173.13026472375194</v>
      </c>
    </row>
    <row r="140" spans="8:42" x14ac:dyDescent="0.3">
      <c r="H140" s="189" t="str">
        <f>IFERROR(RANK(TableRBCalcPts[[#This Row],[Custom]],TableRBCalcPts[Custom])+COUNTIF($M$3:M140,M140)-1,"")</f>
        <v/>
      </c>
      <c r="I140" s="189">
        <v>138</v>
      </c>
      <c r="J140" s="189" t="str">
        <f>IFERROR(INDEX(TableRBMaster[Player],MATCH(TableRBCalcPts[[#This Row],[RBRef]],TableRBMaster[RBRef],0)),"")</f>
        <v/>
      </c>
      <c r="K140" s="189" t="str">
        <f>IFERROR(INDEX(TableRBMaster[TM],MATCH(TableRBCalcPts[[#This Row],[RBRef]],TableRBMaster[RBRef],0)),"")</f>
        <v/>
      </c>
      <c r="L140" s="189" t="str">
        <f>IFERROR(INDEX(TableRBMaster[BYE],MATCH(TableRBCalcPts[[#This Row],[RBRef]],TableRBMaster[RBRef],0)),"")</f>
        <v/>
      </c>
      <c r="M140" s="191" t="str">
        <f>IFERROR(INDEX(TableRBMaster[Custom],MATCH(TableRBCalcPts[[#This Row],[RBRef]],TableRBMaster[RBRef],0)),"")</f>
        <v/>
      </c>
      <c r="O140" s="189">
        <f>IFERROR(RANK(TableWRCalcPts[[#This Row],[Custom]],TableWRCalcPts[Custom])+COUNTIF($T$3:T140,T140)-1,"")</f>
        <v>91</v>
      </c>
      <c r="P140" s="189">
        <v>138</v>
      </c>
      <c r="Q140" s="189" t="str">
        <f>IFERROR(INDEX(TableWRMaster[Player],MATCH(TableWRCalcPts[[#This Row],[WRRef]],TableWRMaster[WRRef],0)),"")</f>
        <v>Wan'Dale Robinson</v>
      </c>
      <c r="R140" s="189" t="str">
        <f>IFERROR(INDEX(TableWRMaster[TM],MATCH(TableWRCalcPts[[#This Row],[WRRef]],TableWRMaster[WRRef],0)),"")</f>
        <v>NYG</v>
      </c>
      <c r="S140" s="189">
        <f>IFERROR(INDEX(TableWRMaster[BYE],MATCH(TableWRCalcPts[[#This Row],[WRRef]],TableWRMaster[WRRef],0)),"")</f>
        <v>9</v>
      </c>
      <c r="T140" s="191">
        <f>IFERROR(INDEX(TableWRMaster[Custom],MATCH(TableWRCalcPts[[#This Row],[WRRef]],TableWRMaster[WRRef],0)),"")</f>
        <v>56.120534643103298</v>
      </c>
      <c r="AI140" s="221" t="s">
        <v>358</v>
      </c>
      <c r="AJ140" s="189">
        <f>IFERROR(RANK(TableWRTECalcPts[[#This Row],[Custom]],TableWRTECalcPts[Custom])+COUNTIF($AP$3:AP140,AP140)-1,"")</f>
        <v>52</v>
      </c>
      <c r="AK140" s="218">
        <v>38</v>
      </c>
      <c r="AL140" s="219" t="str">
        <f>IFERROR(INDEX(TableWRMaster[Player],MATCH(TableWRTECalcPts[[#This Row],[POSRef]],TableWRMaster[WRRef],0)),"")</f>
        <v>Tyler Boyd</v>
      </c>
      <c r="AM140" s="219" t="str">
        <f>IFERROR(_xlfn.CONCAT(TableWRTECalcPts[[#This Row],[POS]],INDEX(TableWRRanks[RK],MATCH(TableWRTECalcPts[[#This Row],[PLAYER]],TableWRRanks[Player],0))),"")</f>
        <v>WR45</v>
      </c>
      <c r="AN140" s="219" t="str">
        <f>IFERROR(INDEX(TableWRMaster[TM],MATCH(TableWRTECalcPts[[#This Row],[POSRef]],TableWRMaster[WRRef],0)),"")</f>
        <v>CIN</v>
      </c>
      <c r="AO140" s="219">
        <f>IFERROR(INDEX(TableWRMaster[BYE],MATCH(TableWRTECalcPts[[#This Row],[POSRef]],TableWRMaster[WRRef],0)),"")</f>
        <v>10</v>
      </c>
      <c r="AP140" s="220">
        <f>IFERROR(INDEX(TableWRMaster[Custom],MATCH(TableWRTECalcPts[[#This Row],[POSRef]],TableWRMaster[WRRef],0)),"")</f>
        <v>115.93168781692657</v>
      </c>
    </row>
    <row r="141" spans="8:42" x14ac:dyDescent="0.3">
      <c r="H141" s="189" t="str">
        <f>IFERROR(RANK(TableRBCalcPts[[#This Row],[Custom]],TableRBCalcPts[Custom])+COUNTIF($M$3:M141,M141)-1,"")</f>
        <v/>
      </c>
      <c r="I141" s="189">
        <v>139</v>
      </c>
      <c r="J141" s="189" t="str">
        <f>IFERROR(INDEX(TableRBMaster[Player],MATCH(TableRBCalcPts[[#This Row],[RBRef]],TableRBMaster[RBRef],0)),"")</f>
        <v/>
      </c>
      <c r="K141" s="189" t="str">
        <f>IFERROR(INDEX(TableRBMaster[TM],MATCH(TableRBCalcPts[[#This Row],[RBRef]],TableRBMaster[RBRef],0)),"")</f>
        <v/>
      </c>
      <c r="L141" s="189" t="str">
        <f>IFERROR(INDEX(TableRBMaster[BYE],MATCH(TableRBCalcPts[[#This Row],[RBRef]],TableRBMaster[RBRef],0)),"")</f>
        <v/>
      </c>
      <c r="M141" s="191" t="str">
        <f>IFERROR(INDEX(TableRBMaster[Custom],MATCH(TableRBCalcPts[[#This Row],[RBRef]],TableRBMaster[RBRef],0)),"")</f>
        <v/>
      </c>
      <c r="O141" s="189">
        <f>IFERROR(RANK(TableWRCalcPts[[#This Row],[Custom]],TableWRCalcPts[Custom])+COUNTIF($T$3:T141,T141)-1,"")</f>
        <v>138</v>
      </c>
      <c r="P141" s="189">
        <v>139</v>
      </c>
      <c r="Q141" s="189" t="str">
        <f>IFERROR(INDEX(TableWRMaster[Player],MATCH(TableWRCalcPts[[#This Row],[WRRef]],TableWRMaster[WRRef],0)),"")</f>
        <v>Richie James</v>
      </c>
      <c r="R141" s="189" t="str">
        <f>IFERROR(INDEX(TableWRMaster[TM],MATCH(TableWRCalcPts[[#This Row],[WRRef]],TableWRMaster[WRRef],0)),"")</f>
        <v>NYG</v>
      </c>
      <c r="S141" s="189">
        <f>IFERROR(INDEX(TableWRMaster[BYE],MATCH(TableWRCalcPts[[#This Row],[WRRef]],TableWRMaster[WRRef],0)),"")</f>
        <v>9</v>
      </c>
      <c r="T141" s="191">
        <f>IFERROR(INDEX(TableWRMaster[Custom],MATCH(TableWRCalcPts[[#This Row],[WRRef]],TableWRMaster[WRRef],0)),"")</f>
        <v>18.325436797417154</v>
      </c>
      <c r="AI141" s="221" t="s">
        <v>358</v>
      </c>
      <c r="AJ141" s="189">
        <f>IFERROR(RANK(TableWRTECalcPts[[#This Row],[Custom]],TableWRTECalcPts[Custom])+COUNTIF($AP$3:AP141,AP141)-1,"")</f>
        <v>254</v>
      </c>
      <c r="AK141" s="218">
        <v>39</v>
      </c>
      <c r="AL141" s="219" t="str">
        <f>IFERROR(INDEX(TableWRMaster[Player],MATCH(TableWRTECalcPts[[#This Row],[POSRef]],TableWRMaster[WRRef],0)),"")</f>
        <v>Stanley Morgan</v>
      </c>
      <c r="AM141" s="219" t="str">
        <f>IFERROR(_xlfn.CONCAT(TableWRTECalcPts[[#This Row],[POS]],INDEX(TableWRRanks[RK],MATCH(TableWRTECalcPts[[#This Row],[PLAYER]],TableWRRanks[Player],0))),"")</f>
        <v>WR177</v>
      </c>
      <c r="AN141" s="219" t="str">
        <f>IFERROR(INDEX(TableWRMaster[TM],MATCH(TableWRTECalcPts[[#This Row],[POSRef]],TableWRMaster[WRRef],0)),"")</f>
        <v>CIN</v>
      </c>
      <c r="AO141" s="219">
        <f>IFERROR(INDEX(TableWRMaster[BYE],MATCH(TableWRTECalcPts[[#This Row],[POSRef]],TableWRMaster[WRRef],0)),"")</f>
        <v>10</v>
      </c>
      <c r="AP141" s="220">
        <f>IFERROR(INDEX(TableWRMaster[Custom],MATCH(TableWRTECalcPts[[#This Row],[POSRef]],TableWRMaster[WRRef],0)),"")</f>
        <v>7.4273755350731978</v>
      </c>
    </row>
    <row r="142" spans="8:42" x14ac:dyDescent="0.3">
      <c r="H142" s="189" t="str">
        <f>IFERROR(RANK(TableRBCalcPts[[#This Row],[Custom]],TableRBCalcPts[Custom])+COUNTIF($M$3:M142,M142)-1,"")</f>
        <v/>
      </c>
      <c r="I142" s="189">
        <v>140</v>
      </c>
      <c r="J142" s="189" t="str">
        <f>IFERROR(INDEX(TableRBMaster[Player],MATCH(TableRBCalcPts[[#This Row],[RBRef]],TableRBMaster[RBRef],0)),"")</f>
        <v/>
      </c>
      <c r="K142" s="189" t="str">
        <f>IFERROR(INDEX(TableRBMaster[TM],MATCH(TableRBCalcPts[[#This Row],[RBRef]],TableRBMaster[RBRef],0)),"")</f>
        <v/>
      </c>
      <c r="L142" s="189" t="str">
        <f>IFERROR(INDEX(TableRBMaster[BYE],MATCH(TableRBCalcPts[[#This Row],[RBRef]],TableRBMaster[RBRef],0)),"")</f>
        <v/>
      </c>
      <c r="M142" s="191" t="str">
        <f>IFERROR(INDEX(TableRBMaster[Custom],MATCH(TableRBCalcPts[[#This Row],[RBRef]],TableRBMaster[RBRef],0)),"")</f>
        <v/>
      </c>
      <c r="O142" s="189">
        <f>IFERROR(RANK(TableWRCalcPts[[#This Row],[Custom]],TableWRCalcPts[Custom])+COUNTIF($T$3:T142,T142)-1,"")</f>
        <v>43</v>
      </c>
      <c r="P142" s="189">
        <v>140</v>
      </c>
      <c r="Q142" s="189" t="str">
        <f>IFERROR(INDEX(TableWRMaster[Player],MATCH(TableWRCalcPts[[#This Row],[WRRef]],TableWRMaster[WRRef],0)),"")</f>
        <v>Garrett Wilson</v>
      </c>
      <c r="R142" s="189" t="str">
        <f>IFERROR(INDEX(TableWRMaster[TM],MATCH(TableWRCalcPts[[#This Row],[WRRef]],TableWRMaster[WRRef],0)),"")</f>
        <v>NYJ</v>
      </c>
      <c r="S142" s="189">
        <f>IFERROR(INDEX(TableWRMaster[BYE],MATCH(TableWRCalcPts[[#This Row],[WRRef]],TableWRMaster[WRRef],0)),"")</f>
        <v>10</v>
      </c>
      <c r="T142" s="191">
        <f>IFERROR(INDEX(TableWRMaster[Custom],MATCH(TableWRCalcPts[[#This Row],[WRRef]],TableWRMaster[WRRef],0)),"")</f>
        <v>118.75015619934166</v>
      </c>
      <c r="AI142" s="221" t="s">
        <v>358</v>
      </c>
      <c r="AJ142" s="189">
        <f>IFERROR(RANK(TableWRTECalcPts[[#This Row],[Custom]],TableWRTECalcPts[Custom])+COUNTIF($AP$3:AP142,AP142)-1,"")</f>
        <v>225</v>
      </c>
      <c r="AK142" s="218">
        <v>40</v>
      </c>
      <c r="AL142" s="219" t="str">
        <f>IFERROR(INDEX(TableWRMaster[Player],MATCH(TableWRTECalcPts[[#This Row],[POSRef]],TableWRMaster[WRRef],0)),"")</f>
        <v>Mike Thomas</v>
      </c>
      <c r="AM142" s="219" t="str">
        <f>IFERROR(_xlfn.CONCAT(TableWRTECalcPts[[#This Row],[POS]],INDEX(TableWRRanks[RK],MATCH(TableWRTECalcPts[[#This Row],[PLAYER]],TableWRRanks[Player],0))),"")</f>
        <v>WR159</v>
      </c>
      <c r="AN142" s="219" t="str">
        <f>IFERROR(INDEX(TableWRMaster[TM],MATCH(TableWRTECalcPts[[#This Row],[POSRef]],TableWRMaster[WRRef],0)),"")</f>
        <v>CIN</v>
      </c>
      <c r="AO142" s="219">
        <f>IFERROR(INDEX(TableWRMaster[BYE],MATCH(TableWRTECalcPts[[#This Row],[POSRef]],TableWRMaster[WRRef],0)),"")</f>
        <v>10</v>
      </c>
      <c r="AP142" s="220">
        <f>IFERROR(INDEX(TableWRMaster[Custom],MATCH(TableWRTECalcPts[[#This Row],[POSRef]],TableWRMaster[WRRef],0)),"")</f>
        <v>12.674219162495806</v>
      </c>
    </row>
    <row r="143" spans="8:42" x14ac:dyDescent="0.3">
      <c r="H143" s="189" t="str">
        <f>IFERROR(RANK(TableRBCalcPts[[#This Row],[Custom]],TableRBCalcPts[Custom])+COUNTIF($M$3:M143,M143)-1,"")</f>
        <v/>
      </c>
      <c r="I143" s="189">
        <v>141</v>
      </c>
      <c r="J143" s="189" t="str">
        <f>IFERROR(INDEX(TableRBMaster[Player],MATCH(TableRBCalcPts[[#This Row],[RBRef]],TableRBMaster[RBRef],0)),"")</f>
        <v/>
      </c>
      <c r="K143" s="189" t="str">
        <f>IFERROR(INDEX(TableRBMaster[TM],MATCH(TableRBCalcPts[[#This Row],[RBRef]],TableRBMaster[RBRef],0)),"")</f>
        <v/>
      </c>
      <c r="L143" s="189" t="str">
        <f>IFERROR(INDEX(TableRBMaster[BYE],MATCH(TableRBCalcPts[[#This Row],[RBRef]],TableRBMaster[RBRef],0)),"")</f>
        <v/>
      </c>
      <c r="M143" s="191" t="str">
        <f>IFERROR(INDEX(TableRBMaster[Custom],MATCH(TableRBCalcPts[[#This Row],[RBRef]],TableRBMaster[RBRef],0)),"")</f>
        <v/>
      </c>
      <c r="O143" s="189">
        <f>IFERROR(RANK(TableWRCalcPts[[#This Row],[Custom]],TableWRCalcPts[Custom])+COUNTIF($T$3:T143,T143)-1,"")</f>
        <v>27</v>
      </c>
      <c r="P143" s="189">
        <v>141</v>
      </c>
      <c r="Q143" s="189" t="str">
        <f>IFERROR(INDEX(TableWRMaster[Player],MATCH(TableWRCalcPts[[#This Row],[WRRef]],TableWRMaster[WRRef],0)),"")</f>
        <v>Elijah Moore</v>
      </c>
      <c r="R143" s="189" t="str">
        <f>IFERROR(INDEX(TableWRMaster[TM],MATCH(TableWRCalcPts[[#This Row],[WRRef]],TableWRMaster[WRRef],0)),"")</f>
        <v>NYJ</v>
      </c>
      <c r="S143" s="189">
        <f>IFERROR(INDEX(TableWRMaster[BYE],MATCH(TableWRCalcPts[[#This Row],[WRRef]],TableWRMaster[WRRef],0)),"")</f>
        <v>10</v>
      </c>
      <c r="T143" s="191">
        <f>IFERROR(INDEX(TableWRMaster[Custom],MATCH(TableWRCalcPts[[#This Row],[WRRef]],TableWRMaster[WRRef],0)),"")</f>
        <v>140.30061800932492</v>
      </c>
      <c r="AI143" s="221" t="s">
        <v>358</v>
      </c>
      <c r="AJ143" s="189">
        <f>IFERROR(RANK(TableWRTECalcPts[[#This Row],[Custom]],TableWRTECalcPts[Custom])+COUNTIF($AP$3:AP143,AP143)-1,"")</f>
        <v>16</v>
      </c>
      <c r="AK143" s="218">
        <v>41</v>
      </c>
      <c r="AL143" s="219" t="str">
        <f>IFERROR(INDEX(TableWRMaster[Player],MATCH(TableWRTECalcPts[[#This Row],[POSRef]],TableWRMaster[WRRef],0)),"")</f>
        <v>Amari Cooper</v>
      </c>
      <c r="AM143" s="219" t="str">
        <f>IFERROR(_xlfn.CONCAT(TableWRTECalcPts[[#This Row],[POS]],INDEX(TableWRRanks[RK],MATCH(TableWRTECalcPts[[#This Row],[PLAYER]],TableWRRanks[Player],0))),"")</f>
        <v>WR14</v>
      </c>
      <c r="AN143" s="219" t="str">
        <f>IFERROR(INDEX(TableWRMaster[TM],MATCH(TableWRTECalcPts[[#This Row],[POSRef]],TableWRMaster[WRRef],0)),"")</f>
        <v>CLE</v>
      </c>
      <c r="AO143" s="219">
        <f>IFERROR(INDEX(TableWRMaster[BYE],MATCH(TableWRTECalcPts[[#This Row],[POSRef]],TableWRMaster[WRRef],0)),"")</f>
        <v>9</v>
      </c>
      <c r="AP143" s="220">
        <f>IFERROR(INDEX(TableWRMaster[Custom],MATCH(TableWRTECalcPts[[#This Row],[POSRef]],TableWRMaster[WRRef],0)),"")</f>
        <v>156.91573129483072</v>
      </c>
    </row>
    <row r="144" spans="8:42" x14ac:dyDescent="0.3">
      <c r="H144" s="189" t="str">
        <f>IFERROR(RANK(TableRBCalcPts[[#This Row],[Custom]],TableRBCalcPts[Custom])+COUNTIF($M$3:M144,M144)-1,"")</f>
        <v/>
      </c>
      <c r="I144" s="189">
        <v>142</v>
      </c>
      <c r="J144" s="189" t="str">
        <f>IFERROR(INDEX(TableRBMaster[Player],MATCH(TableRBCalcPts[[#This Row],[RBRef]],TableRBMaster[RBRef],0)),"")</f>
        <v/>
      </c>
      <c r="K144" s="189" t="str">
        <f>IFERROR(INDEX(TableRBMaster[TM],MATCH(TableRBCalcPts[[#This Row],[RBRef]],TableRBMaster[RBRef],0)),"")</f>
        <v/>
      </c>
      <c r="L144" s="189" t="str">
        <f>IFERROR(INDEX(TableRBMaster[BYE],MATCH(TableRBCalcPts[[#This Row],[RBRef]],TableRBMaster[RBRef],0)),"")</f>
        <v/>
      </c>
      <c r="M144" s="191" t="str">
        <f>IFERROR(INDEX(TableRBMaster[Custom],MATCH(TableRBCalcPts[[#This Row],[RBRef]],TableRBMaster[RBRef],0)),"")</f>
        <v/>
      </c>
      <c r="O144" s="189">
        <f>IFERROR(RANK(TableWRCalcPts[[#This Row],[Custom]],TableWRCalcPts[Custom])+COUNTIF($T$3:T144,T144)-1,"")</f>
        <v>87</v>
      </c>
      <c r="P144" s="189">
        <v>142</v>
      </c>
      <c r="Q144" s="189" t="str">
        <f>IFERROR(INDEX(TableWRMaster[Player],MATCH(TableWRCalcPts[[#This Row],[WRRef]],TableWRMaster[WRRef],0)),"")</f>
        <v>Corey Davis</v>
      </c>
      <c r="R144" s="189" t="str">
        <f>IFERROR(INDEX(TableWRMaster[TM],MATCH(TableWRCalcPts[[#This Row],[WRRef]],TableWRMaster[WRRef],0)),"")</f>
        <v>NYJ</v>
      </c>
      <c r="S144" s="189">
        <f>IFERROR(INDEX(TableWRMaster[BYE],MATCH(TableWRCalcPts[[#This Row],[WRRef]],TableWRMaster[WRRef],0)),"")</f>
        <v>10</v>
      </c>
      <c r="T144" s="191">
        <f>IFERROR(INDEX(TableWRMaster[Custom],MATCH(TableWRCalcPts[[#This Row],[WRRef]],TableWRMaster[WRRef],0)),"")</f>
        <v>65.288503663814794</v>
      </c>
      <c r="AI144" s="221" t="s">
        <v>358</v>
      </c>
      <c r="AJ144" s="189">
        <f>IFERROR(RANK(TableWRTECalcPts[[#This Row],[Custom]],TableWRTECalcPts[Custom])+COUNTIF($AP$3:AP144,AP144)-1,"")</f>
        <v>119</v>
      </c>
      <c r="AK144" s="218">
        <v>42</v>
      </c>
      <c r="AL144" s="219" t="str">
        <f>IFERROR(INDEX(TableWRMaster[Player],MATCH(TableWRTECalcPts[[#This Row],[POSRef]],TableWRMaster[WRRef],0)),"")</f>
        <v>David Bell</v>
      </c>
      <c r="AM144" s="219" t="str">
        <f>IFERROR(_xlfn.CONCAT(TableWRTECalcPts[[#This Row],[POS]],INDEX(TableWRRanks[RK],MATCH(TableWRTECalcPts[[#This Row],[PLAYER]],TableWRRanks[Player],0))),"")</f>
        <v>WR90</v>
      </c>
      <c r="AN144" s="219" t="str">
        <f>IFERROR(INDEX(TableWRMaster[TM],MATCH(TableWRTECalcPts[[#This Row],[POSRef]],TableWRMaster[WRRef],0)),"")</f>
        <v>CLE</v>
      </c>
      <c r="AO144" s="219">
        <f>IFERROR(INDEX(TableWRMaster[BYE],MATCH(TableWRTECalcPts[[#This Row],[POSRef]],TableWRMaster[WRRef],0)),"")</f>
        <v>9</v>
      </c>
      <c r="AP144" s="220">
        <f>IFERROR(INDEX(TableWRMaster[Custom],MATCH(TableWRTECalcPts[[#This Row],[POSRef]],TableWRMaster[WRRef],0)),"")</f>
        <v>57.726772683944851</v>
      </c>
    </row>
    <row r="145" spans="8:42" x14ac:dyDescent="0.3">
      <c r="H145" s="189" t="str">
        <f>IFERROR(RANK(TableRBCalcPts[[#This Row],[Custom]],TableRBCalcPts[Custom])+COUNTIF($M$3:M145,M145)-1,"")</f>
        <v/>
      </c>
      <c r="I145" s="189">
        <v>143</v>
      </c>
      <c r="J145" s="189" t="str">
        <f>IFERROR(INDEX(TableRBMaster[Player],MATCH(TableRBCalcPts[[#This Row],[RBRef]],TableRBMaster[RBRef],0)),"")</f>
        <v/>
      </c>
      <c r="K145" s="189" t="str">
        <f>IFERROR(INDEX(TableRBMaster[TM],MATCH(TableRBCalcPts[[#This Row],[RBRef]],TableRBMaster[RBRef],0)),"")</f>
        <v/>
      </c>
      <c r="L145" s="189" t="str">
        <f>IFERROR(INDEX(TableRBMaster[BYE],MATCH(TableRBCalcPts[[#This Row],[RBRef]],TableRBMaster[RBRef],0)),"")</f>
        <v/>
      </c>
      <c r="M145" s="191" t="str">
        <f>IFERROR(INDEX(TableRBMaster[Custom],MATCH(TableRBCalcPts[[#This Row],[RBRef]],TableRBMaster[RBRef],0)),"")</f>
        <v/>
      </c>
      <c r="O145" s="189">
        <f>IFERROR(RANK(TableWRCalcPts[[#This Row],[Custom]],TableWRCalcPts[Custom])+COUNTIF($T$3:T145,T145)-1,"")</f>
        <v>163</v>
      </c>
      <c r="P145" s="189">
        <v>143</v>
      </c>
      <c r="Q145" s="189" t="str">
        <f>IFERROR(INDEX(TableWRMaster[Player],MATCH(TableWRCalcPts[[#This Row],[WRRef]],TableWRMaster[WRRef],0)),"")</f>
        <v>Denzel Mims</v>
      </c>
      <c r="R145" s="189" t="str">
        <f>IFERROR(INDEX(TableWRMaster[TM],MATCH(TableWRCalcPts[[#This Row],[WRRef]],TableWRMaster[WRRef],0)),"")</f>
        <v>NYJ</v>
      </c>
      <c r="S145" s="189">
        <f>IFERROR(INDEX(TableWRMaster[BYE],MATCH(TableWRCalcPts[[#This Row],[WRRef]],TableWRMaster[WRRef],0)),"")</f>
        <v>10</v>
      </c>
      <c r="T145" s="191">
        <f>IFERROR(INDEX(TableWRMaster[Custom],MATCH(TableWRCalcPts[[#This Row],[WRRef]],TableWRMaster[WRRef],0)),"")</f>
        <v>11.477164181856821</v>
      </c>
      <c r="AI145" s="221" t="s">
        <v>358</v>
      </c>
      <c r="AJ145" s="189">
        <f>IFERROR(RANK(TableWRTECalcPts[[#This Row],[Custom]],TableWRTECalcPts[Custom])+COUNTIF($AP$3:AP145,AP145)-1,"")</f>
        <v>91</v>
      </c>
      <c r="AK145" s="218">
        <v>43</v>
      </c>
      <c r="AL145" s="219" t="str">
        <f>IFERROR(INDEX(TableWRMaster[Player],MATCH(TableWRTECalcPts[[#This Row],[POSRef]],TableWRMaster[WRRef],0)),"")</f>
        <v>Donovan Peoples-Jones</v>
      </c>
      <c r="AM145" s="219" t="str">
        <f>IFERROR(_xlfn.CONCAT(TableWRTECalcPts[[#This Row],[POS]],INDEX(TableWRRanks[RK],MATCH(TableWRTECalcPts[[#This Row],[PLAYER]],TableWRRanks[Player],0))),"")</f>
        <v>WR73</v>
      </c>
      <c r="AN145" s="219" t="str">
        <f>IFERROR(INDEX(TableWRMaster[TM],MATCH(TableWRTECalcPts[[#This Row],[POSRef]],TableWRMaster[WRRef],0)),"")</f>
        <v>CLE</v>
      </c>
      <c r="AO145" s="219">
        <f>IFERROR(INDEX(TableWRMaster[BYE],MATCH(TableWRTECalcPts[[#This Row],[POSRef]],TableWRMaster[WRRef],0)),"")</f>
        <v>9</v>
      </c>
      <c r="AP145" s="220">
        <f>IFERROR(INDEX(TableWRMaster[Custom],MATCH(TableWRTECalcPts[[#This Row],[POSRef]],TableWRMaster[WRRef],0)),"")</f>
        <v>85.670822503733376</v>
      </c>
    </row>
    <row r="146" spans="8:42" x14ac:dyDescent="0.3">
      <c r="H146" s="189" t="str">
        <f>IFERROR(RANK(TableRBCalcPts[[#This Row],[Custom]],TableRBCalcPts[Custom])+COUNTIF($M$3:M146,M146)-1,"")</f>
        <v/>
      </c>
      <c r="I146" s="189">
        <v>144</v>
      </c>
      <c r="J146" s="189" t="str">
        <f>IFERROR(INDEX(TableRBMaster[Player],MATCH(TableRBCalcPts[[#This Row],[RBRef]],TableRBMaster[RBRef],0)),"")</f>
        <v/>
      </c>
      <c r="K146" s="189" t="str">
        <f>IFERROR(INDEX(TableRBMaster[TM],MATCH(TableRBCalcPts[[#This Row],[RBRef]],TableRBMaster[RBRef],0)),"")</f>
        <v/>
      </c>
      <c r="L146" s="189" t="str">
        <f>IFERROR(INDEX(TableRBMaster[BYE],MATCH(TableRBCalcPts[[#This Row],[RBRef]],TableRBMaster[RBRef],0)),"")</f>
        <v/>
      </c>
      <c r="M146" s="191" t="str">
        <f>IFERROR(INDEX(TableRBMaster[Custom],MATCH(TableRBCalcPts[[#This Row],[RBRef]],TableRBMaster[RBRef],0)),"")</f>
        <v/>
      </c>
      <c r="O146" s="189">
        <f>IFERROR(RANK(TableWRCalcPts[[#This Row],[Custom]],TableWRCalcPts[Custom])+COUNTIF($T$3:T146,T146)-1,"")</f>
        <v>184</v>
      </c>
      <c r="P146" s="189">
        <v>144</v>
      </c>
      <c r="Q146" s="189" t="str">
        <f>IFERROR(INDEX(TableWRMaster[Player],MATCH(TableWRCalcPts[[#This Row],[WRRef]],TableWRMaster[WRRef],0)),"")</f>
        <v>Jeff Smith</v>
      </c>
      <c r="R146" s="189" t="str">
        <f>IFERROR(INDEX(TableWRMaster[TM],MATCH(TableWRCalcPts[[#This Row],[WRRef]],TableWRMaster[WRRef],0)),"")</f>
        <v>NYJ</v>
      </c>
      <c r="S146" s="189">
        <f>IFERROR(INDEX(TableWRMaster[BYE],MATCH(TableWRCalcPts[[#This Row],[WRRef]],TableWRMaster[WRRef],0)),"")</f>
        <v>10</v>
      </c>
      <c r="T146" s="191">
        <f>IFERROR(INDEX(TableWRMaster[Custom],MATCH(TableWRCalcPts[[#This Row],[WRRef]],TableWRMaster[WRRef],0)),"")</f>
        <v>3.9204597587547814</v>
      </c>
      <c r="AI146" s="221" t="s">
        <v>358</v>
      </c>
      <c r="AJ146" s="189">
        <f>IFERROR(RANK(TableWRTECalcPts[[#This Row],[Custom]],TableWRTECalcPts[Custom])+COUNTIF($AP$3:AP146,AP146)-1,"")</f>
        <v>223</v>
      </c>
      <c r="AK146" s="218">
        <v>44</v>
      </c>
      <c r="AL146" s="219" t="str">
        <f>IFERROR(INDEX(TableWRMaster[Player],MATCH(TableWRTECalcPts[[#This Row],[POSRef]],TableWRMaster[WRRef],0)),"")</f>
        <v>Jakeem Grant</v>
      </c>
      <c r="AM146" s="219" t="str">
        <f>IFERROR(_xlfn.CONCAT(TableWRTECalcPts[[#This Row],[POS]],INDEX(TableWRRanks[RK],MATCH(TableWRTECalcPts[[#This Row],[PLAYER]],TableWRRanks[Player],0))),"")</f>
        <v>WR157</v>
      </c>
      <c r="AN146" s="219" t="str">
        <f>IFERROR(INDEX(TableWRMaster[TM],MATCH(TableWRTECalcPts[[#This Row],[POSRef]],TableWRMaster[WRRef],0)),"")</f>
        <v>CLE</v>
      </c>
      <c r="AO146" s="219">
        <f>IFERROR(INDEX(TableWRMaster[BYE],MATCH(TableWRTECalcPts[[#This Row],[POSRef]],TableWRMaster[WRRef],0)),"")</f>
        <v>9</v>
      </c>
      <c r="AP146" s="220">
        <f>IFERROR(INDEX(TableWRMaster[Custom],MATCH(TableWRTECalcPts[[#This Row],[POSRef]],TableWRMaster[WRRef],0)),"")</f>
        <v>12.895494146377734</v>
      </c>
    </row>
    <row r="147" spans="8:42" x14ac:dyDescent="0.3">
      <c r="H147" s="189" t="str">
        <f>IFERROR(RANK(TableRBCalcPts[[#This Row],[Custom]],TableRBCalcPts[Custom])+COUNTIF($M$3:M147,M147)-1,"")</f>
        <v/>
      </c>
      <c r="I147" s="189">
        <v>145</v>
      </c>
      <c r="J147" s="189" t="str">
        <f>IFERROR(INDEX(TableRBMaster[Player],MATCH(TableRBCalcPts[[#This Row],[RBRef]],TableRBMaster[RBRef],0)),"")</f>
        <v/>
      </c>
      <c r="K147" s="189" t="str">
        <f>IFERROR(INDEX(TableRBMaster[TM],MATCH(TableRBCalcPts[[#This Row],[RBRef]],TableRBMaster[RBRef],0)),"")</f>
        <v/>
      </c>
      <c r="L147" s="189" t="str">
        <f>IFERROR(INDEX(TableRBMaster[BYE],MATCH(TableRBCalcPts[[#This Row],[RBRef]],TableRBMaster[RBRef],0)),"")</f>
        <v/>
      </c>
      <c r="M147" s="191" t="str">
        <f>IFERROR(INDEX(TableRBMaster[Custom],MATCH(TableRBCalcPts[[#This Row],[RBRef]],TableRBMaster[RBRef],0)),"")</f>
        <v/>
      </c>
      <c r="O147" s="189">
        <f>IFERROR(RANK(TableWRCalcPts[[#This Row],[Custom]],TableWRCalcPts[Custom])+COUNTIF($T$3:T147,T147)-1,"")</f>
        <v>103</v>
      </c>
      <c r="P147" s="189">
        <v>145</v>
      </c>
      <c r="Q147" s="189" t="str">
        <f>IFERROR(INDEX(TableWRMaster[Player],MATCH(TableWRCalcPts[[#This Row],[WRRef]],TableWRMaster[WRRef],0)),"")</f>
        <v>Braxton Berrios</v>
      </c>
      <c r="R147" s="189" t="str">
        <f>IFERROR(INDEX(TableWRMaster[TM],MATCH(TableWRCalcPts[[#This Row],[WRRef]],TableWRMaster[WRRef],0)),"")</f>
        <v>NYJ</v>
      </c>
      <c r="S147" s="189">
        <f>IFERROR(INDEX(TableWRMaster[BYE],MATCH(TableWRCalcPts[[#This Row],[WRRef]],TableWRMaster[WRRef],0)),"")</f>
        <v>10</v>
      </c>
      <c r="T147" s="191">
        <f>IFERROR(INDEX(TableWRMaster[Custom],MATCH(TableWRCalcPts[[#This Row],[WRRef]],TableWRMaster[WRRef],0)),"")</f>
        <v>45.627287616763233</v>
      </c>
      <c r="AI147" s="221" t="s">
        <v>358</v>
      </c>
      <c r="AJ147" s="189">
        <f>IFERROR(RANK(TableWRTECalcPts[[#This Row],[Custom]],TableWRTECalcPts[Custom])+COUNTIF($AP$3:AP147,AP147)-1,"")</f>
        <v>138</v>
      </c>
      <c r="AK147" s="218">
        <v>45</v>
      </c>
      <c r="AL147" s="219" t="str">
        <f>IFERROR(INDEX(TableWRMaster[Player],MATCH(TableWRTECalcPts[[#This Row],[POSRef]],TableWRMaster[WRRef],0)),"")</f>
        <v>Anthony Schwartz</v>
      </c>
      <c r="AM147" s="219" t="str">
        <f>IFERROR(_xlfn.CONCAT(TableWRTECalcPts[[#This Row],[POS]],INDEX(TableWRRanks[RK],MATCH(TableWRTECalcPts[[#This Row],[PLAYER]],TableWRRanks[Player],0))),"")</f>
        <v>WR105</v>
      </c>
      <c r="AN147" s="219" t="str">
        <f>IFERROR(INDEX(TableWRMaster[TM],MATCH(TableWRTECalcPts[[#This Row],[POSRef]],TableWRMaster[WRRef],0)),"")</f>
        <v>CLE</v>
      </c>
      <c r="AO147" s="219">
        <f>IFERROR(INDEX(TableWRMaster[BYE],MATCH(TableWRTECalcPts[[#This Row],[POSRef]],TableWRMaster[WRRef],0)),"")</f>
        <v>9</v>
      </c>
      <c r="AP147" s="220">
        <f>IFERROR(INDEX(TableWRMaster[Custom],MATCH(TableWRTECalcPts[[#This Row],[POSRef]],TableWRMaster[WRRef],0)),"")</f>
        <v>42.407443228787997</v>
      </c>
    </row>
    <row r="148" spans="8:42" x14ac:dyDescent="0.3">
      <c r="H148" s="189" t="str">
        <f>IFERROR(RANK(TableRBCalcPts[[#This Row],[Custom]],TableRBCalcPts[Custom])+COUNTIF($M$3:M148,M148)-1,"")</f>
        <v/>
      </c>
      <c r="I148" s="189">
        <v>146</v>
      </c>
      <c r="J148" s="189" t="str">
        <f>IFERROR(INDEX(TableRBMaster[Player],MATCH(TableRBCalcPts[[#This Row],[RBRef]],TableRBMaster[RBRef],0)),"")</f>
        <v/>
      </c>
      <c r="K148" s="189" t="str">
        <f>IFERROR(INDEX(TableRBMaster[TM],MATCH(TableRBCalcPts[[#This Row],[RBRef]],TableRBMaster[RBRef],0)),"")</f>
        <v/>
      </c>
      <c r="L148" s="189" t="str">
        <f>IFERROR(INDEX(TableRBMaster[BYE],MATCH(TableRBCalcPts[[#This Row],[RBRef]],TableRBMaster[RBRef],0)),"")</f>
        <v/>
      </c>
      <c r="M148" s="191" t="str">
        <f>IFERROR(INDEX(TableRBMaster[Custom],MATCH(TableRBCalcPts[[#This Row],[RBRef]],TableRBMaster[RBRef],0)),"")</f>
        <v/>
      </c>
      <c r="O148" s="189">
        <f>IFERROR(RANK(TableWRCalcPts[[#This Row],[Custom]],TableWRCalcPts[Custom])+COUNTIF($T$3:T148,T148)-1,"")</f>
        <v>11</v>
      </c>
      <c r="P148" s="189">
        <v>146</v>
      </c>
      <c r="Q148" s="189" t="str">
        <f>IFERROR(INDEX(TableWRMaster[Player],MATCH(TableWRCalcPts[[#This Row],[WRRef]],TableWRMaster[WRRef],0)),"")</f>
        <v>A.J. Brown</v>
      </c>
      <c r="R148" s="189" t="str">
        <f>IFERROR(INDEX(TableWRMaster[TM],MATCH(TableWRCalcPts[[#This Row],[WRRef]],TableWRMaster[WRRef],0)),"")</f>
        <v>PHI</v>
      </c>
      <c r="S148" s="189">
        <f>IFERROR(INDEX(TableWRMaster[BYE],MATCH(TableWRCalcPts[[#This Row],[WRRef]],TableWRMaster[WRRef],0)),"")</f>
        <v>7</v>
      </c>
      <c r="T148" s="191">
        <f>IFERROR(INDEX(TableWRMaster[Custom],MATCH(TableWRCalcPts[[#This Row],[WRRef]],TableWRMaster[WRRef],0)),"")</f>
        <v>169.4104360268131</v>
      </c>
      <c r="AI148" s="221" t="s">
        <v>358</v>
      </c>
      <c r="AJ148" s="189">
        <f>IFERROR(RANK(TableWRTECalcPts[[#This Row],[Custom]],TableWRTECalcPts[Custom])+COUNTIF($AP$3:AP148,AP148)-1,"")</f>
        <v>7</v>
      </c>
      <c r="AK148" s="218">
        <v>46</v>
      </c>
      <c r="AL148" s="219" t="str">
        <f>IFERROR(INDEX(TableWRMaster[Player],MATCH(TableWRTECalcPts[[#This Row],[POSRef]],TableWRMaster[WRRef],0)),"")</f>
        <v>CeeDee Lamb</v>
      </c>
      <c r="AM148" s="219" t="str">
        <f>IFERROR(_xlfn.CONCAT(TableWRTECalcPts[[#This Row],[POS]],INDEX(TableWRRanks[RK],MATCH(TableWRTECalcPts[[#This Row],[PLAYER]],TableWRRanks[Player],0))),"")</f>
        <v>WR7</v>
      </c>
      <c r="AN148" s="219" t="str">
        <f>IFERROR(INDEX(TableWRMaster[TM],MATCH(TableWRTECalcPts[[#This Row],[POSRef]],TableWRMaster[WRRef],0)),"")</f>
        <v>DAL</v>
      </c>
      <c r="AO148" s="219">
        <f>IFERROR(INDEX(TableWRMaster[BYE],MATCH(TableWRTECalcPts[[#This Row],[POSRef]],TableWRMaster[WRRef],0)),"")</f>
        <v>9</v>
      </c>
      <c r="AP148" s="220">
        <f>IFERROR(INDEX(TableWRMaster[Custom],MATCH(TableWRTECalcPts[[#This Row],[POSRef]],TableWRMaster[WRRef],0)),"")</f>
        <v>183.36829122663792</v>
      </c>
    </row>
    <row r="149" spans="8:42" x14ac:dyDescent="0.3">
      <c r="H149" s="189" t="str">
        <f>IFERROR(RANK(TableRBCalcPts[[#This Row],[Custom]],TableRBCalcPts[Custom])+COUNTIF($M$3:M149,M149)-1,"")</f>
        <v/>
      </c>
      <c r="I149" s="189">
        <v>147</v>
      </c>
      <c r="J149" s="189" t="str">
        <f>IFERROR(INDEX(TableRBMaster[Player],MATCH(TableRBCalcPts[[#This Row],[RBRef]],TableRBMaster[RBRef],0)),"")</f>
        <v/>
      </c>
      <c r="K149" s="189" t="str">
        <f>IFERROR(INDEX(TableRBMaster[TM],MATCH(TableRBCalcPts[[#This Row],[RBRef]],TableRBMaster[RBRef],0)),"")</f>
        <v/>
      </c>
      <c r="L149" s="189" t="str">
        <f>IFERROR(INDEX(TableRBMaster[BYE],MATCH(TableRBCalcPts[[#This Row],[RBRef]],TableRBMaster[RBRef],0)),"")</f>
        <v/>
      </c>
      <c r="M149" s="191" t="str">
        <f>IFERROR(INDEX(TableRBMaster[Custom],MATCH(TableRBCalcPts[[#This Row],[RBRef]],TableRBMaster[RBRef],0)),"")</f>
        <v/>
      </c>
      <c r="O149" s="189">
        <f>IFERROR(RANK(TableWRCalcPts[[#This Row],[Custom]],TableWRCalcPts[Custom])+COUNTIF($T$3:T149,T149)-1,"")</f>
        <v>25</v>
      </c>
      <c r="P149" s="189">
        <v>147</v>
      </c>
      <c r="Q149" s="189" t="str">
        <f>IFERROR(INDEX(TableWRMaster[Player],MATCH(TableWRCalcPts[[#This Row],[WRRef]],TableWRMaster[WRRef],0)),"")</f>
        <v>DeVonta Smith</v>
      </c>
      <c r="R149" s="189" t="str">
        <f>IFERROR(INDEX(TableWRMaster[TM],MATCH(TableWRCalcPts[[#This Row],[WRRef]],TableWRMaster[WRRef],0)),"")</f>
        <v>PHI</v>
      </c>
      <c r="S149" s="189">
        <f>IFERROR(INDEX(TableWRMaster[BYE],MATCH(TableWRCalcPts[[#This Row],[WRRef]],TableWRMaster[WRRef],0)),"")</f>
        <v>7</v>
      </c>
      <c r="T149" s="191">
        <f>IFERROR(INDEX(TableWRMaster[Custom],MATCH(TableWRCalcPts[[#This Row],[WRRef]],TableWRMaster[WRRef],0)),"")</f>
        <v>141.82410304289172</v>
      </c>
      <c r="AI149" s="221" t="s">
        <v>358</v>
      </c>
      <c r="AJ149" s="189">
        <f>IFERROR(RANK(TableWRTECalcPts[[#This Row],[Custom]],TableWRTECalcPts[Custom])+COUNTIF($AP$3:AP149,AP149)-1,"")</f>
        <v>45</v>
      </c>
      <c r="AK149" s="218">
        <v>47</v>
      </c>
      <c r="AL149" s="219" t="str">
        <f>IFERROR(INDEX(TableWRMaster[Player],MATCH(TableWRTECalcPts[[#This Row],[POSRef]],TableWRMaster[WRRef],0)),"")</f>
        <v>Michael Gallup</v>
      </c>
      <c r="AM149" s="219" t="str">
        <f>IFERROR(_xlfn.CONCAT(TableWRTECalcPts[[#This Row],[POS]],INDEX(TableWRRanks[RK],MATCH(TableWRTECalcPts[[#This Row],[PLAYER]],TableWRRanks[Player],0))),"")</f>
        <v>WR40</v>
      </c>
      <c r="AN149" s="219" t="str">
        <f>IFERROR(INDEX(TableWRMaster[TM],MATCH(TableWRTECalcPts[[#This Row],[POSRef]],TableWRMaster[WRRef],0)),"")</f>
        <v>DAL</v>
      </c>
      <c r="AO149" s="219">
        <f>IFERROR(INDEX(TableWRMaster[BYE],MATCH(TableWRTECalcPts[[#This Row],[POSRef]],TableWRMaster[WRRef],0)),"")</f>
        <v>9</v>
      </c>
      <c r="AP149" s="220">
        <f>IFERROR(INDEX(TableWRMaster[Custom],MATCH(TableWRTECalcPts[[#This Row],[POSRef]],TableWRMaster[WRRef],0)),"")</f>
        <v>123.27371421730166</v>
      </c>
    </row>
    <row r="150" spans="8:42" x14ac:dyDescent="0.3">
      <c r="H150" s="189" t="str">
        <f>IFERROR(RANK(TableRBCalcPts[[#This Row],[Custom]],TableRBCalcPts[Custom])+COUNTIF($M$3:M150,M150)-1,"")</f>
        <v/>
      </c>
      <c r="I150" s="189">
        <v>148</v>
      </c>
      <c r="J150" s="189" t="str">
        <f>IFERROR(INDEX(TableRBMaster[Player],MATCH(TableRBCalcPts[[#This Row],[RBRef]],TableRBMaster[RBRef],0)),"")</f>
        <v/>
      </c>
      <c r="K150" s="189" t="str">
        <f>IFERROR(INDEX(TableRBMaster[TM],MATCH(TableRBCalcPts[[#This Row],[RBRef]],TableRBMaster[RBRef],0)),"")</f>
        <v/>
      </c>
      <c r="L150" s="189" t="str">
        <f>IFERROR(INDEX(TableRBMaster[BYE],MATCH(TableRBCalcPts[[#This Row],[RBRef]],TableRBMaster[RBRef],0)),"")</f>
        <v/>
      </c>
      <c r="M150" s="191" t="str">
        <f>IFERROR(INDEX(TableRBMaster[Custom],MATCH(TableRBCalcPts[[#This Row],[RBRef]],TableRBMaster[RBRef],0)),"")</f>
        <v/>
      </c>
      <c r="O150" s="189">
        <f>IFERROR(RANK(TableWRCalcPts[[#This Row],[Custom]],TableWRCalcPts[Custom])+COUNTIF($T$3:T150,T150)-1,"")</f>
        <v>110</v>
      </c>
      <c r="P150" s="189">
        <v>148</v>
      </c>
      <c r="Q150" s="189" t="str">
        <f>IFERROR(INDEX(TableWRMaster[Player],MATCH(TableWRCalcPts[[#This Row],[WRRef]],TableWRMaster[WRRef],0)),"")</f>
        <v>Quez Watkins</v>
      </c>
      <c r="R150" s="189" t="str">
        <f>IFERROR(INDEX(TableWRMaster[TM],MATCH(TableWRCalcPts[[#This Row],[WRRef]],TableWRMaster[WRRef],0)),"")</f>
        <v>PHI</v>
      </c>
      <c r="S150" s="189">
        <f>IFERROR(INDEX(TableWRMaster[BYE],MATCH(TableWRCalcPts[[#This Row],[WRRef]],TableWRMaster[WRRef],0)),"")</f>
        <v>7</v>
      </c>
      <c r="T150" s="191">
        <f>IFERROR(INDEX(TableWRMaster[Custom],MATCH(TableWRCalcPts[[#This Row],[WRRef]],TableWRMaster[WRRef],0)),"")</f>
        <v>34.037529360914419</v>
      </c>
      <c r="AI150" s="221" t="s">
        <v>358</v>
      </c>
      <c r="AJ150" s="189">
        <f>IFERROR(RANK(TableWRTECalcPts[[#This Row],[Custom]],TableWRTECalcPts[Custom])+COUNTIF($AP$3:AP150,AP150)-1,"")</f>
        <v>103</v>
      </c>
      <c r="AK150" s="218">
        <v>48</v>
      </c>
      <c r="AL150" s="219" t="str">
        <f>IFERROR(INDEX(TableWRMaster[Player],MATCH(TableWRTECalcPts[[#This Row],[POSRef]],TableWRMaster[WRRef],0)),"")</f>
        <v>Jalen Tolbert</v>
      </c>
      <c r="AM150" s="219" t="str">
        <f>IFERROR(_xlfn.CONCAT(TableWRTECalcPts[[#This Row],[POS]],INDEX(TableWRRanks[RK],MATCH(TableWRTECalcPts[[#This Row],[PLAYER]],TableWRRanks[Player],0))),"")</f>
        <v>WR76</v>
      </c>
      <c r="AN150" s="219" t="str">
        <f>IFERROR(INDEX(TableWRMaster[TM],MATCH(TableWRTECalcPts[[#This Row],[POSRef]],TableWRMaster[WRRef],0)),"")</f>
        <v>DAL</v>
      </c>
      <c r="AO150" s="219">
        <f>IFERROR(INDEX(TableWRMaster[BYE],MATCH(TableWRTECalcPts[[#This Row],[POSRef]],TableWRMaster[WRRef],0)),"")</f>
        <v>9</v>
      </c>
      <c r="AP150" s="220">
        <f>IFERROR(INDEX(TableWRMaster[Custom],MATCH(TableWRTECalcPts[[#This Row],[POSRef]],TableWRMaster[WRRef],0)),"")</f>
        <v>77.913830424519318</v>
      </c>
    </row>
    <row r="151" spans="8:42" x14ac:dyDescent="0.3">
      <c r="H151" s="189" t="str">
        <f>IFERROR(RANK(TableRBCalcPts[[#This Row],[Custom]],TableRBCalcPts[Custom])+COUNTIF($M$3:M151,M151)-1,"")</f>
        <v/>
      </c>
      <c r="I151" s="189">
        <v>149</v>
      </c>
      <c r="J151" s="189" t="str">
        <f>IFERROR(INDEX(TableRBMaster[Player],MATCH(TableRBCalcPts[[#This Row],[RBRef]],TableRBMaster[RBRef],0)),"")</f>
        <v/>
      </c>
      <c r="K151" s="189" t="str">
        <f>IFERROR(INDEX(TableRBMaster[TM],MATCH(TableRBCalcPts[[#This Row],[RBRef]],TableRBMaster[RBRef],0)),"")</f>
        <v/>
      </c>
      <c r="L151" s="189" t="str">
        <f>IFERROR(INDEX(TableRBMaster[BYE],MATCH(TableRBCalcPts[[#This Row],[RBRef]],TableRBMaster[RBRef],0)),"")</f>
        <v/>
      </c>
      <c r="M151" s="191" t="str">
        <f>IFERROR(INDEX(TableRBMaster[Custom],MATCH(TableRBCalcPts[[#This Row],[RBRef]],TableRBMaster[RBRef],0)),"")</f>
        <v/>
      </c>
      <c r="O151" s="189">
        <f>IFERROR(RANK(TableWRCalcPts[[#This Row],[Custom]],TableWRCalcPts[Custom])+COUNTIF($T$3:T151,T151)-1,"")</f>
        <v>118</v>
      </c>
      <c r="P151" s="189">
        <v>149</v>
      </c>
      <c r="Q151" s="189" t="str">
        <f>IFERROR(INDEX(TableWRMaster[Player],MATCH(TableWRCalcPts[[#This Row],[WRRef]],TableWRMaster[WRRef],0)),"")</f>
        <v>Jalen Reagor</v>
      </c>
      <c r="R151" s="189" t="str">
        <f>IFERROR(INDEX(TableWRMaster[TM],MATCH(TableWRCalcPts[[#This Row],[WRRef]],TableWRMaster[WRRef],0)),"")</f>
        <v>PHI</v>
      </c>
      <c r="S151" s="189">
        <f>IFERROR(INDEX(TableWRMaster[BYE],MATCH(TableWRCalcPts[[#This Row],[WRRef]],TableWRMaster[WRRef],0)),"")</f>
        <v>7</v>
      </c>
      <c r="T151" s="191">
        <f>IFERROR(INDEX(TableWRMaster[Custom],MATCH(TableWRCalcPts[[#This Row],[WRRef]],TableWRMaster[WRRef],0)),"")</f>
        <v>25.418517557427606</v>
      </c>
      <c r="AI151" s="221" t="s">
        <v>358</v>
      </c>
      <c r="AJ151" s="189">
        <f>IFERROR(RANK(TableWRTECalcPts[[#This Row],[Custom]],TableWRTECalcPts[Custom])+COUNTIF($AP$3:AP151,AP151)-1,"")</f>
        <v>125</v>
      </c>
      <c r="AK151" s="218">
        <v>49</v>
      </c>
      <c r="AL151" s="219" t="str">
        <f>IFERROR(INDEX(TableWRMaster[Player],MATCH(TableWRTECalcPts[[#This Row],[POSRef]],TableWRMaster[WRRef],0)),"")</f>
        <v>James Washington</v>
      </c>
      <c r="AM151" s="219" t="str">
        <f>IFERROR(_xlfn.CONCAT(TableWRTECalcPts[[#This Row],[POS]],INDEX(TableWRRanks[RK],MATCH(TableWRTECalcPts[[#This Row],[PLAYER]],TableWRRanks[Player],0))),"")</f>
        <v>WR95</v>
      </c>
      <c r="AN151" s="219" t="str">
        <f>IFERROR(INDEX(TableWRMaster[TM],MATCH(TableWRTECalcPts[[#This Row],[POSRef]],TableWRMaster[WRRef],0)),"")</f>
        <v>DAL</v>
      </c>
      <c r="AO151" s="219">
        <f>IFERROR(INDEX(TableWRMaster[BYE],MATCH(TableWRTECalcPts[[#This Row],[POSRef]],TableWRMaster[WRRef],0)),"")</f>
        <v>9</v>
      </c>
      <c r="AP151" s="220">
        <f>IFERROR(INDEX(TableWRMaster[Custom],MATCH(TableWRTECalcPts[[#This Row],[POSRef]],TableWRMaster[WRRef],0)),"")</f>
        <v>51.375545577633844</v>
      </c>
    </row>
    <row r="152" spans="8:42" x14ac:dyDescent="0.3">
      <c r="H152" s="189" t="str">
        <f>IFERROR(RANK(TableRBCalcPts[[#This Row],[Custom]],TableRBCalcPts[Custom])+COUNTIF($M$3:M152,M152)-1,"")</f>
        <v/>
      </c>
      <c r="I152" s="189">
        <v>150</v>
      </c>
      <c r="J152" s="189" t="str">
        <f>IFERROR(INDEX(TableRBMaster[Player],MATCH(TableRBCalcPts[[#This Row],[RBRef]],TableRBMaster[RBRef],0)),"")</f>
        <v/>
      </c>
      <c r="K152" s="189" t="str">
        <f>IFERROR(INDEX(TableRBMaster[TM],MATCH(TableRBCalcPts[[#This Row],[RBRef]],TableRBMaster[RBRef],0)),"")</f>
        <v/>
      </c>
      <c r="L152" s="189" t="str">
        <f>IFERROR(INDEX(TableRBMaster[BYE],MATCH(TableRBCalcPts[[#This Row],[RBRef]],TableRBMaster[RBRef],0)),"")</f>
        <v/>
      </c>
      <c r="M152" s="191" t="str">
        <f>IFERROR(INDEX(TableRBMaster[Custom],MATCH(TableRBCalcPts[[#This Row],[RBRef]],TableRBMaster[RBRef],0)),"")</f>
        <v/>
      </c>
      <c r="O152" s="189">
        <f>IFERROR(RANK(TableWRCalcPts[[#This Row],[Custom]],TableWRCalcPts[Custom])+COUNTIF($T$3:T152,T152)-1,"")</f>
        <v>162</v>
      </c>
      <c r="P152" s="189">
        <v>150</v>
      </c>
      <c r="Q152" s="189" t="str">
        <f>IFERROR(INDEX(TableWRMaster[Player],MATCH(TableWRCalcPts[[#This Row],[WRRef]],TableWRMaster[WRRef],0)),"")</f>
        <v>Greg Ward</v>
      </c>
      <c r="R152" s="189" t="str">
        <f>IFERROR(INDEX(TableWRMaster[TM],MATCH(TableWRCalcPts[[#This Row],[WRRef]],TableWRMaster[WRRef],0)),"")</f>
        <v>PHI</v>
      </c>
      <c r="S152" s="189">
        <f>IFERROR(INDEX(TableWRMaster[BYE],MATCH(TableWRCalcPts[[#This Row],[WRRef]],TableWRMaster[WRRef],0)),"")</f>
        <v>7</v>
      </c>
      <c r="T152" s="191">
        <f>IFERROR(INDEX(TableWRMaster[Custom],MATCH(TableWRCalcPts[[#This Row],[WRRef]],TableWRMaster[WRRef],0)),"")</f>
        <v>11.852095478256167</v>
      </c>
      <c r="AI152" s="221" t="s">
        <v>358</v>
      </c>
      <c r="AJ152" s="189">
        <f>IFERROR(RANK(TableWRTECalcPts[[#This Row],[Custom]],TableWRTECalcPts[Custom])+COUNTIF($AP$3:AP152,AP152)-1,"")</f>
        <v>176</v>
      </c>
      <c r="AK152" s="218">
        <v>50</v>
      </c>
      <c r="AL152" s="219" t="str">
        <f>IFERROR(INDEX(TableWRMaster[Player],MATCH(TableWRTECalcPts[[#This Row],[POSRef]],TableWRMaster[WRRef],0)),"")</f>
        <v>Noah Brown</v>
      </c>
      <c r="AM152" s="219" t="str">
        <f>IFERROR(_xlfn.CONCAT(TableWRTECalcPts[[#This Row],[POS]],INDEX(TableWRRanks[RK],MATCH(TableWRTECalcPts[[#This Row],[PLAYER]],TableWRRanks[Player],0))),"")</f>
        <v>WR127</v>
      </c>
      <c r="AN152" s="219" t="str">
        <f>IFERROR(INDEX(TableWRMaster[TM],MATCH(TableWRTECalcPts[[#This Row],[POSRef]],TableWRMaster[WRRef],0)),"")</f>
        <v>DAL</v>
      </c>
      <c r="AO152" s="219">
        <f>IFERROR(INDEX(TableWRMaster[BYE],MATCH(TableWRTECalcPts[[#This Row],[POSRef]],TableWRMaster[WRRef],0)),"")</f>
        <v>9</v>
      </c>
      <c r="AP152" s="220">
        <f>IFERROR(INDEX(TableWRMaster[Custom],MATCH(TableWRTECalcPts[[#This Row],[POSRef]],TableWRMaster[WRRef],0)),"")</f>
        <v>22.327059721988597</v>
      </c>
    </row>
    <row r="153" spans="8:42" x14ac:dyDescent="0.3">
      <c r="H153" s="189" t="str">
        <f>IFERROR(RANK(TableRBCalcPts[[#This Row],[Custom]],TableRBCalcPts[Custom])+COUNTIF($M$3:M153,M153)-1,"")</f>
        <v/>
      </c>
      <c r="I153" s="189">
        <v>151</v>
      </c>
      <c r="J153" s="189" t="str">
        <f>IFERROR(INDEX(TableRBMaster[Player],MATCH(TableRBCalcPts[[#This Row],[RBRef]],TableRBMaster[RBRef],0)),"")</f>
        <v/>
      </c>
      <c r="K153" s="189" t="str">
        <f>IFERROR(INDEX(TableRBMaster[TM],MATCH(TableRBCalcPts[[#This Row],[RBRef]],TableRBMaster[RBRef],0)),"")</f>
        <v/>
      </c>
      <c r="L153" s="189" t="str">
        <f>IFERROR(INDEX(TableRBMaster[BYE],MATCH(TableRBCalcPts[[#This Row],[RBRef]],TableRBMaster[RBRef],0)),"")</f>
        <v/>
      </c>
      <c r="M153" s="191" t="str">
        <f>IFERROR(INDEX(TableRBMaster[Custom],MATCH(TableRBCalcPts[[#This Row],[RBRef]],TableRBMaster[RBRef],0)),"")</f>
        <v/>
      </c>
      <c r="O153" s="189">
        <f>IFERROR(RANK(TableWRCalcPts[[#This Row],[Custom]],TableWRCalcPts[Custom])+COUNTIF($T$3:T153,T153)-1,"")</f>
        <v>122</v>
      </c>
      <c r="P153" s="189">
        <v>151</v>
      </c>
      <c r="Q153" s="189" t="str">
        <f>IFERROR(INDEX(TableWRMaster[Player],MATCH(TableWRCalcPts[[#This Row],[WRRef]],TableWRMaster[WRRef],0)),"")</f>
        <v>Zach Pascal</v>
      </c>
      <c r="R153" s="189" t="str">
        <f>IFERROR(INDEX(TableWRMaster[TM],MATCH(TableWRCalcPts[[#This Row],[WRRef]],TableWRMaster[WRRef],0)),"")</f>
        <v>PHI</v>
      </c>
      <c r="S153" s="189">
        <f>IFERROR(INDEX(TableWRMaster[BYE],MATCH(TableWRCalcPts[[#This Row],[WRRef]],TableWRMaster[WRRef],0)),"")</f>
        <v>7</v>
      </c>
      <c r="T153" s="191">
        <f>IFERROR(INDEX(TableWRMaster[Custom],MATCH(TableWRCalcPts[[#This Row],[WRRef]],TableWRMaster[WRRef],0)),"")</f>
        <v>23.786128114823704</v>
      </c>
      <c r="AI153" s="221" t="s">
        <v>358</v>
      </c>
      <c r="AJ153" s="189">
        <f>IFERROR(RANK(TableWRTECalcPts[[#This Row],[Custom]],TableWRTECalcPts[Custom])+COUNTIF($AP$3:AP153,AP153)-1,"")</f>
        <v>234</v>
      </c>
      <c r="AK153" s="218">
        <v>51</v>
      </c>
      <c r="AL153" s="219" t="str">
        <f>IFERROR(INDEX(TableWRMaster[Player],MATCH(TableWRTECalcPts[[#This Row],[POSRef]],TableWRMaster[WRRef],0)),"")</f>
        <v>Simi Fehoko</v>
      </c>
      <c r="AM153" s="219" t="str">
        <f>IFERROR(_xlfn.CONCAT(TableWRTECalcPts[[#This Row],[POS]],INDEX(TableWRRanks[RK],MATCH(TableWRTECalcPts[[#This Row],[PLAYER]],TableWRRanks[Player],0))),"")</f>
        <v>WR165</v>
      </c>
      <c r="AN153" s="219" t="str">
        <f>IFERROR(INDEX(TableWRMaster[TM],MATCH(TableWRTECalcPts[[#This Row],[POSRef]],TableWRMaster[WRRef],0)),"")</f>
        <v>DAL</v>
      </c>
      <c r="AO153" s="219">
        <f>IFERROR(INDEX(TableWRMaster[BYE],MATCH(TableWRTECalcPts[[#This Row],[POSRef]],TableWRMaster[WRRef],0)),"")</f>
        <v>9</v>
      </c>
      <c r="AP153" s="220">
        <f>IFERROR(INDEX(TableWRMaster[Custom],MATCH(TableWRTECalcPts[[#This Row],[POSRef]],TableWRMaster[WRRef],0)),"")</f>
        <v>10.99121037383858</v>
      </c>
    </row>
    <row r="154" spans="8:42" x14ac:dyDescent="0.3">
      <c r="H154" s="189" t="str">
        <f>IFERROR(RANK(TableRBCalcPts[[#This Row],[Custom]],TableRBCalcPts[Custom])+COUNTIF($M$3:M154,M154)-1,"")</f>
        <v/>
      </c>
      <c r="I154" s="189">
        <v>152</v>
      </c>
      <c r="J154" s="189" t="str">
        <f>IFERROR(INDEX(TableRBMaster[Player],MATCH(TableRBCalcPts[[#This Row],[RBRef]],TableRBMaster[RBRef],0)),"")</f>
        <v/>
      </c>
      <c r="K154" s="189" t="str">
        <f>IFERROR(INDEX(TableRBMaster[TM],MATCH(TableRBCalcPts[[#This Row],[RBRef]],TableRBMaster[RBRef],0)),"")</f>
        <v/>
      </c>
      <c r="L154" s="189" t="str">
        <f>IFERROR(INDEX(TableRBMaster[BYE],MATCH(TableRBCalcPts[[#This Row],[RBRef]],TableRBMaster[RBRef],0)),"")</f>
        <v/>
      </c>
      <c r="M154" s="191" t="str">
        <f>IFERROR(INDEX(TableRBMaster[Custom],MATCH(TableRBCalcPts[[#This Row],[RBRef]],TableRBMaster[RBRef],0)),"")</f>
        <v/>
      </c>
      <c r="O154" s="189">
        <f>IFERROR(RANK(TableWRCalcPts[[#This Row],[Custom]],TableWRCalcPts[Custom])+COUNTIF($T$3:T154,T154)-1,"")</f>
        <v>16</v>
      </c>
      <c r="P154" s="189">
        <v>152</v>
      </c>
      <c r="Q154" s="189" t="str">
        <f>IFERROR(INDEX(TableWRMaster[Player],MATCH(TableWRCalcPts[[#This Row],[WRRef]],TableWRMaster[WRRef],0)),"")</f>
        <v>Diontae Johnson</v>
      </c>
      <c r="R154" s="189" t="str">
        <f>IFERROR(INDEX(TableWRMaster[TM],MATCH(TableWRCalcPts[[#This Row],[WRRef]],TableWRMaster[WRRef],0)),"")</f>
        <v>PIT</v>
      </c>
      <c r="S154" s="189">
        <f>IFERROR(INDEX(TableWRMaster[BYE],MATCH(TableWRCalcPts[[#This Row],[WRRef]],TableWRMaster[WRRef],0)),"")</f>
        <v>9</v>
      </c>
      <c r="T154" s="191">
        <f>IFERROR(INDEX(TableWRMaster[Custom],MATCH(TableWRCalcPts[[#This Row],[WRRef]],TableWRMaster[WRRef],0)),"")</f>
        <v>150.82650522066166</v>
      </c>
      <c r="AI154" s="221" t="s">
        <v>358</v>
      </c>
      <c r="AJ154" s="189">
        <f>IFERROR(RANK(TableWRTECalcPts[[#This Row],[Custom]],TableWRTECalcPts[Custom])+COUNTIF($AP$3:AP154,AP154)-1,"")</f>
        <v>31</v>
      </c>
      <c r="AK154" s="218">
        <v>52</v>
      </c>
      <c r="AL154" s="219" t="str">
        <f>IFERROR(INDEX(TableWRMaster[Player],MATCH(TableWRTECalcPts[[#This Row],[POSRef]],TableWRMaster[WRRef],0)),"")</f>
        <v>Courtland Sutton</v>
      </c>
      <c r="AM154" s="219" t="str">
        <f>IFERROR(_xlfn.CONCAT(TableWRTECalcPts[[#This Row],[POS]],INDEX(TableWRRanks[RK],MATCH(TableWRTECalcPts[[#This Row],[PLAYER]],TableWRRanks[Player],0))),"")</f>
        <v>WR28</v>
      </c>
      <c r="AN154" s="219" t="str">
        <f>IFERROR(INDEX(TableWRMaster[TM],MATCH(TableWRTECalcPts[[#This Row],[POSRef]],TableWRMaster[WRRef],0)),"")</f>
        <v>DEN</v>
      </c>
      <c r="AO154" s="219">
        <f>IFERROR(INDEX(TableWRMaster[BYE],MATCH(TableWRTECalcPts[[#This Row],[POSRef]],TableWRMaster[WRRef],0)),"")</f>
        <v>9</v>
      </c>
      <c r="AP154" s="220">
        <f>IFERROR(INDEX(TableWRMaster[Custom],MATCH(TableWRTECalcPts[[#This Row],[POSRef]],TableWRMaster[WRRef],0)),"")</f>
        <v>138.39974689846576</v>
      </c>
    </row>
    <row r="155" spans="8:42" x14ac:dyDescent="0.3">
      <c r="H155" s="189" t="str">
        <f>IFERROR(RANK(TableRBCalcPts[[#This Row],[Custom]],TableRBCalcPts[Custom])+COUNTIF($M$3:M155,M155)-1,"")</f>
        <v/>
      </c>
      <c r="I155" s="189">
        <v>153</v>
      </c>
      <c r="J155" s="189" t="str">
        <f>IFERROR(INDEX(TableRBMaster[Player],MATCH(TableRBCalcPts[[#This Row],[RBRef]],TableRBMaster[RBRef],0)),"")</f>
        <v/>
      </c>
      <c r="K155" s="189" t="str">
        <f>IFERROR(INDEX(TableRBMaster[TM],MATCH(TableRBCalcPts[[#This Row],[RBRef]],TableRBMaster[RBRef],0)),"")</f>
        <v/>
      </c>
      <c r="L155" s="189" t="str">
        <f>IFERROR(INDEX(TableRBMaster[BYE],MATCH(TableRBCalcPts[[#This Row],[RBRef]],TableRBMaster[RBRef],0)),"")</f>
        <v/>
      </c>
      <c r="M155" s="191" t="str">
        <f>IFERROR(INDEX(TableRBMaster[Custom],MATCH(TableRBCalcPts[[#This Row],[RBRef]],TableRBMaster[RBRef],0)),"")</f>
        <v/>
      </c>
      <c r="O155" s="189">
        <f>IFERROR(RANK(TableWRCalcPts[[#This Row],[Custom]],TableWRCalcPts[Custom])+COUNTIF($T$3:T155,T155)-1,"")</f>
        <v>51</v>
      </c>
      <c r="P155" s="189">
        <v>153</v>
      </c>
      <c r="Q155" s="189" t="str">
        <f>IFERROR(INDEX(TableWRMaster[Player],MATCH(TableWRCalcPts[[#This Row],[WRRef]],TableWRMaster[WRRef],0)),"")</f>
        <v>Chase Claypool</v>
      </c>
      <c r="R155" s="189" t="str">
        <f>IFERROR(INDEX(TableWRMaster[TM],MATCH(TableWRCalcPts[[#This Row],[WRRef]],TableWRMaster[WRRef],0)),"")</f>
        <v>PIT</v>
      </c>
      <c r="S155" s="189">
        <f>IFERROR(INDEX(TableWRMaster[BYE],MATCH(TableWRCalcPts[[#This Row],[WRRef]],TableWRMaster[WRRef],0)),"")</f>
        <v>9</v>
      </c>
      <c r="T155" s="191">
        <f>IFERROR(INDEX(TableWRMaster[Custom],MATCH(TableWRCalcPts[[#This Row],[WRRef]],TableWRMaster[WRRef],0)),"")</f>
        <v>106.93345533928145</v>
      </c>
      <c r="AI155" s="221" t="s">
        <v>358</v>
      </c>
      <c r="AJ155" s="189">
        <f>IFERROR(RANK(TableWRTECalcPts[[#This Row],[Custom]],TableWRTECalcPts[Custom])+COUNTIF($AP$3:AP155,AP155)-1,"")</f>
        <v>33</v>
      </c>
      <c r="AK155" s="218">
        <v>53</v>
      </c>
      <c r="AL155" s="219" t="str">
        <f>IFERROR(INDEX(TableWRMaster[Player],MATCH(TableWRTECalcPts[[#This Row],[POSRef]],TableWRMaster[WRRef],0)),"")</f>
        <v>Jerry Jeudy</v>
      </c>
      <c r="AM155" s="219" t="str">
        <f>IFERROR(_xlfn.CONCAT(TableWRTECalcPts[[#This Row],[POS]],INDEX(TableWRRanks[RK],MATCH(TableWRTECalcPts[[#This Row],[PLAYER]],TableWRRanks[Player],0))),"")</f>
        <v>WR30</v>
      </c>
      <c r="AN155" s="219" t="str">
        <f>IFERROR(INDEX(TableWRMaster[TM],MATCH(TableWRTECalcPts[[#This Row],[POSRef]],TableWRMaster[WRRef],0)),"")</f>
        <v>DEN</v>
      </c>
      <c r="AO155" s="219">
        <f>IFERROR(INDEX(TableWRMaster[BYE],MATCH(TableWRTECalcPts[[#This Row],[POSRef]],TableWRMaster[WRRef],0)),"")</f>
        <v>9</v>
      </c>
      <c r="AP155" s="220">
        <f>IFERROR(INDEX(TableWRMaster[Custom],MATCH(TableWRTECalcPts[[#This Row],[POSRef]],TableWRMaster[WRRef],0)),"")</f>
        <v>135.36511278671432</v>
      </c>
    </row>
    <row r="156" spans="8:42" x14ac:dyDescent="0.3">
      <c r="H156" s="189" t="str">
        <f>IFERROR(RANK(TableRBCalcPts[[#This Row],[Custom]],TableRBCalcPts[Custom])+COUNTIF($M$3:M156,M156)-1,"")</f>
        <v/>
      </c>
      <c r="I156" s="189">
        <v>154</v>
      </c>
      <c r="J156" s="189" t="str">
        <f>IFERROR(INDEX(TableRBMaster[Player],MATCH(TableRBCalcPts[[#This Row],[RBRef]],TableRBMaster[RBRef],0)),"")</f>
        <v/>
      </c>
      <c r="K156" s="189" t="str">
        <f>IFERROR(INDEX(TableRBMaster[TM],MATCH(TableRBCalcPts[[#This Row],[RBRef]],TableRBMaster[RBRef],0)),"")</f>
        <v/>
      </c>
      <c r="L156" s="189" t="str">
        <f>IFERROR(INDEX(TableRBMaster[BYE],MATCH(TableRBCalcPts[[#This Row],[RBRef]],TableRBMaster[RBRef],0)),"")</f>
        <v/>
      </c>
      <c r="M156" s="191" t="str">
        <f>IFERROR(INDEX(TableRBMaster[Custom],MATCH(TableRBCalcPts[[#This Row],[RBRef]],TableRBMaster[RBRef],0)),"")</f>
        <v/>
      </c>
      <c r="O156" s="189">
        <f>IFERROR(RANK(TableWRCalcPts[[#This Row],[Custom]],TableWRCalcPts[Custom])+COUNTIF($T$3:T156,T156)-1,"")</f>
        <v>62</v>
      </c>
      <c r="P156" s="189">
        <v>154</v>
      </c>
      <c r="Q156" s="189" t="str">
        <f>IFERROR(INDEX(TableWRMaster[Player],MATCH(TableWRCalcPts[[#This Row],[WRRef]],TableWRMaster[WRRef],0)),"")</f>
        <v>George Pickens</v>
      </c>
      <c r="R156" s="189" t="str">
        <f>IFERROR(INDEX(TableWRMaster[TM],MATCH(TableWRCalcPts[[#This Row],[WRRef]],TableWRMaster[WRRef],0)),"")</f>
        <v>PIT</v>
      </c>
      <c r="S156" s="189">
        <f>IFERROR(INDEX(TableWRMaster[BYE],MATCH(TableWRCalcPts[[#This Row],[WRRef]],TableWRMaster[WRRef],0)),"")</f>
        <v>9</v>
      </c>
      <c r="T156" s="191">
        <f>IFERROR(INDEX(TableWRMaster[Custom],MATCH(TableWRCalcPts[[#This Row],[WRRef]],TableWRMaster[WRRef],0)),"")</f>
        <v>96.635223734682157</v>
      </c>
      <c r="AI156" s="221" t="s">
        <v>358</v>
      </c>
      <c r="AJ156" s="189">
        <f>IFERROR(RANK(TableWRTECalcPts[[#This Row],[Custom]],TableWRTECalcPts[Custom])+COUNTIF($AP$3:AP156,AP156)-1,"")</f>
        <v>130</v>
      </c>
      <c r="AK156" s="218">
        <v>54</v>
      </c>
      <c r="AL156" s="219" t="str">
        <f>IFERROR(INDEX(TableWRMaster[Player],MATCH(TableWRTECalcPts[[#This Row],[POSRef]],TableWRMaster[WRRef],0)),"")</f>
        <v>KJ Hamler</v>
      </c>
      <c r="AM156" s="219" t="str">
        <f>IFERROR(_xlfn.CONCAT(TableWRTECalcPts[[#This Row],[POS]],INDEX(TableWRRanks[RK],MATCH(TableWRTECalcPts[[#This Row],[PLAYER]],TableWRRanks[Player],0))),"")</f>
        <v>WR98</v>
      </c>
      <c r="AN156" s="219" t="str">
        <f>IFERROR(INDEX(TableWRMaster[TM],MATCH(TableWRTECalcPts[[#This Row],[POSRef]],TableWRMaster[WRRef],0)),"")</f>
        <v>DEN</v>
      </c>
      <c r="AO156" s="219">
        <f>IFERROR(INDEX(TableWRMaster[BYE],MATCH(TableWRTECalcPts[[#This Row],[POSRef]],TableWRMaster[WRRef],0)),"")</f>
        <v>9</v>
      </c>
      <c r="AP156" s="220">
        <f>IFERROR(INDEX(TableWRMaster[Custom],MATCH(TableWRTECalcPts[[#This Row],[POSRef]],TableWRMaster[WRRef],0)),"")</f>
        <v>47.9270366316658</v>
      </c>
    </row>
    <row r="157" spans="8:42" x14ac:dyDescent="0.3">
      <c r="H157" s="189" t="str">
        <f>IFERROR(RANK(TableRBCalcPts[[#This Row],[Custom]],TableRBCalcPts[Custom])+COUNTIF($M$3:M157,M157)-1,"")</f>
        <v/>
      </c>
      <c r="I157" s="189">
        <v>155</v>
      </c>
      <c r="J157" s="189" t="str">
        <f>IFERROR(INDEX(TableRBMaster[Player],MATCH(TableRBCalcPts[[#This Row],[RBRef]],TableRBMaster[RBRef],0)),"")</f>
        <v/>
      </c>
      <c r="K157" s="189" t="str">
        <f>IFERROR(INDEX(TableRBMaster[TM],MATCH(TableRBCalcPts[[#This Row],[RBRef]],TableRBMaster[RBRef],0)),"")</f>
        <v/>
      </c>
      <c r="L157" s="189" t="str">
        <f>IFERROR(INDEX(TableRBMaster[BYE],MATCH(TableRBCalcPts[[#This Row],[RBRef]],TableRBMaster[RBRef],0)),"")</f>
        <v/>
      </c>
      <c r="M157" s="191" t="str">
        <f>IFERROR(INDEX(TableRBMaster[Custom],MATCH(TableRBCalcPts[[#This Row],[RBRef]],TableRBMaster[RBRef],0)),"")</f>
        <v/>
      </c>
      <c r="O157" s="189">
        <f>IFERROR(RANK(TableWRCalcPts[[#This Row],[Custom]],TableWRCalcPts[Custom])+COUNTIF($T$3:T157,T157)-1,"")</f>
        <v>107</v>
      </c>
      <c r="P157" s="189">
        <v>155</v>
      </c>
      <c r="Q157" s="189" t="str">
        <f>IFERROR(INDEX(TableWRMaster[Player],MATCH(TableWRCalcPts[[#This Row],[WRRef]],TableWRMaster[WRRef],0)),"")</f>
        <v>Calvin Austin</v>
      </c>
      <c r="R157" s="189" t="str">
        <f>IFERROR(INDEX(TableWRMaster[TM],MATCH(TableWRCalcPts[[#This Row],[WRRef]],TableWRMaster[WRRef],0)),"")</f>
        <v>PIT</v>
      </c>
      <c r="S157" s="189">
        <f>IFERROR(INDEX(TableWRMaster[BYE],MATCH(TableWRCalcPts[[#This Row],[WRRef]],TableWRMaster[WRRef],0)),"")</f>
        <v>9</v>
      </c>
      <c r="T157" s="191">
        <f>IFERROR(INDEX(TableWRMaster[Custom],MATCH(TableWRCalcPts[[#This Row],[WRRef]],TableWRMaster[WRRef],0)),"")</f>
        <v>38.631807132828371</v>
      </c>
      <c r="AI157" s="221" t="s">
        <v>358</v>
      </c>
      <c r="AJ157" s="189">
        <f>IFERROR(RANK(TableWRTECalcPts[[#This Row],[Custom]],TableWRTECalcPts[Custom])+COUNTIF($AP$3:AP157,AP157)-1,"")</f>
        <v>54</v>
      </c>
      <c r="AK157" s="218">
        <v>55</v>
      </c>
      <c r="AL157" s="219" t="str">
        <f>IFERROR(INDEX(TableWRMaster[Player],MATCH(TableWRTECalcPts[[#This Row],[POSRef]],TableWRMaster[WRRef],0)),"")</f>
        <v>Tim Patrick</v>
      </c>
      <c r="AM157" s="219" t="str">
        <f>IFERROR(_xlfn.CONCAT(TableWRTECalcPts[[#This Row],[POS]],INDEX(TableWRRanks[RK],MATCH(TableWRTECalcPts[[#This Row],[PLAYER]],TableWRRanks[Player],0))),"")</f>
        <v>WR47</v>
      </c>
      <c r="AN157" s="219" t="str">
        <f>IFERROR(INDEX(TableWRMaster[TM],MATCH(TableWRTECalcPts[[#This Row],[POSRef]],TableWRMaster[WRRef],0)),"")</f>
        <v>DEN</v>
      </c>
      <c r="AO157" s="219">
        <f>IFERROR(INDEX(TableWRMaster[BYE],MATCH(TableWRTECalcPts[[#This Row],[POSRef]],TableWRMaster[WRRef],0)),"")</f>
        <v>9</v>
      </c>
      <c r="AP157" s="220">
        <f>IFERROR(INDEX(TableWRMaster[Custom],MATCH(TableWRTECalcPts[[#This Row],[POSRef]],TableWRMaster[WRRef],0)),"")</f>
        <v>110.0027840268209</v>
      </c>
    </row>
    <row r="158" spans="8:42" x14ac:dyDescent="0.3">
      <c r="H158" s="189" t="str">
        <f>IFERROR(RANK(TableRBCalcPts[[#This Row],[Custom]],TableRBCalcPts[Custom])+COUNTIF($M$3:M158,M158)-1,"")</f>
        <v/>
      </c>
      <c r="I158" s="189">
        <v>156</v>
      </c>
      <c r="J158" s="189" t="str">
        <f>IFERROR(INDEX(TableRBMaster[Player],MATCH(TableRBCalcPts[[#This Row],[RBRef]],TableRBMaster[RBRef],0)),"")</f>
        <v/>
      </c>
      <c r="K158" s="189" t="str">
        <f>IFERROR(INDEX(TableRBMaster[TM],MATCH(TableRBCalcPts[[#This Row],[RBRef]],TableRBMaster[RBRef],0)),"")</f>
        <v/>
      </c>
      <c r="L158" s="189" t="str">
        <f>IFERROR(INDEX(TableRBMaster[BYE],MATCH(TableRBCalcPts[[#This Row],[RBRef]],TableRBMaster[RBRef],0)),"")</f>
        <v/>
      </c>
      <c r="M158" s="191" t="str">
        <f>IFERROR(INDEX(TableRBMaster[Custom],MATCH(TableRBCalcPts[[#This Row],[RBRef]],TableRBMaster[RBRef],0)),"")</f>
        <v/>
      </c>
      <c r="O158" s="189">
        <f>IFERROR(RANK(TableWRCalcPts[[#This Row],[Custom]],TableWRCalcPts[Custom])+COUNTIF($T$3:T158,T158)-1,"")</f>
        <v>133</v>
      </c>
      <c r="P158" s="189">
        <v>156</v>
      </c>
      <c r="Q158" s="189" t="str">
        <f>IFERROR(INDEX(TableWRMaster[Player],MATCH(TableWRCalcPts[[#This Row],[WRRef]],TableWRMaster[WRRef],0)),"")</f>
        <v>Miles Boykin</v>
      </c>
      <c r="R158" s="189" t="str">
        <f>IFERROR(INDEX(TableWRMaster[TM],MATCH(TableWRCalcPts[[#This Row],[WRRef]],TableWRMaster[WRRef],0)),"")</f>
        <v>PIT</v>
      </c>
      <c r="S158" s="189">
        <f>IFERROR(INDEX(TableWRMaster[BYE],MATCH(TableWRCalcPts[[#This Row],[WRRef]],TableWRMaster[WRRef],0)),"")</f>
        <v>9</v>
      </c>
      <c r="T158" s="191">
        <f>IFERROR(INDEX(TableWRMaster[Custom],MATCH(TableWRCalcPts[[#This Row],[WRRef]],TableWRMaster[WRRef],0)),"")</f>
        <v>20.349802281807243</v>
      </c>
      <c r="AI158" s="221" t="s">
        <v>358</v>
      </c>
      <c r="AJ158" s="189">
        <f>IFERROR(RANK(TableWRTECalcPts[[#This Row],[Custom]],TableWRTECalcPts[Custom])+COUNTIF($AP$3:AP158,AP158)-1,"")</f>
        <v>240</v>
      </c>
      <c r="AK158" s="218">
        <v>56</v>
      </c>
      <c r="AL158" s="219" t="str">
        <f>IFERROR(INDEX(TableWRMaster[Player],MATCH(TableWRTECalcPts[[#This Row],[POSRef]],TableWRMaster[WRRef],0)),"")</f>
        <v>Kendall Hinton</v>
      </c>
      <c r="AM158" s="219" t="str">
        <f>IFERROR(_xlfn.CONCAT(TableWRTECalcPts[[#This Row],[POS]],INDEX(TableWRRanks[RK],MATCH(TableWRTECalcPts[[#This Row],[PLAYER]],TableWRRanks[Player],0))),"")</f>
        <v>WR168</v>
      </c>
      <c r="AN158" s="219" t="str">
        <f>IFERROR(INDEX(TableWRMaster[TM],MATCH(TableWRTECalcPts[[#This Row],[POSRef]],TableWRMaster[WRRef],0)),"")</f>
        <v>DEN</v>
      </c>
      <c r="AO158" s="219">
        <f>IFERROR(INDEX(TableWRMaster[BYE],MATCH(TableWRTECalcPts[[#This Row],[POSRef]],TableWRMaster[WRRef],0)),"")</f>
        <v>9</v>
      </c>
      <c r="AP158" s="220">
        <f>IFERROR(INDEX(TableWRMaster[Custom],MATCH(TableWRTECalcPts[[#This Row],[POSRef]],TableWRMaster[WRRef],0)),"")</f>
        <v>10.133565759007617</v>
      </c>
    </row>
    <row r="159" spans="8:42" x14ac:dyDescent="0.3">
      <c r="H159" s="189" t="str">
        <f>IFERROR(RANK(TableRBCalcPts[[#This Row],[Custom]],TableRBCalcPts[Custom])+COUNTIF($M$3:M159,M159)-1,"")</f>
        <v/>
      </c>
      <c r="I159" s="189">
        <v>157</v>
      </c>
      <c r="J159" s="189" t="str">
        <f>IFERROR(INDEX(TableRBMaster[Player],MATCH(TableRBCalcPts[[#This Row],[RBRef]],TableRBMaster[RBRef],0)),"")</f>
        <v/>
      </c>
      <c r="K159" s="189" t="str">
        <f>IFERROR(INDEX(TableRBMaster[TM],MATCH(TableRBCalcPts[[#This Row],[RBRef]],TableRBMaster[RBRef],0)),"")</f>
        <v/>
      </c>
      <c r="L159" s="189" t="str">
        <f>IFERROR(INDEX(TableRBMaster[BYE],MATCH(TableRBCalcPts[[#This Row],[RBRef]],TableRBMaster[RBRef],0)),"")</f>
        <v/>
      </c>
      <c r="M159" s="191" t="str">
        <f>IFERROR(INDEX(TableRBMaster[Custom],MATCH(TableRBCalcPts[[#This Row],[RBRef]],TableRBMaster[RBRef],0)),"")</f>
        <v/>
      </c>
      <c r="O159" s="189">
        <f>IFERROR(RANK(TableWRCalcPts[[#This Row],[Custom]],TableWRCalcPts[Custom])+COUNTIF($T$3:T159,T159)-1,"")</f>
        <v>18</v>
      </c>
      <c r="P159" s="189">
        <v>157</v>
      </c>
      <c r="Q159" s="189" t="str">
        <f>IFERROR(INDEX(TableWRMaster[Player],MATCH(TableWRCalcPts[[#This Row],[WRRef]],TableWRMaster[WRRef],0)),"")</f>
        <v>DK Metcalf</v>
      </c>
      <c r="R159" s="189" t="str">
        <f>IFERROR(INDEX(TableWRMaster[TM],MATCH(TableWRCalcPts[[#This Row],[WRRef]],TableWRMaster[WRRef],0)),"")</f>
        <v>SEA</v>
      </c>
      <c r="S159" s="189">
        <f>IFERROR(INDEX(TableWRMaster[BYE],MATCH(TableWRCalcPts[[#This Row],[WRRef]],TableWRMaster[WRRef],0)),"")</f>
        <v>11</v>
      </c>
      <c r="T159" s="191">
        <f>IFERROR(INDEX(TableWRMaster[Custom],MATCH(TableWRCalcPts[[#This Row],[WRRef]],TableWRMaster[WRRef],0)),"")</f>
        <v>150.29995128334309</v>
      </c>
      <c r="AI159" s="221" t="s">
        <v>358</v>
      </c>
      <c r="AJ159" s="189">
        <f>IFERROR(RANK(TableWRTECalcPts[[#This Row],[Custom]],TableWRTECalcPts[Custom])+COUNTIF($AP$3:AP159,AP159)-1,"")</f>
        <v>274</v>
      </c>
      <c r="AK159" s="218">
        <v>57</v>
      </c>
      <c r="AL159" s="219" t="str">
        <f>IFERROR(INDEX(TableWRMaster[Player],MATCH(TableWRTECalcPts[[#This Row],[POSRef]],TableWRMaster[WRRef],0)),"")</f>
        <v>Montrell Washington</v>
      </c>
      <c r="AM159" s="219" t="str">
        <f>IFERROR(_xlfn.CONCAT(TableWRTECalcPts[[#This Row],[POS]],INDEX(TableWRRanks[RK],MATCH(TableWRTECalcPts[[#This Row],[PLAYER]],TableWRRanks[Player],0))),"")</f>
        <v>WR183</v>
      </c>
      <c r="AN159" s="219" t="str">
        <f>IFERROR(INDEX(TableWRMaster[TM],MATCH(TableWRTECalcPts[[#This Row],[POSRef]],TableWRMaster[WRRef],0)),"")</f>
        <v>DEN</v>
      </c>
      <c r="AO159" s="219">
        <f>IFERROR(INDEX(TableWRMaster[BYE],MATCH(TableWRTECalcPts[[#This Row],[POSRef]],TableWRMaster[WRRef],0)),"")</f>
        <v>9</v>
      </c>
      <c r="AP159" s="220">
        <f>IFERROR(INDEX(TableWRMaster[Custom],MATCH(TableWRTECalcPts[[#This Row],[POSRef]],TableWRMaster[WRRef],0)),"")</f>
        <v>4.7618894716676774</v>
      </c>
    </row>
    <row r="160" spans="8:42" x14ac:dyDescent="0.3">
      <c r="H160" s="189" t="str">
        <f>IFERROR(RANK(TableRBCalcPts[[#This Row],[Custom]],TableRBCalcPts[Custom])+COUNTIF($M$3:M160,M160)-1,"")</f>
        <v/>
      </c>
      <c r="I160" s="189">
        <v>158</v>
      </c>
      <c r="J160" s="189" t="str">
        <f>IFERROR(INDEX(TableRBMaster[Player],MATCH(TableRBCalcPts[[#This Row],[RBRef]],TableRBMaster[RBRef],0)),"")</f>
        <v/>
      </c>
      <c r="K160" s="189" t="str">
        <f>IFERROR(INDEX(TableRBMaster[TM],MATCH(TableRBCalcPts[[#This Row],[RBRef]],TableRBMaster[RBRef],0)),"")</f>
        <v/>
      </c>
      <c r="L160" s="189" t="str">
        <f>IFERROR(INDEX(TableRBMaster[BYE],MATCH(TableRBCalcPts[[#This Row],[RBRef]],TableRBMaster[RBRef],0)),"")</f>
        <v/>
      </c>
      <c r="M160" s="191" t="str">
        <f>IFERROR(INDEX(TableRBMaster[Custom],MATCH(TableRBCalcPts[[#This Row],[RBRef]],TableRBMaster[RBRef],0)),"")</f>
        <v/>
      </c>
      <c r="O160" s="189">
        <f>IFERROR(RANK(TableWRCalcPts[[#This Row],[Custom]],TableWRCalcPts[Custom])+COUNTIF($T$3:T160,T160)-1,"")</f>
        <v>29</v>
      </c>
      <c r="P160" s="189">
        <v>158</v>
      </c>
      <c r="Q160" s="189" t="str">
        <f>IFERROR(INDEX(TableWRMaster[Player],MATCH(TableWRCalcPts[[#This Row],[WRRef]],TableWRMaster[WRRef],0)),"")</f>
        <v>Tyler Lockett</v>
      </c>
      <c r="R160" s="189" t="str">
        <f>IFERROR(INDEX(TableWRMaster[TM],MATCH(TableWRCalcPts[[#This Row],[WRRef]],TableWRMaster[WRRef],0)),"")</f>
        <v>SEA</v>
      </c>
      <c r="S160" s="189">
        <f>IFERROR(INDEX(TableWRMaster[BYE],MATCH(TableWRCalcPts[[#This Row],[WRRef]],TableWRMaster[WRRef],0)),"")</f>
        <v>11</v>
      </c>
      <c r="T160" s="191">
        <f>IFERROR(INDEX(TableWRMaster[Custom],MATCH(TableWRCalcPts[[#This Row],[WRRef]],TableWRMaster[WRRef],0)),"")</f>
        <v>135.85216520741739</v>
      </c>
      <c r="AI160" s="221" t="s">
        <v>358</v>
      </c>
      <c r="AJ160" s="189">
        <f>IFERROR(RANK(TableWRTECalcPts[[#This Row],[Custom]],TableWRTECalcPts[Custom])+COUNTIF($AP$3:AP160,AP160)-1,"")</f>
        <v>39</v>
      </c>
      <c r="AK160" s="218">
        <v>58</v>
      </c>
      <c r="AL160" s="219" t="str">
        <f>IFERROR(INDEX(TableWRMaster[Player],MATCH(TableWRTECalcPts[[#This Row],[POSRef]],TableWRMaster[WRRef],0)),"")</f>
        <v>Amon-Ra St. Brown</v>
      </c>
      <c r="AM160" s="219" t="str">
        <f>IFERROR(_xlfn.CONCAT(TableWRTECalcPts[[#This Row],[POS]],INDEX(TableWRRanks[RK],MATCH(TableWRTECalcPts[[#This Row],[PLAYER]],TableWRRanks[Player],0))),"")</f>
        <v>WR36</v>
      </c>
      <c r="AN160" s="219" t="str">
        <f>IFERROR(INDEX(TableWRMaster[TM],MATCH(TableWRTECalcPts[[#This Row],[POSRef]],TableWRMaster[WRRef],0)),"")</f>
        <v>DET</v>
      </c>
      <c r="AO160" s="219">
        <f>IFERROR(INDEX(TableWRMaster[BYE],MATCH(TableWRTECalcPts[[#This Row],[POSRef]],TableWRMaster[WRRef],0)),"")</f>
        <v>6</v>
      </c>
      <c r="AP160" s="220">
        <f>IFERROR(INDEX(TableWRMaster[Custom],MATCH(TableWRTECalcPts[[#This Row],[POSRef]],TableWRMaster[WRRef],0)),"")</f>
        <v>132.52196259296818</v>
      </c>
    </row>
    <row r="161" spans="8:42" x14ac:dyDescent="0.3">
      <c r="H161" s="189" t="str">
        <f>IFERROR(RANK(TableRBCalcPts[[#This Row],[Custom]],TableRBCalcPts[Custom])+COUNTIF($M$3:M161,M161)-1,"")</f>
        <v/>
      </c>
      <c r="I161" s="189">
        <v>159</v>
      </c>
      <c r="J161" s="189" t="str">
        <f>IFERROR(INDEX(TableRBMaster[Player],MATCH(TableRBCalcPts[[#This Row],[RBRef]],TableRBMaster[RBRef],0)),"")</f>
        <v/>
      </c>
      <c r="K161" s="189" t="str">
        <f>IFERROR(INDEX(TableRBMaster[TM],MATCH(TableRBCalcPts[[#This Row],[RBRef]],TableRBMaster[RBRef],0)),"")</f>
        <v/>
      </c>
      <c r="L161" s="189" t="str">
        <f>IFERROR(INDEX(TableRBMaster[BYE],MATCH(TableRBCalcPts[[#This Row],[RBRef]],TableRBMaster[RBRef],0)),"")</f>
        <v/>
      </c>
      <c r="M161" s="191" t="str">
        <f>IFERROR(INDEX(TableRBMaster[Custom],MATCH(TableRBCalcPts[[#This Row],[RBRef]],TableRBMaster[RBRef],0)),"")</f>
        <v/>
      </c>
      <c r="O161" s="189">
        <f>IFERROR(RANK(TableWRCalcPts[[#This Row],[Custom]],TableWRCalcPts[Custom])+COUNTIF($T$3:T161,T161)-1,"")</f>
        <v>117</v>
      </c>
      <c r="P161" s="189">
        <v>159</v>
      </c>
      <c r="Q161" s="189" t="str">
        <f>IFERROR(INDEX(TableWRMaster[Player],MATCH(TableWRCalcPts[[#This Row],[WRRef]],TableWRMaster[WRRef],0)),"")</f>
        <v>Freddie Swain</v>
      </c>
      <c r="R161" s="189" t="str">
        <f>IFERROR(INDEX(TableWRMaster[TM],MATCH(TableWRCalcPts[[#This Row],[WRRef]],TableWRMaster[WRRef],0)),"")</f>
        <v>SEA</v>
      </c>
      <c r="S161" s="189">
        <f>IFERROR(INDEX(TableWRMaster[BYE],MATCH(TableWRCalcPts[[#This Row],[WRRef]],TableWRMaster[WRRef],0)),"")</f>
        <v>11</v>
      </c>
      <c r="T161" s="191">
        <f>IFERROR(INDEX(TableWRMaster[Custom],MATCH(TableWRCalcPts[[#This Row],[WRRef]],TableWRMaster[WRRef],0)),"")</f>
        <v>25.723306522259342</v>
      </c>
      <c r="AI161" s="221" t="s">
        <v>358</v>
      </c>
      <c r="AJ161" s="189">
        <f>IFERROR(RANK(TableWRTECalcPts[[#This Row],[Custom]],TableWRTECalcPts[Custom])+COUNTIF($AP$3:AP161,AP161)-1,"")</f>
        <v>104</v>
      </c>
      <c r="AK161" s="218">
        <v>59</v>
      </c>
      <c r="AL161" s="219" t="str">
        <f>IFERROR(INDEX(TableWRMaster[Player],MATCH(TableWRTECalcPts[[#This Row],[POSRef]],TableWRMaster[WRRef],0)),"")</f>
        <v>DJ Chark</v>
      </c>
      <c r="AM161" s="219" t="str">
        <f>IFERROR(_xlfn.CONCAT(TableWRTECalcPts[[#This Row],[POS]],INDEX(TableWRRanks[RK],MATCH(TableWRTECalcPts[[#This Row],[PLAYER]],TableWRRanks[Player],0))),"")</f>
        <v>WR77</v>
      </c>
      <c r="AN161" s="219" t="str">
        <f>IFERROR(INDEX(TableWRMaster[TM],MATCH(TableWRTECalcPts[[#This Row],[POSRef]],TableWRMaster[WRRef],0)),"")</f>
        <v>DET</v>
      </c>
      <c r="AO161" s="219">
        <f>IFERROR(INDEX(TableWRMaster[BYE],MATCH(TableWRTECalcPts[[#This Row],[POSRef]],TableWRMaster[WRRef],0)),"")</f>
        <v>6</v>
      </c>
      <c r="AP161" s="220">
        <f>IFERROR(INDEX(TableWRMaster[Custom],MATCH(TableWRTECalcPts[[#This Row],[POSRef]],TableWRMaster[WRRef],0)),"")</f>
        <v>76.972782029526599</v>
      </c>
    </row>
    <row r="162" spans="8:42" x14ac:dyDescent="0.3">
      <c r="H162" s="189" t="str">
        <f>IFERROR(RANK(TableRBCalcPts[[#This Row],[Custom]],TableRBCalcPts[Custom])+COUNTIF($M$3:M162,M162)-1,"")</f>
        <v/>
      </c>
      <c r="I162" s="189">
        <v>160</v>
      </c>
      <c r="J162" s="189" t="str">
        <f>IFERROR(INDEX(TableRBMaster[Player],MATCH(TableRBCalcPts[[#This Row],[RBRef]],TableRBMaster[RBRef],0)),"")</f>
        <v/>
      </c>
      <c r="K162" s="189" t="str">
        <f>IFERROR(INDEX(TableRBMaster[TM],MATCH(TableRBCalcPts[[#This Row],[RBRef]],TableRBMaster[RBRef],0)),"")</f>
        <v/>
      </c>
      <c r="L162" s="189" t="str">
        <f>IFERROR(INDEX(TableRBMaster[BYE],MATCH(TableRBCalcPts[[#This Row],[RBRef]],TableRBMaster[RBRef],0)),"")</f>
        <v/>
      </c>
      <c r="M162" s="191" t="str">
        <f>IFERROR(INDEX(TableRBMaster[Custom],MATCH(TableRBCalcPts[[#This Row],[RBRef]],TableRBMaster[RBRef],0)),"")</f>
        <v/>
      </c>
      <c r="O162" s="189">
        <f>IFERROR(RANK(TableWRCalcPts[[#This Row],[Custom]],TableWRCalcPts[Custom])+COUNTIF($T$3:T162,T162)-1,"")</f>
        <v>97</v>
      </c>
      <c r="P162" s="189">
        <v>160</v>
      </c>
      <c r="Q162" s="189" t="str">
        <f>IFERROR(INDEX(TableWRMaster[Player],MATCH(TableWRCalcPts[[#This Row],[WRRef]],TableWRMaster[WRRef],0)),"")</f>
        <v>Dee Eskridge</v>
      </c>
      <c r="R162" s="189" t="str">
        <f>IFERROR(INDEX(TableWRMaster[TM],MATCH(TableWRCalcPts[[#This Row],[WRRef]],TableWRMaster[WRRef],0)),"")</f>
        <v>SEA</v>
      </c>
      <c r="S162" s="189">
        <f>IFERROR(INDEX(TableWRMaster[BYE],MATCH(TableWRCalcPts[[#This Row],[WRRef]],TableWRMaster[WRRef],0)),"")</f>
        <v>11</v>
      </c>
      <c r="T162" s="191">
        <f>IFERROR(INDEX(TableWRMaster[Custom],MATCH(TableWRCalcPts[[#This Row],[WRRef]],TableWRMaster[WRRef],0)),"")</f>
        <v>49.28641646878944</v>
      </c>
      <c r="AI162" s="221" t="s">
        <v>358</v>
      </c>
      <c r="AJ162" s="189">
        <f>IFERROR(RANK(TableWRTECalcPts[[#This Row],[Custom]],TableWRTECalcPts[Custom])+COUNTIF($AP$3:AP162,AP162)-1,"")</f>
        <v>55</v>
      </c>
      <c r="AK162" s="218">
        <v>60</v>
      </c>
      <c r="AL162" s="219" t="str">
        <f>IFERROR(INDEX(TableWRMaster[Player],MATCH(TableWRTECalcPts[[#This Row],[POSRef]],TableWRMaster[WRRef],0)),"")</f>
        <v>Jameson Williams</v>
      </c>
      <c r="AM162" s="219" t="str">
        <f>IFERROR(_xlfn.CONCAT(TableWRTECalcPts[[#This Row],[POS]],INDEX(TableWRRanks[RK],MATCH(TableWRTECalcPts[[#This Row],[PLAYER]],TableWRRanks[Player],0))),"")</f>
        <v>WR48</v>
      </c>
      <c r="AN162" s="219" t="str">
        <f>IFERROR(INDEX(TableWRMaster[TM],MATCH(TableWRTECalcPts[[#This Row],[POSRef]],TableWRMaster[WRRef],0)),"")</f>
        <v>DET</v>
      </c>
      <c r="AO162" s="219">
        <f>IFERROR(INDEX(TableWRMaster[BYE],MATCH(TableWRTECalcPts[[#This Row],[POSRef]],TableWRMaster[WRRef],0)),"")</f>
        <v>6</v>
      </c>
      <c r="AP162" s="220">
        <f>IFERROR(INDEX(TableWRMaster[Custom],MATCH(TableWRTECalcPts[[#This Row],[POSRef]],TableWRMaster[WRRef],0)),"")</f>
        <v>109.96837220993626</v>
      </c>
    </row>
    <row r="163" spans="8:42" x14ac:dyDescent="0.3">
      <c r="H163" s="189" t="str">
        <f>IFERROR(RANK(TableRBCalcPts[[#This Row],[Custom]],TableRBCalcPts[Custom])+COUNTIF($M$3:M163,M163)-1,"")</f>
        <v/>
      </c>
      <c r="I163" s="189">
        <v>161</v>
      </c>
      <c r="J163" s="189" t="str">
        <f>IFERROR(INDEX(TableRBMaster[Player],MATCH(TableRBCalcPts[[#This Row],[RBRef]],TableRBMaster[RBRef],0)),"")</f>
        <v/>
      </c>
      <c r="K163" s="189" t="str">
        <f>IFERROR(INDEX(TableRBMaster[TM],MATCH(TableRBCalcPts[[#This Row],[RBRef]],TableRBMaster[RBRef],0)),"")</f>
        <v/>
      </c>
      <c r="L163" s="189" t="str">
        <f>IFERROR(INDEX(TableRBMaster[BYE],MATCH(TableRBCalcPts[[#This Row],[RBRef]],TableRBMaster[RBRef],0)),"")</f>
        <v/>
      </c>
      <c r="M163" s="191" t="str">
        <f>IFERROR(INDEX(TableRBMaster[Custom],MATCH(TableRBCalcPts[[#This Row],[RBRef]],TableRBMaster[RBRef],0)),"")</f>
        <v/>
      </c>
      <c r="O163" s="189">
        <f>IFERROR(RANK(TableWRCalcPts[[#This Row],[Custom]],TableWRCalcPts[Custom])+COUNTIF($T$3:T163,T163)-1,"")</f>
        <v>181</v>
      </c>
      <c r="P163" s="189">
        <v>161</v>
      </c>
      <c r="Q163" s="189" t="str">
        <f>IFERROR(INDEX(TableWRMaster[Player],MATCH(TableWRCalcPts[[#This Row],[WRRef]],TableWRMaster[WRRef],0)),"")</f>
        <v>Penny Hart</v>
      </c>
      <c r="R163" s="189" t="str">
        <f>IFERROR(INDEX(TableWRMaster[TM],MATCH(TableWRCalcPts[[#This Row],[WRRef]],TableWRMaster[WRRef],0)),"")</f>
        <v>SEA</v>
      </c>
      <c r="S163" s="189">
        <f>IFERROR(INDEX(TableWRMaster[BYE],MATCH(TableWRCalcPts[[#This Row],[WRRef]],TableWRMaster[WRRef],0)),"")</f>
        <v>11</v>
      </c>
      <c r="T163" s="191">
        <f>IFERROR(INDEX(TableWRMaster[Custom],MATCH(TableWRCalcPts[[#This Row],[WRRef]],TableWRMaster[WRRef],0)),"")</f>
        <v>7.1095588047201934</v>
      </c>
      <c r="AI163" s="221" t="s">
        <v>358</v>
      </c>
      <c r="AJ163" s="189">
        <f>IFERROR(RANK(TableWRTECalcPts[[#This Row],[Custom]],TableWRTECalcPts[Custom])+COUNTIF($AP$3:AP163,AP163)-1,"")</f>
        <v>153</v>
      </c>
      <c r="AK163" s="218">
        <v>61</v>
      </c>
      <c r="AL163" s="219" t="str">
        <f>IFERROR(INDEX(TableWRMaster[Player],MATCH(TableWRTECalcPts[[#This Row],[POSRef]],TableWRMaster[WRRef],0)),"")</f>
        <v>Josh Reynolds</v>
      </c>
      <c r="AM163" s="219" t="str">
        <f>IFERROR(_xlfn.CONCAT(TableWRTECalcPts[[#This Row],[POS]],INDEX(TableWRRanks[RK],MATCH(TableWRTECalcPts[[#This Row],[PLAYER]],TableWRRanks[Player],0))),"")</f>
        <v>WR113</v>
      </c>
      <c r="AN163" s="219" t="str">
        <f>IFERROR(INDEX(TableWRMaster[TM],MATCH(TableWRTECalcPts[[#This Row],[POSRef]],TableWRMaster[WRRef],0)),"")</f>
        <v>DET</v>
      </c>
      <c r="AO163" s="219">
        <f>IFERROR(INDEX(TableWRMaster[BYE],MATCH(TableWRTECalcPts[[#This Row],[POSRef]],TableWRMaster[WRRef],0)),"")</f>
        <v>6</v>
      </c>
      <c r="AP163" s="220">
        <f>IFERROR(INDEX(TableWRMaster[Custom],MATCH(TableWRTECalcPts[[#This Row],[POSRef]],TableWRMaster[WRRef],0)),"")</f>
        <v>29.669607801472058</v>
      </c>
    </row>
    <row r="164" spans="8:42" x14ac:dyDescent="0.3">
      <c r="H164" s="189" t="str">
        <f>IFERROR(RANK(TableRBCalcPts[[#This Row],[Custom]],TableRBCalcPts[Custom])+COUNTIF($M$3:M164,M164)-1,"")</f>
        <v/>
      </c>
      <c r="I164" s="189">
        <v>162</v>
      </c>
      <c r="J164" s="189" t="str">
        <f>IFERROR(INDEX(TableRBMaster[Player],MATCH(TableRBCalcPts[[#This Row],[RBRef]],TableRBMaster[RBRef],0)),"")</f>
        <v/>
      </c>
      <c r="K164" s="189" t="str">
        <f>IFERROR(INDEX(TableRBMaster[TM],MATCH(TableRBCalcPts[[#This Row],[RBRef]],TableRBMaster[RBRef],0)),"")</f>
        <v/>
      </c>
      <c r="L164" s="189" t="str">
        <f>IFERROR(INDEX(TableRBMaster[BYE],MATCH(TableRBCalcPts[[#This Row],[RBRef]],TableRBMaster[RBRef],0)),"")</f>
        <v/>
      </c>
      <c r="M164" s="191" t="str">
        <f>IFERROR(INDEX(TableRBMaster[Custom],MATCH(TableRBCalcPts[[#This Row],[RBRef]],TableRBMaster[RBRef],0)),"")</f>
        <v/>
      </c>
      <c r="O164" s="189">
        <f>IFERROR(RANK(TableWRCalcPts[[#This Row],[Custom]],TableWRCalcPts[Custom])+COUNTIF($T$3:T164,T164)-1,"")</f>
        <v>3</v>
      </c>
      <c r="P164" s="189">
        <v>162</v>
      </c>
      <c r="Q164" s="189" t="str">
        <f>IFERROR(INDEX(TableWRMaster[Player],MATCH(TableWRCalcPts[[#This Row],[WRRef]],TableWRMaster[WRRef],0)),"")</f>
        <v>Deebo Samuel</v>
      </c>
      <c r="R164" s="189" t="str">
        <f>IFERROR(INDEX(TableWRMaster[TM],MATCH(TableWRCalcPts[[#This Row],[WRRef]],TableWRMaster[WRRef],0)),"")</f>
        <v>SF</v>
      </c>
      <c r="S164" s="189">
        <f>IFERROR(INDEX(TableWRMaster[BYE],MATCH(TableWRCalcPts[[#This Row],[WRRef]],TableWRMaster[WRRef],0)),"")</f>
        <v>9</v>
      </c>
      <c r="T164" s="191">
        <f>IFERROR(INDEX(TableWRMaster[Custom],MATCH(TableWRCalcPts[[#This Row],[WRRef]],TableWRMaster[WRRef],0)),"")</f>
        <v>204.70306981913626</v>
      </c>
      <c r="AI164" s="221" t="s">
        <v>358</v>
      </c>
      <c r="AJ164" s="189">
        <f>IFERROR(RANK(TableWRTECalcPts[[#This Row],[Custom]],TableWRTECalcPts[Custom])+COUNTIF($AP$3:AP164,AP164)-1,"")</f>
        <v>244</v>
      </c>
      <c r="AK164" s="218">
        <v>62</v>
      </c>
      <c r="AL164" s="219" t="str">
        <f>IFERROR(INDEX(TableWRMaster[Player],MATCH(TableWRTECalcPts[[#This Row],[POSRef]],TableWRMaster[WRRef],0)),"")</f>
        <v>Kalif Raymond</v>
      </c>
      <c r="AM164" s="219" t="str">
        <f>IFERROR(_xlfn.CONCAT(TableWRTECalcPts[[#This Row],[POS]],INDEX(TableWRRanks[RK],MATCH(TableWRTECalcPts[[#This Row],[PLAYER]],TableWRRanks[Player],0))),"")</f>
        <v>WR170</v>
      </c>
      <c r="AN164" s="219" t="str">
        <f>IFERROR(INDEX(TableWRMaster[TM],MATCH(TableWRTECalcPts[[#This Row],[POSRef]],TableWRMaster[WRRef],0)),"")</f>
        <v>DET</v>
      </c>
      <c r="AO164" s="219">
        <f>IFERROR(INDEX(TableWRMaster[BYE],MATCH(TableWRTECalcPts[[#This Row],[POSRef]],TableWRMaster[WRRef],0)),"")</f>
        <v>6</v>
      </c>
      <c r="AP164" s="220">
        <f>IFERROR(INDEX(TableWRMaster[Custom],MATCH(TableWRTECalcPts[[#This Row],[POSRef]],TableWRMaster[WRRef],0)),"")</f>
        <v>9.502644359990926</v>
      </c>
    </row>
    <row r="165" spans="8:42" x14ac:dyDescent="0.3">
      <c r="H165" s="189" t="str">
        <f>IFERROR(RANK(TableRBCalcPts[[#This Row],[Custom]],TableRBCalcPts[Custom])+COUNTIF($M$3:M165,M165)-1,"")</f>
        <v/>
      </c>
      <c r="I165" s="189">
        <v>163</v>
      </c>
      <c r="J165" s="189" t="str">
        <f>IFERROR(INDEX(TableRBMaster[Player],MATCH(TableRBCalcPts[[#This Row],[RBRef]],TableRBMaster[RBRef],0)),"")</f>
        <v/>
      </c>
      <c r="K165" s="189" t="str">
        <f>IFERROR(INDEX(TableRBMaster[TM],MATCH(TableRBCalcPts[[#This Row],[RBRef]],TableRBMaster[RBRef],0)),"")</f>
        <v/>
      </c>
      <c r="L165" s="189" t="str">
        <f>IFERROR(INDEX(TableRBMaster[BYE],MATCH(TableRBCalcPts[[#This Row],[RBRef]],TableRBMaster[RBRef],0)),"")</f>
        <v/>
      </c>
      <c r="M165" s="191" t="str">
        <f>IFERROR(INDEX(TableRBMaster[Custom],MATCH(TableRBCalcPts[[#This Row],[RBRef]],TableRBMaster[RBRef],0)),"")</f>
        <v/>
      </c>
      <c r="O165" s="189">
        <f>IFERROR(RANK(TableWRCalcPts[[#This Row],[Custom]],TableWRCalcPts[Custom])+COUNTIF($T$3:T165,T165)-1,"")</f>
        <v>44</v>
      </c>
      <c r="P165" s="189">
        <v>163</v>
      </c>
      <c r="Q165" s="189" t="str">
        <f>IFERROR(INDEX(TableWRMaster[Player],MATCH(TableWRCalcPts[[#This Row],[WRRef]],TableWRMaster[WRRef],0)),"")</f>
        <v>Brandon Aiyuk</v>
      </c>
      <c r="R165" s="189" t="str">
        <f>IFERROR(INDEX(TableWRMaster[TM],MATCH(TableWRCalcPts[[#This Row],[WRRef]],TableWRMaster[WRRef],0)),"")</f>
        <v>SF</v>
      </c>
      <c r="S165" s="189">
        <f>IFERROR(INDEX(TableWRMaster[BYE],MATCH(TableWRCalcPts[[#This Row],[WRRef]],TableWRMaster[WRRef],0)),"")</f>
        <v>9</v>
      </c>
      <c r="T165" s="191">
        <f>IFERROR(INDEX(TableWRMaster[Custom],MATCH(TableWRCalcPts[[#This Row],[WRRef]],TableWRMaster[WRRef],0)),"")</f>
        <v>118.29153042188688</v>
      </c>
      <c r="AI165" s="221" t="s">
        <v>358</v>
      </c>
      <c r="AJ165" s="189">
        <f>IFERROR(RANK(TableWRTECalcPts[[#This Row],[Custom]],TableWRTECalcPts[Custom])+COUNTIF($AP$3:AP165,AP165)-1,"")</f>
        <v>213</v>
      </c>
      <c r="AK165" s="218">
        <v>63</v>
      </c>
      <c r="AL165" s="219" t="str">
        <f>IFERROR(INDEX(TableWRMaster[Player],MATCH(TableWRTECalcPts[[#This Row],[POSRef]],TableWRMaster[WRRef],0)),"")</f>
        <v>Quintez Cephus</v>
      </c>
      <c r="AM165" s="219" t="str">
        <f>IFERROR(_xlfn.CONCAT(TableWRTECalcPts[[#This Row],[POS]],INDEX(TableWRRanks[RK],MATCH(TableWRTECalcPts[[#This Row],[PLAYER]],TableWRRanks[Player],0))),"")</f>
        <v>WR150</v>
      </c>
      <c r="AN165" s="219" t="str">
        <f>IFERROR(INDEX(TableWRMaster[TM],MATCH(TableWRTECalcPts[[#This Row],[POSRef]],TableWRMaster[WRRef],0)),"")</f>
        <v>DET</v>
      </c>
      <c r="AO165" s="219">
        <f>IFERROR(INDEX(TableWRMaster[BYE],MATCH(TableWRTECalcPts[[#This Row],[POSRef]],TableWRMaster[WRRef],0)),"")</f>
        <v>6</v>
      </c>
      <c r="AP165" s="220">
        <f>IFERROR(INDEX(TableWRMaster[Custom],MATCH(TableWRTECalcPts[[#This Row],[POSRef]],TableWRMaster[WRRef],0)),"")</f>
        <v>13.980069410941089</v>
      </c>
    </row>
    <row r="166" spans="8:42" x14ac:dyDescent="0.3">
      <c r="H166" s="189" t="str">
        <f>IFERROR(RANK(TableRBCalcPts[[#This Row],[Custom]],TableRBCalcPts[Custom])+COUNTIF($M$3:M166,M166)-1,"")</f>
        <v/>
      </c>
      <c r="I166" s="189">
        <v>164</v>
      </c>
      <c r="J166" s="189" t="str">
        <f>IFERROR(INDEX(TableRBMaster[Player],MATCH(TableRBCalcPts[[#This Row],[RBRef]],TableRBMaster[RBRef],0)),"")</f>
        <v/>
      </c>
      <c r="K166" s="189" t="str">
        <f>IFERROR(INDEX(TableRBMaster[TM],MATCH(TableRBCalcPts[[#This Row],[RBRef]],TableRBMaster[RBRef],0)),"")</f>
        <v/>
      </c>
      <c r="L166" s="189" t="str">
        <f>IFERROR(INDEX(TableRBMaster[BYE],MATCH(TableRBCalcPts[[#This Row],[RBRef]],TableRBMaster[RBRef],0)),"")</f>
        <v/>
      </c>
      <c r="M166" s="191" t="str">
        <f>IFERROR(INDEX(TableRBMaster[Custom],MATCH(TableRBCalcPts[[#This Row],[RBRef]],TableRBMaster[RBRef],0)),"")</f>
        <v/>
      </c>
      <c r="O166" s="189">
        <f>IFERROR(RANK(TableWRCalcPts[[#This Row],[Custom]],TableWRCalcPts[Custom])+COUNTIF($T$3:T166,T166)-1,"")</f>
        <v>104</v>
      </c>
      <c r="P166" s="189">
        <v>164</v>
      </c>
      <c r="Q166" s="189" t="str">
        <f>IFERROR(INDEX(TableWRMaster[Player],MATCH(TableWRCalcPts[[#This Row],[WRRef]],TableWRMaster[WRRef],0)),"")</f>
        <v>Jauan Jennings</v>
      </c>
      <c r="R166" s="189" t="str">
        <f>IFERROR(INDEX(TableWRMaster[TM],MATCH(TableWRCalcPts[[#This Row],[WRRef]],TableWRMaster[WRRef],0)),"")</f>
        <v>SF</v>
      </c>
      <c r="S166" s="189">
        <f>IFERROR(INDEX(TableWRMaster[BYE],MATCH(TableWRCalcPts[[#This Row],[WRRef]],TableWRMaster[WRRef],0)),"")</f>
        <v>9</v>
      </c>
      <c r="T166" s="191">
        <f>IFERROR(INDEX(TableWRMaster[Custom],MATCH(TableWRCalcPts[[#This Row],[WRRef]],TableWRMaster[WRRef],0)),"")</f>
        <v>43.316310817014994</v>
      </c>
      <c r="AI166" s="221" t="s">
        <v>358</v>
      </c>
      <c r="AJ166" s="189">
        <f>IFERROR(RANK(TableWRTECalcPts[[#This Row],[Custom]],TableWRTECalcPts[Custom])+COUNTIF($AP$3:AP166,AP166)-1,"")</f>
        <v>110</v>
      </c>
      <c r="AK166" s="218">
        <v>64</v>
      </c>
      <c r="AL166" s="219" t="str">
        <f>IFERROR(INDEX(TableWRMaster[Player],MATCH(TableWRTECalcPts[[#This Row],[POSRef]],TableWRMaster[WRRef],0)),"")</f>
        <v>Sammy Watkins</v>
      </c>
      <c r="AM166" s="219" t="str">
        <f>IFERROR(_xlfn.CONCAT(TableWRTECalcPts[[#This Row],[POS]],INDEX(TableWRRanks[RK],MATCH(TableWRTECalcPts[[#This Row],[PLAYER]],TableWRRanks[Player],0))),"")</f>
        <v>WR82</v>
      </c>
      <c r="AN166" s="219" t="str">
        <f>IFERROR(INDEX(TableWRMaster[TM],MATCH(TableWRTECalcPts[[#This Row],[POSRef]],TableWRMaster[WRRef],0)),"")</f>
        <v>GB</v>
      </c>
      <c r="AO166" s="219">
        <f>IFERROR(INDEX(TableWRMaster[BYE],MATCH(TableWRTECalcPts[[#This Row],[POSRef]],TableWRMaster[WRRef],0)),"")</f>
        <v>14</v>
      </c>
      <c r="AP166" s="220">
        <f>IFERROR(INDEX(TableWRMaster[Custom],MATCH(TableWRTECalcPts[[#This Row],[POSRef]],TableWRMaster[WRRef],0)),"")</f>
        <v>72.688142484359275</v>
      </c>
    </row>
    <row r="167" spans="8:42" x14ac:dyDescent="0.3">
      <c r="H167" s="189" t="str">
        <f>IFERROR(RANK(TableRBCalcPts[[#This Row],[Custom]],TableRBCalcPts[Custom])+COUNTIF($M$3:M167,M167)-1,"")</f>
        <v/>
      </c>
      <c r="I167" s="189">
        <v>165</v>
      </c>
      <c r="J167" s="189" t="str">
        <f>IFERROR(INDEX(TableRBMaster[Player],MATCH(TableRBCalcPts[[#This Row],[RBRef]],TableRBMaster[RBRef],0)),"")</f>
        <v/>
      </c>
      <c r="K167" s="189" t="str">
        <f>IFERROR(INDEX(TableRBMaster[TM],MATCH(TableRBCalcPts[[#This Row],[RBRef]],TableRBMaster[RBRef],0)),"")</f>
        <v/>
      </c>
      <c r="L167" s="189" t="str">
        <f>IFERROR(INDEX(TableRBMaster[BYE],MATCH(TableRBCalcPts[[#This Row],[RBRef]],TableRBMaster[RBRef],0)),"")</f>
        <v/>
      </c>
      <c r="M167" s="191" t="str">
        <f>IFERROR(INDEX(TableRBMaster[Custom],MATCH(TableRBCalcPts[[#This Row],[RBRef]],TableRBMaster[RBRef],0)),"")</f>
        <v/>
      </c>
      <c r="O167" s="189">
        <f>IFERROR(RANK(TableWRCalcPts[[#This Row],[Custom]],TableWRCalcPts[Custom])+COUNTIF($T$3:T167,T167)-1,"")</f>
        <v>139</v>
      </c>
      <c r="P167" s="189">
        <v>165</v>
      </c>
      <c r="Q167" s="189" t="str">
        <f>IFERROR(INDEX(TableWRMaster[Player],MATCH(TableWRCalcPts[[#This Row],[WRRef]],TableWRMaster[WRRef],0)),"")</f>
        <v>Ray-Ray McCloud</v>
      </c>
      <c r="R167" s="189" t="str">
        <f>IFERROR(INDEX(TableWRMaster[TM],MATCH(TableWRCalcPts[[#This Row],[WRRef]],TableWRMaster[WRRef],0)),"")</f>
        <v>SF</v>
      </c>
      <c r="S167" s="189">
        <f>IFERROR(INDEX(TableWRMaster[BYE],MATCH(TableWRCalcPts[[#This Row],[WRRef]],TableWRMaster[WRRef],0)),"")</f>
        <v>9</v>
      </c>
      <c r="T167" s="191">
        <f>IFERROR(INDEX(TableWRMaster[Custom],MATCH(TableWRCalcPts[[#This Row],[WRRef]],TableWRMaster[WRRef],0)),"")</f>
        <v>17.59547476515823</v>
      </c>
      <c r="AI167" s="221" t="s">
        <v>358</v>
      </c>
      <c r="AJ167" s="189">
        <f>IFERROR(RANK(TableWRTECalcPts[[#This Row],[Custom]],TableWRTECalcPts[Custom])+COUNTIF($AP$3:AP167,AP167)-1,"")</f>
        <v>34</v>
      </c>
      <c r="AK167" s="218">
        <v>65</v>
      </c>
      <c r="AL167" s="219" t="str">
        <f>IFERROR(INDEX(TableWRMaster[Player],MATCH(TableWRTECalcPts[[#This Row],[POSRef]],TableWRMaster[WRRef],0)),"")</f>
        <v>Allen Lazard</v>
      </c>
      <c r="AM167" s="219" t="str">
        <f>IFERROR(_xlfn.CONCAT(TableWRTECalcPts[[#This Row],[POS]],INDEX(TableWRRanks[RK],MATCH(TableWRTECalcPts[[#This Row],[PLAYER]],TableWRRanks[Player],0))),"")</f>
        <v>WR31</v>
      </c>
      <c r="AN167" s="219" t="str">
        <f>IFERROR(INDEX(TableWRMaster[TM],MATCH(TableWRTECalcPts[[#This Row],[POSRef]],TableWRMaster[WRRef],0)),"")</f>
        <v>GB</v>
      </c>
      <c r="AO167" s="219">
        <f>IFERROR(INDEX(TableWRMaster[BYE],MATCH(TableWRTECalcPts[[#This Row],[POSRef]],TableWRMaster[WRRef],0)),"")</f>
        <v>14</v>
      </c>
      <c r="AP167" s="220">
        <f>IFERROR(INDEX(TableWRMaster[Custom],MATCH(TableWRTECalcPts[[#This Row],[POSRef]],TableWRMaster[WRRef],0)),"")</f>
        <v>134.96304503309676</v>
      </c>
    </row>
    <row r="168" spans="8:42" x14ac:dyDescent="0.3">
      <c r="H168" s="189" t="str">
        <f>IFERROR(RANK(TableRBCalcPts[[#This Row],[Custom]],TableRBCalcPts[Custom])+COUNTIF($M$3:M168,M168)-1,"")</f>
        <v/>
      </c>
      <c r="I168" s="189">
        <v>166</v>
      </c>
      <c r="J168" s="189" t="str">
        <f>IFERROR(INDEX(TableRBMaster[Player],MATCH(TableRBCalcPts[[#This Row],[RBRef]],TableRBMaster[RBRef],0)),"")</f>
        <v/>
      </c>
      <c r="K168" s="189" t="str">
        <f>IFERROR(INDEX(TableRBMaster[TM],MATCH(TableRBCalcPts[[#This Row],[RBRef]],TableRBMaster[RBRef],0)),"")</f>
        <v/>
      </c>
      <c r="L168" s="189" t="str">
        <f>IFERROR(INDEX(TableRBMaster[BYE],MATCH(TableRBCalcPts[[#This Row],[RBRef]],TableRBMaster[RBRef],0)),"")</f>
        <v/>
      </c>
      <c r="M168" s="191" t="str">
        <f>IFERROR(INDEX(TableRBMaster[Custom],MATCH(TableRBCalcPts[[#This Row],[RBRef]],TableRBMaster[RBRef],0)),"")</f>
        <v/>
      </c>
      <c r="O168" s="189">
        <f>IFERROR(RANK(TableWRCalcPts[[#This Row],[Custom]],TableWRCalcPts[Custom])+COUNTIF($T$3:T168,T168)-1,"")</f>
        <v>130</v>
      </c>
      <c r="P168" s="189">
        <v>166</v>
      </c>
      <c r="Q168" s="189" t="str">
        <f>IFERROR(INDEX(TableWRMaster[Player],MATCH(TableWRCalcPts[[#This Row],[WRRef]],TableWRMaster[WRRef],0)),"")</f>
        <v>Malik Turner</v>
      </c>
      <c r="R168" s="189" t="str">
        <f>IFERROR(INDEX(TableWRMaster[TM],MATCH(TableWRCalcPts[[#This Row],[WRRef]],TableWRMaster[WRRef],0)),"")</f>
        <v>SF</v>
      </c>
      <c r="S168" s="189">
        <f>IFERROR(INDEX(TableWRMaster[BYE],MATCH(TableWRCalcPts[[#This Row],[WRRef]],TableWRMaster[WRRef],0)),"")</f>
        <v>9</v>
      </c>
      <c r="T168" s="191">
        <f>IFERROR(INDEX(TableWRMaster[Custom],MATCH(TableWRCalcPts[[#This Row],[WRRef]],TableWRMaster[WRRef],0)),"")</f>
        <v>21.770513630880117</v>
      </c>
      <c r="AI168" s="221" t="s">
        <v>358</v>
      </c>
      <c r="AJ168" s="189">
        <f>IFERROR(RANK(TableWRTECalcPts[[#This Row],[Custom]],TableWRTECalcPts[Custom])+COUNTIF($AP$3:AP168,AP168)-1,"")</f>
        <v>108</v>
      </c>
      <c r="AK168" s="218">
        <v>66</v>
      </c>
      <c r="AL168" s="219" t="str">
        <f>IFERROR(INDEX(TableWRMaster[Player],MATCH(TableWRTECalcPts[[#This Row],[POSRef]],TableWRMaster[WRRef],0)),"")</f>
        <v>Randall Cobb</v>
      </c>
      <c r="AM168" s="219" t="str">
        <f>IFERROR(_xlfn.CONCAT(TableWRTECalcPts[[#This Row],[POS]],INDEX(TableWRRanks[RK],MATCH(TableWRTECalcPts[[#This Row],[PLAYER]],TableWRRanks[Player],0))),"")</f>
        <v>WR80</v>
      </c>
      <c r="AN168" s="219" t="str">
        <f>IFERROR(INDEX(TableWRMaster[TM],MATCH(TableWRTECalcPts[[#This Row],[POSRef]],TableWRMaster[WRRef],0)),"")</f>
        <v>GB</v>
      </c>
      <c r="AO168" s="219">
        <f>IFERROR(INDEX(TableWRMaster[BYE],MATCH(TableWRTECalcPts[[#This Row],[POSRef]],TableWRMaster[WRRef],0)),"")</f>
        <v>14</v>
      </c>
      <c r="AP168" s="220">
        <f>IFERROR(INDEX(TableWRMaster[Custom],MATCH(TableWRTECalcPts[[#This Row],[POSRef]],TableWRMaster[WRRef],0)),"")</f>
        <v>74.517476593494493</v>
      </c>
    </row>
    <row r="169" spans="8:42" x14ac:dyDescent="0.3">
      <c r="H169" s="189" t="str">
        <f>IFERROR(RANK(TableRBCalcPts[[#This Row],[Custom]],TableRBCalcPts[Custom])+COUNTIF($M$3:M169,M169)-1,"")</f>
        <v/>
      </c>
      <c r="I169" s="189">
        <v>167</v>
      </c>
      <c r="J169" s="189" t="str">
        <f>IFERROR(INDEX(TableRBMaster[Player],MATCH(TableRBCalcPts[[#This Row],[RBRef]],TableRBMaster[RBRef],0)),"")</f>
        <v/>
      </c>
      <c r="K169" s="189" t="str">
        <f>IFERROR(INDEX(TableRBMaster[TM],MATCH(TableRBCalcPts[[#This Row],[RBRef]],TableRBMaster[RBRef],0)),"")</f>
        <v/>
      </c>
      <c r="L169" s="189" t="str">
        <f>IFERROR(INDEX(TableRBMaster[BYE],MATCH(TableRBCalcPts[[#This Row],[RBRef]],TableRBMaster[RBRef],0)),"")</f>
        <v/>
      </c>
      <c r="M169" s="191" t="str">
        <f>IFERROR(INDEX(TableRBMaster[Custom],MATCH(TableRBCalcPts[[#This Row],[RBRef]],TableRBMaster[RBRef],0)),"")</f>
        <v/>
      </c>
      <c r="O169" s="189">
        <f>IFERROR(RANK(TableWRCalcPts[[#This Row],[Custom]],TableWRCalcPts[Custom])+COUNTIF($T$3:T169,T169)-1,"")</f>
        <v>144</v>
      </c>
      <c r="P169" s="189">
        <v>167</v>
      </c>
      <c r="Q169" s="189" t="str">
        <f>IFERROR(INDEX(TableWRMaster[Player],MATCH(TableWRCalcPts[[#This Row],[WRRef]],TableWRMaster[WRRef],0)),"")</f>
        <v>Danny Gray</v>
      </c>
      <c r="R169" s="189" t="str">
        <f>IFERROR(INDEX(TableWRMaster[TM],MATCH(TableWRCalcPts[[#This Row],[WRRef]],TableWRMaster[WRRef],0)),"")</f>
        <v>SF</v>
      </c>
      <c r="S169" s="189">
        <f>IFERROR(INDEX(TableWRMaster[BYE],MATCH(TableWRCalcPts[[#This Row],[WRRef]],TableWRMaster[WRRef],0)),"")</f>
        <v>9</v>
      </c>
      <c r="T169" s="191">
        <f>IFERROR(INDEX(TableWRMaster[Custom],MATCH(TableWRCalcPts[[#This Row],[WRRef]],TableWRMaster[WRRef],0)),"")</f>
        <v>16.414170038763562</v>
      </c>
      <c r="AI169" s="221" t="s">
        <v>358</v>
      </c>
      <c r="AJ169" s="189">
        <f>IFERROR(RANK(TableWRTECalcPts[[#This Row],[Custom]],TableWRTECalcPts[Custom])+COUNTIF($AP$3:AP169,AP169)-1,"")</f>
        <v>76</v>
      </c>
      <c r="AK169" s="218">
        <v>67</v>
      </c>
      <c r="AL169" s="219" t="str">
        <f>IFERROR(INDEX(TableWRMaster[Player],MATCH(TableWRTECalcPts[[#This Row],[POSRef]],TableWRMaster[WRRef],0)),"")</f>
        <v>Christian Watson</v>
      </c>
      <c r="AM169" s="219" t="str">
        <f>IFERROR(_xlfn.CONCAT(TableWRTECalcPts[[#This Row],[POS]],INDEX(TableWRRanks[RK],MATCH(TableWRTECalcPts[[#This Row],[PLAYER]],TableWRRanks[Player],0))),"")</f>
        <v>WR63</v>
      </c>
      <c r="AN169" s="219" t="str">
        <f>IFERROR(INDEX(TableWRMaster[TM],MATCH(TableWRTECalcPts[[#This Row],[POSRef]],TableWRMaster[WRRef],0)),"")</f>
        <v>GB</v>
      </c>
      <c r="AO169" s="219">
        <f>IFERROR(INDEX(TableWRMaster[BYE],MATCH(TableWRTECalcPts[[#This Row],[POSRef]],TableWRMaster[WRRef],0)),"")</f>
        <v>14</v>
      </c>
      <c r="AP169" s="220">
        <f>IFERROR(INDEX(TableWRMaster[Custom],MATCH(TableWRTECalcPts[[#This Row],[POSRef]],TableWRMaster[WRRef],0)),"")</f>
        <v>96.138985959044319</v>
      </c>
    </row>
    <row r="170" spans="8:42" x14ac:dyDescent="0.3">
      <c r="H170" s="189" t="str">
        <f>IFERROR(RANK(TableRBCalcPts[[#This Row],[Custom]],TableRBCalcPts[Custom])+COUNTIF($M$3:M170,M170)-1,"")</f>
        <v/>
      </c>
      <c r="I170" s="189">
        <v>168</v>
      </c>
      <c r="J170" s="189" t="str">
        <f>IFERROR(INDEX(TableRBMaster[Player],MATCH(TableRBCalcPts[[#This Row],[RBRef]],TableRBMaster[RBRef],0)),"")</f>
        <v/>
      </c>
      <c r="K170" s="189" t="str">
        <f>IFERROR(INDEX(TableRBMaster[TM],MATCH(TableRBCalcPts[[#This Row],[RBRef]],TableRBMaster[RBRef],0)),"")</f>
        <v/>
      </c>
      <c r="L170" s="189" t="str">
        <f>IFERROR(INDEX(TableRBMaster[BYE],MATCH(TableRBCalcPts[[#This Row],[RBRef]],TableRBMaster[RBRef],0)),"")</f>
        <v/>
      </c>
      <c r="M170" s="191" t="str">
        <f>IFERROR(INDEX(TableRBMaster[Custom],MATCH(TableRBCalcPts[[#This Row],[RBRef]],TableRBMaster[RBRef],0)),"")</f>
        <v/>
      </c>
      <c r="O170" s="189">
        <f>IFERROR(RANK(TableWRCalcPts[[#This Row],[Custom]],TableWRCalcPts[Custom])+COUNTIF($T$3:T170,T170)-1,"")</f>
        <v>8</v>
      </c>
      <c r="P170" s="189">
        <v>168</v>
      </c>
      <c r="Q170" s="189" t="str">
        <f>IFERROR(INDEX(TableWRMaster[Player],MATCH(TableWRCalcPts[[#This Row],[WRRef]],TableWRMaster[WRRef],0)),"")</f>
        <v>Mike Evans</v>
      </c>
      <c r="R170" s="189" t="str">
        <f>IFERROR(INDEX(TableWRMaster[TM],MATCH(TableWRCalcPts[[#This Row],[WRRef]],TableWRMaster[WRRef],0)),"")</f>
        <v>TB</v>
      </c>
      <c r="S170" s="189">
        <f>IFERROR(INDEX(TableWRMaster[BYE],MATCH(TableWRCalcPts[[#This Row],[WRRef]],TableWRMaster[WRRef],0)),"")</f>
        <v>11</v>
      </c>
      <c r="T170" s="191">
        <f>IFERROR(INDEX(TableWRMaster[Custom],MATCH(TableWRCalcPts[[#This Row],[WRRef]],TableWRMaster[WRRef],0)),"")</f>
        <v>179.06376440282733</v>
      </c>
      <c r="AI170" s="221" t="s">
        <v>358</v>
      </c>
      <c r="AJ170" s="189">
        <f>IFERROR(RANK(TableWRTECalcPts[[#This Row],[Custom]],TableWRTECalcPts[Custom])+COUNTIF($AP$3:AP170,AP170)-1,"")</f>
        <v>242</v>
      </c>
      <c r="AK170" s="218">
        <v>68</v>
      </c>
      <c r="AL170" s="219" t="str">
        <f>IFERROR(INDEX(TableWRMaster[Player],MATCH(TableWRTECalcPts[[#This Row],[POSRef]],TableWRMaster[WRRef],0)),"")</f>
        <v>Juwann Winfree</v>
      </c>
      <c r="AM170" s="219" t="str">
        <f>IFERROR(_xlfn.CONCAT(TableWRTECalcPts[[#This Row],[POS]],INDEX(TableWRRanks[RK],MATCH(TableWRTECalcPts[[#This Row],[PLAYER]],TableWRRanks[Player],0))),"")</f>
        <v>WR169</v>
      </c>
      <c r="AN170" s="219" t="str">
        <f>IFERROR(INDEX(TableWRMaster[TM],MATCH(TableWRTECalcPts[[#This Row],[POSRef]],TableWRMaster[WRRef],0)),"")</f>
        <v>GB</v>
      </c>
      <c r="AO170" s="219">
        <f>IFERROR(INDEX(TableWRMaster[BYE],MATCH(TableWRTECalcPts[[#This Row],[POSRef]],TableWRMaster[WRRef],0)),"")</f>
        <v>14</v>
      </c>
      <c r="AP170" s="220">
        <f>IFERROR(INDEX(TableWRMaster[Custom],MATCH(TableWRTECalcPts[[#This Row],[POSRef]],TableWRMaster[WRRef],0)),"")</f>
        <v>9.826918098366809</v>
      </c>
    </row>
    <row r="171" spans="8:42" x14ac:dyDescent="0.3">
      <c r="H171" s="189" t="str">
        <f>IFERROR(RANK(TableRBCalcPts[[#This Row],[Custom]],TableRBCalcPts[Custom])+COUNTIF($M$3:M171,M171)-1,"")</f>
        <v/>
      </c>
      <c r="I171" s="189">
        <v>169</v>
      </c>
      <c r="J171" s="189" t="str">
        <f>IFERROR(INDEX(TableRBMaster[Player],MATCH(TableRBCalcPts[[#This Row],[RBRef]],TableRBMaster[RBRef],0)),"")</f>
        <v/>
      </c>
      <c r="K171" s="189" t="str">
        <f>IFERROR(INDEX(TableRBMaster[TM],MATCH(TableRBCalcPts[[#This Row],[RBRef]],TableRBMaster[RBRef],0)),"")</f>
        <v/>
      </c>
      <c r="L171" s="189" t="str">
        <f>IFERROR(INDEX(TableRBMaster[BYE],MATCH(TableRBCalcPts[[#This Row],[RBRef]],TableRBMaster[RBRef],0)),"")</f>
        <v/>
      </c>
      <c r="M171" s="191" t="str">
        <f>IFERROR(INDEX(TableRBMaster[Custom],MATCH(TableRBCalcPts[[#This Row],[RBRef]],TableRBMaster[RBRef],0)),"")</f>
        <v/>
      </c>
      <c r="O171" s="189">
        <f>IFERROR(RANK(TableWRCalcPts[[#This Row],[Custom]],TableWRCalcPts[Custom])+COUNTIF($T$3:T171,T171)-1,"")</f>
        <v>34</v>
      </c>
      <c r="P171" s="189">
        <v>169</v>
      </c>
      <c r="Q171" s="189" t="str">
        <f>IFERROR(INDEX(TableWRMaster[Player],MATCH(TableWRCalcPts[[#This Row],[WRRef]],TableWRMaster[WRRef],0)),"")</f>
        <v>Chris Godwin</v>
      </c>
      <c r="R171" s="189" t="str">
        <f>IFERROR(INDEX(TableWRMaster[TM],MATCH(TableWRCalcPts[[#This Row],[WRRef]],TableWRMaster[WRRef],0)),"")</f>
        <v>TB</v>
      </c>
      <c r="S171" s="189">
        <f>IFERROR(INDEX(TableWRMaster[BYE],MATCH(TableWRCalcPts[[#This Row],[WRRef]],TableWRMaster[WRRef],0)),"")</f>
        <v>11</v>
      </c>
      <c r="T171" s="191">
        <f>IFERROR(INDEX(TableWRMaster[Custom],MATCH(TableWRCalcPts[[#This Row],[WRRef]],TableWRMaster[WRRef],0)),"")</f>
        <v>132.66088916790426</v>
      </c>
      <c r="AI171" s="221" t="s">
        <v>358</v>
      </c>
      <c r="AJ171" s="189">
        <f>IFERROR(RANK(TableWRTECalcPts[[#This Row],[Custom]],TableWRTECalcPts[Custom])+COUNTIF($AP$3:AP171,AP171)-1,"")</f>
        <v>151</v>
      </c>
      <c r="AK171" s="218">
        <v>69</v>
      </c>
      <c r="AL171" s="219" t="str">
        <f>IFERROR(INDEX(TableWRMaster[Player],MATCH(TableWRTECalcPts[[#This Row],[POSRef]],TableWRMaster[WRRef],0)),"")</f>
        <v>Amari Rodgers</v>
      </c>
      <c r="AM171" s="219" t="str">
        <f>IFERROR(_xlfn.CONCAT(TableWRTECalcPts[[#This Row],[POS]],INDEX(TableWRRanks[RK],MATCH(TableWRTECalcPts[[#This Row],[PLAYER]],TableWRRanks[Player],0))),"")</f>
        <v>WR112</v>
      </c>
      <c r="AN171" s="219" t="str">
        <f>IFERROR(INDEX(TableWRMaster[TM],MATCH(TableWRTECalcPts[[#This Row],[POSRef]],TableWRMaster[WRRef],0)),"")</f>
        <v>GB</v>
      </c>
      <c r="AO171" s="219">
        <f>IFERROR(INDEX(TableWRMaster[BYE],MATCH(TableWRTECalcPts[[#This Row],[POSRef]],TableWRMaster[WRRef],0)),"")</f>
        <v>14</v>
      </c>
      <c r="AP171" s="220">
        <f>IFERROR(INDEX(TableWRMaster[Custom],MATCH(TableWRTECalcPts[[#This Row],[POSRef]],TableWRMaster[WRRef],0)),"")</f>
        <v>32.268086751033962</v>
      </c>
    </row>
    <row r="172" spans="8:42" x14ac:dyDescent="0.3">
      <c r="H172" s="189" t="str">
        <f>IFERROR(RANK(TableRBCalcPts[[#This Row],[Custom]],TableRBCalcPts[Custom])+COUNTIF($M$3:M172,M172)-1,"")</f>
        <v/>
      </c>
      <c r="I172" s="189">
        <v>170</v>
      </c>
      <c r="J172" s="189" t="str">
        <f>IFERROR(INDEX(TableRBMaster[Player],MATCH(TableRBCalcPts[[#This Row],[RBRef]],TableRBMaster[RBRef],0)),"")</f>
        <v/>
      </c>
      <c r="K172" s="189" t="str">
        <f>IFERROR(INDEX(TableRBMaster[TM],MATCH(TableRBCalcPts[[#This Row],[RBRef]],TableRBMaster[RBRef],0)),"")</f>
        <v/>
      </c>
      <c r="L172" s="189" t="str">
        <f>IFERROR(INDEX(TableRBMaster[BYE],MATCH(TableRBCalcPts[[#This Row],[RBRef]],TableRBMaster[RBRef],0)),"")</f>
        <v/>
      </c>
      <c r="M172" s="191" t="str">
        <f>IFERROR(INDEX(TableRBMaster[Custom],MATCH(TableRBCalcPts[[#This Row],[RBRef]],TableRBMaster[RBRef],0)),"")</f>
        <v/>
      </c>
      <c r="O172" s="189">
        <f>IFERROR(RANK(TableWRCalcPts[[#This Row],[Custom]],TableWRCalcPts[Custom])+COUNTIF($T$3:T172,T172)-1,"")</f>
        <v>42</v>
      </c>
      <c r="P172" s="189">
        <v>170</v>
      </c>
      <c r="Q172" s="189" t="str">
        <f>IFERROR(INDEX(TableWRMaster[Player],MATCH(TableWRCalcPts[[#This Row],[WRRef]],TableWRMaster[WRRef],0)),"")</f>
        <v>Russell Gage</v>
      </c>
      <c r="R172" s="189" t="str">
        <f>IFERROR(INDEX(TableWRMaster[TM],MATCH(TableWRCalcPts[[#This Row],[WRRef]],TableWRMaster[WRRef],0)),"")</f>
        <v>TB</v>
      </c>
      <c r="S172" s="189">
        <f>IFERROR(INDEX(TableWRMaster[BYE],MATCH(TableWRCalcPts[[#This Row],[WRRef]],TableWRMaster[WRRef],0)),"")</f>
        <v>11</v>
      </c>
      <c r="T172" s="191">
        <f>IFERROR(INDEX(TableWRMaster[Custom],MATCH(TableWRCalcPts[[#This Row],[WRRef]],TableWRMaster[WRRef],0)),"")</f>
        <v>119.91450420586676</v>
      </c>
      <c r="AI172" s="221" t="s">
        <v>358</v>
      </c>
      <c r="AJ172" s="189">
        <f>IFERROR(RANK(TableWRTECalcPts[[#This Row],[Custom]],TableWRTECalcPts[Custom])+COUNTIF($AP$3:AP172,AP172)-1,"")</f>
        <v>193</v>
      </c>
      <c r="AK172" s="218">
        <v>70</v>
      </c>
      <c r="AL172" s="219" t="str">
        <f>IFERROR(INDEX(TableWRMaster[Player],MATCH(TableWRTECalcPts[[#This Row],[POSRef]],TableWRMaster[WRRef],0)),"")</f>
        <v>Romeo Doubs</v>
      </c>
      <c r="AM172" s="219" t="str">
        <f>IFERROR(_xlfn.CONCAT(TableWRTECalcPts[[#This Row],[POS]],INDEX(TableWRRanks[RK],MATCH(TableWRTECalcPts[[#This Row],[PLAYER]],TableWRRanks[Player],0))),"")</f>
        <v>WR137</v>
      </c>
      <c r="AN172" s="219" t="str">
        <f>IFERROR(INDEX(TableWRMaster[TM],MATCH(TableWRTECalcPts[[#This Row],[POSRef]],TableWRMaster[WRRef],0)),"")</f>
        <v>GB</v>
      </c>
      <c r="AO172" s="219">
        <f>IFERROR(INDEX(TableWRMaster[BYE],MATCH(TableWRTECalcPts[[#This Row],[POSRef]],TableWRMaster[WRRef],0)),"")</f>
        <v>14</v>
      </c>
      <c r="AP172" s="220">
        <f>IFERROR(INDEX(TableWRMaster[Custom],MATCH(TableWRTECalcPts[[#This Row],[POSRef]],TableWRMaster[WRRef],0)),"")</f>
        <v>18.432043108152239</v>
      </c>
    </row>
    <row r="173" spans="8:42" x14ac:dyDescent="0.3">
      <c r="H173" s="189" t="str">
        <f>IFERROR(RANK(TableRBCalcPts[[#This Row],[Custom]],TableRBCalcPts[Custom])+COUNTIF($M$3:M173,M173)-1,"")</f>
        <v/>
      </c>
      <c r="I173" s="189">
        <v>171</v>
      </c>
      <c r="J173" s="189" t="str">
        <f>IFERROR(INDEX(TableRBMaster[Player],MATCH(TableRBCalcPts[[#This Row],[RBRef]],TableRBMaster[RBRef],0)),"")</f>
        <v/>
      </c>
      <c r="K173" s="189" t="str">
        <f>IFERROR(INDEX(TableRBMaster[TM],MATCH(TableRBCalcPts[[#This Row],[RBRef]],TableRBMaster[RBRef],0)),"")</f>
        <v/>
      </c>
      <c r="L173" s="189" t="str">
        <f>IFERROR(INDEX(TableRBMaster[BYE],MATCH(TableRBCalcPts[[#This Row],[RBRef]],TableRBMaster[RBRef],0)),"")</f>
        <v/>
      </c>
      <c r="M173" s="191" t="str">
        <f>IFERROR(INDEX(TableRBMaster[Custom],MATCH(TableRBCalcPts[[#This Row],[RBRef]],TableRBMaster[RBRef],0)),"")</f>
        <v/>
      </c>
      <c r="O173" s="189">
        <f>IFERROR(RANK(TableWRCalcPts[[#This Row],[Custom]],TableWRCalcPts[Custom])+COUNTIF($T$3:T173,T173)-1,"")</f>
        <v>121</v>
      </c>
      <c r="P173" s="189">
        <v>171</v>
      </c>
      <c r="Q173" s="189" t="str">
        <f>IFERROR(INDEX(TableWRMaster[Player],MATCH(TableWRCalcPts[[#This Row],[WRRef]],TableWRMaster[WRRef],0)),"")</f>
        <v>Breshad Perriman</v>
      </c>
      <c r="R173" s="189" t="str">
        <f>IFERROR(INDEX(TableWRMaster[TM],MATCH(TableWRCalcPts[[#This Row],[WRRef]],TableWRMaster[WRRef],0)),"")</f>
        <v>TB</v>
      </c>
      <c r="S173" s="189">
        <f>IFERROR(INDEX(TableWRMaster[BYE],MATCH(TableWRCalcPts[[#This Row],[WRRef]],TableWRMaster[WRRef],0)),"")</f>
        <v>11</v>
      </c>
      <c r="T173" s="191">
        <f>IFERROR(INDEX(TableWRMaster[Custom],MATCH(TableWRCalcPts[[#This Row],[WRRef]],TableWRMaster[WRRef],0)),"")</f>
        <v>24.455010693231443</v>
      </c>
      <c r="AI173" s="221" t="s">
        <v>358</v>
      </c>
      <c r="AJ173" s="189">
        <f>IFERROR(RANK(TableWRTECalcPts[[#This Row],[Custom]],TableWRTECalcPts[Custom])+COUNTIF($AP$3:AP173,AP173)-1,"")</f>
        <v>27</v>
      </c>
      <c r="AK173" s="218">
        <v>71</v>
      </c>
      <c r="AL173" s="219" t="str">
        <f>IFERROR(INDEX(TableWRMaster[Player],MATCH(TableWRTECalcPts[[#This Row],[POSRef]],TableWRMaster[WRRef],0)),"")</f>
        <v>Brandin Cooks</v>
      </c>
      <c r="AM173" s="219" t="str">
        <f>IFERROR(_xlfn.CONCAT(TableWRTECalcPts[[#This Row],[POS]],INDEX(TableWRRanks[RK],MATCH(TableWRTECalcPts[[#This Row],[PLAYER]],TableWRRanks[Player],0))),"")</f>
        <v>WR24</v>
      </c>
      <c r="AN173" s="219" t="str">
        <f>IFERROR(INDEX(TableWRMaster[TM],MATCH(TableWRTECalcPts[[#This Row],[POSRef]],TableWRMaster[WRRef],0)),"")</f>
        <v>HOU</v>
      </c>
      <c r="AO173" s="219">
        <f>IFERROR(INDEX(TableWRMaster[BYE],MATCH(TableWRTECalcPts[[#This Row],[POSRef]],TableWRMaster[WRRef],0)),"")</f>
        <v>6</v>
      </c>
      <c r="AP173" s="220">
        <f>IFERROR(INDEX(TableWRMaster[Custom],MATCH(TableWRTECalcPts[[#This Row],[POSRef]],TableWRMaster[WRRef],0)),"")</f>
        <v>143.01669018608655</v>
      </c>
    </row>
    <row r="174" spans="8:42" x14ac:dyDescent="0.3">
      <c r="H174" s="189" t="str">
        <f>IFERROR(RANK(TableRBCalcPts[[#This Row],[Custom]],TableRBCalcPts[Custom])+COUNTIF($M$3:M174,M174)-1,"")</f>
        <v/>
      </c>
      <c r="I174" s="189">
        <v>172</v>
      </c>
      <c r="J174" s="189" t="str">
        <f>IFERROR(INDEX(TableRBMaster[Player],MATCH(TableRBCalcPts[[#This Row],[RBRef]],TableRBMaster[RBRef],0)),"")</f>
        <v/>
      </c>
      <c r="K174" s="189" t="str">
        <f>IFERROR(INDEX(TableRBMaster[TM],MATCH(TableRBCalcPts[[#This Row],[RBRef]],TableRBMaster[RBRef],0)),"")</f>
        <v/>
      </c>
      <c r="L174" s="189" t="str">
        <f>IFERROR(INDEX(TableRBMaster[BYE],MATCH(TableRBCalcPts[[#This Row],[RBRef]],TableRBMaster[RBRef],0)),"")</f>
        <v/>
      </c>
      <c r="M174" s="191" t="str">
        <f>IFERROR(INDEX(TableRBMaster[Custom],MATCH(TableRBCalcPts[[#This Row],[RBRef]],TableRBMaster[RBRef],0)),"")</f>
        <v/>
      </c>
      <c r="O174" s="189">
        <f>IFERROR(RANK(TableWRCalcPts[[#This Row],[Custom]],TableWRCalcPts[Custom])+COUNTIF($T$3:T174,T174)-1,"")</f>
        <v>179</v>
      </c>
      <c r="P174" s="189">
        <v>172</v>
      </c>
      <c r="Q174" s="189" t="str">
        <f>IFERROR(INDEX(TableWRMaster[Player],MATCH(TableWRCalcPts[[#This Row],[WRRef]],TableWRMaster[WRRef],0)),"")</f>
        <v>Jaelon Darden</v>
      </c>
      <c r="R174" s="189" t="str">
        <f>IFERROR(INDEX(TableWRMaster[TM],MATCH(TableWRCalcPts[[#This Row],[WRRef]],TableWRMaster[WRRef],0)),"")</f>
        <v>TB</v>
      </c>
      <c r="S174" s="189">
        <f>IFERROR(INDEX(TableWRMaster[BYE],MATCH(TableWRCalcPts[[#This Row],[WRRef]],TableWRMaster[WRRef],0)),"")</f>
        <v>11</v>
      </c>
      <c r="T174" s="191">
        <f>IFERROR(INDEX(TableWRMaster[Custom],MATCH(TableWRCalcPts[[#This Row],[WRRef]],TableWRMaster[WRRef],0)),"")</f>
        <v>7.2374689311343037</v>
      </c>
      <c r="AI174" s="221" t="s">
        <v>358</v>
      </c>
      <c r="AJ174" s="189">
        <f>IFERROR(RANK(TableWRTECalcPts[[#This Row],[Custom]],TableWRTECalcPts[Custom])+COUNTIF($AP$3:AP174,AP174)-1,"")</f>
        <v>112</v>
      </c>
      <c r="AK174" s="218">
        <v>72</v>
      </c>
      <c r="AL174" s="219" t="str">
        <f>IFERROR(INDEX(TableWRMaster[Player],MATCH(TableWRTECalcPts[[#This Row],[POSRef]],TableWRMaster[WRRef],0)),"")</f>
        <v>Nico Collins</v>
      </c>
      <c r="AM174" s="219" t="str">
        <f>IFERROR(_xlfn.CONCAT(TableWRTECalcPts[[#This Row],[POS]],INDEX(TableWRRanks[RK],MATCH(TableWRTECalcPts[[#This Row],[PLAYER]],TableWRRanks[Player],0))),"")</f>
        <v>WR84</v>
      </c>
      <c r="AN174" s="219" t="str">
        <f>IFERROR(INDEX(TableWRMaster[TM],MATCH(TableWRTECalcPts[[#This Row],[POSRef]],TableWRMaster[WRRef],0)),"")</f>
        <v>HOU</v>
      </c>
      <c r="AO174" s="219">
        <f>IFERROR(INDEX(TableWRMaster[BYE],MATCH(TableWRTECalcPts[[#This Row],[POSRef]],TableWRMaster[WRRef],0)),"")</f>
        <v>6</v>
      </c>
      <c r="AP174" s="220">
        <f>IFERROR(INDEX(TableWRMaster[Custom],MATCH(TableWRTECalcPts[[#This Row],[POSRef]],TableWRMaster[WRRef],0)),"")</f>
        <v>72.512646152315625</v>
      </c>
    </row>
    <row r="175" spans="8:42" x14ac:dyDescent="0.3">
      <c r="H175" s="189" t="str">
        <f>IFERROR(RANK(TableRBCalcPts[[#This Row],[Custom]],TableRBCalcPts[Custom])+COUNTIF($M$3:M175,M175)-1,"")</f>
        <v/>
      </c>
      <c r="I175" s="189">
        <v>173</v>
      </c>
      <c r="J175" s="189" t="str">
        <f>IFERROR(INDEX(TableRBMaster[Player],MATCH(TableRBCalcPts[[#This Row],[RBRef]],TableRBMaster[RBRef],0)),"")</f>
        <v/>
      </c>
      <c r="K175" s="189" t="str">
        <f>IFERROR(INDEX(TableRBMaster[TM],MATCH(TableRBCalcPts[[#This Row],[RBRef]],TableRBMaster[RBRef],0)),"")</f>
        <v/>
      </c>
      <c r="L175" s="189" t="str">
        <f>IFERROR(INDEX(TableRBMaster[BYE],MATCH(TableRBCalcPts[[#This Row],[RBRef]],TableRBMaster[RBRef],0)),"")</f>
        <v/>
      </c>
      <c r="M175" s="191" t="str">
        <f>IFERROR(INDEX(TableRBMaster[Custom],MATCH(TableRBCalcPts[[#This Row],[RBRef]],TableRBMaster[RBRef],0)),"")</f>
        <v/>
      </c>
      <c r="O175" s="189">
        <f>IFERROR(RANK(TableWRCalcPts[[#This Row],[Custom]],TableWRCalcPts[Custom])+COUNTIF($T$3:T175,T175)-1,"")</f>
        <v>114</v>
      </c>
      <c r="P175" s="189">
        <v>173</v>
      </c>
      <c r="Q175" s="189" t="str">
        <f>IFERROR(INDEX(TableWRMaster[Player],MATCH(TableWRCalcPts[[#This Row],[WRRef]],TableWRMaster[WRRef],0)),"")</f>
        <v>Tyler Johnson</v>
      </c>
      <c r="R175" s="189" t="str">
        <f>IFERROR(INDEX(TableWRMaster[TM],MATCH(TableWRCalcPts[[#This Row],[WRRef]],TableWRMaster[WRRef],0)),"")</f>
        <v>TB</v>
      </c>
      <c r="S175" s="189">
        <f>IFERROR(INDEX(TableWRMaster[BYE],MATCH(TableWRCalcPts[[#This Row],[WRRef]],TableWRMaster[WRRef],0)),"")</f>
        <v>11</v>
      </c>
      <c r="T175" s="191">
        <f>IFERROR(INDEX(TableWRMaster[Custom],MATCH(TableWRCalcPts[[#This Row],[WRRef]],TableWRMaster[WRRef],0)),"")</f>
        <v>29.439095558228555</v>
      </c>
      <c r="AI175" s="221" t="s">
        <v>358</v>
      </c>
      <c r="AJ175" s="189">
        <f>IFERROR(RANK(TableWRTECalcPts[[#This Row],[Custom]],TableWRTECalcPts[Custom])+COUNTIF($AP$3:AP175,AP175)-1,"")</f>
        <v>150</v>
      </c>
      <c r="AK175" s="218">
        <v>73</v>
      </c>
      <c r="AL175" s="219" t="str">
        <f>IFERROR(INDEX(TableWRMaster[Player],MATCH(TableWRTECalcPts[[#This Row],[POSRef]],TableWRMaster[WRRef],0)),"")</f>
        <v>Chris Conley</v>
      </c>
      <c r="AM175" s="219" t="str">
        <f>IFERROR(_xlfn.CONCAT(TableWRTECalcPts[[#This Row],[POS]],INDEX(TableWRRanks[RK],MATCH(TableWRTECalcPts[[#This Row],[PLAYER]],TableWRRanks[Player],0))),"")</f>
        <v>WR111</v>
      </c>
      <c r="AN175" s="219" t="str">
        <f>IFERROR(INDEX(TableWRMaster[TM],MATCH(TableWRTECalcPts[[#This Row],[POSRef]],TableWRMaster[WRRef],0)),"")</f>
        <v>HOU</v>
      </c>
      <c r="AO175" s="219">
        <f>IFERROR(INDEX(TableWRMaster[BYE],MATCH(TableWRTECalcPts[[#This Row],[POSRef]],TableWRMaster[WRRef],0)),"")</f>
        <v>6</v>
      </c>
      <c r="AP175" s="220">
        <f>IFERROR(INDEX(TableWRMaster[Custom],MATCH(TableWRTECalcPts[[#This Row],[POSRef]],TableWRMaster[WRRef],0)),"")</f>
        <v>32.477047166674978</v>
      </c>
    </row>
    <row r="176" spans="8:42" x14ac:dyDescent="0.3">
      <c r="H176" s="189" t="str">
        <f>IFERROR(RANK(TableRBCalcPts[[#This Row],[Custom]],TableRBCalcPts[Custom])+COUNTIF($M$3:M176,M176)-1,"")</f>
        <v/>
      </c>
      <c r="I176" s="189">
        <v>174</v>
      </c>
      <c r="J176" s="189" t="str">
        <f>IFERROR(INDEX(TableRBMaster[Player],MATCH(TableRBCalcPts[[#This Row],[RBRef]],TableRBMaster[RBRef],0)),"")</f>
        <v/>
      </c>
      <c r="K176" s="189" t="str">
        <f>IFERROR(INDEX(TableRBMaster[TM],MATCH(TableRBCalcPts[[#This Row],[RBRef]],TableRBMaster[RBRef],0)),"")</f>
        <v/>
      </c>
      <c r="L176" s="189" t="str">
        <f>IFERROR(INDEX(TableRBMaster[BYE],MATCH(TableRBCalcPts[[#This Row],[RBRef]],TableRBMaster[RBRef],0)),"")</f>
        <v/>
      </c>
      <c r="M176" s="191" t="str">
        <f>IFERROR(INDEX(TableRBMaster[Custom],MATCH(TableRBCalcPts[[#This Row],[RBRef]],TableRBMaster[RBRef],0)),"")</f>
        <v/>
      </c>
      <c r="O176" s="189">
        <f>IFERROR(RANK(TableWRCalcPts[[#This Row],[Custom]],TableWRCalcPts[Custom])+COUNTIF($T$3:T176,T176)-1,"")</f>
        <v>46</v>
      </c>
      <c r="P176" s="189">
        <v>174</v>
      </c>
      <c r="Q176" s="189" t="str">
        <f>IFERROR(INDEX(TableWRMaster[Player],MATCH(TableWRCalcPts[[#This Row],[WRRef]],TableWRMaster[WRRef],0)),"")</f>
        <v>Treylon Burks</v>
      </c>
      <c r="R176" s="189" t="str">
        <f>IFERROR(INDEX(TableWRMaster[TM],MATCH(TableWRCalcPts[[#This Row],[WRRef]],TableWRMaster[WRRef],0)),"")</f>
        <v>TEN</v>
      </c>
      <c r="S176" s="189">
        <f>IFERROR(INDEX(TableWRMaster[BYE],MATCH(TableWRCalcPts[[#This Row],[WRRef]],TableWRMaster[WRRef],0)),"")</f>
        <v>6</v>
      </c>
      <c r="T176" s="191">
        <f>IFERROR(INDEX(TableWRMaster[Custom],MATCH(TableWRCalcPts[[#This Row],[WRRef]],TableWRMaster[WRRef],0)),"")</f>
        <v>113.28738996373363</v>
      </c>
      <c r="AI176" s="221" t="s">
        <v>358</v>
      </c>
      <c r="AJ176" s="189">
        <f>IFERROR(RANK(TableWRTECalcPts[[#This Row],[Custom]],TableWRTECalcPts[Custom])+COUNTIF($AP$3:AP176,AP176)-1,"")</f>
        <v>83</v>
      </c>
      <c r="AK176" s="218">
        <v>74</v>
      </c>
      <c r="AL176" s="219" t="str">
        <f>IFERROR(INDEX(TableWRMaster[Player],MATCH(TableWRTECalcPts[[#This Row],[POSRef]],TableWRMaster[WRRef],0)),"")</f>
        <v>John Metchie</v>
      </c>
      <c r="AM176" s="219" t="str">
        <f>IFERROR(_xlfn.CONCAT(TableWRTECalcPts[[#This Row],[POS]],INDEX(TableWRRanks[RK],MATCH(TableWRTECalcPts[[#This Row],[PLAYER]],TableWRRanks[Player],0))),"")</f>
        <v>WR67</v>
      </c>
      <c r="AN176" s="219" t="str">
        <f>IFERROR(INDEX(TableWRMaster[TM],MATCH(TableWRTECalcPts[[#This Row],[POSRef]],TableWRMaster[WRRef],0)),"")</f>
        <v>HOU</v>
      </c>
      <c r="AO176" s="219">
        <f>IFERROR(INDEX(TableWRMaster[BYE],MATCH(TableWRTECalcPts[[#This Row],[POSRef]],TableWRMaster[WRRef],0)),"")</f>
        <v>6</v>
      </c>
      <c r="AP176" s="220">
        <f>IFERROR(INDEX(TableWRMaster[Custom],MATCH(TableWRTECalcPts[[#This Row],[POSRef]],TableWRMaster[WRRef],0)),"")</f>
        <v>89.873250374261502</v>
      </c>
    </row>
    <row r="177" spans="8:42" x14ac:dyDescent="0.3">
      <c r="H177" s="189" t="str">
        <f>IFERROR(RANK(TableRBCalcPts[[#This Row],[Custom]],TableRBCalcPts[Custom])+COUNTIF($M$3:M177,M177)-1,"")</f>
        <v/>
      </c>
      <c r="I177" s="189">
        <v>175</v>
      </c>
      <c r="J177" s="189" t="str">
        <f>IFERROR(INDEX(TableRBMaster[Player],MATCH(TableRBCalcPts[[#This Row],[RBRef]],TableRBMaster[RBRef],0)),"")</f>
        <v/>
      </c>
      <c r="K177" s="189" t="str">
        <f>IFERROR(INDEX(TableRBMaster[TM],MATCH(TableRBCalcPts[[#This Row],[RBRef]],TableRBMaster[RBRef],0)),"")</f>
        <v/>
      </c>
      <c r="L177" s="189" t="str">
        <f>IFERROR(INDEX(TableRBMaster[BYE],MATCH(TableRBCalcPts[[#This Row],[RBRef]],TableRBMaster[RBRef],0)),"")</f>
        <v/>
      </c>
      <c r="M177" s="191" t="str">
        <f>IFERROR(INDEX(TableRBMaster[Custom],MATCH(TableRBCalcPts[[#This Row],[RBRef]],TableRBMaster[RBRef],0)),"")</f>
        <v/>
      </c>
      <c r="O177" s="189">
        <f>IFERROR(RANK(TableWRCalcPts[[#This Row],[Custom]],TableWRCalcPts[Custom])+COUNTIF($T$3:T177,T177)-1,"")</f>
        <v>41</v>
      </c>
      <c r="P177" s="189">
        <v>175</v>
      </c>
      <c r="Q177" s="189" t="str">
        <f>IFERROR(INDEX(TableWRMaster[Player],MATCH(TableWRCalcPts[[#This Row],[WRRef]],TableWRMaster[WRRef],0)),"")</f>
        <v>Robert Woods</v>
      </c>
      <c r="R177" s="189" t="str">
        <f>IFERROR(INDEX(TableWRMaster[TM],MATCH(TableWRCalcPts[[#This Row],[WRRef]],TableWRMaster[WRRef],0)),"")</f>
        <v>TEN</v>
      </c>
      <c r="S177" s="189">
        <f>IFERROR(INDEX(TableWRMaster[BYE],MATCH(TableWRCalcPts[[#This Row],[WRRef]],TableWRMaster[WRRef],0)),"")</f>
        <v>6</v>
      </c>
      <c r="T177" s="191">
        <f>IFERROR(INDEX(TableWRMaster[Custom],MATCH(TableWRCalcPts[[#This Row],[WRRef]],TableWRMaster[WRRef],0)),"")</f>
        <v>121.23371183487117</v>
      </c>
      <c r="AI177" s="221" t="s">
        <v>358</v>
      </c>
      <c r="AJ177" s="189">
        <f>IFERROR(RANK(TableWRTECalcPts[[#This Row],[Custom]],TableWRTECalcPts[Custom])+COUNTIF($AP$3:AP177,AP177)-1,"")</f>
        <v>224</v>
      </c>
      <c r="AK177" s="218">
        <v>75</v>
      </c>
      <c r="AL177" s="219" t="str">
        <f>IFERROR(INDEX(TableWRMaster[Player],MATCH(TableWRTECalcPts[[#This Row],[POSRef]],TableWRMaster[WRRef],0)),"")</f>
        <v>Phillip Dorsett</v>
      </c>
      <c r="AM177" s="219" t="str">
        <f>IFERROR(_xlfn.CONCAT(TableWRTECalcPts[[#This Row],[POS]],INDEX(TableWRRanks[RK],MATCH(TableWRTECalcPts[[#This Row],[PLAYER]],TableWRRanks[Player],0))),"")</f>
        <v>WR158</v>
      </c>
      <c r="AN177" s="219" t="str">
        <f>IFERROR(INDEX(TableWRMaster[TM],MATCH(TableWRTECalcPts[[#This Row],[POSRef]],TableWRMaster[WRRef],0)),"")</f>
        <v>HOU</v>
      </c>
      <c r="AO177" s="219">
        <f>IFERROR(INDEX(TableWRMaster[BYE],MATCH(TableWRTECalcPts[[#This Row],[POSRef]],TableWRMaster[WRRef],0)),"")</f>
        <v>6</v>
      </c>
      <c r="AP177" s="220">
        <f>IFERROR(INDEX(TableWRMaster[Custom],MATCH(TableWRTECalcPts[[#This Row],[POSRef]],TableWRMaster[WRRef],0)),"")</f>
        <v>12.876327864814634</v>
      </c>
    </row>
    <row r="178" spans="8:42" x14ac:dyDescent="0.3">
      <c r="M178" s="191"/>
      <c r="O178" s="189">
        <f>IFERROR(RANK(TableWRCalcPts[[#This Row],[Custom]],TableWRCalcPts[Custom])+COUNTIF($T$3:T178,T178)-1,"")</f>
        <v>78</v>
      </c>
      <c r="P178" s="189">
        <v>176</v>
      </c>
      <c r="Q178" s="189" t="str">
        <f>IFERROR(INDEX(TableWRMaster[Player],MATCH(TableWRCalcPts[[#This Row],[WRRef]],TableWRMaster[WRRef],0)),"")</f>
        <v>Nick Westbrook-Ikhine</v>
      </c>
      <c r="R178" s="189" t="str">
        <f>IFERROR(INDEX(TableWRMaster[TM],MATCH(TableWRCalcPts[[#This Row],[WRRef]],TableWRMaster[WRRef],0)),"")</f>
        <v>TEN</v>
      </c>
      <c r="S178" s="189">
        <f>IFERROR(INDEX(TableWRMaster[BYE],MATCH(TableWRCalcPts[[#This Row],[WRRef]],TableWRMaster[WRRef],0)),"")</f>
        <v>6</v>
      </c>
      <c r="T178" s="191">
        <f>IFERROR(INDEX(TableWRMaster[Custom],MATCH(TableWRCalcPts[[#This Row],[WRRef]],TableWRMaster[WRRef],0)),"")</f>
        <v>75.820601020051214</v>
      </c>
      <c r="AI178" s="221" t="s">
        <v>358</v>
      </c>
      <c r="AJ178" s="189">
        <f>IFERROR(RANK(TableWRTECalcPts[[#This Row],[Custom]],TableWRTECalcPts[Custom])+COUNTIF($AP$3:AP178,AP178)-1,"")</f>
        <v>249</v>
      </c>
      <c r="AK178" s="218">
        <v>76</v>
      </c>
      <c r="AL178" s="219" t="str">
        <f>IFERROR(INDEX(TableWRMaster[Player],MATCH(TableWRTECalcPts[[#This Row],[POSRef]],TableWRMaster[WRRef],0)),"")</f>
        <v>Chris Moore</v>
      </c>
      <c r="AM178" s="219" t="str">
        <f>IFERROR(_xlfn.CONCAT(TableWRTECalcPts[[#This Row],[POS]],INDEX(TableWRRanks[RK],MATCH(TableWRTECalcPts[[#This Row],[PLAYER]],TableWRRanks[Player],0))),"")</f>
        <v>WR175</v>
      </c>
      <c r="AN178" s="219" t="str">
        <f>IFERROR(INDEX(TableWRMaster[TM],MATCH(TableWRTECalcPts[[#This Row],[POSRef]],TableWRMaster[WRRef],0)),"")</f>
        <v>HOU</v>
      </c>
      <c r="AO178" s="219">
        <f>IFERROR(INDEX(TableWRMaster[BYE],MATCH(TableWRTECalcPts[[#This Row],[POSRef]],TableWRMaster[WRRef],0)),"")</f>
        <v>6</v>
      </c>
      <c r="AP178" s="220">
        <f>IFERROR(INDEX(TableWRMaster[Custom],MATCH(TableWRTECalcPts[[#This Row],[POSRef]],TableWRMaster[WRRef],0)),"")</f>
        <v>8.5909616939617983</v>
      </c>
    </row>
    <row r="179" spans="8:42" x14ac:dyDescent="0.3">
      <c r="M179" s="191"/>
      <c r="O179" s="189">
        <f>IFERROR(RANK(TableWRCalcPts[[#This Row],[Custom]],TableWRCalcPts[Custom])+COUNTIF($T$3:T179,T179)-1,"")</f>
        <v>145</v>
      </c>
      <c r="P179" s="189">
        <v>177</v>
      </c>
      <c r="Q179" s="189" t="str">
        <f>IFERROR(INDEX(TableWRMaster[Player],MATCH(TableWRCalcPts[[#This Row],[WRRef]],TableWRMaster[WRRef],0)),"")</f>
        <v>Dez Fitzpatrick</v>
      </c>
      <c r="R179" s="189" t="str">
        <f>IFERROR(INDEX(TableWRMaster[TM],MATCH(TableWRCalcPts[[#This Row],[WRRef]],TableWRMaster[WRRef],0)),"")</f>
        <v>TEN</v>
      </c>
      <c r="S179" s="189">
        <f>IFERROR(INDEX(TableWRMaster[BYE],MATCH(TableWRCalcPts[[#This Row],[WRRef]],TableWRMaster[WRRef],0)),"")</f>
        <v>6</v>
      </c>
      <c r="T179" s="191">
        <f>IFERROR(INDEX(TableWRMaster[Custom],MATCH(TableWRCalcPts[[#This Row],[WRRef]],TableWRMaster[WRRef],0)),"")</f>
        <v>16.391863399059599</v>
      </c>
      <c r="AI179" s="221" t="s">
        <v>358</v>
      </c>
      <c r="AJ179" s="189">
        <f>IFERROR(RANK(TableWRTECalcPts[[#This Row],[Custom]],TableWRTECalcPts[Custom])+COUNTIF($AP$3:AP179,AP179)-1,"")</f>
        <v>124</v>
      </c>
      <c r="AK179" s="218">
        <v>77</v>
      </c>
      <c r="AL179" s="219" t="str">
        <f>IFERROR(INDEX(TableWRMaster[Player],MATCH(TableWRTECalcPts[[#This Row],[POSRef]],TableWRMaster[WRRef],0)),"")</f>
        <v>Parris Campbell</v>
      </c>
      <c r="AM179" s="219" t="str">
        <f>IFERROR(_xlfn.CONCAT(TableWRTECalcPts[[#This Row],[POS]],INDEX(TableWRRanks[RK],MATCH(TableWRTECalcPts[[#This Row],[PLAYER]],TableWRRanks[Player],0))),"")</f>
        <v>WR94</v>
      </c>
      <c r="AN179" s="219" t="str">
        <f>IFERROR(INDEX(TableWRMaster[TM],MATCH(TableWRTECalcPts[[#This Row],[POSRef]],TableWRMaster[WRRef],0)),"")</f>
        <v>IND</v>
      </c>
      <c r="AO179" s="219">
        <f>IFERROR(INDEX(TableWRMaster[BYE],MATCH(TableWRTECalcPts[[#This Row],[POSRef]],TableWRMaster[WRRef],0)),"")</f>
        <v>14</v>
      </c>
      <c r="AP179" s="220">
        <f>IFERROR(INDEX(TableWRMaster[Custom],MATCH(TableWRTECalcPts[[#This Row],[POSRef]],TableWRMaster[WRRef],0)),"")</f>
        <v>53.350300430483863</v>
      </c>
    </row>
    <row r="180" spans="8:42" x14ac:dyDescent="0.3">
      <c r="M180" s="191"/>
      <c r="O180" s="189">
        <f>IFERROR(RANK(TableWRCalcPts[[#This Row],[Custom]],TableWRCalcPts[Custom])+COUNTIF($T$3:T180,T180)-1,"")</f>
        <v>142</v>
      </c>
      <c r="P180" s="189">
        <v>178</v>
      </c>
      <c r="Q180" s="189" t="str">
        <f>IFERROR(INDEX(TableWRMaster[Player],MATCH(TableWRCalcPts[[#This Row],[WRRef]],TableWRMaster[WRRef],0)),"")</f>
        <v>Racey McMath</v>
      </c>
      <c r="R180" s="189" t="str">
        <f>IFERROR(INDEX(TableWRMaster[TM],MATCH(TableWRCalcPts[[#This Row],[WRRef]],TableWRMaster[WRRef],0)),"")</f>
        <v>TEN</v>
      </c>
      <c r="S180" s="189">
        <f>IFERROR(INDEX(TableWRMaster[BYE],MATCH(TableWRCalcPts[[#This Row],[WRRef]],TableWRMaster[WRRef],0)),"")</f>
        <v>6</v>
      </c>
      <c r="T180" s="191">
        <f>IFERROR(INDEX(TableWRMaster[Custom],MATCH(TableWRCalcPts[[#This Row],[WRRef]],TableWRMaster[WRRef],0)),"")</f>
        <v>17.206971689669135</v>
      </c>
      <c r="AI180" s="221" t="s">
        <v>358</v>
      </c>
      <c r="AJ180" s="189">
        <f>IFERROR(RANK(TableWRTECalcPts[[#This Row],[Custom]],TableWRTECalcPts[Custom])+COUNTIF($AP$3:AP180,AP180)-1,"")</f>
        <v>15</v>
      </c>
      <c r="AK180" s="218">
        <v>78</v>
      </c>
      <c r="AL180" s="219" t="str">
        <f>IFERROR(INDEX(TableWRMaster[Player],MATCH(TableWRTECalcPts[[#This Row],[POSRef]],TableWRMaster[WRRef],0)),"")</f>
        <v>Michael Pittman</v>
      </c>
      <c r="AM180" s="219" t="str">
        <f>IFERROR(_xlfn.CONCAT(TableWRTECalcPts[[#This Row],[POS]],INDEX(TableWRRanks[RK],MATCH(TableWRTECalcPts[[#This Row],[PLAYER]],TableWRRanks[Player],0))),"")</f>
        <v>WR13</v>
      </c>
      <c r="AN180" s="219" t="str">
        <f>IFERROR(INDEX(TableWRMaster[TM],MATCH(TableWRTECalcPts[[#This Row],[POSRef]],TableWRMaster[WRRef],0)),"")</f>
        <v>IND</v>
      </c>
      <c r="AO180" s="219">
        <f>IFERROR(INDEX(TableWRMaster[BYE],MATCH(TableWRTECalcPts[[#This Row],[POSRef]],TableWRMaster[WRRef],0)),"")</f>
        <v>14</v>
      </c>
      <c r="AP180" s="220">
        <f>IFERROR(INDEX(TableWRMaster[Custom],MATCH(TableWRTECalcPts[[#This Row],[POSRef]],TableWRMaster[WRRef],0)),"")</f>
        <v>157.32741468517131</v>
      </c>
    </row>
    <row r="181" spans="8:42" x14ac:dyDescent="0.3">
      <c r="M181" s="191"/>
      <c r="O181" s="189">
        <f>IFERROR(RANK(TableWRCalcPts[[#This Row],[Custom]],TableWRCalcPts[Custom])+COUNTIF($T$3:T181,T181)-1,"")</f>
        <v>148</v>
      </c>
      <c r="P181" s="189">
        <v>179</v>
      </c>
      <c r="Q181" s="189" t="str">
        <f>IFERROR(INDEX(TableWRMaster[Player],MATCH(TableWRCalcPts[[#This Row],[WRRef]],TableWRMaster[WRRef],0)),"")</f>
        <v>Kyle Philips</v>
      </c>
      <c r="R181" s="189" t="str">
        <f>IFERROR(INDEX(TableWRMaster[TM],MATCH(TableWRCalcPts[[#This Row],[WRRef]],TableWRMaster[WRRef],0)),"")</f>
        <v>TEN</v>
      </c>
      <c r="S181" s="189">
        <f>IFERROR(INDEX(TableWRMaster[BYE],MATCH(TableWRCalcPts[[#This Row],[WRRef]],TableWRMaster[WRRef],0)),"")</f>
        <v>6</v>
      </c>
      <c r="T181" s="191">
        <f>IFERROR(INDEX(TableWRMaster[Custom],MATCH(TableWRCalcPts[[#This Row],[WRRef]],TableWRMaster[WRRef],0)),"")</f>
        <v>14.615915494250935</v>
      </c>
      <c r="AI181" s="221" t="s">
        <v>358</v>
      </c>
      <c r="AJ181" s="189">
        <f>IFERROR(RANK(TableWRTECalcPts[[#This Row],[Custom]],TableWRTECalcPts[Custom])+COUNTIF($AP$3:AP181,AP181)-1,"")</f>
        <v>67</v>
      </c>
      <c r="AK181" s="218">
        <v>79</v>
      </c>
      <c r="AL181" s="219" t="str">
        <f>IFERROR(INDEX(TableWRMaster[Player],MATCH(TableWRTECalcPts[[#This Row],[POSRef]],TableWRMaster[WRRef],0)),"")</f>
        <v>Alec Pierce</v>
      </c>
      <c r="AM181" s="219" t="str">
        <f>IFERROR(_xlfn.CONCAT(TableWRTECalcPts[[#This Row],[POS]],INDEX(TableWRRanks[RK],MATCH(TableWRTECalcPts[[#This Row],[PLAYER]],TableWRRanks[Player],0))),"")</f>
        <v>WR57</v>
      </c>
      <c r="AN181" s="219" t="str">
        <f>IFERROR(INDEX(TableWRMaster[TM],MATCH(TableWRTECalcPts[[#This Row],[POSRef]],TableWRMaster[WRRef],0)),"")</f>
        <v>IND</v>
      </c>
      <c r="AO181" s="219">
        <f>IFERROR(INDEX(TableWRMaster[BYE],MATCH(TableWRTECalcPts[[#This Row],[POSRef]],TableWRMaster[WRRef],0)),"")</f>
        <v>14</v>
      </c>
      <c r="AP181" s="220">
        <f>IFERROR(INDEX(TableWRMaster[Custom],MATCH(TableWRTECalcPts[[#This Row],[POSRef]],TableWRMaster[WRRef],0)),"")</f>
        <v>101.41919743167956</v>
      </c>
    </row>
    <row r="182" spans="8:42" x14ac:dyDescent="0.3">
      <c r="M182" s="191"/>
      <c r="O182" s="189">
        <f>IFERROR(RANK(TableWRCalcPts[[#This Row],[Custom]],TableWRCalcPts[Custom])+COUNTIF($T$3:T182,T182)-1,"")</f>
        <v>23</v>
      </c>
      <c r="P182" s="189">
        <v>180</v>
      </c>
      <c r="Q182" s="189" t="str">
        <f>IFERROR(INDEX(TableWRMaster[Player],MATCH(TableWRCalcPts[[#This Row],[WRRef]],TableWRMaster[WRRef],0)),"")</f>
        <v>Terry McLaurin</v>
      </c>
      <c r="R182" s="189" t="str">
        <f>IFERROR(INDEX(TableWRMaster[TM],MATCH(TableWRCalcPts[[#This Row],[WRRef]],TableWRMaster[WRRef],0)),"")</f>
        <v>WSH</v>
      </c>
      <c r="S182" s="189">
        <f>IFERROR(INDEX(TableWRMaster[BYE],MATCH(TableWRCalcPts[[#This Row],[WRRef]],TableWRMaster[WRRef],0)),"")</f>
        <v>14</v>
      </c>
      <c r="T182" s="191">
        <f>IFERROR(INDEX(TableWRMaster[Custom],MATCH(TableWRCalcPts[[#This Row],[WRRef]],TableWRMaster[WRRef],0)),"")</f>
        <v>144.79369367514585</v>
      </c>
      <c r="AI182" s="221" t="s">
        <v>358</v>
      </c>
      <c r="AJ182" s="189">
        <f>IFERROR(RANK(TableWRTECalcPts[[#This Row],[Custom]],TableWRTECalcPts[Custom])+COUNTIF($AP$3:AP182,AP182)-1,"")</f>
        <v>168</v>
      </c>
      <c r="AK182" s="218">
        <v>80</v>
      </c>
      <c r="AL182" s="219" t="str">
        <f>IFERROR(INDEX(TableWRMaster[Player],MATCH(TableWRTECalcPts[[#This Row],[POSRef]],TableWRMaster[WRRef],0)),"")</f>
        <v>Ashton Dulin</v>
      </c>
      <c r="AM182" s="219" t="str">
        <f>IFERROR(_xlfn.CONCAT(TableWRTECalcPts[[#This Row],[POS]],INDEX(TableWRRanks[RK],MATCH(TableWRTECalcPts[[#This Row],[PLAYER]],TableWRRanks[Player],0))),"")</f>
        <v>WR120</v>
      </c>
      <c r="AN182" s="219" t="str">
        <f>IFERROR(INDEX(TableWRMaster[TM],MATCH(TableWRTECalcPts[[#This Row],[POSRef]],TableWRMaster[WRRef],0)),"")</f>
        <v>IND</v>
      </c>
      <c r="AO182" s="219">
        <f>IFERROR(INDEX(TableWRMaster[BYE],MATCH(TableWRTECalcPts[[#This Row],[POSRef]],TableWRMaster[WRRef],0)),"")</f>
        <v>14</v>
      </c>
      <c r="AP182" s="220">
        <f>IFERROR(INDEX(TableWRMaster[Custom],MATCH(TableWRTECalcPts[[#This Row],[POSRef]],TableWRMaster[WRRef],0)),"")</f>
        <v>24.755205531254589</v>
      </c>
    </row>
    <row r="183" spans="8:42" x14ac:dyDescent="0.3">
      <c r="M183" s="191"/>
      <c r="O183" s="189">
        <f>IFERROR(RANK(TableWRCalcPts[[#This Row],[Custom]],TableWRCalcPts[Custom])+COUNTIF($T$3:T183,T183)-1,"")</f>
        <v>69</v>
      </c>
      <c r="P183" s="189">
        <v>181</v>
      </c>
      <c r="Q183" s="189" t="str">
        <f>IFERROR(INDEX(TableWRMaster[Player],MATCH(TableWRCalcPts[[#This Row],[WRRef]],TableWRMaster[WRRef],0)),"")</f>
        <v>Curtis Samuel</v>
      </c>
      <c r="R183" s="189" t="str">
        <f>IFERROR(INDEX(TableWRMaster[TM],MATCH(TableWRCalcPts[[#This Row],[WRRef]],TableWRMaster[WRRef],0)),"")</f>
        <v>WSH</v>
      </c>
      <c r="S183" s="189">
        <f>IFERROR(INDEX(TableWRMaster[BYE],MATCH(TableWRCalcPts[[#This Row],[WRRef]],TableWRMaster[WRRef],0)),"")</f>
        <v>14</v>
      </c>
      <c r="T183" s="191">
        <f>IFERROR(INDEX(TableWRMaster[Custom],MATCH(TableWRCalcPts[[#This Row],[WRRef]],TableWRMaster[WRRef],0)),"")</f>
        <v>87.266912262059535</v>
      </c>
      <c r="AI183" s="221" t="s">
        <v>358</v>
      </c>
      <c r="AJ183" s="189">
        <f>IFERROR(RANK(TableWRTECalcPts[[#This Row],[Custom]],TableWRTECalcPts[Custom])+COUNTIF($AP$3:AP183,AP183)-1,"")</f>
        <v>245</v>
      </c>
      <c r="AK183" s="218">
        <v>81</v>
      </c>
      <c r="AL183" s="219" t="str">
        <f>IFERROR(INDEX(TableWRMaster[Player],MATCH(TableWRTECalcPts[[#This Row],[POSRef]],TableWRMaster[WRRef],0)),"")</f>
        <v>Mike Strachan</v>
      </c>
      <c r="AM183" s="219" t="str">
        <f>IFERROR(_xlfn.CONCAT(TableWRTECalcPts[[#This Row],[POS]],INDEX(TableWRRanks[RK],MATCH(TableWRTECalcPts[[#This Row],[PLAYER]],TableWRRanks[Player],0))),"")</f>
        <v>WR171</v>
      </c>
      <c r="AN183" s="219" t="str">
        <f>IFERROR(INDEX(TableWRMaster[TM],MATCH(TableWRTECalcPts[[#This Row],[POSRef]],TableWRMaster[WRRef],0)),"")</f>
        <v>IND</v>
      </c>
      <c r="AO183" s="219">
        <f>IFERROR(INDEX(TableWRMaster[BYE],MATCH(TableWRTECalcPts[[#This Row],[POSRef]],TableWRMaster[WRRef],0)),"")</f>
        <v>14</v>
      </c>
      <c r="AP183" s="220">
        <f>IFERROR(INDEX(TableWRMaster[Custom],MATCH(TableWRTECalcPts[[#This Row],[POSRef]],TableWRMaster[WRRef],0)),"")</f>
        <v>9.4845967772622615</v>
      </c>
    </row>
    <row r="184" spans="8:42" x14ac:dyDescent="0.3">
      <c r="M184" s="191"/>
      <c r="O184" s="189">
        <f>IFERROR(RANK(TableWRCalcPts[[#This Row],[Custom]],TableWRCalcPts[Custom])+COUNTIF($T$3:T184,T184)-1,"")</f>
        <v>60</v>
      </c>
      <c r="P184" s="189">
        <v>182</v>
      </c>
      <c r="Q184" s="189" t="str">
        <f>IFERROR(INDEX(TableWRMaster[Player],MATCH(TableWRCalcPts[[#This Row],[WRRef]],TableWRMaster[WRRef],0)),"")</f>
        <v>Jahan Dotson</v>
      </c>
      <c r="R184" s="189" t="str">
        <f>IFERROR(INDEX(TableWRMaster[TM],MATCH(TableWRCalcPts[[#This Row],[WRRef]],TableWRMaster[WRRef],0)),"")</f>
        <v>WSH</v>
      </c>
      <c r="S184" s="189">
        <f>IFERROR(INDEX(TableWRMaster[BYE],MATCH(TableWRCalcPts[[#This Row],[WRRef]],TableWRMaster[WRRef],0)),"")</f>
        <v>14</v>
      </c>
      <c r="T184" s="191">
        <f>IFERROR(INDEX(TableWRMaster[Custom],MATCH(TableWRCalcPts[[#This Row],[WRRef]],TableWRMaster[WRRef],0)),"")</f>
        <v>97.971643167931461</v>
      </c>
      <c r="AI184" s="221" t="s">
        <v>358</v>
      </c>
      <c r="AJ184" s="189">
        <f>IFERROR(RANK(TableWRTECalcPts[[#This Row],[Custom]],TableWRTECalcPts[Custom])+COUNTIF($AP$3:AP184,AP184)-1,"")</f>
        <v>257</v>
      </c>
      <c r="AK184" s="218">
        <v>82</v>
      </c>
      <c r="AL184" s="219" t="str">
        <f>IFERROR(INDEX(TableWRMaster[Player],MATCH(TableWRTECalcPts[[#This Row],[POSRef]],TableWRMaster[WRRef],0)),"")</f>
        <v>Dezmon Patmon</v>
      </c>
      <c r="AM184" s="219" t="str">
        <f>IFERROR(_xlfn.CONCAT(TableWRTECalcPts[[#This Row],[POS]],INDEX(TableWRRanks[RK],MATCH(TableWRTECalcPts[[#This Row],[PLAYER]],TableWRRanks[Player],0))),"")</f>
        <v>WR178</v>
      </c>
      <c r="AN184" s="219" t="str">
        <f>IFERROR(INDEX(TableWRMaster[TM],MATCH(TableWRTECalcPts[[#This Row],[POSRef]],TableWRMaster[WRRef],0)),"")</f>
        <v>IND</v>
      </c>
      <c r="AO184" s="219">
        <f>IFERROR(INDEX(TableWRMaster[BYE],MATCH(TableWRTECalcPts[[#This Row],[POSRef]],TableWRMaster[WRRef],0)),"")</f>
        <v>14</v>
      </c>
      <c r="AP184" s="220">
        <f>IFERROR(INDEX(TableWRMaster[Custom],MATCH(TableWRTECalcPts[[#This Row],[POSRef]],TableWRMaster[WRRef],0)),"")</f>
        <v>7.2893610559642825</v>
      </c>
    </row>
    <row r="185" spans="8:42" x14ac:dyDescent="0.3">
      <c r="M185" s="191"/>
      <c r="O185" s="189">
        <f>IFERROR(RANK(TableWRCalcPts[[#This Row],[Custom]],TableWRCalcPts[Custom])+COUNTIF($T$3:T185,T185)-1,"")</f>
        <v>151</v>
      </c>
      <c r="P185" s="189">
        <v>183</v>
      </c>
      <c r="Q185" s="189" t="str">
        <f>IFERROR(INDEX(TableWRMaster[Player],MATCH(TableWRCalcPts[[#This Row],[WRRef]],TableWRMaster[WRRef],0)),"")</f>
        <v>Cam Sims</v>
      </c>
      <c r="R185" s="189" t="str">
        <f>IFERROR(INDEX(TableWRMaster[TM],MATCH(TableWRCalcPts[[#This Row],[WRRef]],TableWRMaster[WRRef],0)),"")</f>
        <v>WSH</v>
      </c>
      <c r="S185" s="189">
        <f>IFERROR(INDEX(TableWRMaster[BYE],MATCH(TableWRCalcPts[[#This Row],[WRRef]],TableWRMaster[WRRef],0)),"")</f>
        <v>14</v>
      </c>
      <c r="T185" s="191">
        <f>IFERROR(INDEX(TableWRMaster[Custom],MATCH(TableWRCalcPts[[#This Row],[WRRef]],TableWRMaster[WRRef],0)),"")</f>
        <v>13.915093875252108</v>
      </c>
      <c r="AI185" s="221" t="s">
        <v>358</v>
      </c>
      <c r="AJ185" s="189">
        <f>IFERROR(RANK(TableWRTECalcPts[[#This Row],[Custom]],TableWRTECalcPts[Custom])+COUNTIF($AP$3:AP185,AP185)-1,"")</f>
        <v>43</v>
      </c>
      <c r="AK185" s="218">
        <v>83</v>
      </c>
      <c r="AL185" s="219" t="str">
        <f>IFERROR(INDEX(TableWRMaster[Player],MATCH(TableWRTECalcPts[[#This Row],[POSRef]],TableWRMaster[WRRef],0)),"")</f>
        <v>Christian Kirk</v>
      </c>
      <c r="AM185" s="219" t="str">
        <f>IFERROR(_xlfn.CONCAT(TableWRTECalcPts[[#This Row],[POS]],INDEX(TableWRRanks[RK],MATCH(TableWRTECalcPts[[#This Row],[PLAYER]],TableWRRanks[Player],0))),"")</f>
        <v>WR38</v>
      </c>
      <c r="AN185" s="219" t="str">
        <f>IFERROR(INDEX(TableWRMaster[TM],MATCH(TableWRTECalcPts[[#This Row],[POSRef]],TableWRMaster[WRRef],0)),"")</f>
        <v>JAX</v>
      </c>
      <c r="AO185" s="219">
        <f>IFERROR(INDEX(TableWRMaster[BYE],MATCH(TableWRTECalcPts[[#This Row],[POSRef]],TableWRMaster[WRRef],0)),"")</f>
        <v>11</v>
      </c>
      <c r="AP185" s="220">
        <f>IFERROR(INDEX(TableWRMaster[Custom],MATCH(TableWRTECalcPts[[#This Row],[POSRef]],TableWRMaster[WRRef],0)),"")</f>
        <v>124.06080172234979</v>
      </c>
    </row>
    <row r="186" spans="8:42" x14ac:dyDescent="0.3">
      <c r="M186" s="191"/>
      <c r="O186" s="189">
        <f>IFERROR(RANK(TableWRCalcPts[[#This Row],[Custom]],TableWRCalcPts[Custom])+COUNTIF($T$3:T186,T186)-1,"")</f>
        <v>124</v>
      </c>
      <c r="P186" s="189">
        <v>184</v>
      </c>
      <c r="Q186" s="189" t="str">
        <f>IFERROR(INDEX(TableWRMaster[Player],MATCH(TableWRCalcPts[[#This Row],[WRRef]],TableWRMaster[WRRef],0)),"")</f>
        <v>Dyami Brown</v>
      </c>
      <c r="R186" s="189" t="str">
        <f>IFERROR(INDEX(TableWRMaster[TM],MATCH(TableWRCalcPts[[#This Row],[WRRef]],TableWRMaster[WRRef],0)),"")</f>
        <v>WSH</v>
      </c>
      <c r="S186" s="189">
        <f>IFERROR(INDEX(TableWRMaster[BYE],MATCH(TableWRCalcPts[[#This Row],[WRRef]],TableWRMaster[WRRef],0)),"")</f>
        <v>14</v>
      </c>
      <c r="T186" s="191">
        <f>IFERROR(INDEX(TableWRMaster[Custom],MATCH(TableWRCalcPts[[#This Row],[WRRef]],TableWRMaster[WRRef],0)),"")</f>
        <v>23.658623331692777</v>
      </c>
      <c r="AI186" s="221" t="s">
        <v>358</v>
      </c>
      <c r="AJ186" s="189">
        <f>IFERROR(RANK(TableWRTECalcPts[[#This Row],[Custom]],TableWRTECalcPts[Custom])+COUNTIF($AP$3:AP186,AP186)-1,"")</f>
        <v>61</v>
      </c>
      <c r="AK186" s="218">
        <v>84</v>
      </c>
      <c r="AL186" s="219" t="str">
        <f>IFERROR(INDEX(TableWRMaster[Player],MATCH(TableWRTECalcPts[[#This Row],[POSRef]],TableWRMaster[WRRef],0)),"")</f>
        <v>Marvin Jones</v>
      </c>
      <c r="AM186" s="219" t="str">
        <f>IFERROR(_xlfn.CONCAT(TableWRTECalcPts[[#This Row],[POS]],INDEX(TableWRRanks[RK],MATCH(TableWRTECalcPts[[#This Row],[PLAYER]],TableWRRanks[Player],0))),"")</f>
        <v>WR54</v>
      </c>
      <c r="AN186" s="219" t="str">
        <f>IFERROR(INDEX(TableWRMaster[TM],MATCH(TableWRTECalcPts[[#This Row],[POSRef]],TableWRMaster[WRRef],0)),"")</f>
        <v>JAX</v>
      </c>
      <c r="AO186" s="219">
        <f>IFERROR(INDEX(TableWRMaster[BYE],MATCH(TableWRTECalcPts[[#This Row],[POSRef]],TableWRMaster[WRRef],0)),"")</f>
        <v>11</v>
      </c>
      <c r="AP186" s="220">
        <f>IFERROR(INDEX(TableWRMaster[Custom],MATCH(TableWRTECalcPts[[#This Row],[POSRef]],TableWRMaster[WRRef],0)),"")</f>
        <v>105.82007116870886</v>
      </c>
    </row>
    <row r="187" spans="8:42" x14ac:dyDescent="0.3">
      <c r="M187" s="191"/>
      <c r="O187" s="189">
        <f>IFERROR(RANK(TableWRCalcPts[[#This Row],[Custom]],TableWRCalcPts[Custom])+COUNTIF($T$3:T187,T187)-1,"")</f>
        <v>182</v>
      </c>
      <c r="P187" s="189">
        <v>185</v>
      </c>
      <c r="Q187" s="189" t="str">
        <f>IFERROR(INDEX(TableWRMaster[Player],MATCH(TableWRCalcPts[[#This Row],[WRRef]],TableWRMaster[WRRef],0)),"")</f>
        <v>Dax Milne</v>
      </c>
      <c r="R187" s="189" t="str">
        <f>IFERROR(INDEX(TableWRMaster[TM],MATCH(TableWRCalcPts[[#This Row],[WRRef]],TableWRMaster[WRRef],0)),"")</f>
        <v>WSH</v>
      </c>
      <c r="S187" s="189">
        <f>IFERROR(INDEX(TableWRMaster[BYE],MATCH(TableWRCalcPts[[#This Row],[WRRef]],TableWRMaster[WRRef],0)),"")</f>
        <v>14</v>
      </c>
      <c r="T187" s="191">
        <f>IFERROR(INDEX(TableWRMaster[Custom],MATCH(TableWRCalcPts[[#This Row],[WRRef]],TableWRMaster[WRRef],0)),"")</f>
        <v>6.5362698121605209</v>
      </c>
      <c r="AI187" s="221" t="s">
        <v>358</v>
      </c>
      <c r="AJ187" s="189">
        <f>IFERROR(RANK(TableWRTECalcPts[[#This Row],[Custom]],TableWRTECalcPts[Custom])+COUNTIF($AP$3:AP187,AP187)-1,"")</f>
        <v>117</v>
      </c>
      <c r="AK187" s="218">
        <v>85</v>
      </c>
      <c r="AL187" s="219" t="str">
        <f>IFERROR(INDEX(TableWRMaster[Player],MATCH(TableWRTECalcPts[[#This Row],[POSRef]],TableWRMaster[WRRef],0)),"")</f>
        <v>Zay Jones</v>
      </c>
      <c r="AM187" s="219" t="str">
        <f>IFERROR(_xlfn.CONCAT(TableWRTECalcPts[[#This Row],[POS]],INDEX(TableWRRanks[RK],MATCH(TableWRTECalcPts[[#This Row],[PLAYER]],TableWRRanks[Player],0))),"")</f>
        <v>WR88</v>
      </c>
      <c r="AN187" s="219" t="str">
        <f>IFERROR(INDEX(TableWRMaster[TM],MATCH(TableWRTECalcPts[[#This Row],[POSRef]],TableWRMaster[WRRef],0)),"")</f>
        <v>JAX</v>
      </c>
      <c r="AO187" s="219">
        <f>IFERROR(INDEX(TableWRMaster[BYE],MATCH(TableWRTECalcPts[[#This Row],[POSRef]],TableWRMaster[WRRef],0)),"")</f>
        <v>11</v>
      </c>
      <c r="AP187" s="220">
        <f>IFERROR(INDEX(TableWRMaster[Custom],MATCH(TableWRTECalcPts[[#This Row],[POSRef]],TableWRMaster[WRRef],0)),"")</f>
        <v>63.571604507371703</v>
      </c>
    </row>
    <row r="188" spans="8:42" x14ac:dyDescent="0.3">
      <c r="M188" s="191"/>
      <c r="O188" s="189" t="str">
        <f>IFERROR(RANK(TableWRCalcPts[[#This Row],[Custom]],TableWRCalcPts[Custom])+COUNTIF($T$3:T188,T188)-1,"")</f>
        <v/>
      </c>
      <c r="P188" s="189">
        <v>186</v>
      </c>
      <c r="Q188" s="189" t="str">
        <f>IFERROR(INDEX(TableWRMaster[Player],MATCH(TableWRCalcPts[[#This Row],[WRRef]],TableWRMaster[WRRef],0)),"")</f>
        <v/>
      </c>
      <c r="R188" s="189" t="str">
        <f>IFERROR(INDEX(TableWRMaster[TM],MATCH(TableWRCalcPts[[#This Row],[WRRef]],TableWRMaster[WRRef],0)),"")</f>
        <v/>
      </c>
      <c r="S188" s="189" t="str">
        <f>IFERROR(INDEX(TableWRMaster[BYE],MATCH(TableWRCalcPts[[#This Row],[WRRef]],TableWRMaster[WRRef],0)),"")</f>
        <v/>
      </c>
      <c r="T188" s="191" t="str">
        <f>IFERROR(INDEX(TableWRMaster[Custom],MATCH(TableWRCalcPts[[#This Row],[WRRef]],TableWRMaster[WRRef],0)),"")</f>
        <v/>
      </c>
      <c r="AI188" s="221" t="s">
        <v>358</v>
      </c>
      <c r="AJ188" s="189">
        <f>IFERROR(RANK(TableWRTECalcPts[[#This Row],[Custom]],TableWRTECalcPts[Custom])+COUNTIF($AP$3:AP188,AP188)-1,"")</f>
        <v>140</v>
      </c>
      <c r="AK188" s="218">
        <v>86</v>
      </c>
      <c r="AL188" s="219" t="str">
        <f>IFERROR(INDEX(TableWRMaster[Player],MATCH(TableWRTECalcPts[[#This Row],[POSRef]],TableWRMaster[WRRef],0)),"")</f>
        <v>Laviska Shenault</v>
      </c>
      <c r="AM188" s="219" t="str">
        <f>IFERROR(_xlfn.CONCAT(TableWRTECalcPts[[#This Row],[POS]],INDEX(TableWRRanks[RK],MATCH(TableWRTECalcPts[[#This Row],[PLAYER]],TableWRRanks[Player],0))),"")</f>
        <v>WR106</v>
      </c>
      <c r="AN188" s="219" t="str">
        <f>IFERROR(INDEX(TableWRMaster[TM],MATCH(TableWRTECalcPts[[#This Row],[POSRef]],TableWRMaster[WRRef],0)),"")</f>
        <v>JAX</v>
      </c>
      <c r="AO188" s="219">
        <f>IFERROR(INDEX(TableWRMaster[BYE],MATCH(TableWRTECalcPts[[#This Row],[POSRef]],TableWRMaster[WRRef],0)),"")</f>
        <v>11</v>
      </c>
      <c r="AP188" s="220">
        <f>IFERROR(INDEX(TableWRMaster[Custom],MATCH(TableWRTECalcPts[[#This Row],[POSRef]],TableWRMaster[WRRef],0)),"")</f>
        <v>40.413989999832708</v>
      </c>
    </row>
    <row r="189" spans="8:42" x14ac:dyDescent="0.3">
      <c r="M189" s="191"/>
      <c r="O189" s="189" t="str">
        <f>IFERROR(RANK(TableWRCalcPts[[#This Row],[Custom]],TableWRCalcPts[Custom])+COUNTIF($T$3:T189,T189)-1,"")</f>
        <v/>
      </c>
      <c r="P189" s="189">
        <v>187</v>
      </c>
      <c r="Q189" s="189" t="str">
        <f>IFERROR(INDEX(TableWRMaster[Player],MATCH(TableWRCalcPts[[#This Row],[WRRef]],TableWRMaster[WRRef],0)),"")</f>
        <v/>
      </c>
      <c r="R189" s="189" t="str">
        <f>IFERROR(INDEX(TableWRMaster[TM],MATCH(TableWRCalcPts[[#This Row],[WRRef]],TableWRMaster[WRRef],0)),"")</f>
        <v/>
      </c>
      <c r="S189" s="189" t="str">
        <f>IFERROR(INDEX(TableWRMaster[BYE],MATCH(TableWRCalcPts[[#This Row],[WRRef]],TableWRMaster[WRRef],0)),"")</f>
        <v/>
      </c>
      <c r="T189" s="191" t="str">
        <f>IFERROR(INDEX(TableWRMaster[Custom],MATCH(TableWRCalcPts[[#This Row],[WRRef]],TableWRMaster[WRRef],0)),"")</f>
        <v/>
      </c>
      <c r="AI189" s="221" t="s">
        <v>358</v>
      </c>
      <c r="AJ189" s="189">
        <f>IFERROR(RANK(TableWRTECalcPts[[#This Row],[Custom]],TableWRTECalcPts[Custom])+COUNTIF($AP$3:AP189,AP189)-1,"")</f>
        <v>236</v>
      </c>
      <c r="AK189" s="218">
        <v>87</v>
      </c>
      <c r="AL189" s="219" t="str">
        <f>IFERROR(INDEX(TableWRMaster[Player],MATCH(TableWRTECalcPts[[#This Row],[POSRef]],TableWRMaster[WRRef],0)),"")</f>
        <v>Jamal Agnew</v>
      </c>
      <c r="AM189" s="219" t="str">
        <f>IFERROR(_xlfn.CONCAT(TableWRTECalcPts[[#This Row],[POS]],INDEX(TableWRRanks[RK],MATCH(TableWRTECalcPts[[#This Row],[PLAYER]],TableWRRanks[Player],0))),"")</f>
        <v>WR166</v>
      </c>
      <c r="AN189" s="219" t="str">
        <f>IFERROR(INDEX(TableWRMaster[TM],MATCH(TableWRTECalcPts[[#This Row],[POSRef]],TableWRMaster[WRRef],0)),"")</f>
        <v>JAX</v>
      </c>
      <c r="AO189" s="219">
        <f>IFERROR(INDEX(TableWRMaster[BYE],MATCH(TableWRTECalcPts[[#This Row],[POSRef]],TableWRMaster[WRRef],0)),"")</f>
        <v>11</v>
      </c>
      <c r="AP189" s="220">
        <f>IFERROR(INDEX(TableWRMaster[Custom],MATCH(TableWRTECalcPts[[#This Row],[POSRef]],TableWRMaster[WRRef],0)),"")</f>
        <v>10.768144786225456</v>
      </c>
    </row>
    <row r="190" spans="8:42" x14ac:dyDescent="0.3">
      <c r="M190" s="191"/>
      <c r="O190" s="189" t="str">
        <f>IFERROR(RANK(TableWRCalcPts[[#This Row],[Custom]],TableWRCalcPts[Custom])+COUNTIF($T$3:T190,T190)-1,"")</f>
        <v/>
      </c>
      <c r="P190" s="189">
        <v>188</v>
      </c>
      <c r="Q190" s="189" t="str">
        <f>IFERROR(INDEX(TableWRMaster[Player],MATCH(TableWRCalcPts[[#This Row],[WRRef]],TableWRMaster[WRRef],0)),"")</f>
        <v/>
      </c>
      <c r="R190" s="189" t="str">
        <f>IFERROR(INDEX(TableWRMaster[TM],MATCH(TableWRCalcPts[[#This Row],[WRRef]],TableWRMaster[WRRef],0)),"")</f>
        <v/>
      </c>
      <c r="S190" s="189" t="str">
        <f>IFERROR(INDEX(TableWRMaster[BYE],MATCH(TableWRCalcPts[[#This Row],[WRRef]],TableWRMaster[WRRef],0)),"")</f>
        <v/>
      </c>
      <c r="T190" s="191" t="str">
        <f>IFERROR(INDEX(TableWRMaster[Custom],MATCH(TableWRCalcPts[[#This Row],[WRRef]],TableWRMaster[WRRef],0)),"")</f>
        <v/>
      </c>
      <c r="AI190" s="221" t="s">
        <v>358</v>
      </c>
      <c r="AJ190" s="189">
        <f>IFERROR(RANK(TableWRTECalcPts[[#This Row],[Custom]],TableWRTECalcPts[Custom])+COUNTIF($AP$3:AP190,AP190)-1,"")</f>
        <v>132</v>
      </c>
      <c r="AK190" s="218">
        <v>88</v>
      </c>
      <c r="AL190" s="219" t="str">
        <f>IFERROR(INDEX(TableWRMaster[Player],MATCH(TableWRTECalcPts[[#This Row],[POSRef]],TableWRMaster[WRRef],0)),"")</f>
        <v>Laquon Treadwell</v>
      </c>
      <c r="AM190" s="219" t="str">
        <f>IFERROR(_xlfn.CONCAT(TableWRTECalcPts[[#This Row],[POS]],INDEX(TableWRRanks[RK],MATCH(TableWRTECalcPts[[#This Row],[PLAYER]],TableWRRanks[Player],0))),"")</f>
        <v>WR100</v>
      </c>
      <c r="AN190" s="219" t="str">
        <f>IFERROR(INDEX(TableWRMaster[TM],MATCH(TableWRTECalcPts[[#This Row],[POSRef]],TableWRMaster[WRRef],0)),"")</f>
        <v>JAX</v>
      </c>
      <c r="AO190" s="219">
        <f>IFERROR(INDEX(TableWRMaster[BYE],MATCH(TableWRTECalcPts[[#This Row],[POSRef]],TableWRMaster[WRRef],0)),"")</f>
        <v>11</v>
      </c>
      <c r="AP190" s="220">
        <f>IFERROR(INDEX(TableWRMaster[Custom],MATCH(TableWRTECalcPts[[#This Row],[POSRef]],TableWRMaster[WRRef],0)),"")</f>
        <v>47.277068597833136</v>
      </c>
    </row>
    <row r="191" spans="8:42" x14ac:dyDescent="0.3">
      <c r="M191" s="191"/>
      <c r="O191" s="189" t="str">
        <f>IFERROR(RANK(TableWRCalcPts[[#This Row],[Custom]],TableWRCalcPts[Custom])+COUNTIF($T$3:T191,T191)-1,"")</f>
        <v/>
      </c>
      <c r="P191" s="189">
        <v>189</v>
      </c>
      <c r="Q191" s="189" t="str">
        <f>IFERROR(INDEX(TableWRMaster[Player],MATCH(TableWRCalcPts[[#This Row],[WRRef]],TableWRMaster[WRRef],0)),"")</f>
        <v/>
      </c>
      <c r="R191" s="189" t="str">
        <f>IFERROR(INDEX(TableWRMaster[TM],MATCH(TableWRCalcPts[[#This Row],[WRRef]],TableWRMaster[WRRef],0)),"")</f>
        <v/>
      </c>
      <c r="S191" s="189" t="str">
        <f>IFERROR(INDEX(TableWRMaster[BYE],MATCH(TableWRCalcPts[[#This Row],[WRRef]],TableWRMaster[WRRef],0)),"")</f>
        <v/>
      </c>
      <c r="T191" s="191" t="str">
        <f>IFERROR(INDEX(TableWRMaster[Custom],MATCH(TableWRCalcPts[[#This Row],[WRRef]],TableWRMaster[WRRef],0)),"")</f>
        <v/>
      </c>
      <c r="AI191" s="221" t="s">
        <v>358</v>
      </c>
      <c r="AJ191" s="189">
        <f>IFERROR(RANK(TableWRTECalcPts[[#This Row],[Custom]],TableWRTECalcPts[Custom])+COUNTIF($AP$3:AP191,AP191)-1,"")</f>
        <v>29</v>
      </c>
      <c r="AK191" s="218">
        <v>89</v>
      </c>
      <c r="AL191" s="219" t="str">
        <f>IFERROR(INDEX(TableWRMaster[Player],MATCH(TableWRTECalcPts[[#This Row],[POSRef]],TableWRMaster[WRRef],0)),"")</f>
        <v>JuJu Smith-Schuster</v>
      </c>
      <c r="AM191" s="219" t="str">
        <f>IFERROR(_xlfn.CONCAT(TableWRTECalcPts[[#This Row],[POS]],INDEX(TableWRRanks[RK],MATCH(TableWRTECalcPts[[#This Row],[PLAYER]],TableWRRanks[Player],0))),"")</f>
        <v>WR26</v>
      </c>
      <c r="AN191" s="219" t="str">
        <f>IFERROR(INDEX(TableWRMaster[TM],MATCH(TableWRTECalcPts[[#This Row],[POSRef]],TableWRMaster[WRRef],0)),"")</f>
        <v>KC</v>
      </c>
      <c r="AO191" s="219">
        <f>IFERROR(INDEX(TableWRMaster[BYE],MATCH(TableWRTECalcPts[[#This Row],[POSRef]],TableWRMaster[WRRef],0)),"")</f>
        <v>8</v>
      </c>
      <c r="AP191" s="220">
        <f>IFERROR(INDEX(TableWRMaster[Custom],MATCH(TableWRTECalcPts[[#This Row],[POSRef]],TableWRMaster[WRRef],0)),"")</f>
        <v>141.77739977868507</v>
      </c>
    </row>
    <row r="192" spans="8:42" x14ac:dyDescent="0.3">
      <c r="M192" s="191"/>
      <c r="O192" s="189" t="str">
        <f>IFERROR(RANK(TableWRCalcPts[[#This Row],[Custom]],TableWRCalcPts[Custom])+COUNTIF($T$3:T192,T192)-1,"")</f>
        <v/>
      </c>
      <c r="P192" s="189">
        <v>190</v>
      </c>
      <c r="Q192" s="189" t="str">
        <f>IFERROR(INDEX(TableWRMaster[Player],MATCH(TableWRCalcPts[[#This Row],[WRRef]],TableWRMaster[WRRef],0)),"")</f>
        <v/>
      </c>
      <c r="R192" s="189" t="str">
        <f>IFERROR(INDEX(TableWRMaster[TM],MATCH(TableWRCalcPts[[#This Row],[WRRef]],TableWRMaster[WRRef],0)),"")</f>
        <v/>
      </c>
      <c r="S192" s="189" t="str">
        <f>IFERROR(INDEX(TableWRMaster[BYE],MATCH(TableWRCalcPts[[#This Row],[WRRef]],TableWRMaster[WRRef],0)),"")</f>
        <v/>
      </c>
      <c r="T192" s="191" t="str">
        <f>IFERROR(INDEX(TableWRMaster[Custom],MATCH(TableWRCalcPts[[#This Row],[WRRef]],TableWRMaster[WRRef],0)),"")</f>
        <v/>
      </c>
      <c r="AI192" s="221" t="s">
        <v>358</v>
      </c>
      <c r="AJ192" s="189">
        <f>IFERROR(RANK(TableWRTECalcPts[[#This Row],[Custom]],TableWRTECalcPts[Custom])+COUNTIF($AP$3:AP192,AP192)-1,"")</f>
        <v>60</v>
      </c>
      <c r="AK192" s="218">
        <v>90</v>
      </c>
      <c r="AL192" s="219" t="str">
        <f>IFERROR(INDEX(TableWRMaster[Player],MATCH(TableWRTECalcPts[[#This Row],[POSRef]],TableWRMaster[WRRef],0)),"")</f>
        <v>Mecole Hardman</v>
      </c>
      <c r="AM192" s="219" t="str">
        <f>IFERROR(_xlfn.CONCAT(TableWRTECalcPts[[#This Row],[POS]],INDEX(TableWRRanks[RK],MATCH(TableWRTECalcPts[[#This Row],[PLAYER]],TableWRRanks[Player],0))),"")</f>
        <v>WR53</v>
      </c>
      <c r="AN192" s="219" t="str">
        <f>IFERROR(INDEX(TableWRMaster[TM],MATCH(TableWRTECalcPts[[#This Row],[POSRef]],TableWRMaster[WRRef],0)),"")</f>
        <v>KC</v>
      </c>
      <c r="AO192" s="219">
        <f>IFERROR(INDEX(TableWRMaster[BYE],MATCH(TableWRTECalcPts[[#This Row],[POSRef]],TableWRMaster[WRRef],0)),"")</f>
        <v>8</v>
      </c>
      <c r="AP192" s="220">
        <f>IFERROR(INDEX(TableWRMaster[Custom],MATCH(TableWRTECalcPts[[#This Row],[POSRef]],TableWRMaster[WRRef],0)),"")</f>
        <v>106.4869180452002</v>
      </c>
    </row>
    <row r="193" spans="13:42" x14ac:dyDescent="0.3">
      <c r="M193" s="191"/>
      <c r="O193" s="189" t="str">
        <f>IFERROR(RANK(TableWRCalcPts[[#This Row],[Custom]],TableWRCalcPts[Custom])+COUNTIF($T$3:T193,T193)-1,"")</f>
        <v/>
      </c>
      <c r="P193" s="189">
        <v>191</v>
      </c>
      <c r="Q193" s="189" t="str">
        <f>IFERROR(INDEX(TableWRMaster[Player],MATCH(TableWRCalcPts[[#This Row],[WRRef]],TableWRMaster[WRRef],0)),"")</f>
        <v/>
      </c>
      <c r="R193" s="189" t="str">
        <f>IFERROR(INDEX(TableWRMaster[TM],MATCH(TableWRCalcPts[[#This Row],[WRRef]],TableWRMaster[WRRef],0)),"")</f>
        <v/>
      </c>
      <c r="S193" s="189" t="str">
        <f>IFERROR(INDEX(TableWRMaster[BYE],MATCH(TableWRCalcPts[[#This Row],[WRRef]],TableWRMaster[WRRef],0)),"")</f>
        <v/>
      </c>
      <c r="T193" s="191" t="str">
        <f>IFERROR(INDEX(TableWRMaster[Custom],MATCH(TableWRCalcPts[[#This Row],[WRRef]],TableWRMaster[WRRef],0)),"")</f>
        <v/>
      </c>
      <c r="AI193" s="221" t="s">
        <v>358</v>
      </c>
      <c r="AJ193" s="189">
        <f>IFERROR(RANK(TableWRTECalcPts[[#This Row],[Custom]],TableWRTECalcPts[Custom])+COUNTIF($AP$3:AP193,AP193)-1,"")</f>
        <v>79</v>
      </c>
      <c r="AK193" s="218">
        <v>91</v>
      </c>
      <c r="AL193" s="219" t="str">
        <f>IFERROR(INDEX(TableWRMaster[Player],MATCH(TableWRTECalcPts[[#This Row],[POSRef]],TableWRMaster[WRRef],0)),"")</f>
        <v>Skyy Moore</v>
      </c>
      <c r="AM193" s="219" t="str">
        <f>IFERROR(_xlfn.CONCAT(TableWRTECalcPts[[#This Row],[POS]],INDEX(TableWRRanks[RK],MATCH(TableWRTECalcPts[[#This Row],[PLAYER]],TableWRRanks[Player],0))),"")</f>
        <v>WR64</v>
      </c>
      <c r="AN193" s="219" t="str">
        <f>IFERROR(INDEX(TableWRMaster[TM],MATCH(TableWRTECalcPts[[#This Row],[POSRef]],TableWRMaster[WRRef],0)),"")</f>
        <v>KC</v>
      </c>
      <c r="AO193" s="219">
        <f>IFERROR(INDEX(TableWRMaster[BYE],MATCH(TableWRTECalcPts[[#This Row],[POSRef]],TableWRMaster[WRRef],0)),"")</f>
        <v>8</v>
      </c>
      <c r="AP193" s="220">
        <f>IFERROR(INDEX(TableWRMaster[Custom],MATCH(TableWRTECalcPts[[#This Row],[POSRef]],TableWRMaster[WRRef],0)),"")</f>
        <v>95.335174796868472</v>
      </c>
    </row>
    <row r="194" spans="13:42" x14ac:dyDescent="0.3">
      <c r="M194" s="191"/>
      <c r="O194" s="189" t="str">
        <f>IFERROR(RANK(TableWRCalcPts[[#This Row],[Custom]],TableWRCalcPts[Custom])+COUNTIF($T$3:T194,T194)-1,"")</f>
        <v/>
      </c>
      <c r="P194" s="189">
        <v>192</v>
      </c>
      <c r="Q194" s="189" t="str">
        <f>IFERROR(INDEX(TableWRMaster[Player],MATCH(TableWRCalcPts[[#This Row],[WRRef]],TableWRMaster[WRRef],0)),"")</f>
        <v/>
      </c>
      <c r="R194" s="189" t="str">
        <f>IFERROR(INDEX(TableWRMaster[TM],MATCH(TableWRCalcPts[[#This Row],[WRRef]],TableWRMaster[WRRef],0)),"")</f>
        <v/>
      </c>
      <c r="S194" s="189" t="str">
        <f>IFERROR(INDEX(TableWRMaster[BYE],MATCH(TableWRCalcPts[[#This Row],[WRRef]],TableWRMaster[WRRef],0)),"")</f>
        <v/>
      </c>
      <c r="T194" s="191" t="str">
        <f>IFERROR(INDEX(TableWRMaster[Custom],MATCH(TableWRCalcPts[[#This Row],[WRRef]],TableWRMaster[WRRef],0)),"")</f>
        <v/>
      </c>
      <c r="AI194" s="221" t="s">
        <v>358</v>
      </c>
      <c r="AJ194" s="189">
        <f>IFERROR(RANK(TableWRTECalcPts[[#This Row],[Custom]],TableWRTECalcPts[Custom])+COUNTIF($AP$3:AP194,AP194)-1,"")</f>
        <v>90</v>
      </c>
      <c r="AK194" s="218">
        <v>92</v>
      </c>
      <c r="AL194" s="219" t="str">
        <f>IFERROR(INDEX(TableWRMaster[Player],MATCH(TableWRTECalcPts[[#This Row],[POSRef]],TableWRMaster[WRRef],0)),"")</f>
        <v>Marquez Valdes-Scantling</v>
      </c>
      <c r="AM194" s="219" t="str">
        <f>IFERROR(_xlfn.CONCAT(TableWRTECalcPts[[#This Row],[POS]],INDEX(TableWRRanks[RK],MATCH(TableWRTECalcPts[[#This Row],[PLAYER]],TableWRRanks[Player],0))),"")</f>
        <v>WR72</v>
      </c>
      <c r="AN194" s="219" t="str">
        <f>IFERROR(INDEX(TableWRMaster[TM],MATCH(TableWRTECalcPts[[#This Row],[POSRef]],TableWRMaster[WRRef],0)),"")</f>
        <v>KC</v>
      </c>
      <c r="AO194" s="219">
        <f>IFERROR(INDEX(TableWRMaster[BYE],MATCH(TableWRTECalcPts[[#This Row],[POSRef]],TableWRMaster[WRRef],0)),"")</f>
        <v>8</v>
      </c>
      <c r="AP194" s="220">
        <f>IFERROR(INDEX(TableWRMaster[Custom],MATCH(TableWRTECalcPts[[#This Row],[POSRef]],TableWRMaster[WRRef],0)),"")</f>
        <v>85.989633923707842</v>
      </c>
    </row>
    <row r="195" spans="13:42" x14ac:dyDescent="0.3">
      <c r="M195" s="191"/>
      <c r="O195" s="189" t="str">
        <f>IFERROR(RANK(TableWRCalcPts[[#This Row],[Custom]],TableWRCalcPts[Custom])+COUNTIF($T$3:T195,T195)-1,"")</f>
        <v/>
      </c>
      <c r="P195" s="189">
        <v>193</v>
      </c>
      <c r="Q195" s="189" t="str">
        <f>IFERROR(INDEX(TableWRMaster[Player],MATCH(TableWRCalcPts[[#This Row],[WRRef]],TableWRMaster[WRRef],0)),"")</f>
        <v/>
      </c>
      <c r="R195" s="189" t="str">
        <f>IFERROR(INDEX(TableWRMaster[TM],MATCH(TableWRCalcPts[[#This Row],[WRRef]],TableWRMaster[WRRef],0)),"")</f>
        <v/>
      </c>
      <c r="S195" s="189" t="str">
        <f>IFERROR(INDEX(TableWRMaster[BYE],MATCH(TableWRCalcPts[[#This Row],[WRRef]],TableWRMaster[WRRef],0)),"")</f>
        <v/>
      </c>
      <c r="T195" s="191" t="str">
        <f>IFERROR(INDEX(TableWRMaster[Custom],MATCH(TableWRCalcPts[[#This Row],[WRRef]],TableWRMaster[WRRef],0)),"")</f>
        <v/>
      </c>
      <c r="AI195" s="221" t="s">
        <v>358</v>
      </c>
      <c r="AJ195" s="189">
        <f>IFERROR(RANK(TableWRTECalcPts[[#This Row],[Custom]],TableWRTECalcPts[Custom])+COUNTIF($AP$3:AP195,AP195)-1,"")</f>
        <v>239</v>
      </c>
      <c r="AK195" s="218">
        <v>93</v>
      </c>
      <c r="AL195" s="219" t="str">
        <f>IFERROR(INDEX(TableWRMaster[Player],MATCH(TableWRTECalcPts[[#This Row],[POSRef]],TableWRMaster[WRRef],0)),"")</f>
        <v>Josh Gordon</v>
      </c>
      <c r="AM195" s="219" t="str">
        <f>IFERROR(_xlfn.CONCAT(TableWRTECalcPts[[#This Row],[POS]],INDEX(TableWRRanks[RK],MATCH(TableWRTECalcPts[[#This Row],[PLAYER]],TableWRRanks[Player],0))),"")</f>
        <v>WR167</v>
      </c>
      <c r="AN195" s="219" t="str">
        <f>IFERROR(INDEX(TableWRMaster[TM],MATCH(TableWRTECalcPts[[#This Row],[POSRef]],TableWRMaster[WRRef],0)),"")</f>
        <v>KC</v>
      </c>
      <c r="AO195" s="219">
        <f>IFERROR(INDEX(TableWRMaster[BYE],MATCH(TableWRTECalcPts[[#This Row],[POSRef]],TableWRMaster[WRRef],0)),"")</f>
        <v>8</v>
      </c>
      <c r="AP195" s="220">
        <f>IFERROR(INDEX(TableWRMaster[Custom],MATCH(TableWRTECalcPts[[#This Row],[POSRef]],TableWRMaster[WRRef],0)),"")</f>
        <v>10.218172388167712</v>
      </c>
    </row>
    <row r="196" spans="13:42" x14ac:dyDescent="0.3">
      <c r="M196" s="191"/>
      <c r="O196" s="189" t="str">
        <f>IFERROR(RANK(TableWRCalcPts[[#This Row],[Custom]],TableWRCalcPts[Custom])+COUNTIF($T$3:T196,T196)-1,"")</f>
        <v/>
      </c>
      <c r="P196" s="189">
        <v>194</v>
      </c>
      <c r="Q196" s="189" t="str">
        <f>IFERROR(INDEX(TableWRMaster[Player],MATCH(TableWRCalcPts[[#This Row],[WRRef]],TableWRMaster[WRRef],0)),"")</f>
        <v/>
      </c>
      <c r="R196" s="189" t="str">
        <f>IFERROR(INDEX(TableWRMaster[TM],MATCH(TableWRCalcPts[[#This Row],[WRRef]],TableWRMaster[WRRef],0)),"")</f>
        <v/>
      </c>
      <c r="S196" s="189" t="str">
        <f>IFERROR(INDEX(TableWRMaster[BYE],MATCH(TableWRCalcPts[[#This Row],[WRRef]],TableWRMaster[WRRef],0)),"")</f>
        <v/>
      </c>
      <c r="T196" s="191" t="str">
        <f>IFERROR(INDEX(TableWRMaster[Custom],MATCH(TableWRCalcPts[[#This Row],[WRRef]],TableWRMaster[WRRef],0)),"")</f>
        <v/>
      </c>
      <c r="AI196" s="221" t="s">
        <v>358</v>
      </c>
      <c r="AJ196" s="189">
        <f>IFERROR(RANK(TableWRTECalcPts[[#This Row],[Custom]],TableWRTECalcPts[Custom])+COUNTIF($AP$3:AP196,AP196)-1,"")</f>
        <v>18</v>
      </c>
      <c r="AK196" s="218">
        <v>94</v>
      </c>
      <c r="AL196" s="219" t="str">
        <f>IFERROR(INDEX(TableWRMaster[Player],MATCH(TableWRTECalcPts[[#This Row],[POSRef]],TableWRMaster[WRRef],0)),"")</f>
        <v>Keenan Allen</v>
      </c>
      <c r="AM196" s="219" t="str">
        <f>IFERROR(_xlfn.CONCAT(TableWRTECalcPts[[#This Row],[POS]],INDEX(TableWRRanks[RK],MATCH(TableWRTECalcPts[[#This Row],[PLAYER]],TableWRRanks[Player],0))),"")</f>
        <v>WR15</v>
      </c>
      <c r="AN196" s="219" t="str">
        <f>IFERROR(INDEX(TableWRMaster[TM],MATCH(TableWRTECalcPts[[#This Row],[POSRef]],TableWRMaster[WRRef],0)),"")</f>
        <v>LAC</v>
      </c>
      <c r="AO196" s="219">
        <f>IFERROR(INDEX(TableWRMaster[BYE],MATCH(TableWRTECalcPts[[#This Row],[POSRef]],TableWRMaster[WRRef],0)),"")</f>
        <v>8</v>
      </c>
      <c r="AP196" s="220">
        <f>IFERROR(INDEX(TableWRMaster[Custom],MATCH(TableWRTECalcPts[[#This Row],[POSRef]],TableWRMaster[WRRef],0)),"")</f>
        <v>151.05767453585224</v>
      </c>
    </row>
    <row r="197" spans="13:42" x14ac:dyDescent="0.3">
      <c r="M197" s="191"/>
      <c r="O197" s="189" t="str">
        <f>IFERROR(RANK(TableWRCalcPts[[#This Row],[Custom]],TableWRCalcPts[Custom])+COUNTIF($T$3:T197,T197)-1,"")</f>
        <v/>
      </c>
      <c r="P197" s="189">
        <v>195</v>
      </c>
      <c r="Q197" s="189" t="str">
        <f>IFERROR(INDEX(TableWRMaster[Player],MATCH(TableWRCalcPts[[#This Row],[WRRef]],TableWRMaster[WRRef],0)),"")</f>
        <v/>
      </c>
      <c r="R197" s="189" t="str">
        <f>IFERROR(INDEX(TableWRMaster[TM],MATCH(TableWRCalcPts[[#This Row],[WRRef]],TableWRMaster[WRRef],0)),"")</f>
        <v/>
      </c>
      <c r="S197" s="189" t="str">
        <f>IFERROR(INDEX(TableWRMaster[BYE],MATCH(TableWRCalcPts[[#This Row],[WRRef]],TableWRMaster[WRRef],0)),"")</f>
        <v/>
      </c>
      <c r="T197" s="191" t="str">
        <f>IFERROR(INDEX(TableWRMaster[Custom],MATCH(TableWRCalcPts[[#This Row],[WRRef]],TableWRMaster[WRRef],0)),"")</f>
        <v/>
      </c>
      <c r="AI197" s="221" t="s">
        <v>358</v>
      </c>
      <c r="AJ197" s="189">
        <f>IFERROR(RANK(TableWRTECalcPts[[#This Row],[Custom]],TableWRTECalcPts[Custom])+COUNTIF($AP$3:AP197,AP197)-1,"")</f>
        <v>13</v>
      </c>
      <c r="AK197" s="218">
        <v>95</v>
      </c>
      <c r="AL197" s="219" t="str">
        <f>IFERROR(INDEX(TableWRMaster[Player],MATCH(TableWRTECalcPts[[#This Row],[POSRef]],TableWRMaster[WRRef],0)),"")</f>
        <v>Mike Williams</v>
      </c>
      <c r="AM197" s="219" t="str">
        <f>IFERROR(_xlfn.CONCAT(TableWRTECalcPts[[#This Row],[POS]],INDEX(TableWRRanks[RK],MATCH(TableWRTECalcPts[[#This Row],[PLAYER]],TableWRRanks[Player],0))),"")</f>
        <v>WR12</v>
      </c>
      <c r="AN197" s="219" t="str">
        <f>IFERROR(INDEX(TableWRMaster[TM],MATCH(TableWRTECalcPts[[#This Row],[POSRef]],TableWRMaster[WRRef],0)),"")</f>
        <v>LAC</v>
      </c>
      <c r="AO197" s="219">
        <f>IFERROR(INDEX(TableWRMaster[BYE],MATCH(TableWRTECalcPts[[#This Row],[POSRef]],TableWRMaster[WRRef],0)),"")</f>
        <v>8</v>
      </c>
      <c r="AP197" s="220">
        <f>IFERROR(INDEX(TableWRMaster[Custom],MATCH(TableWRTECalcPts[[#This Row],[POSRef]],TableWRMaster[WRRef],0)),"")</f>
        <v>161.21370314796229</v>
      </c>
    </row>
    <row r="198" spans="13:42" x14ac:dyDescent="0.3">
      <c r="M198" s="191"/>
      <c r="O198" s="189" t="str">
        <f>IFERROR(RANK(TableWRCalcPts[[#This Row],[Custom]],TableWRCalcPts[Custom])+COUNTIF($T$3:T198,T198)-1,"")</f>
        <v/>
      </c>
      <c r="P198" s="189">
        <v>196</v>
      </c>
      <c r="Q198" s="189" t="str">
        <f>IFERROR(INDEX(TableWRMaster[Player],MATCH(TableWRCalcPts[[#This Row],[WRRef]],TableWRMaster[WRRef],0)),"")</f>
        <v/>
      </c>
      <c r="R198" s="189" t="str">
        <f>IFERROR(INDEX(TableWRMaster[TM],MATCH(TableWRCalcPts[[#This Row],[WRRef]],TableWRMaster[WRRef],0)),"")</f>
        <v/>
      </c>
      <c r="S198" s="189" t="str">
        <f>IFERROR(INDEX(TableWRMaster[BYE],MATCH(TableWRCalcPts[[#This Row],[WRRef]],TableWRMaster[WRRef],0)),"")</f>
        <v/>
      </c>
      <c r="T198" s="191" t="str">
        <f>IFERROR(INDEX(TableWRMaster[Custom],MATCH(TableWRCalcPts[[#This Row],[WRRef]],TableWRMaster[WRRef],0)),"")</f>
        <v/>
      </c>
      <c r="AI198" s="221" t="s">
        <v>358</v>
      </c>
      <c r="AJ198" s="189">
        <f>IFERROR(RANK(TableWRTECalcPts[[#This Row],[Custom]],TableWRTECalcPts[Custom])+COUNTIF($AP$3:AP198,AP198)-1,"")</f>
        <v>114</v>
      </c>
      <c r="AK198" s="218">
        <v>96</v>
      </c>
      <c r="AL198" s="219" t="str">
        <f>IFERROR(INDEX(TableWRMaster[Player],MATCH(TableWRTECalcPts[[#This Row],[POSRef]],TableWRMaster[WRRef],0)),"")</f>
        <v>Jalen Guyton</v>
      </c>
      <c r="AM198" s="219" t="str">
        <f>IFERROR(_xlfn.CONCAT(TableWRTECalcPts[[#This Row],[POS]],INDEX(TableWRRanks[RK],MATCH(TableWRTECalcPts[[#This Row],[PLAYER]],TableWRRanks[Player],0))),"")</f>
        <v>WR86</v>
      </c>
      <c r="AN198" s="219" t="str">
        <f>IFERROR(INDEX(TableWRMaster[TM],MATCH(TableWRTECalcPts[[#This Row],[POSRef]],TableWRMaster[WRRef],0)),"")</f>
        <v>LAC</v>
      </c>
      <c r="AO198" s="219">
        <f>IFERROR(INDEX(TableWRMaster[BYE],MATCH(TableWRTECalcPts[[#This Row],[POSRef]],TableWRMaster[WRRef],0)),"")</f>
        <v>8</v>
      </c>
      <c r="AP198" s="220">
        <f>IFERROR(INDEX(TableWRMaster[Custom],MATCH(TableWRTECalcPts[[#This Row],[POSRef]],TableWRMaster[WRRef],0)),"")</f>
        <v>69.095204526235136</v>
      </c>
    </row>
    <row r="199" spans="13:42" x14ac:dyDescent="0.3">
      <c r="M199" s="191"/>
      <c r="O199" s="189" t="str">
        <f>IFERROR(RANK(TableWRCalcPts[[#This Row],[Custom]],TableWRCalcPts[Custom])+COUNTIF($T$3:T199,T199)-1,"")</f>
        <v/>
      </c>
      <c r="P199" s="189">
        <v>197</v>
      </c>
      <c r="Q199" s="189" t="str">
        <f>IFERROR(INDEX(TableWRMaster[Player],MATCH(TableWRCalcPts[[#This Row],[WRRef]],TableWRMaster[WRRef],0)),"")</f>
        <v/>
      </c>
      <c r="R199" s="189" t="str">
        <f>IFERROR(INDEX(TableWRMaster[TM],MATCH(TableWRCalcPts[[#This Row],[WRRef]],TableWRMaster[WRRef],0)),"")</f>
        <v/>
      </c>
      <c r="S199" s="189" t="str">
        <f>IFERROR(INDEX(TableWRMaster[BYE],MATCH(TableWRCalcPts[[#This Row],[WRRef]],TableWRMaster[WRRef],0)),"")</f>
        <v/>
      </c>
      <c r="T199" s="191" t="str">
        <f>IFERROR(INDEX(TableWRMaster[Custom],MATCH(TableWRCalcPts[[#This Row],[WRRef]],TableWRMaster[WRRef],0)),"")</f>
        <v/>
      </c>
      <c r="AI199" s="221" t="s">
        <v>358</v>
      </c>
      <c r="AJ199" s="189">
        <f>IFERROR(RANK(TableWRTECalcPts[[#This Row],[Custom]],TableWRTECalcPts[Custom])+COUNTIF($AP$3:AP199,AP199)-1,"")</f>
        <v>89</v>
      </c>
      <c r="AK199" s="218">
        <v>97</v>
      </c>
      <c r="AL199" s="219" t="str">
        <f>IFERROR(INDEX(TableWRMaster[Player],MATCH(TableWRTECalcPts[[#This Row],[POSRef]],TableWRMaster[WRRef],0)),"")</f>
        <v>Joshua Palmer</v>
      </c>
      <c r="AM199" s="219" t="str">
        <f>IFERROR(_xlfn.CONCAT(TableWRTECalcPts[[#This Row],[POS]],INDEX(TableWRRanks[RK],MATCH(TableWRTECalcPts[[#This Row],[PLAYER]],TableWRRanks[Player],0))),"")</f>
        <v>WR71</v>
      </c>
      <c r="AN199" s="219" t="str">
        <f>IFERROR(INDEX(TableWRMaster[TM],MATCH(TableWRTECalcPts[[#This Row],[POSRef]],TableWRMaster[WRRef],0)),"")</f>
        <v>LAC</v>
      </c>
      <c r="AO199" s="219">
        <f>IFERROR(INDEX(TableWRMaster[BYE],MATCH(TableWRTECalcPts[[#This Row],[POSRef]],TableWRMaster[WRRef],0)),"")</f>
        <v>8</v>
      </c>
      <c r="AP199" s="220">
        <f>IFERROR(INDEX(TableWRMaster[Custom],MATCH(TableWRTECalcPts[[#This Row],[POSRef]],TableWRMaster[WRRef],0)),"")</f>
        <v>86.180512483488769</v>
      </c>
    </row>
    <row r="200" spans="13:42" x14ac:dyDescent="0.3">
      <c r="M200" s="191"/>
      <c r="O200" s="189" t="str">
        <f>IFERROR(RANK(TableWRCalcPts[[#This Row],[Custom]],TableWRCalcPts[Custom])+COUNTIF($T$3:T200,T200)-1,"")</f>
        <v/>
      </c>
      <c r="P200" s="189">
        <v>198</v>
      </c>
      <c r="Q200" s="189" t="str">
        <f>IFERROR(INDEX(TableWRMaster[Player],MATCH(TableWRCalcPts[[#This Row],[WRRef]],TableWRMaster[WRRef],0)),"")</f>
        <v/>
      </c>
      <c r="R200" s="189" t="str">
        <f>IFERROR(INDEX(TableWRMaster[TM],MATCH(TableWRCalcPts[[#This Row],[WRRef]],TableWRMaster[WRRef],0)),"")</f>
        <v/>
      </c>
      <c r="S200" s="189" t="str">
        <f>IFERROR(INDEX(TableWRMaster[BYE],MATCH(TableWRCalcPts[[#This Row],[WRRef]],TableWRMaster[WRRef],0)),"")</f>
        <v/>
      </c>
      <c r="T200" s="191" t="str">
        <f>IFERROR(INDEX(TableWRMaster[Custom],MATCH(TableWRCalcPts[[#This Row],[WRRef]],TableWRMaster[WRRef],0)),"")</f>
        <v/>
      </c>
      <c r="AI200" s="221" t="s">
        <v>358</v>
      </c>
      <c r="AJ200" s="189">
        <f>IFERROR(RANK(TableWRTECalcPts[[#This Row],[Custom]],TableWRTECalcPts[Custom])+COUNTIF($AP$3:AP200,AP200)-1,"")</f>
        <v>220</v>
      </c>
      <c r="AK200" s="218">
        <v>98</v>
      </c>
      <c r="AL200" s="219" t="str">
        <f>IFERROR(INDEX(TableWRMaster[Player],MATCH(TableWRTECalcPts[[#This Row],[POSRef]],TableWRMaster[WRRef],0)),"")</f>
        <v>DeAndre Carter</v>
      </c>
      <c r="AM200" s="219" t="str">
        <f>IFERROR(_xlfn.CONCAT(TableWRTECalcPts[[#This Row],[POS]],INDEX(TableWRRanks[RK],MATCH(TableWRTECalcPts[[#This Row],[PLAYER]],TableWRRanks[Player],0))),"")</f>
        <v>WR154</v>
      </c>
      <c r="AN200" s="219" t="str">
        <f>IFERROR(INDEX(TableWRMaster[TM],MATCH(TableWRTECalcPts[[#This Row],[POSRef]],TableWRMaster[WRRef],0)),"")</f>
        <v>LAC</v>
      </c>
      <c r="AO200" s="219">
        <f>IFERROR(INDEX(TableWRMaster[BYE],MATCH(TableWRTECalcPts[[#This Row],[POSRef]],TableWRMaster[WRRef],0)),"")</f>
        <v>8</v>
      </c>
      <c r="AP200" s="220">
        <f>IFERROR(INDEX(TableWRMaster[Custom],MATCH(TableWRTECalcPts[[#This Row],[POSRef]],TableWRMaster[WRRef],0)),"")</f>
        <v>13.327148477988143</v>
      </c>
    </row>
    <row r="201" spans="13:42" x14ac:dyDescent="0.3">
      <c r="M201" s="191"/>
      <c r="O201" s="189" t="str">
        <f>IFERROR(RANK(TableWRCalcPts[[#This Row],[Custom]],TableWRCalcPts[Custom])+COUNTIF($T$3:T201,T201)-1,"")</f>
        <v/>
      </c>
      <c r="P201" s="189">
        <v>199</v>
      </c>
      <c r="Q201" s="189" t="str">
        <f>IFERROR(INDEX(TableWRMaster[Player],MATCH(TableWRCalcPts[[#This Row],[WRRef]],TableWRMaster[WRRef],0)),"")</f>
        <v/>
      </c>
      <c r="R201" s="189" t="str">
        <f>IFERROR(INDEX(TableWRMaster[TM],MATCH(TableWRCalcPts[[#This Row],[WRRef]],TableWRMaster[WRRef],0)),"")</f>
        <v/>
      </c>
      <c r="S201" s="189" t="str">
        <f>IFERROR(INDEX(TableWRMaster[BYE],MATCH(TableWRCalcPts[[#This Row],[WRRef]],TableWRMaster[WRRef],0)),"")</f>
        <v/>
      </c>
      <c r="T201" s="191" t="str">
        <f>IFERROR(INDEX(TableWRMaster[Custom],MATCH(TableWRCalcPts[[#This Row],[WRRef]],TableWRMaster[WRRef],0)),"")</f>
        <v/>
      </c>
      <c r="AI201" s="221" t="s">
        <v>358</v>
      </c>
      <c r="AJ201" s="189">
        <f>IFERROR(RANK(TableWRTECalcPts[[#This Row],[Custom]],TableWRTECalcPts[Custom])+COUNTIF($AP$3:AP201,AP201)-1,"")</f>
        <v>247</v>
      </c>
      <c r="AK201" s="218">
        <v>99</v>
      </c>
      <c r="AL201" s="219" t="str">
        <f>IFERROR(INDEX(TableWRMaster[Player],MATCH(TableWRTECalcPts[[#This Row],[POSRef]],TableWRMaster[WRRef],0)),"")</f>
        <v>Jason Moore</v>
      </c>
      <c r="AM201" s="219" t="str">
        <f>IFERROR(_xlfn.CONCAT(TableWRTECalcPts[[#This Row],[POS]],INDEX(TableWRRanks[RK],MATCH(TableWRTECalcPts[[#This Row],[PLAYER]],TableWRRanks[Player],0))),"")</f>
        <v>WR173</v>
      </c>
      <c r="AN201" s="219" t="str">
        <f>IFERROR(INDEX(TableWRMaster[TM],MATCH(TableWRTECalcPts[[#This Row],[POSRef]],TableWRMaster[WRRef],0)),"")</f>
        <v>LAC</v>
      </c>
      <c r="AO201" s="219">
        <f>IFERROR(INDEX(TableWRMaster[BYE],MATCH(TableWRTECalcPts[[#This Row],[POSRef]],TableWRMaster[WRRef],0)),"")</f>
        <v>8</v>
      </c>
      <c r="AP201" s="220">
        <f>IFERROR(INDEX(TableWRMaster[Custom],MATCH(TableWRTECalcPts[[#This Row],[POSRef]],TableWRMaster[WRRef],0)),"")</f>
        <v>8.9314553250464517</v>
      </c>
    </row>
    <row r="202" spans="13:42" x14ac:dyDescent="0.3">
      <c r="M202" s="191"/>
      <c r="O202" s="189" t="str">
        <f>IFERROR(RANK(TableWRCalcPts[[#This Row],[Custom]],TableWRCalcPts[Custom])+COUNTIF($T$3:T202,T202)-1,"")</f>
        <v/>
      </c>
      <c r="P202" s="189">
        <v>200</v>
      </c>
      <c r="Q202" s="189" t="str">
        <f>IFERROR(INDEX(TableWRMaster[Player],MATCH(TableWRCalcPts[[#This Row],[WRRef]],TableWRMaster[WRRef],0)),"")</f>
        <v/>
      </c>
      <c r="R202" s="189" t="str">
        <f>IFERROR(INDEX(TableWRMaster[TM],MATCH(TableWRCalcPts[[#This Row],[WRRef]],TableWRMaster[WRRef],0)),"")</f>
        <v/>
      </c>
      <c r="S202" s="189" t="str">
        <f>IFERROR(INDEX(TableWRMaster[BYE],MATCH(TableWRCalcPts[[#This Row],[WRRef]],TableWRMaster[WRRef],0)),"")</f>
        <v/>
      </c>
      <c r="T202" s="191" t="str">
        <f>IFERROR(INDEX(TableWRMaster[Custom],MATCH(TableWRCalcPts[[#This Row],[WRRef]],TableWRMaster[WRRef],0)),"")</f>
        <v/>
      </c>
      <c r="AI202" s="221" t="s">
        <v>358</v>
      </c>
      <c r="AJ202" s="189">
        <f>IFERROR(RANK(TableWRTECalcPts[[#This Row],[Custom]],TableWRTECalcPts[Custom])+COUNTIF($AP$3:AP202,AP202)-1,"")</f>
        <v>20</v>
      </c>
      <c r="AK202" s="218">
        <v>100</v>
      </c>
      <c r="AL202" s="219" t="str">
        <f>IFERROR(INDEX(TableWRMaster[Player],MATCH(TableWRTECalcPts[[#This Row],[POSRef]],TableWRMaster[WRRef],0)),"")</f>
        <v>Allen Robinson</v>
      </c>
      <c r="AM202" s="219" t="str">
        <f>IFERROR(_xlfn.CONCAT(TableWRTECalcPts[[#This Row],[POS]],INDEX(TableWRRanks[RK],MATCH(TableWRTECalcPts[[#This Row],[PLAYER]],TableWRRanks[Player],0))),"")</f>
        <v>WR17</v>
      </c>
      <c r="AN202" s="219" t="str">
        <f>IFERROR(INDEX(TableWRMaster[TM],MATCH(TableWRTECalcPts[[#This Row],[POSRef]],TableWRMaster[WRRef],0)),"")</f>
        <v>LAR</v>
      </c>
      <c r="AO202" s="219">
        <f>IFERROR(INDEX(TableWRMaster[BYE],MATCH(TableWRTECalcPts[[#This Row],[POSRef]],TableWRMaster[WRRef],0)),"")</f>
        <v>7</v>
      </c>
      <c r="AP202" s="220">
        <f>IFERROR(INDEX(TableWRMaster[Custom],MATCH(TableWRTECalcPts[[#This Row],[POSRef]],TableWRMaster[WRRef],0)),"")</f>
        <v>150.34659128848409</v>
      </c>
    </row>
    <row r="203" spans="13:42" x14ac:dyDescent="0.3">
      <c r="M203" s="191"/>
      <c r="O203" s="189" t="str">
        <f>IFERROR(RANK(TableWRCalcPts[[#This Row],[Custom]],TableWRCalcPts[Custom])+COUNTIF($T$3:T203,T203)-1,"")</f>
        <v/>
      </c>
      <c r="P203" s="189">
        <v>201</v>
      </c>
      <c r="Q203" s="189" t="str">
        <f>IFERROR(INDEX(TableWRMaster[Player],MATCH(TableWRCalcPts[[#This Row],[WRRef]],TableWRMaster[WRRef],0)),"")</f>
        <v/>
      </c>
      <c r="R203" s="189" t="str">
        <f>IFERROR(INDEX(TableWRMaster[TM],MATCH(TableWRCalcPts[[#This Row],[WRRef]],TableWRMaster[WRRef],0)),"")</f>
        <v/>
      </c>
      <c r="S203" s="189" t="str">
        <f>IFERROR(INDEX(TableWRMaster[BYE],MATCH(TableWRCalcPts[[#This Row],[WRRef]],TableWRMaster[WRRef],0)),"")</f>
        <v/>
      </c>
      <c r="T203" s="191" t="str">
        <f>IFERROR(INDEX(TableWRMaster[Custom],MATCH(TableWRCalcPts[[#This Row],[WRRef]],TableWRMaster[WRRef],0)),"")</f>
        <v/>
      </c>
      <c r="AI203" s="221" t="s">
        <v>358</v>
      </c>
      <c r="AJ203" s="189">
        <f>IFERROR(RANK(TableWRTECalcPts[[#This Row],[Custom]],TableWRTECalcPts[Custom])+COUNTIF($AP$3:AP203,AP203)-1,"")</f>
        <v>1</v>
      </c>
      <c r="AK203" s="218">
        <v>101</v>
      </c>
      <c r="AL203" s="219" t="str">
        <f>IFERROR(INDEX(TableWRMaster[Player],MATCH(TableWRTECalcPts[[#This Row],[POSRef]],TableWRMaster[WRRef],0)),"")</f>
        <v>Cooper Kupp</v>
      </c>
      <c r="AM203" s="219" t="str">
        <f>IFERROR(_xlfn.CONCAT(TableWRTECalcPts[[#This Row],[POS]],INDEX(TableWRRanks[RK],MATCH(TableWRTECalcPts[[#This Row],[PLAYER]],TableWRRanks[Player],0))),"")</f>
        <v>WR1</v>
      </c>
      <c r="AN203" s="219" t="str">
        <f>IFERROR(INDEX(TableWRMaster[TM],MATCH(TableWRTECalcPts[[#This Row],[POSRef]],TableWRMaster[WRRef],0)),"")</f>
        <v>LAR</v>
      </c>
      <c r="AO203" s="219">
        <f>IFERROR(INDEX(TableWRMaster[BYE],MATCH(TableWRTECalcPts[[#This Row],[POSRef]],TableWRMaster[WRRef],0)),"")</f>
        <v>7</v>
      </c>
      <c r="AP203" s="220">
        <f>IFERROR(INDEX(TableWRMaster[Custom],MATCH(TableWRTECalcPts[[#This Row],[POSRef]],TableWRMaster[WRRef],0)),"")</f>
        <v>238.89381844067441</v>
      </c>
    </row>
    <row r="204" spans="13:42" x14ac:dyDescent="0.3">
      <c r="M204" s="191"/>
      <c r="O204" s="189" t="str">
        <f>IFERROR(RANK(TableWRCalcPts[[#This Row],[Custom]],TableWRCalcPts[Custom])+COUNTIF($T$3:T204,T204)-1,"")</f>
        <v/>
      </c>
      <c r="P204" s="189">
        <v>202</v>
      </c>
      <c r="Q204" s="189" t="str">
        <f>IFERROR(INDEX(TableWRMaster[Player],MATCH(TableWRCalcPts[[#This Row],[WRRef]],TableWRMaster[WRRef],0)),"")</f>
        <v/>
      </c>
      <c r="R204" s="189" t="str">
        <f>IFERROR(INDEX(TableWRMaster[TM],MATCH(TableWRCalcPts[[#This Row],[WRRef]],TableWRMaster[WRRef],0)),"")</f>
        <v/>
      </c>
      <c r="S204" s="189" t="str">
        <f>IFERROR(INDEX(TableWRMaster[BYE],MATCH(TableWRCalcPts[[#This Row],[WRRef]],TableWRMaster[WRRef],0)),"")</f>
        <v/>
      </c>
      <c r="T204" s="191" t="str">
        <f>IFERROR(INDEX(TableWRMaster[Custom],MATCH(TableWRCalcPts[[#This Row],[WRRef]],TableWRMaster[WRRef],0)),"")</f>
        <v/>
      </c>
      <c r="AI204" s="221" t="s">
        <v>358</v>
      </c>
      <c r="AJ204" s="189">
        <f>IFERROR(RANK(TableWRTECalcPts[[#This Row],[Custom]],TableWRTECalcPts[Custom])+COUNTIF($AP$3:AP204,AP204)-1,"")</f>
        <v>59</v>
      </c>
      <c r="AK204" s="218">
        <v>102</v>
      </c>
      <c r="AL204" s="219" t="str">
        <f>IFERROR(INDEX(TableWRMaster[Player],MATCH(TableWRTECalcPts[[#This Row],[POSRef]],TableWRMaster[WRRef],0)),"")</f>
        <v>Van Jefferson</v>
      </c>
      <c r="AM204" s="219" t="str">
        <f>IFERROR(_xlfn.CONCAT(TableWRTECalcPts[[#This Row],[POS]],INDEX(TableWRRanks[RK],MATCH(TableWRTECalcPts[[#This Row],[PLAYER]],TableWRRanks[Player],0))),"")</f>
        <v>WR52</v>
      </c>
      <c r="AN204" s="219" t="str">
        <f>IFERROR(INDEX(TableWRMaster[TM],MATCH(TableWRTECalcPts[[#This Row],[POSRef]],TableWRMaster[WRRef],0)),"")</f>
        <v>LAR</v>
      </c>
      <c r="AO204" s="219">
        <f>IFERROR(INDEX(TableWRMaster[BYE],MATCH(TableWRTECalcPts[[#This Row],[POSRef]],TableWRMaster[WRRef],0)),"")</f>
        <v>7</v>
      </c>
      <c r="AP204" s="220">
        <f>IFERROR(INDEX(TableWRMaster[Custom],MATCH(TableWRTECalcPts[[#This Row],[POSRef]],TableWRMaster[WRRef],0)),"")</f>
        <v>106.76394680560256</v>
      </c>
    </row>
    <row r="205" spans="13:42" x14ac:dyDescent="0.3">
      <c r="M205" s="191"/>
      <c r="O205" s="189" t="str">
        <f>IFERROR(RANK(TableWRCalcPts[[#This Row],[Custom]],TableWRCalcPts[Custom])+COUNTIF($T$3:T205,T205)-1,"")</f>
        <v/>
      </c>
      <c r="P205" s="189">
        <v>203</v>
      </c>
      <c r="Q205" s="189" t="str">
        <f>IFERROR(INDEX(TableWRMaster[Player],MATCH(TableWRCalcPts[[#This Row],[WRRef]],TableWRMaster[WRRef],0)),"")</f>
        <v/>
      </c>
      <c r="R205" s="189" t="str">
        <f>IFERROR(INDEX(TableWRMaster[TM],MATCH(TableWRCalcPts[[#This Row],[WRRef]],TableWRMaster[WRRef],0)),"")</f>
        <v/>
      </c>
      <c r="S205" s="189" t="str">
        <f>IFERROR(INDEX(TableWRMaster[BYE],MATCH(TableWRCalcPts[[#This Row],[WRRef]],TableWRMaster[WRRef],0)),"")</f>
        <v/>
      </c>
      <c r="T205" s="191" t="str">
        <f>IFERROR(INDEX(TableWRMaster[Custom],MATCH(TableWRCalcPts[[#This Row],[WRRef]],TableWRMaster[WRRef],0)),"")</f>
        <v/>
      </c>
      <c r="AI205" s="221" t="s">
        <v>358</v>
      </c>
      <c r="AJ205" s="189">
        <f>IFERROR(RANK(TableWRTECalcPts[[#This Row],[Custom]],TableWRTECalcPts[Custom])+COUNTIF($AP$3:AP205,AP205)-1,"")</f>
        <v>178</v>
      </c>
      <c r="AK205" s="218">
        <v>103</v>
      </c>
      <c r="AL205" s="219" t="str">
        <f>IFERROR(INDEX(TableWRMaster[Player],MATCH(TableWRTECalcPts[[#This Row],[POSRef]],TableWRMaster[WRRef],0)),"")</f>
        <v>Ben Skowronek</v>
      </c>
      <c r="AM205" s="219" t="str">
        <f>IFERROR(_xlfn.CONCAT(TableWRTECalcPts[[#This Row],[POS]],INDEX(TableWRRanks[RK],MATCH(TableWRTECalcPts[[#This Row],[PLAYER]],TableWRRanks[Player],0))),"")</f>
        <v>WR129</v>
      </c>
      <c r="AN205" s="219" t="str">
        <f>IFERROR(INDEX(TableWRMaster[TM],MATCH(TableWRTECalcPts[[#This Row],[POSRef]],TableWRMaster[WRRef],0)),"")</f>
        <v>LAR</v>
      </c>
      <c r="AO205" s="219">
        <f>IFERROR(INDEX(TableWRMaster[BYE],MATCH(TableWRTECalcPts[[#This Row],[POSRef]],TableWRMaster[WRRef],0)),"")</f>
        <v>7</v>
      </c>
      <c r="AP205" s="220">
        <f>IFERROR(INDEX(TableWRMaster[Custom],MATCH(TableWRTECalcPts[[#This Row],[POSRef]],TableWRMaster[WRRef],0)),"")</f>
        <v>22.067779718861189</v>
      </c>
    </row>
    <row r="206" spans="13:42" x14ac:dyDescent="0.3">
      <c r="M206" s="191"/>
      <c r="O206" s="189" t="str">
        <f>IFERROR(RANK(TableWRCalcPts[[#This Row],[Custom]],TableWRCalcPts[Custom])+COUNTIF($T$3:T206,T206)-1,"")</f>
        <v/>
      </c>
      <c r="P206" s="189">
        <v>204</v>
      </c>
      <c r="Q206" s="189" t="str">
        <f>IFERROR(INDEX(TableWRMaster[Player],MATCH(TableWRCalcPts[[#This Row],[WRRef]],TableWRMaster[WRRef],0)),"")</f>
        <v/>
      </c>
      <c r="R206" s="189" t="str">
        <f>IFERROR(INDEX(TableWRMaster[TM],MATCH(TableWRCalcPts[[#This Row],[WRRef]],TableWRMaster[WRRef],0)),"")</f>
        <v/>
      </c>
      <c r="S206" s="189" t="str">
        <f>IFERROR(INDEX(TableWRMaster[BYE],MATCH(TableWRCalcPts[[#This Row],[WRRef]],TableWRMaster[WRRef],0)),"")</f>
        <v/>
      </c>
      <c r="T206" s="191" t="str">
        <f>IFERROR(INDEX(TableWRMaster[Custom],MATCH(TableWRCalcPts[[#This Row],[WRRef]],TableWRMaster[WRRef],0)),"")</f>
        <v/>
      </c>
      <c r="AI206" s="221" t="s">
        <v>358</v>
      </c>
      <c r="AJ206" s="189">
        <f>IFERROR(RANK(TableWRTECalcPts[[#This Row],[Custom]],TableWRTECalcPts[Custom])+COUNTIF($AP$3:AP206,AP206)-1,"")</f>
        <v>198</v>
      </c>
      <c r="AK206" s="218">
        <v>104</v>
      </c>
      <c r="AL206" s="219" t="str">
        <f>IFERROR(INDEX(TableWRMaster[Player],MATCH(TableWRTECalcPts[[#This Row],[POSRef]],TableWRMaster[WRRef],0)),"")</f>
        <v>Tutu Atwell</v>
      </c>
      <c r="AM206" s="219" t="str">
        <f>IFERROR(_xlfn.CONCAT(TableWRTECalcPts[[#This Row],[POS]],INDEX(TableWRRanks[RK],MATCH(TableWRTECalcPts[[#This Row],[PLAYER]],TableWRRanks[Player],0))),"")</f>
        <v>WR141</v>
      </c>
      <c r="AN206" s="219" t="str">
        <f>IFERROR(INDEX(TableWRMaster[TM],MATCH(TableWRTECalcPts[[#This Row],[POSRef]],TableWRMaster[WRRef],0)),"")</f>
        <v>LAR</v>
      </c>
      <c r="AO206" s="219">
        <f>IFERROR(INDEX(TableWRMaster[BYE],MATCH(TableWRTECalcPts[[#This Row],[POSRef]],TableWRMaster[WRRef],0)),"")</f>
        <v>7</v>
      </c>
      <c r="AP206" s="220">
        <f>IFERROR(INDEX(TableWRMaster[Custom],MATCH(TableWRTECalcPts[[#This Row],[POSRef]],TableWRMaster[WRRef],0)),"")</f>
        <v>17.411240387793896</v>
      </c>
    </row>
    <row r="207" spans="13:42" x14ac:dyDescent="0.3">
      <c r="M207" s="191"/>
      <c r="O207" s="189" t="str">
        <f>IFERROR(RANK(TableWRCalcPts[[#This Row],[Custom]],TableWRCalcPts[Custom])+COUNTIF($T$3:T207,T207)-1,"")</f>
        <v/>
      </c>
      <c r="P207" s="189">
        <v>205</v>
      </c>
      <c r="Q207" s="189" t="str">
        <f>IFERROR(INDEX(TableWRMaster[Player],MATCH(TableWRCalcPts[[#This Row],[WRRef]],TableWRMaster[WRRef],0)),"")</f>
        <v/>
      </c>
      <c r="R207" s="189" t="str">
        <f>IFERROR(INDEX(TableWRMaster[TM],MATCH(TableWRCalcPts[[#This Row],[WRRef]],TableWRMaster[WRRef],0)),"")</f>
        <v/>
      </c>
      <c r="S207" s="189" t="str">
        <f>IFERROR(INDEX(TableWRMaster[BYE],MATCH(TableWRCalcPts[[#This Row],[WRRef]],TableWRMaster[WRRef],0)),"")</f>
        <v/>
      </c>
      <c r="T207" s="191" t="str">
        <f>IFERROR(INDEX(TableWRMaster[Custom],MATCH(TableWRCalcPts[[#This Row],[WRRef]],TableWRMaster[WRRef],0)),"")</f>
        <v/>
      </c>
      <c r="AI207" s="221" t="s">
        <v>358</v>
      </c>
      <c r="AJ207" s="189">
        <f>IFERROR(RANK(TableWRTECalcPts[[#This Row],[Custom]],TableWRTECalcPts[Custom])+COUNTIF($AP$3:AP207,AP207)-1,"")</f>
        <v>6</v>
      </c>
      <c r="AK207" s="218">
        <v>105</v>
      </c>
      <c r="AL207" s="219" t="str">
        <f>IFERROR(INDEX(TableWRMaster[Player],MATCH(TableWRTECalcPts[[#This Row],[POSRef]],TableWRMaster[WRRef],0)),"")</f>
        <v>Davante Adams</v>
      </c>
      <c r="AM207" s="219" t="str">
        <f>IFERROR(_xlfn.CONCAT(TableWRTECalcPts[[#This Row],[POS]],INDEX(TableWRRanks[RK],MATCH(TableWRTECalcPts[[#This Row],[PLAYER]],TableWRRanks[Player],0))),"")</f>
        <v>WR6</v>
      </c>
      <c r="AN207" s="219" t="str">
        <f>IFERROR(INDEX(TableWRMaster[TM],MATCH(TableWRTECalcPts[[#This Row],[POSRef]],TableWRMaster[WRRef],0)),"")</f>
        <v>LV</v>
      </c>
      <c r="AO207" s="219">
        <f>IFERROR(INDEX(TableWRMaster[BYE],MATCH(TableWRTECalcPts[[#This Row],[POSRef]],TableWRMaster[WRRef],0)),"")</f>
        <v>6</v>
      </c>
      <c r="AP207" s="220">
        <f>IFERROR(INDEX(TableWRMaster[Custom],MATCH(TableWRTECalcPts[[#This Row],[POSRef]],TableWRMaster[WRRef],0)),"")</f>
        <v>186.68481728142513</v>
      </c>
    </row>
    <row r="208" spans="13:42" x14ac:dyDescent="0.3">
      <c r="M208" s="191"/>
      <c r="O208" s="189" t="str">
        <f>IFERROR(RANK(TableWRCalcPts[[#This Row],[Custom]],TableWRCalcPts[Custom])+COUNTIF($T$3:T208,T208)-1,"")</f>
        <v/>
      </c>
      <c r="P208" s="189">
        <v>206</v>
      </c>
      <c r="Q208" s="189" t="str">
        <f>IFERROR(INDEX(TableWRMaster[Player],MATCH(TableWRCalcPts[[#This Row],[WRRef]],TableWRMaster[WRRef],0)),"")</f>
        <v/>
      </c>
      <c r="R208" s="189" t="str">
        <f>IFERROR(INDEX(TableWRMaster[TM],MATCH(TableWRCalcPts[[#This Row],[WRRef]],TableWRMaster[WRRef],0)),"")</f>
        <v/>
      </c>
      <c r="S208" s="189" t="str">
        <f>IFERROR(INDEX(TableWRMaster[BYE],MATCH(TableWRCalcPts[[#This Row],[WRRef]],TableWRMaster[WRRef],0)),"")</f>
        <v/>
      </c>
      <c r="T208" s="191" t="str">
        <f>IFERROR(INDEX(TableWRMaster[Custom],MATCH(TableWRCalcPts[[#This Row],[WRRef]],TableWRMaster[WRRef],0)),"")</f>
        <v/>
      </c>
      <c r="AI208" s="221" t="s">
        <v>358</v>
      </c>
      <c r="AJ208" s="189">
        <f>IFERROR(RANK(TableWRTECalcPts[[#This Row],[Custom]],TableWRTECalcPts[Custom])+COUNTIF($AP$3:AP208,AP208)-1,"")</f>
        <v>38</v>
      </c>
      <c r="AK208" s="218">
        <v>106</v>
      </c>
      <c r="AL208" s="219" t="str">
        <f>IFERROR(INDEX(TableWRMaster[Player],MATCH(TableWRTECalcPts[[#This Row],[POSRef]],TableWRMaster[WRRef],0)),"")</f>
        <v>Hunter Renfrow</v>
      </c>
      <c r="AM208" s="219" t="str">
        <f>IFERROR(_xlfn.CONCAT(TableWRTECalcPts[[#This Row],[POS]],INDEX(TableWRRanks[RK],MATCH(TableWRTECalcPts[[#This Row],[PLAYER]],TableWRRanks[Player],0))),"")</f>
        <v>WR35</v>
      </c>
      <c r="AN208" s="219" t="str">
        <f>IFERROR(INDEX(TableWRMaster[TM],MATCH(TableWRTECalcPts[[#This Row],[POSRef]],TableWRMaster[WRRef],0)),"")</f>
        <v>LV</v>
      </c>
      <c r="AO208" s="219">
        <f>IFERROR(INDEX(TableWRMaster[BYE],MATCH(TableWRTECalcPts[[#This Row],[POSRef]],TableWRMaster[WRRef],0)),"")</f>
        <v>6</v>
      </c>
      <c r="AP208" s="220">
        <f>IFERROR(INDEX(TableWRMaster[Custom],MATCH(TableWRTECalcPts[[#This Row],[POSRef]],TableWRMaster[WRRef],0)),"")</f>
        <v>132.55605237294674</v>
      </c>
    </row>
    <row r="209" spans="13:42" x14ac:dyDescent="0.3">
      <c r="M209" s="191"/>
      <c r="O209" s="189" t="str">
        <f>IFERROR(RANK(TableWRCalcPts[[#This Row],[Custom]],TableWRCalcPts[Custom])+COUNTIF($T$3:T209,T209)-1,"")</f>
        <v/>
      </c>
      <c r="P209" s="189">
        <v>207</v>
      </c>
      <c r="Q209" s="189" t="str">
        <f>IFERROR(INDEX(TableWRMaster[Player],MATCH(TableWRCalcPts[[#This Row],[WRRef]],TableWRMaster[WRRef],0)),"")</f>
        <v/>
      </c>
      <c r="R209" s="189" t="str">
        <f>IFERROR(INDEX(TableWRMaster[TM],MATCH(TableWRCalcPts[[#This Row],[WRRef]],TableWRMaster[WRRef],0)),"")</f>
        <v/>
      </c>
      <c r="S209" s="189" t="str">
        <f>IFERROR(INDEX(TableWRMaster[BYE],MATCH(TableWRCalcPts[[#This Row],[WRRef]],TableWRMaster[WRRef],0)),"")</f>
        <v/>
      </c>
      <c r="T209" s="191" t="str">
        <f>IFERROR(INDEX(TableWRMaster[Custom],MATCH(TableWRCalcPts[[#This Row],[WRRef]],TableWRMaster[WRRef],0)),"")</f>
        <v/>
      </c>
      <c r="AI209" s="221" t="s">
        <v>358</v>
      </c>
      <c r="AJ209" s="189">
        <f>IFERROR(RANK(TableWRTECalcPts[[#This Row],[Custom]],TableWRTECalcPts[Custom])+COUNTIF($AP$3:AP209,AP209)-1,"")</f>
        <v>145</v>
      </c>
      <c r="AK209" s="218">
        <v>107</v>
      </c>
      <c r="AL209" s="219" t="str">
        <f>IFERROR(INDEX(TableWRMaster[Player],MATCH(TableWRTECalcPts[[#This Row],[POSRef]],TableWRMaster[WRRef],0)),"")</f>
        <v>Demarcus Robinson</v>
      </c>
      <c r="AM209" s="219" t="str">
        <f>IFERROR(_xlfn.CONCAT(TableWRTECalcPts[[#This Row],[POS]],INDEX(TableWRRanks[RK],MATCH(TableWRTECalcPts[[#This Row],[PLAYER]],TableWRRanks[Player],0))),"")</f>
        <v>WR108</v>
      </c>
      <c r="AN209" s="219" t="str">
        <f>IFERROR(INDEX(TableWRMaster[TM],MATCH(TableWRTECalcPts[[#This Row],[POSRef]],TableWRMaster[WRRef],0)),"")</f>
        <v>LV</v>
      </c>
      <c r="AO209" s="219">
        <f>IFERROR(INDEX(TableWRMaster[BYE],MATCH(TableWRTECalcPts[[#This Row],[POSRef]],TableWRMaster[WRRef],0)),"")</f>
        <v>6</v>
      </c>
      <c r="AP209" s="220">
        <f>IFERROR(INDEX(TableWRMaster[Custom],MATCH(TableWRTECalcPts[[#This Row],[POSRef]],TableWRMaster[WRRef],0)),"")</f>
        <v>35.322918725494581</v>
      </c>
    </row>
    <row r="210" spans="13:42" x14ac:dyDescent="0.3">
      <c r="M210" s="191"/>
      <c r="O210" s="189" t="str">
        <f>IFERROR(RANK(TableWRCalcPts[[#This Row],[Custom]],TableWRCalcPts[Custom])+COUNTIF($T$3:T210,T210)-1,"")</f>
        <v/>
      </c>
      <c r="P210" s="189">
        <v>208</v>
      </c>
      <c r="Q210" s="189" t="str">
        <f>IFERROR(INDEX(TableWRMaster[Player],MATCH(TableWRCalcPts[[#This Row],[WRRef]],TableWRMaster[WRRef],0)),"")</f>
        <v/>
      </c>
      <c r="R210" s="189" t="str">
        <f>IFERROR(INDEX(TableWRMaster[TM],MATCH(TableWRCalcPts[[#This Row],[WRRef]],TableWRMaster[WRRef],0)),"")</f>
        <v/>
      </c>
      <c r="S210" s="189" t="str">
        <f>IFERROR(INDEX(TableWRMaster[BYE],MATCH(TableWRCalcPts[[#This Row],[WRRef]],TableWRMaster[WRRef],0)),"")</f>
        <v/>
      </c>
      <c r="T210" s="191" t="str">
        <f>IFERROR(INDEX(TableWRMaster[Custom],MATCH(TableWRCalcPts[[#This Row],[WRRef]],TableWRMaster[WRRef],0)),"")</f>
        <v/>
      </c>
      <c r="AI210" s="221" t="s">
        <v>358</v>
      </c>
      <c r="AJ210" s="189">
        <f>IFERROR(RANK(TableWRTECalcPts[[#This Row],[Custom]],TableWRTECalcPts[Custom])+COUNTIF($AP$3:AP210,AP210)-1,"")</f>
        <v>192</v>
      </c>
      <c r="AK210" s="218">
        <v>108</v>
      </c>
      <c r="AL210" s="219" t="str">
        <f>IFERROR(INDEX(TableWRMaster[Player],MATCH(TableWRTECalcPts[[#This Row],[POSRef]],TableWRMaster[WRRef],0)),"")</f>
        <v>Mack Hollins</v>
      </c>
      <c r="AM210" s="219" t="str">
        <f>IFERROR(_xlfn.CONCAT(TableWRTECalcPts[[#This Row],[POS]],INDEX(TableWRRanks[RK],MATCH(TableWRTECalcPts[[#This Row],[PLAYER]],TableWRRanks[Player],0))),"")</f>
        <v>WR136</v>
      </c>
      <c r="AN210" s="219" t="str">
        <f>IFERROR(INDEX(TableWRMaster[TM],MATCH(TableWRTECalcPts[[#This Row],[POSRef]],TableWRMaster[WRRef],0)),"")</f>
        <v>LV</v>
      </c>
      <c r="AO210" s="219">
        <f>IFERROR(INDEX(TableWRMaster[BYE],MATCH(TableWRTECalcPts[[#This Row],[POSRef]],TableWRMaster[WRRef],0)),"")</f>
        <v>6</v>
      </c>
      <c r="AP210" s="220">
        <f>IFERROR(INDEX(TableWRMaster[Custom],MATCH(TableWRTECalcPts[[#This Row],[POSRef]],TableWRMaster[WRRef],0)),"")</f>
        <v>18.867715638529205</v>
      </c>
    </row>
    <row r="211" spans="13:42" x14ac:dyDescent="0.3">
      <c r="M211" s="191"/>
      <c r="O211" s="189" t="str">
        <f>IFERROR(RANK(TableWRCalcPts[[#This Row],[Custom]],TableWRCalcPts[Custom])+COUNTIF($T$3:T211,T211)-1,"")</f>
        <v/>
      </c>
      <c r="P211" s="189">
        <v>209</v>
      </c>
      <c r="Q211" s="189" t="str">
        <f>IFERROR(INDEX(TableWRMaster[Player],MATCH(TableWRCalcPts[[#This Row],[WRRef]],TableWRMaster[WRRef],0)),"")</f>
        <v/>
      </c>
      <c r="R211" s="189" t="str">
        <f>IFERROR(INDEX(TableWRMaster[TM],MATCH(TableWRCalcPts[[#This Row],[WRRef]],TableWRMaster[WRRef],0)),"")</f>
        <v/>
      </c>
      <c r="S211" s="189" t="str">
        <f>IFERROR(INDEX(TableWRMaster[BYE],MATCH(TableWRCalcPts[[#This Row],[WRRef]],TableWRMaster[WRRef],0)),"")</f>
        <v/>
      </c>
      <c r="T211" s="191" t="str">
        <f>IFERROR(INDEX(TableWRMaster[Custom],MATCH(TableWRCalcPts[[#This Row],[WRRef]],TableWRMaster[WRRef],0)),"")</f>
        <v/>
      </c>
      <c r="AI211" s="221" t="s">
        <v>358</v>
      </c>
      <c r="AJ211" s="189">
        <f>IFERROR(RANK(TableWRTECalcPts[[#This Row],[Custom]],TableWRTECalcPts[Custom])+COUNTIF($AP$3:AP211,AP211)-1,"")</f>
        <v>189</v>
      </c>
      <c r="AK211" s="218">
        <v>109</v>
      </c>
      <c r="AL211" s="219" t="str">
        <f>IFERROR(INDEX(TableWRMaster[Player],MATCH(TableWRTECalcPts[[#This Row],[POSRef]],TableWRMaster[WRRef],0)),"")</f>
        <v>Keelan Cole</v>
      </c>
      <c r="AM211" s="219" t="str">
        <f>IFERROR(_xlfn.CONCAT(TableWRTECalcPts[[#This Row],[POS]],INDEX(TableWRRanks[RK],MATCH(TableWRTECalcPts[[#This Row],[PLAYER]],TableWRRanks[Player],0))),"")</f>
        <v>WR134</v>
      </c>
      <c r="AN211" s="219" t="str">
        <f>IFERROR(INDEX(TableWRMaster[TM],MATCH(TableWRTECalcPts[[#This Row],[POSRef]],TableWRMaster[WRRef],0)),"")</f>
        <v>LV</v>
      </c>
      <c r="AO211" s="219">
        <f>IFERROR(INDEX(TableWRMaster[BYE],MATCH(TableWRTECalcPts[[#This Row],[POSRef]],TableWRMaster[WRRef],0)),"")</f>
        <v>6</v>
      </c>
      <c r="AP211" s="220">
        <f>IFERROR(INDEX(TableWRMaster[Custom],MATCH(TableWRTECalcPts[[#This Row],[POSRef]],TableWRMaster[WRRef],0)),"")</f>
        <v>19.428639238758887</v>
      </c>
    </row>
    <row r="212" spans="13:42" x14ac:dyDescent="0.3">
      <c r="M212" s="191"/>
      <c r="O212" s="189" t="str">
        <f>IFERROR(RANK(TableWRCalcPts[[#This Row],[Custom]],TableWRCalcPts[Custom])+COUNTIF($T$3:T212,T212)-1,"")</f>
        <v/>
      </c>
      <c r="P212" s="189">
        <v>210</v>
      </c>
      <c r="Q212" s="189" t="str">
        <f>IFERROR(INDEX(TableWRMaster[Player],MATCH(TableWRCalcPts[[#This Row],[WRRef]],TableWRMaster[WRRef],0)),"")</f>
        <v/>
      </c>
      <c r="R212" s="189" t="str">
        <f>IFERROR(INDEX(TableWRMaster[TM],MATCH(TableWRCalcPts[[#This Row],[WRRef]],TableWRMaster[WRRef],0)),"")</f>
        <v/>
      </c>
      <c r="S212" s="189" t="str">
        <f>IFERROR(INDEX(TableWRMaster[BYE],MATCH(TableWRCalcPts[[#This Row],[WRRef]],TableWRMaster[WRRef],0)),"")</f>
        <v/>
      </c>
      <c r="T212" s="191" t="str">
        <f>IFERROR(INDEX(TableWRMaster[Custom],MATCH(TableWRCalcPts[[#This Row],[WRRef]],TableWRMaster[WRRef],0)),"")</f>
        <v/>
      </c>
      <c r="AI212" s="221" t="s">
        <v>358</v>
      </c>
      <c r="AJ212" s="189">
        <f>IFERROR(RANK(TableWRTECalcPts[[#This Row],[Custom]],TableWRTECalcPts[Custom])+COUNTIF($AP$3:AP212,AP212)-1,"")</f>
        <v>10</v>
      </c>
      <c r="AK212" s="218">
        <v>110</v>
      </c>
      <c r="AL212" s="219" t="str">
        <f>IFERROR(INDEX(TableWRMaster[Player],MATCH(TableWRTECalcPts[[#This Row],[POSRef]],TableWRMaster[WRRef],0)),"")</f>
        <v>Tyreek Hill</v>
      </c>
      <c r="AM212" s="219" t="str">
        <f>IFERROR(_xlfn.CONCAT(TableWRTECalcPts[[#This Row],[POS]],INDEX(TableWRRanks[RK],MATCH(TableWRTECalcPts[[#This Row],[PLAYER]],TableWRRanks[Player],0))),"")</f>
        <v>WR10</v>
      </c>
      <c r="AN212" s="219" t="str">
        <f>IFERROR(INDEX(TableWRMaster[TM],MATCH(TableWRTECalcPts[[#This Row],[POSRef]],TableWRMaster[WRRef],0)),"")</f>
        <v>MIA</v>
      </c>
      <c r="AO212" s="219">
        <f>IFERROR(INDEX(TableWRMaster[BYE],MATCH(TableWRTECalcPts[[#This Row],[POSRef]],TableWRMaster[WRRef],0)),"")</f>
        <v>11</v>
      </c>
      <c r="AP212" s="220">
        <f>IFERROR(INDEX(TableWRMaster[Custom],MATCH(TableWRTECalcPts[[#This Row],[POSRef]],TableWRMaster[WRRef],0)),"")</f>
        <v>170.43250907909703</v>
      </c>
    </row>
    <row r="213" spans="13:42" x14ac:dyDescent="0.3">
      <c r="M213" s="191"/>
      <c r="O213" s="189" t="str">
        <f>IFERROR(RANK(TableWRCalcPts[[#This Row],[Custom]],TableWRCalcPts[Custom])+COUNTIF($T$3:T213,T213)-1,"")</f>
        <v/>
      </c>
      <c r="P213" s="189">
        <v>211</v>
      </c>
      <c r="Q213" s="189" t="str">
        <f>IFERROR(INDEX(TableWRMaster[Player],MATCH(TableWRCalcPts[[#This Row],[WRRef]],TableWRMaster[WRRef],0)),"")</f>
        <v/>
      </c>
      <c r="R213" s="189" t="str">
        <f>IFERROR(INDEX(TableWRMaster[TM],MATCH(TableWRCalcPts[[#This Row],[WRRef]],TableWRMaster[WRRef],0)),"")</f>
        <v/>
      </c>
      <c r="S213" s="189" t="str">
        <f>IFERROR(INDEX(TableWRMaster[BYE],MATCH(TableWRCalcPts[[#This Row],[WRRef]],TableWRMaster[WRRef],0)),"")</f>
        <v/>
      </c>
      <c r="T213" s="191" t="str">
        <f>IFERROR(INDEX(TableWRMaster[Custom],MATCH(TableWRCalcPts[[#This Row],[WRRef]],TableWRMaster[WRRef],0)),"")</f>
        <v/>
      </c>
      <c r="AI213" s="221" t="s">
        <v>358</v>
      </c>
      <c r="AJ213" s="189">
        <f>IFERROR(RANK(TableWRTECalcPts[[#This Row],[Custom]],TableWRTECalcPts[Custom])+COUNTIF($AP$3:AP213,AP213)-1,"")</f>
        <v>24</v>
      </c>
      <c r="AK213" s="218">
        <v>111</v>
      </c>
      <c r="AL213" s="219" t="str">
        <f>IFERROR(INDEX(TableWRMaster[Player],MATCH(TableWRTECalcPts[[#This Row],[POSRef]],TableWRMaster[WRRef],0)),"")</f>
        <v>Jaylen Waddle</v>
      </c>
      <c r="AM213" s="219" t="str">
        <f>IFERROR(_xlfn.CONCAT(TableWRTECalcPts[[#This Row],[POS]],INDEX(TableWRRanks[RK],MATCH(TableWRTECalcPts[[#This Row],[PLAYER]],TableWRRanks[Player],0))),"")</f>
        <v>WR21</v>
      </c>
      <c r="AN213" s="219" t="str">
        <f>IFERROR(INDEX(TableWRMaster[TM],MATCH(TableWRTECalcPts[[#This Row],[POSRef]],TableWRMaster[WRRef],0)),"")</f>
        <v>MIA</v>
      </c>
      <c r="AO213" s="219">
        <f>IFERROR(INDEX(TableWRMaster[BYE],MATCH(TableWRTECalcPts[[#This Row],[POSRef]],TableWRMaster[WRRef],0)),"")</f>
        <v>11</v>
      </c>
      <c r="AP213" s="220">
        <f>IFERROR(INDEX(TableWRMaster[Custom],MATCH(TableWRTECalcPts[[#This Row],[POSRef]],TableWRMaster[WRRef],0)),"")</f>
        <v>147.75272085722844</v>
      </c>
    </row>
    <row r="214" spans="13:42" x14ac:dyDescent="0.3">
      <c r="M214" s="191"/>
      <c r="O214" s="189" t="str">
        <f>IFERROR(RANK(TableWRCalcPts[[#This Row],[Custom]],TableWRCalcPts[Custom])+COUNTIF($T$3:T214,T214)-1,"")</f>
        <v/>
      </c>
      <c r="P214" s="189">
        <v>212</v>
      </c>
      <c r="Q214" s="189" t="str">
        <f>IFERROR(INDEX(TableWRMaster[Player],MATCH(TableWRCalcPts[[#This Row],[WRRef]],TableWRMaster[WRRef],0)),"")</f>
        <v/>
      </c>
      <c r="R214" s="189" t="str">
        <f>IFERROR(INDEX(TableWRMaster[TM],MATCH(TableWRCalcPts[[#This Row],[WRRef]],TableWRMaster[WRRef],0)),"")</f>
        <v/>
      </c>
      <c r="S214" s="189" t="str">
        <f>IFERROR(INDEX(TableWRMaster[BYE],MATCH(TableWRCalcPts[[#This Row],[WRRef]],TableWRMaster[WRRef],0)),"")</f>
        <v/>
      </c>
      <c r="T214" s="191" t="str">
        <f>IFERROR(INDEX(TableWRMaster[Custom],MATCH(TableWRCalcPts[[#This Row],[WRRef]],TableWRMaster[WRRef],0)),"")</f>
        <v/>
      </c>
      <c r="AI214" s="221" t="s">
        <v>358</v>
      </c>
      <c r="AJ214" s="189">
        <f>IFERROR(RANK(TableWRTECalcPts[[#This Row],[Custom]],TableWRTECalcPts[Custom])+COUNTIF($AP$3:AP214,AP214)-1,"")</f>
        <v>96</v>
      </c>
      <c r="AK214" s="218">
        <v>112</v>
      </c>
      <c r="AL214" s="219" t="str">
        <f>IFERROR(INDEX(TableWRMaster[Player],MATCH(TableWRTECalcPts[[#This Row],[POSRef]],TableWRMaster[WRRef],0)),"")</f>
        <v>Cedrick Wilson</v>
      </c>
      <c r="AM214" s="219" t="str">
        <f>IFERROR(_xlfn.CONCAT(TableWRTECalcPts[[#This Row],[POS]],INDEX(TableWRRanks[RK],MATCH(TableWRTECalcPts[[#This Row],[PLAYER]],TableWRRanks[Player],0))),"")</f>
        <v>WR74</v>
      </c>
      <c r="AN214" s="219" t="str">
        <f>IFERROR(INDEX(TableWRMaster[TM],MATCH(TableWRTECalcPts[[#This Row],[POSRef]],TableWRMaster[WRRef],0)),"")</f>
        <v>MIA</v>
      </c>
      <c r="AO214" s="219">
        <f>IFERROR(INDEX(TableWRMaster[BYE],MATCH(TableWRTECalcPts[[#This Row],[POSRef]],TableWRMaster[WRRef],0)),"")</f>
        <v>11</v>
      </c>
      <c r="AP214" s="220">
        <f>IFERROR(INDEX(TableWRMaster[Custom],MATCH(TableWRTECalcPts[[#This Row],[POSRef]],TableWRMaster[WRRef],0)),"")</f>
        <v>83.805271165984095</v>
      </c>
    </row>
    <row r="215" spans="13:42" x14ac:dyDescent="0.3">
      <c r="M215" s="191"/>
      <c r="O215" s="189" t="str">
        <f>IFERROR(RANK(TableWRCalcPts[[#This Row],[Custom]],TableWRCalcPts[Custom])+COUNTIF($T$3:T215,T215)-1,"")</f>
        <v/>
      </c>
      <c r="P215" s="189">
        <v>213</v>
      </c>
      <c r="Q215" s="189" t="str">
        <f>IFERROR(INDEX(TableWRMaster[Player],MATCH(TableWRCalcPts[[#This Row],[WRRef]],TableWRMaster[WRRef],0)),"")</f>
        <v/>
      </c>
      <c r="R215" s="189" t="str">
        <f>IFERROR(INDEX(TableWRMaster[TM],MATCH(TableWRCalcPts[[#This Row],[WRRef]],TableWRMaster[WRRef],0)),"")</f>
        <v/>
      </c>
      <c r="S215" s="189" t="str">
        <f>IFERROR(INDEX(TableWRMaster[BYE],MATCH(TableWRCalcPts[[#This Row],[WRRef]],TableWRMaster[WRRef],0)),"")</f>
        <v/>
      </c>
      <c r="T215" s="191" t="str">
        <f>IFERROR(INDEX(TableWRMaster[Custom],MATCH(TableWRCalcPts[[#This Row],[WRRef]],TableWRMaster[WRRef],0)),"")</f>
        <v/>
      </c>
      <c r="AI215" s="221" t="s">
        <v>358</v>
      </c>
      <c r="AJ215" s="189">
        <f>IFERROR(RANK(TableWRTECalcPts[[#This Row],[Custom]],TableWRTECalcPts[Custom])+COUNTIF($AP$3:AP215,AP215)-1,"")</f>
        <v>233</v>
      </c>
      <c r="AK215" s="218">
        <v>113</v>
      </c>
      <c r="AL215" s="219" t="str">
        <f>IFERROR(INDEX(TableWRMaster[Player],MATCH(TableWRTECalcPts[[#This Row],[POSRef]],TableWRMaster[WRRef],0)),"")</f>
        <v>Trent Sherfield</v>
      </c>
      <c r="AM215" s="219" t="str">
        <f>IFERROR(_xlfn.CONCAT(TableWRTECalcPts[[#This Row],[POS]],INDEX(TableWRRanks[RK],MATCH(TableWRTECalcPts[[#This Row],[PLAYER]],TableWRRanks[Player],0))),"")</f>
        <v>WR164</v>
      </c>
      <c r="AN215" s="219" t="str">
        <f>IFERROR(INDEX(TableWRMaster[TM],MATCH(TableWRTECalcPts[[#This Row],[POSRef]],TableWRMaster[WRRef],0)),"")</f>
        <v>MIA</v>
      </c>
      <c r="AO215" s="219">
        <f>IFERROR(INDEX(TableWRMaster[BYE],MATCH(TableWRTECalcPts[[#This Row],[POSRef]],TableWRMaster[WRRef],0)),"")</f>
        <v>11</v>
      </c>
      <c r="AP215" s="220">
        <f>IFERROR(INDEX(TableWRMaster[Custom],MATCH(TableWRTECalcPts[[#This Row],[POSRef]],TableWRMaster[WRRef],0)),"")</f>
        <v>11.073930520196011</v>
      </c>
    </row>
    <row r="216" spans="13:42" x14ac:dyDescent="0.3">
      <c r="M216" s="191"/>
      <c r="O216" s="189" t="str">
        <f>IFERROR(RANK(TableWRCalcPts[[#This Row],[Custom]],TableWRCalcPts[Custom])+COUNTIF($T$3:T216,T216)-1,"")</f>
        <v/>
      </c>
      <c r="P216" s="189">
        <v>214</v>
      </c>
      <c r="Q216" s="189" t="str">
        <f>IFERROR(INDEX(TableWRMaster[Player],MATCH(TableWRCalcPts[[#This Row],[WRRef]],TableWRMaster[WRRef],0)),"")</f>
        <v/>
      </c>
      <c r="R216" s="189" t="str">
        <f>IFERROR(INDEX(TableWRMaster[TM],MATCH(TableWRCalcPts[[#This Row],[WRRef]],TableWRMaster[WRRef],0)),"")</f>
        <v/>
      </c>
      <c r="S216" s="189" t="str">
        <f>IFERROR(INDEX(TableWRMaster[BYE],MATCH(TableWRCalcPts[[#This Row],[WRRef]],TableWRMaster[WRRef],0)),"")</f>
        <v/>
      </c>
      <c r="T216" s="191" t="str">
        <f>IFERROR(INDEX(TableWRMaster[Custom],MATCH(TableWRCalcPts[[#This Row],[WRRef]],TableWRMaster[WRRef],0)),"")</f>
        <v/>
      </c>
      <c r="AI216" s="221" t="s">
        <v>358</v>
      </c>
      <c r="AJ216" s="189">
        <f>IFERROR(RANK(TableWRTECalcPts[[#This Row],[Custom]],TableWRTECalcPts[Custom])+COUNTIF($AP$3:AP216,AP216)-1,"")</f>
        <v>222</v>
      </c>
      <c r="AK216" s="218">
        <v>114</v>
      </c>
      <c r="AL216" s="219" t="str">
        <f>IFERROR(INDEX(TableWRMaster[Player],MATCH(TableWRTECalcPts[[#This Row],[POSRef]],TableWRMaster[WRRef],0)),"")</f>
        <v>Preston Williams</v>
      </c>
      <c r="AM216" s="219" t="str">
        <f>IFERROR(_xlfn.CONCAT(TableWRTECalcPts[[#This Row],[POS]],INDEX(TableWRRanks[RK],MATCH(TableWRTECalcPts[[#This Row],[PLAYER]],TableWRRanks[Player],0))),"")</f>
        <v>WR156</v>
      </c>
      <c r="AN216" s="219" t="str">
        <f>IFERROR(INDEX(TableWRMaster[TM],MATCH(TableWRTECalcPts[[#This Row],[POSRef]],TableWRMaster[WRRef],0)),"")</f>
        <v>MIA</v>
      </c>
      <c r="AO216" s="219">
        <f>IFERROR(INDEX(TableWRMaster[BYE],MATCH(TableWRTECalcPts[[#This Row],[POSRef]],TableWRMaster[WRRef],0)),"")</f>
        <v>11</v>
      </c>
      <c r="AP216" s="220">
        <f>IFERROR(INDEX(TableWRMaster[Custom],MATCH(TableWRTECalcPts[[#This Row],[POSRef]],TableWRMaster[WRRef],0)),"")</f>
        <v>13.045031667985134</v>
      </c>
    </row>
    <row r="217" spans="13:42" x14ac:dyDescent="0.3">
      <c r="M217" s="191"/>
      <c r="O217" s="189" t="str">
        <f>IFERROR(RANK(TableWRCalcPts[[#This Row],[Custom]],TableWRCalcPts[Custom])+COUNTIF($T$3:T217,T217)-1,"")</f>
        <v/>
      </c>
      <c r="P217" s="189">
        <v>215</v>
      </c>
      <c r="Q217" s="189" t="str">
        <f>IFERROR(INDEX(TableWRMaster[Player],MATCH(TableWRCalcPts[[#This Row],[WRRef]],TableWRMaster[WRRef],0)),"")</f>
        <v/>
      </c>
      <c r="R217" s="189" t="str">
        <f>IFERROR(INDEX(TableWRMaster[TM],MATCH(TableWRCalcPts[[#This Row],[WRRef]],TableWRMaster[WRRef],0)),"")</f>
        <v/>
      </c>
      <c r="S217" s="189" t="str">
        <f>IFERROR(INDEX(TableWRMaster[BYE],MATCH(TableWRCalcPts[[#This Row],[WRRef]],TableWRMaster[WRRef],0)),"")</f>
        <v/>
      </c>
      <c r="T217" s="191" t="str">
        <f>IFERROR(INDEX(TableWRMaster[Custom],MATCH(TableWRCalcPts[[#This Row],[WRRef]],TableWRMaster[WRRef],0)),"")</f>
        <v/>
      </c>
      <c r="AI217" s="221" t="s">
        <v>358</v>
      </c>
      <c r="AJ217" s="189">
        <f>IFERROR(RANK(TableWRTECalcPts[[#This Row],[Custom]],TableWRTECalcPts[Custom])+COUNTIF($AP$3:AP217,AP217)-1,"")</f>
        <v>246</v>
      </c>
      <c r="AK217" s="218">
        <v>115</v>
      </c>
      <c r="AL217" s="219" t="str">
        <f>IFERROR(INDEX(TableWRMaster[Player],MATCH(TableWRTECalcPts[[#This Row],[POSRef]],TableWRMaster[WRRef],0)),"")</f>
        <v>Erik Ezukanma</v>
      </c>
      <c r="AM217" s="219" t="str">
        <f>IFERROR(_xlfn.CONCAT(TableWRTECalcPts[[#This Row],[POS]],INDEX(TableWRRanks[RK],MATCH(TableWRTECalcPts[[#This Row],[PLAYER]],TableWRRanks[Player],0))),"")</f>
        <v>WR172</v>
      </c>
      <c r="AN217" s="219" t="str">
        <f>IFERROR(INDEX(TableWRMaster[TM],MATCH(TableWRTECalcPts[[#This Row],[POSRef]],TableWRMaster[WRRef],0)),"")</f>
        <v>MIA</v>
      </c>
      <c r="AO217" s="219">
        <f>IFERROR(INDEX(TableWRMaster[BYE],MATCH(TableWRTECalcPts[[#This Row],[POSRef]],TableWRMaster[WRRef],0)),"")</f>
        <v>11</v>
      </c>
      <c r="AP217" s="220">
        <f>IFERROR(INDEX(TableWRMaster[Custom],MATCH(TableWRTECalcPts[[#This Row],[POSRef]],TableWRMaster[WRRef],0)),"")</f>
        <v>9.3489125569533069</v>
      </c>
    </row>
    <row r="218" spans="13:42" x14ac:dyDescent="0.3">
      <c r="M218" s="191"/>
      <c r="O218" s="189" t="str">
        <f>IFERROR(RANK(TableWRCalcPts[[#This Row],[Custom]],TableWRCalcPts[Custom])+COUNTIF($T$3:T218,T218)-1,"")</f>
        <v/>
      </c>
      <c r="P218" s="189">
        <v>216</v>
      </c>
      <c r="Q218" s="189" t="str">
        <f>IFERROR(INDEX(TableWRMaster[Player],MATCH(TableWRCalcPts[[#This Row],[WRRef]],TableWRMaster[WRRef],0)),"")</f>
        <v/>
      </c>
      <c r="R218" s="189" t="str">
        <f>IFERROR(INDEX(TableWRMaster[TM],MATCH(TableWRCalcPts[[#This Row],[WRRef]],TableWRMaster[WRRef],0)),"")</f>
        <v/>
      </c>
      <c r="S218" s="189" t="str">
        <f>IFERROR(INDEX(TableWRMaster[BYE],MATCH(TableWRCalcPts[[#This Row],[WRRef]],TableWRMaster[WRRef],0)),"")</f>
        <v/>
      </c>
      <c r="T218" s="191" t="str">
        <f>IFERROR(INDEX(TableWRMaster[Custom],MATCH(TableWRCalcPts[[#This Row],[WRRef]],TableWRMaster[WRRef],0)),"")</f>
        <v/>
      </c>
      <c r="AI218" s="221" t="s">
        <v>358</v>
      </c>
      <c r="AJ218" s="189">
        <f>IFERROR(RANK(TableWRTECalcPts[[#This Row],[Custom]],TableWRTECalcPts[Custom])+COUNTIF($AP$3:AP218,AP218)-1,"")</f>
        <v>4</v>
      </c>
      <c r="AK218" s="218">
        <v>116</v>
      </c>
      <c r="AL218" s="219" t="str">
        <f>IFERROR(INDEX(TableWRMaster[Player],MATCH(TableWRTECalcPts[[#This Row],[POSRef]],TableWRMaster[WRRef],0)),"")</f>
        <v>Justin Jefferson</v>
      </c>
      <c r="AM218" s="219" t="str">
        <f>IFERROR(_xlfn.CONCAT(TableWRTECalcPts[[#This Row],[POS]],INDEX(TableWRRanks[RK],MATCH(TableWRTECalcPts[[#This Row],[PLAYER]],TableWRRanks[Player],0))),"")</f>
        <v>WR4</v>
      </c>
      <c r="AN218" s="219" t="str">
        <f>IFERROR(INDEX(TableWRMaster[TM],MATCH(TableWRTECalcPts[[#This Row],[POSRef]],TableWRMaster[WRRef],0)),"")</f>
        <v>MIN</v>
      </c>
      <c r="AO218" s="219">
        <f>IFERROR(INDEX(TableWRMaster[BYE],MATCH(TableWRTECalcPts[[#This Row],[POSRef]],TableWRMaster[WRRef],0)),"")</f>
        <v>7</v>
      </c>
      <c r="AP218" s="220">
        <f>IFERROR(INDEX(TableWRMaster[Custom],MATCH(TableWRTECalcPts[[#This Row],[POSRef]],TableWRMaster[WRRef],0)),"")</f>
        <v>202.65658638405648</v>
      </c>
    </row>
    <row r="219" spans="13:42" x14ac:dyDescent="0.3">
      <c r="M219" s="191"/>
      <c r="O219" s="189" t="str">
        <f>IFERROR(RANK(TableWRCalcPts[[#This Row],[Custom]],TableWRCalcPts[Custom])+COUNTIF($T$3:T219,T219)-1,"")</f>
        <v/>
      </c>
      <c r="P219" s="189">
        <v>217</v>
      </c>
      <c r="Q219" s="189" t="str">
        <f>IFERROR(INDEX(TableWRMaster[Player],MATCH(TableWRCalcPts[[#This Row],[WRRef]],TableWRMaster[WRRef],0)),"")</f>
        <v/>
      </c>
      <c r="R219" s="189" t="str">
        <f>IFERROR(INDEX(TableWRMaster[TM],MATCH(TableWRCalcPts[[#This Row],[WRRef]],TableWRMaster[WRRef],0)),"")</f>
        <v/>
      </c>
      <c r="S219" s="189" t="str">
        <f>IFERROR(INDEX(TableWRMaster[BYE],MATCH(TableWRCalcPts[[#This Row],[WRRef]],TableWRMaster[WRRef],0)),"")</f>
        <v/>
      </c>
      <c r="T219" s="191" t="str">
        <f>IFERROR(INDEX(TableWRMaster[Custom],MATCH(TableWRCalcPts[[#This Row],[WRRef]],TableWRMaster[WRRef],0)),"")</f>
        <v/>
      </c>
      <c r="AI219" s="221" t="s">
        <v>358</v>
      </c>
      <c r="AJ219" s="189">
        <f>IFERROR(RANK(TableWRTECalcPts[[#This Row],[Custom]],TableWRTECalcPts[Custom])+COUNTIF($AP$3:AP219,AP219)-1,"")</f>
        <v>44</v>
      </c>
      <c r="AK219" s="218">
        <v>117</v>
      </c>
      <c r="AL219" s="219" t="str">
        <f>IFERROR(INDEX(TableWRMaster[Player],MATCH(TableWRTECalcPts[[#This Row],[POSRef]],TableWRMaster[WRRef],0)),"")</f>
        <v>Adam Thielen</v>
      </c>
      <c r="AM219" s="219" t="str">
        <f>IFERROR(_xlfn.CONCAT(TableWRTECalcPts[[#This Row],[POS]],INDEX(TableWRRanks[RK],MATCH(TableWRTECalcPts[[#This Row],[PLAYER]],TableWRRanks[Player],0))),"")</f>
        <v>WR39</v>
      </c>
      <c r="AN219" s="219" t="str">
        <f>IFERROR(INDEX(TableWRMaster[TM],MATCH(TableWRTECalcPts[[#This Row],[POSRef]],TableWRMaster[WRRef],0)),"")</f>
        <v>MIN</v>
      </c>
      <c r="AO219" s="219">
        <f>IFERROR(INDEX(TableWRMaster[BYE],MATCH(TableWRTECalcPts[[#This Row],[POSRef]],TableWRMaster[WRRef],0)),"")</f>
        <v>7</v>
      </c>
      <c r="AP219" s="220">
        <f>IFERROR(INDEX(TableWRMaster[Custom],MATCH(TableWRTECalcPts[[#This Row],[POSRef]],TableWRMaster[WRRef],0)),"")</f>
        <v>123.40827254262244</v>
      </c>
    </row>
    <row r="220" spans="13:42" x14ac:dyDescent="0.3">
      <c r="M220" s="191"/>
      <c r="O220" s="189" t="str">
        <f>IFERROR(RANK(TableWRCalcPts[[#This Row],[Custom]],TableWRCalcPts[Custom])+COUNTIF($T$3:T220,T220)-1,"")</f>
        <v/>
      </c>
      <c r="P220" s="189">
        <v>218</v>
      </c>
      <c r="Q220" s="189" t="str">
        <f>IFERROR(INDEX(TableWRMaster[Player],MATCH(TableWRCalcPts[[#This Row],[WRRef]],TableWRMaster[WRRef],0)),"")</f>
        <v/>
      </c>
      <c r="R220" s="189" t="str">
        <f>IFERROR(INDEX(TableWRMaster[TM],MATCH(TableWRCalcPts[[#This Row],[WRRef]],TableWRMaster[WRRef],0)),"")</f>
        <v/>
      </c>
      <c r="S220" s="189" t="str">
        <f>IFERROR(INDEX(TableWRMaster[BYE],MATCH(TableWRCalcPts[[#This Row],[WRRef]],TableWRMaster[WRRef],0)),"")</f>
        <v/>
      </c>
      <c r="T220" s="191" t="str">
        <f>IFERROR(INDEX(TableWRMaster[Custom],MATCH(TableWRCalcPts[[#This Row],[WRRef]],TableWRMaster[WRRef],0)),"")</f>
        <v/>
      </c>
      <c r="AI220" s="221" t="s">
        <v>358</v>
      </c>
      <c r="AJ220" s="189">
        <f>IFERROR(RANK(TableWRTECalcPts[[#This Row],[Custom]],TableWRTECalcPts[Custom])+COUNTIF($AP$3:AP220,AP220)-1,"")</f>
        <v>221</v>
      </c>
      <c r="AK220" s="218">
        <v>118</v>
      </c>
      <c r="AL220" s="219" t="str">
        <f>IFERROR(INDEX(TableWRMaster[Player],MATCH(TableWRTECalcPts[[#This Row],[POSRef]],TableWRMaster[WRRef],0)),"")</f>
        <v>Ihmir Smith-Marsette</v>
      </c>
      <c r="AM220" s="219" t="str">
        <f>IFERROR(_xlfn.CONCAT(TableWRTECalcPts[[#This Row],[POS]],INDEX(TableWRRanks[RK],MATCH(TableWRTECalcPts[[#This Row],[PLAYER]],TableWRRanks[Player],0))),"")</f>
        <v>WR155</v>
      </c>
      <c r="AN220" s="219" t="str">
        <f>IFERROR(INDEX(TableWRMaster[TM],MATCH(TableWRTECalcPts[[#This Row],[POSRef]],TableWRMaster[WRRef],0)),"")</f>
        <v>MIN</v>
      </c>
      <c r="AO220" s="219">
        <f>IFERROR(INDEX(TableWRMaster[BYE],MATCH(TableWRTECalcPts[[#This Row],[POSRef]],TableWRMaster[WRRef],0)),"")</f>
        <v>7</v>
      </c>
      <c r="AP220" s="220">
        <f>IFERROR(INDEX(TableWRMaster[Custom],MATCH(TableWRTECalcPts[[#This Row],[POSRef]],TableWRMaster[WRRef],0)),"")</f>
        <v>13.232471753790474</v>
      </c>
    </row>
    <row r="221" spans="13:42" x14ac:dyDescent="0.3">
      <c r="M221" s="191"/>
      <c r="O221" s="189" t="str">
        <f>IFERROR(RANK(TableWRCalcPts[[#This Row],[Custom]],TableWRCalcPts[Custom])+COUNTIF($T$3:T221,T221)-1,"")</f>
        <v/>
      </c>
      <c r="P221" s="189">
        <v>219</v>
      </c>
      <c r="Q221" s="189" t="str">
        <f>IFERROR(INDEX(TableWRMaster[Player],MATCH(TableWRCalcPts[[#This Row],[WRRef]],TableWRMaster[WRRef],0)),"")</f>
        <v/>
      </c>
      <c r="R221" s="189" t="str">
        <f>IFERROR(INDEX(TableWRMaster[TM],MATCH(TableWRCalcPts[[#This Row],[WRRef]],TableWRMaster[WRRef],0)),"")</f>
        <v/>
      </c>
      <c r="S221" s="189" t="str">
        <f>IFERROR(INDEX(TableWRMaster[BYE],MATCH(TableWRCalcPts[[#This Row],[WRRef]],TableWRMaster[WRRef],0)),"")</f>
        <v/>
      </c>
      <c r="T221" s="191" t="str">
        <f>IFERROR(INDEX(TableWRMaster[Custom],MATCH(TableWRCalcPts[[#This Row],[WRRef]],TableWRMaster[WRRef],0)),"")</f>
        <v/>
      </c>
      <c r="AI221" s="221" t="s">
        <v>358</v>
      </c>
      <c r="AJ221" s="189">
        <f>IFERROR(RANK(TableWRTECalcPts[[#This Row],[Custom]],TableWRTECalcPts[Custom])+COUNTIF($AP$3:AP221,AP221)-1,"")</f>
        <v>99</v>
      </c>
      <c r="AK221" s="218">
        <v>119</v>
      </c>
      <c r="AL221" s="219" t="str">
        <f>IFERROR(INDEX(TableWRMaster[Player],MATCH(TableWRTECalcPts[[#This Row],[POSRef]],TableWRMaster[WRRef],0)),"")</f>
        <v>K.J. Osborn</v>
      </c>
      <c r="AM221" s="219" t="str">
        <f>IFERROR(_xlfn.CONCAT(TableWRTECalcPts[[#This Row],[POS]],INDEX(TableWRRanks[RK],MATCH(TableWRTECalcPts[[#This Row],[PLAYER]],TableWRRanks[Player],0))),"")</f>
        <v>WR75</v>
      </c>
      <c r="AN221" s="219" t="str">
        <f>IFERROR(INDEX(TableWRMaster[TM],MATCH(TableWRTECalcPts[[#This Row],[POSRef]],TableWRMaster[WRRef],0)),"")</f>
        <v>MIN</v>
      </c>
      <c r="AO221" s="219">
        <f>IFERROR(INDEX(TableWRMaster[BYE],MATCH(TableWRTECalcPts[[#This Row],[POSRef]],TableWRMaster[WRRef],0)),"")</f>
        <v>7</v>
      </c>
      <c r="AP221" s="220">
        <f>IFERROR(INDEX(TableWRMaster[Custom],MATCH(TableWRTECalcPts[[#This Row],[POSRef]],TableWRMaster[WRRef],0)),"")</f>
        <v>80.302367519801066</v>
      </c>
    </row>
    <row r="222" spans="13:42" x14ac:dyDescent="0.3">
      <c r="M222" s="191"/>
      <c r="O222" s="189" t="str">
        <f>IFERROR(RANK(TableWRCalcPts[[#This Row],[Custom]],TableWRCalcPts[Custom])+COUNTIF($T$3:T222,T222)-1,"")</f>
        <v/>
      </c>
      <c r="P222" s="189">
        <v>220</v>
      </c>
      <c r="Q222" s="189" t="str">
        <f>IFERROR(INDEX(TableWRMaster[Player],MATCH(TableWRCalcPts[[#This Row],[WRRef]],TableWRMaster[WRRef],0)),"")</f>
        <v/>
      </c>
      <c r="R222" s="189" t="str">
        <f>IFERROR(INDEX(TableWRMaster[TM],MATCH(TableWRCalcPts[[#This Row],[WRRef]],TableWRMaster[WRRef],0)),"")</f>
        <v/>
      </c>
      <c r="S222" s="189" t="str">
        <f>IFERROR(INDEX(TableWRMaster[BYE],MATCH(TableWRCalcPts[[#This Row],[WRRef]],TableWRMaster[WRRef],0)),"")</f>
        <v/>
      </c>
      <c r="T222" s="191" t="str">
        <f>IFERROR(INDEX(TableWRMaster[Custom],MATCH(TableWRCalcPts[[#This Row],[WRRef]],TableWRMaster[WRRef],0)),"")</f>
        <v/>
      </c>
      <c r="AI222" s="221" t="s">
        <v>358</v>
      </c>
      <c r="AJ222" s="189">
        <f>IFERROR(RANK(TableWRTECalcPts[[#This Row],[Custom]],TableWRTECalcPts[Custom])+COUNTIF($AP$3:AP222,AP222)-1,"")</f>
        <v>248</v>
      </c>
      <c r="AK222" s="218">
        <v>120</v>
      </c>
      <c r="AL222" s="219" t="str">
        <f>IFERROR(INDEX(TableWRMaster[Player],MATCH(TableWRTECalcPts[[#This Row],[POSRef]],TableWRMaster[WRRef],0)),"")</f>
        <v>Jalen Nailor</v>
      </c>
      <c r="AM222" s="219" t="str">
        <f>IFERROR(_xlfn.CONCAT(TableWRTECalcPts[[#This Row],[POS]],INDEX(TableWRRanks[RK],MATCH(TableWRTECalcPts[[#This Row],[PLAYER]],TableWRRanks[Player],0))),"")</f>
        <v>WR174</v>
      </c>
      <c r="AN222" s="219" t="str">
        <f>IFERROR(INDEX(TableWRMaster[TM],MATCH(TableWRTECalcPts[[#This Row],[POSRef]],TableWRMaster[WRRef],0)),"")</f>
        <v>MIN</v>
      </c>
      <c r="AO222" s="219">
        <f>IFERROR(INDEX(TableWRMaster[BYE],MATCH(TableWRTECalcPts[[#This Row],[POSRef]],TableWRMaster[WRRef],0)),"")</f>
        <v>7</v>
      </c>
      <c r="AP222" s="220">
        <f>IFERROR(INDEX(TableWRMaster[Custom],MATCH(TableWRTECalcPts[[#This Row],[POSRef]],TableWRMaster[WRRef],0)),"")</f>
        <v>8.6483568154288335</v>
      </c>
    </row>
    <row r="223" spans="13:42" x14ac:dyDescent="0.3">
      <c r="M223" s="191"/>
      <c r="O223" s="189" t="str">
        <f>IFERROR(RANK(TableWRCalcPts[[#This Row],[Custom]],TableWRCalcPts[Custom])+COUNTIF($T$3:T223,T223)-1,"")</f>
        <v/>
      </c>
      <c r="P223" s="189">
        <v>221</v>
      </c>
      <c r="Q223" s="189" t="str">
        <f>IFERROR(INDEX(TableWRMaster[Player],MATCH(TableWRCalcPts[[#This Row],[WRRef]],TableWRMaster[WRRef],0)),"")</f>
        <v/>
      </c>
      <c r="R223" s="189" t="str">
        <f>IFERROR(INDEX(TableWRMaster[TM],MATCH(TableWRCalcPts[[#This Row],[WRRef]],TableWRMaster[WRRef],0)),"")</f>
        <v/>
      </c>
      <c r="S223" s="189" t="str">
        <f>IFERROR(INDEX(TableWRMaster[BYE],MATCH(TableWRCalcPts[[#This Row],[WRRef]],TableWRMaster[WRRef],0)),"")</f>
        <v/>
      </c>
      <c r="T223" s="191" t="str">
        <f>IFERROR(INDEX(TableWRMaster[Custom],MATCH(TableWRCalcPts[[#This Row],[WRRef]],TableWRMaster[WRRef],0)),"")</f>
        <v/>
      </c>
      <c r="AI223" s="221" t="s">
        <v>358</v>
      </c>
      <c r="AJ223" s="189">
        <f>IFERROR(RANK(TableWRTECalcPts[[#This Row],[Custom]],TableWRTECalcPts[Custom])+COUNTIF($AP$3:AP223,AP223)-1,"")</f>
        <v>197</v>
      </c>
      <c r="AK223" s="218">
        <v>121</v>
      </c>
      <c r="AL223" s="219" t="str">
        <f>IFERROR(INDEX(TableWRMaster[Player],MATCH(TableWRTECalcPts[[#This Row],[POSRef]],TableWRMaster[WRRef],0)),"")</f>
        <v>Olabisi Johnson</v>
      </c>
      <c r="AM223" s="219" t="str">
        <f>IFERROR(_xlfn.CONCAT(TableWRTECalcPts[[#This Row],[POS]],INDEX(TableWRRanks[RK],MATCH(TableWRTECalcPts[[#This Row],[PLAYER]],TableWRRanks[Player],0))),"")</f>
        <v>WR140</v>
      </c>
      <c r="AN223" s="219" t="str">
        <f>IFERROR(INDEX(TableWRMaster[TM],MATCH(TableWRTECalcPts[[#This Row],[POSRef]],TableWRMaster[WRRef],0)),"")</f>
        <v>MIN</v>
      </c>
      <c r="AO223" s="219">
        <f>IFERROR(INDEX(TableWRMaster[BYE],MATCH(TableWRTECalcPts[[#This Row],[POSRef]],TableWRMaster[WRRef],0)),"")</f>
        <v>7</v>
      </c>
      <c r="AP223" s="220">
        <f>IFERROR(INDEX(TableWRMaster[Custom],MATCH(TableWRTECalcPts[[#This Row],[POSRef]],TableWRMaster[WRRef],0)),"")</f>
        <v>17.451560558101846</v>
      </c>
    </row>
    <row r="224" spans="13:42" x14ac:dyDescent="0.3">
      <c r="M224" s="191"/>
      <c r="O224" s="189" t="str">
        <f>IFERROR(RANK(TableWRCalcPts[[#This Row],[Custom]],TableWRCalcPts[Custom])+COUNTIF($T$3:T224,T224)-1,"")</f>
        <v/>
      </c>
      <c r="P224" s="189">
        <v>222</v>
      </c>
      <c r="Q224" s="189" t="str">
        <f>IFERROR(INDEX(TableWRMaster[Player],MATCH(TableWRCalcPts[[#This Row],[WRRef]],TableWRMaster[WRRef],0)),"")</f>
        <v/>
      </c>
      <c r="R224" s="189" t="str">
        <f>IFERROR(INDEX(TableWRMaster[TM],MATCH(TableWRCalcPts[[#This Row],[WRRef]],TableWRMaster[WRRef],0)),"")</f>
        <v/>
      </c>
      <c r="S224" s="189" t="str">
        <f>IFERROR(INDEX(TableWRMaster[BYE],MATCH(TableWRCalcPts[[#This Row],[WRRef]],TableWRMaster[WRRef],0)),"")</f>
        <v/>
      </c>
      <c r="T224" s="191" t="str">
        <f>IFERROR(INDEX(TableWRMaster[Custom],MATCH(TableWRCalcPts[[#This Row],[WRRef]],TableWRMaster[WRRef],0)),"")</f>
        <v/>
      </c>
      <c r="AI224" s="221" t="s">
        <v>358</v>
      </c>
      <c r="AJ224" s="189">
        <f>IFERROR(RANK(TableWRTECalcPts[[#This Row],[Custom]],TableWRTECalcPts[Custom])+COUNTIF($AP$3:AP224,AP224)-1,"")</f>
        <v>85</v>
      </c>
      <c r="AK224" s="218">
        <v>122</v>
      </c>
      <c r="AL224" s="219" t="str">
        <f>IFERROR(INDEX(TableWRMaster[Player],MATCH(TableWRTECalcPts[[#This Row],[POSRef]],TableWRMaster[WRRef],0)),"")</f>
        <v>DeVante Parker</v>
      </c>
      <c r="AM224" s="219" t="str">
        <f>IFERROR(_xlfn.CONCAT(TableWRTECalcPts[[#This Row],[POS]],INDEX(TableWRRanks[RK],MATCH(TableWRTECalcPts[[#This Row],[PLAYER]],TableWRRanks[Player],0))),"")</f>
        <v>WR68</v>
      </c>
      <c r="AN224" s="219" t="str">
        <f>IFERROR(INDEX(TableWRMaster[TM],MATCH(TableWRTECalcPts[[#This Row],[POSRef]],TableWRMaster[WRRef],0)),"")</f>
        <v>NE</v>
      </c>
      <c r="AO224" s="219">
        <f>IFERROR(INDEX(TableWRMaster[BYE],MATCH(TableWRTECalcPts[[#This Row],[POSRef]],TableWRMaster[WRRef],0)),"")</f>
        <v>10</v>
      </c>
      <c r="AP224" s="220">
        <f>IFERROR(INDEX(TableWRMaster[Custom],MATCH(TableWRTECalcPts[[#This Row],[POSRef]],TableWRMaster[WRRef],0)),"")</f>
        <v>87.406039713146185</v>
      </c>
    </row>
    <row r="225" spans="13:42" x14ac:dyDescent="0.3">
      <c r="M225" s="191"/>
      <c r="O225" s="189" t="str">
        <f>IFERROR(RANK(TableWRCalcPts[[#This Row],[Custom]],TableWRCalcPts[Custom])+COUNTIF($T$3:T225,T225)-1,"")</f>
        <v/>
      </c>
      <c r="P225" s="189">
        <v>223</v>
      </c>
      <c r="Q225" s="189" t="str">
        <f>IFERROR(INDEX(TableWRMaster[Player],MATCH(TableWRCalcPts[[#This Row],[WRRef]],TableWRMaster[WRRef],0)),"")</f>
        <v/>
      </c>
      <c r="R225" s="189" t="str">
        <f>IFERROR(INDEX(TableWRMaster[TM],MATCH(TableWRCalcPts[[#This Row],[WRRef]],TableWRMaster[WRRef],0)),"")</f>
        <v/>
      </c>
      <c r="S225" s="189" t="str">
        <f>IFERROR(INDEX(TableWRMaster[BYE],MATCH(TableWRCalcPts[[#This Row],[WRRef]],TableWRMaster[WRRef],0)),"")</f>
        <v/>
      </c>
      <c r="T225" s="191" t="str">
        <f>IFERROR(INDEX(TableWRMaster[Custom],MATCH(TableWRCalcPts[[#This Row],[WRRef]],TableWRMaster[WRRef],0)),"")</f>
        <v/>
      </c>
      <c r="AI225" s="221" t="s">
        <v>358</v>
      </c>
      <c r="AJ225" s="189">
        <f>IFERROR(RANK(TableWRTECalcPts[[#This Row],[Custom]],TableWRTECalcPts[Custom])+COUNTIF($AP$3:AP225,AP225)-1,"")</f>
        <v>82</v>
      </c>
      <c r="AK225" s="218">
        <v>123</v>
      </c>
      <c r="AL225" s="219" t="str">
        <f>IFERROR(INDEX(TableWRMaster[Player],MATCH(TableWRTECalcPts[[#This Row],[POSRef]],TableWRMaster[WRRef],0)),"")</f>
        <v>Jakobi Meyers</v>
      </c>
      <c r="AM225" s="219" t="str">
        <f>IFERROR(_xlfn.CONCAT(TableWRTECalcPts[[#This Row],[POS]],INDEX(TableWRRanks[RK],MATCH(TableWRTECalcPts[[#This Row],[PLAYER]],TableWRRanks[Player],0))),"")</f>
        <v>WR66</v>
      </c>
      <c r="AN225" s="219" t="str">
        <f>IFERROR(INDEX(TableWRMaster[TM],MATCH(TableWRTECalcPts[[#This Row],[POSRef]],TableWRMaster[WRRef],0)),"")</f>
        <v>NE</v>
      </c>
      <c r="AO225" s="219">
        <f>IFERROR(INDEX(TableWRMaster[BYE],MATCH(TableWRTECalcPts[[#This Row],[POSRef]],TableWRMaster[WRRef],0)),"")</f>
        <v>10</v>
      </c>
      <c r="AP225" s="220">
        <f>IFERROR(INDEX(TableWRMaster[Custom],MATCH(TableWRTECalcPts[[#This Row],[POSRef]],TableWRMaster[WRRef],0)),"")</f>
        <v>90.896112461128411</v>
      </c>
    </row>
    <row r="226" spans="13:42" x14ac:dyDescent="0.3">
      <c r="M226" s="191"/>
      <c r="O226" s="189" t="str">
        <f>IFERROR(RANK(TableWRCalcPts[[#This Row],[Custom]],TableWRCalcPts[Custom])+COUNTIF($T$3:T226,T226)-1,"")</f>
        <v/>
      </c>
      <c r="P226" s="189">
        <v>224</v>
      </c>
      <c r="Q226" s="189" t="str">
        <f>IFERROR(INDEX(TableWRMaster[Player],MATCH(TableWRCalcPts[[#This Row],[WRRef]],TableWRMaster[WRRef],0)),"")</f>
        <v/>
      </c>
      <c r="R226" s="189" t="str">
        <f>IFERROR(INDEX(TableWRMaster[TM],MATCH(TableWRCalcPts[[#This Row],[WRRef]],TableWRMaster[WRRef],0)),"")</f>
        <v/>
      </c>
      <c r="S226" s="189" t="str">
        <f>IFERROR(INDEX(TableWRMaster[BYE],MATCH(TableWRCalcPts[[#This Row],[WRRef]],TableWRMaster[WRRef],0)),"")</f>
        <v/>
      </c>
      <c r="T226" s="191" t="str">
        <f>IFERROR(INDEX(TableWRMaster[Custom],MATCH(TableWRCalcPts[[#This Row],[WRRef]],TableWRMaster[WRRef],0)),"")</f>
        <v/>
      </c>
      <c r="AI226" s="221" t="s">
        <v>358</v>
      </c>
      <c r="AJ226" s="189">
        <f>IFERROR(RANK(TableWRTECalcPts[[#This Row],[Custom]],TableWRTECalcPts[Custom])+COUNTIF($AP$3:AP226,AP226)-1,"")</f>
        <v>111</v>
      </c>
      <c r="AK226" s="218">
        <v>124</v>
      </c>
      <c r="AL226" s="219" t="str">
        <f>IFERROR(INDEX(TableWRMaster[Player],MATCH(TableWRTECalcPts[[#This Row],[POSRef]],TableWRMaster[WRRef],0)),"")</f>
        <v>Kendrick Bourne</v>
      </c>
      <c r="AM226" s="219" t="str">
        <f>IFERROR(_xlfn.CONCAT(TableWRTECalcPts[[#This Row],[POS]],INDEX(TableWRRanks[RK],MATCH(TableWRTECalcPts[[#This Row],[PLAYER]],TableWRRanks[Player],0))),"")</f>
        <v>WR83</v>
      </c>
      <c r="AN226" s="219" t="str">
        <f>IFERROR(INDEX(TableWRMaster[TM],MATCH(TableWRTECalcPts[[#This Row],[POSRef]],TableWRMaster[WRRef],0)),"")</f>
        <v>NE</v>
      </c>
      <c r="AO226" s="219">
        <f>IFERROR(INDEX(TableWRMaster[BYE],MATCH(TableWRTECalcPts[[#This Row],[POSRef]],TableWRMaster[WRRef],0)),"")</f>
        <v>10</v>
      </c>
      <c r="AP226" s="220">
        <f>IFERROR(INDEX(TableWRMaster[Custom],MATCH(TableWRTECalcPts[[#This Row],[POSRef]],TableWRMaster[WRRef],0)),"")</f>
        <v>72.660276936222047</v>
      </c>
    </row>
    <row r="227" spans="13:42" x14ac:dyDescent="0.3">
      <c r="M227" s="191"/>
      <c r="O227" s="189" t="str">
        <f>IFERROR(RANK(TableWRCalcPts[[#This Row],[Custom]],TableWRCalcPts[Custom])+COUNTIF($T$3:T227,T227)-1,"")</f>
        <v/>
      </c>
      <c r="P227" s="189">
        <v>225</v>
      </c>
      <c r="Q227" s="189" t="str">
        <f>IFERROR(INDEX(TableWRMaster[Player],MATCH(TableWRCalcPts[[#This Row],[WRRef]],TableWRMaster[WRRef],0)),"")</f>
        <v/>
      </c>
      <c r="R227" s="189" t="str">
        <f>IFERROR(INDEX(TableWRMaster[TM],MATCH(TableWRCalcPts[[#This Row],[WRRef]],TableWRMaster[WRRef],0)),"")</f>
        <v/>
      </c>
      <c r="S227" s="189" t="str">
        <f>IFERROR(INDEX(TableWRMaster[BYE],MATCH(TableWRCalcPts[[#This Row],[WRRef]],TableWRMaster[WRRef],0)),"")</f>
        <v/>
      </c>
      <c r="T227" s="191" t="str">
        <f>IFERROR(INDEX(TableWRMaster[Custom],MATCH(TableWRCalcPts[[#This Row],[WRRef]],TableWRMaster[WRRef],0)),"")</f>
        <v/>
      </c>
      <c r="AI227" s="221" t="s">
        <v>358</v>
      </c>
      <c r="AJ227" s="189">
        <f>IFERROR(RANK(TableWRTECalcPts[[#This Row],[Custom]],TableWRTECalcPts[Custom])+COUNTIF($AP$3:AP227,AP227)-1,"")</f>
        <v>159</v>
      </c>
      <c r="AK227" s="218">
        <v>125</v>
      </c>
      <c r="AL227" s="219" t="str">
        <f>IFERROR(INDEX(TableWRMaster[Player],MATCH(TableWRTECalcPts[[#This Row],[POSRef]],TableWRMaster[WRRef],0)),"")</f>
        <v>Tyquan Thornton</v>
      </c>
      <c r="AM227" s="219" t="str">
        <f>IFERROR(_xlfn.CONCAT(TableWRTECalcPts[[#This Row],[POS]],INDEX(TableWRRanks[RK],MATCH(TableWRTECalcPts[[#This Row],[PLAYER]],TableWRRanks[Player],0))),"")</f>
        <v>WR115</v>
      </c>
      <c r="AN227" s="219" t="str">
        <f>IFERROR(INDEX(TableWRMaster[TM],MATCH(TableWRTECalcPts[[#This Row],[POSRef]],TableWRMaster[WRRef],0)),"")</f>
        <v>NE</v>
      </c>
      <c r="AO227" s="219">
        <f>IFERROR(INDEX(TableWRMaster[BYE],MATCH(TableWRTECalcPts[[#This Row],[POSRef]],TableWRMaster[WRRef],0)),"")</f>
        <v>10</v>
      </c>
      <c r="AP227" s="220">
        <f>IFERROR(INDEX(TableWRMaster[Custom],MATCH(TableWRTECalcPts[[#This Row],[POSRef]],TableWRMaster[WRRef],0)),"")</f>
        <v>28.18513651423002</v>
      </c>
    </row>
    <row r="228" spans="13:42" x14ac:dyDescent="0.3">
      <c r="M228" s="191"/>
      <c r="T228" s="191"/>
      <c r="AI228" s="221" t="s">
        <v>358</v>
      </c>
      <c r="AJ228" s="189">
        <f>IFERROR(RANK(TableWRTECalcPts[[#This Row],[Custom]],TableWRTECalcPts[Custom])+COUNTIF($AP$3:AP228,AP228)-1,"")</f>
        <v>210</v>
      </c>
      <c r="AK228" s="218">
        <v>126</v>
      </c>
      <c r="AL228" s="219" t="str">
        <f>IFERROR(INDEX(TableWRMaster[Player],MATCH(TableWRTECalcPts[[#This Row],[POSRef]],TableWRMaster[WRRef],0)),"")</f>
        <v>Ty Montgomery</v>
      </c>
      <c r="AM228" s="219" t="str">
        <f>IFERROR(_xlfn.CONCAT(TableWRTECalcPts[[#This Row],[POS]],INDEX(TableWRRanks[RK],MATCH(TableWRTECalcPts[[#This Row],[PLAYER]],TableWRRanks[Player],0))),"")</f>
        <v>WR147</v>
      </c>
      <c r="AN228" s="219" t="str">
        <f>IFERROR(INDEX(TableWRMaster[TM],MATCH(TableWRTECalcPts[[#This Row],[POSRef]],TableWRMaster[WRRef],0)),"")</f>
        <v>NE</v>
      </c>
      <c r="AO228" s="219">
        <f>IFERROR(INDEX(TableWRMaster[BYE],MATCH(TableWRTECalcPts[[#This Row],[POSRef]],TableWRMaster[WRRef],0)),"")</f>
        <v>10</v>
      </c>
      <c r="AP228" s="220">
        <f>IFERROR(INDEX(TableWRMaster[Custom],MATCH(TableWRTECalcPts[[#This Row],[POSRef]],TableWRMaster[WRRef],0)),"")</f>
        <v>14.628730848439291</v>
      </c>
    </row>
    <row r="229" spans="13:42" x14ac:dyDescent="0.3">
      <c r="M229" s="191"/>
      <c r="T229" s="191"/>
      <c r="AI229" s="221" t="s">
        <v>358</v>
      </c>
      <c r="AJ229" s="189">
        <f>IFERROR(RANK(TableWRTECalcPts[[#This Row],[Custom]],TableWRTECalcPts[Custom])+COUNTIF($AP$3:AP229,AP229)-1,"")</f>
        <v>190</v>
      </c>
      <c r="AK229" s="218">
        <v>127</v>
      </c>
      <c r="AL229" s="219" t="str">
        <f>IFERROR(INDEX(TableWRMaster[Player],MATCH(TableWRTECalcPts[[#This Row],[POSRef]],TableWRMaster[WRRef],0)),"")</f>
        <v>Nelson Agholor</v>
      </c>
      <c r="AM229" s="219" t="str">
        <f>IFERROR(_xlfn.CONCAT(TableWRTECalcPts[[#This Row],[POS]],INDEX(TableWRRanks[RK],MATCH(TableWRTECalcPts[[#This Row],[PLAYER]],TableWRRanks[Player],0))),"")</f>
        <v>WR135</v>
      </c>
      <c r="AN229" s="219" t="str">
        <f>IFERROR(INDEX(TableWRMaster[TM],MATCH(TableWRTECalcPts[[#This Row],[POSRef]],TableWRMaster[WRRef],0)),"")</f>
        <v>NE</v>
      </c>
      <c r="AO229" s="219">
        <f>IFERROR(INDEX(TableWRMaster[BYE],MATCH(TableWRTECalcPts[[#This Row],[POSRef]],TableWRMaster[WRRef],0)),"")</f>
        <v>10</v>
      </c>
      <c r="AP229" s="220">
        <f>IFERROR(INDEX(TableWRMaster[Custom],MATCH(TableWRTECalcPts[[#This Row],[POSRef]],TableWRMaster[WRRef],0)),"")</f>
        <v>19.29962773583124</v>
      </c>
    </row>
    <row r="230" spans="13:42" x14ac:dyDescent="0.3">
      <c r="M230" s="191"/>
      <c r="T230" s="191"/>
      <c r="AI230" s="221" t="s">
        <v>358</v>
      </c>
      <c r="AJ230" s="189">
        <f>IFERROR(RANK(TableWRTECalcPts[[#This Row],[Custom]],TableWRTECalcPts[Custom])+COUNTIF($AP$3:AP230,AP230)-1,"")</f>
        <v>56</v>
      </c>
      <c r="AK230" s="218">
        <v>128</v>
      </c>
      <c r="AL230" s="219" t="str">
        <f>IFERROR(INDEX(TableWRMaster[Player],MATCH(TableWRTECalcPts[[#This Row],[POSRef]],TableWRMaster[WRRef],0)),"")</f>
        <v>Michael Thomas</v>
      </c>
      <c r="AM230" s="219" t="str">
        <f>IFERROR(_xlfn.CONCAT(TableWRTECalcPts[[#This Row],[POS]],INDEX(TableWRRanks[RK],MATCH(TableWRTECalcPts[[#This Row],[PLAYER]],TableWRRanks[Player],0))),"")</f>
        <v>WR49</v>
      </c>
      <c r="AN230" s="219" t="str">
        <f>IFERROR(INDEX(TableWRMaster[TM],MATCH(TableWRTECalcPts[[#This Row],[POSRef]],TableWRMaster[WRRef],0)),"")</f>
        <v>NO</v>
      </c>
      <c r="AO230" s="219">
        <f>IFERROR(INDEX(TableWRMaster[BYE],MATCH(TableWRTECalcPts[[#This Row],[POSRef]],TableWRMaster[WRRef],0)),"")</f>
        <v>14</v>
      </c>
      <c r="AP230" s="220">
        <f>IFERROR(INDEX(TableWRMaster[Custom],MATCH(TableWRTECalcPts[[#This Row],[POSRef]],TableWRMaster[WRRef],0)),"")</f>
        <v>109.96520155385335</v>
      </c>
    </row>
    <row r="231" spans="13:42" x14ac:dyDescent="0.3">
      <c r="M231" s="191"/>
      <c r="T231" s="191"/>
      <c r="AI231" s="221" t="s">
        <v>358</v>
      </c>
      <c r="AJ231" s="189">
        <f>IFERROR(RANK(TableWRTECalcPts[[#This Row],[Custom]],TableWRTECalcPts[Custom])+COUNTIF($AP$3:AP231,AP231)-1,"")</f>
        <v>57</v>
      </c>
      <c r="AK231" s="218">
        <v>129</v>
      </c>
      <c r="AL231" s="219" t="str">
        <f>IFERROR(INDEX(TableWRMaster[Player],MATCH(TableWRTECalcPts[[#This Row],[POSRef]],TableWRMaster[WRRef],0)),"")</f>
        <v>Chris Olave</v>
      </c>
      <c r="AM231" s="219" t="str">
        <f>IFERROR(_xlfn.CONCAT(TableWRTECalcPts[[#This Row],[POS]],INDEX(TableWRRanks[RK],MATCH(TableWRTECalcPts[[#This Row],[PLAYER]],TableWRRanks[Player],0))),"")</f>
        <v>WR50</v>
      </c>
      <c r="AN231" s="219" t="str">
        <f>IFERROR(INDEX(TableWRMaster[TM],MATCH(TableWRTECalcPts[[#This Row],[POSRef]],TableWRMaster[WRRef],0)),"")</f>
        <v>NO</v>
      </c>
      <c r="AO231" s="219">
        <f>IFERROR(INDEX(TableWRMaster[BYE],MATCH(TableWRTECalcPts[[#This Row],[POSRef]],TableWRMaster[WRRef],0)),"")</f>
        <v>14</v>
      </c>
      <c r="AP231" s="220">
        <f>IFERROR(INDEX(TableWRMaster[Custom],MATCH(TableWRTECalcPts[[#This Row],[POSRef]],TableWRMaster[WRRef],0)),"")</f>
        <v>108.97249273047609</v>
      </c>
    </row>
    <row r="232" spans="13:42" x14ac:dyDescent="0.3">
      <c r="M232" s="191"/>
      <c r="T232" s="191"/>
      <c r="AI232" s="221" t="s">
        <v>358</v>
      </c>
      <c r="AJ232" s="189">
        <f>IFERROR(RANK(TableWRTECalcPts[[#This Row],[Custom]],TableWRTECalcPts[Custom])+COUNTIF($AP$3:AP232,AP232)-1,"")</f>
        <v>68</v>
      </c>
      <c r="AK232" s="218">
        <v>130</v>
      </c>
      <c r="AL232" s="219" t="str">
        <f>IFERROR(INDEX(TableWRMaster[Player],MATCH(TableWRTECalcPts[[#This Row],[POSRef]],TableWRMaster[WRRef],0)),"")</f>
        <v>Jarvis Landry</v>
      </c>
      <c r="AM232" s="219" t="str">
        <f>IFERROR(_xlfn.CONCAT(TableWRTECalcPts[[#This Row],[POS]],INDEX(TableWRRanks[RK],MATCH(TableWRTECalcPts[[#This Row],[PLAYER]],TableWRRanks[Player],0))),"")</f>
        <v>WR58</v>
      </c>
      <c r="AN232" s="219" t="str">
        <f>IFERROR(INDEX(TableWRMaster[TM],MATCH(TableWRTECalcPts[[#This Row],[POSRef]],TableWRMaster[WRRef],0)),"")</f>
        <v>NO</v>
      </c>
      <c r="AO232" s="219">
        <f>IFERROR(INDEX(TableWRMaster[BYE],MATCH(TableWRTECalcPts[[#This Row],[POSRef]],TableWRMaster[WRRef],0)),"")</f>
        <v>14</v>
      </c>
      <c r="AP232" s="220">
        <f>IFERROR(INDEX(TableWRMaster[Custom],MATCH(TableWRTECalcPts[[#This Row],[POSRef]],TableWRMaster[WRRef],0)),"")</f>
        <v>100.36232784392826</v>
      </c>
    </row>
    <row r="233" spans="13:42" x14ac:dyDescent="0.3">
      <c r="M233" s="191"/>
      <c r="T233" s="191"/>
      <c r="AI233" s="221" t="s">
        <v>358</v>
      </c>
      <c r="AJ233" s="189">
        <f>IFERROR(RANK(TableWRTECalcPts[[#This Row],[Custom]],TableWRTECalcPts[Custom])+COUNTIF($AP$3:AP233,AP233)-1,"")</f>
        <v>146</v>
      </c>
      <c r="AK233" s="218">
        <v>131</v>
      </c>
      <c r="AL233" s="219" t="str">
        <f>IFERROR(INDEX(TableWRMaster[Player],MATCH(TableWRTECalcPts[[#This Row],[POSRef]],TableWRMaster[WRRef],0)),"")</f>
        <v>Marquez Callaway</v>
      </c>
      <c r="AM233" s="219" t="str">
        <f>IFERROR(_xlfn.CONCAT(TableWRTECalcPts[[#This Row],[POS]],INDEX(TableWRRanks[RK],MATCH(TableWRTECalcPts[[#This Row],[PLAYER]],TableWRRanks[Player],0))),"")</f>
        <v>WR109</v>
      </c>
      <c r="AN233" s="219" t="str">
        <f>IFERROR(INDEX(TableWRMaster[TM],MATCH(TableWRTECalcPts[[#This Row],[POSRef]],TableWRMaster[WRRef],0)),"")</f>
        <v>NO</v>
      </c>
      <c r="AO233" s="219">
        <f>IFERROR(INDEX(TableWRMaster[BYE],MATCH(TableWRTECalcPts[[#This Row],[POSRef]],TableWRMaster[WRRef],0)),"")</f>
        <v>14</v>
      </c>
      <c r="AP233" s="220">
        <f>IFERROR(INDEX(TableWRMaster[Custom],MATCH(TableWRTECalcPts[[#This Row],[POSRef]],TableWRMaster[WRRef],0)),"")</f>
        <v>35.071330105964549</v>
      </c>
    </row>
    <row r="234" spans="13:42" x14ac:dyDescent="0.3">
      <c r="M234" s="191"/>
      <c r="T234" s="191"/>
      <c r="AI234" s="221" t="s">
        <v>358</v>
      </c>
      <c r="AJ234" s="189">
        <f>IFERROR(RANK(TableWRTECalcPts[[#This Row],[Custom]],TableWRTECalcPts[Custom])+COUNTIF($AP$3:AP234,AP234)-1,"")</f>
        <v>184</v>
      </c>
      <c r="AK234" s="218">
        <v>132</v>
      </c>
      <c r="AL234" s="219" t="str">
        <f>IFERROR(INDEX(TableWRMaster[Player],MATCH(TableWRTECalcPts[[#This Row],[POSRef]],TableWRMaster[WRRef],0)),"")</f>
        <v>Tre'Quan Smith</v>
      </c>
      <c r="AM234" s="219" t="str">
        <f>IFERROR(_xlfn.CONCAT(TableWRTECalcPts[[#This Row],[POS]],INDEX(TableWRRanks[RK],MATCH(TableWRTECalcPts[[#This Row],[PLAYER]],TableWRRanks[Player],0))),"")</f>
        <v>WR132</v>
      </c>
      <c r="AN234" s="219" t="str">
        <f>IFERROR(INDEX(TableWRMaster[TM],MATCH(TableWRTECalcPts[[#This Row],[POSRef]],TableWRMaster[WRRef],0)),"")</f>
        <v>NO</v>
      </c>
      <c r="AO234" s="219">
        <f>IFERROR(INDEX(TableWRMaster[BYE],MATCH(TableWRTECalcPts[[#This Row],[POSRef]],TableWRMaster[WRRef],0)),"")</f>
        <v>14</v>
      </c>
      <c r="AP234" s="220">
        <f>IFERROR(INDEX(TableWRMaster[Custom],MATCH(TableWRTECalcPts[[#This Row],[POSRef]],TableWRMaster[WRRef],0)),"")</f>
        <v>20.717203124655729</v>
      </c>
    </row>
    <row r="235" spans="13:42" x14ac:dyDescent="0.3">
      <c r="M235" s="191"/>
      <c r="T235" s="191"/>
      <c r="AI235" s="221" t="s">
        <v>358</v>
      </c>
      <c r="AJ235" s="189">
        <f>IFERROR(RANK(TableWRTECalcPts[[#This Row],[Custom]],TableWRTECalcPts[Custom])+COUNTIF($AP$3:AP235,AP235)-1,"")</f>
        <v>207</v>
      </c>
      <c r="AK235" s="218">
        <v>133</v>
      </c>
      <c r="AL235" s="219" t="str">
        <f>IFERROR(INDEX(TableWRMaster[Player],MATCH(TableWRTECalcPts[[#This Row],[POSRef]],TableWRMaster[WRRef],0)),"")</f>
        <v>Deonte Harty</v>
      </c>
      <c r="AM235" s="219" t="str">
        <f>IFERROR(_xlfn.CONCAT(TableWRTECalcPts[[#This Row],[POS]],INDEX(TableWRRanks[RK],MATCH(TableWRTECalcPts[[#This Row],[PLAYER]],TableWRRanks[Player],0))),"")</f>
        <v>WR146</v>
      </c>
      <c r="AN235" s="219" t="str">
        <f>IFERROR(INDEX(TableWRMaster[TM],MATCH(TableWRTECalcPts[[#This Row],[POSRef]],TableWRMaster[WRRef],0)),"")</f>
        <v>NO</v>
      </c>
      <c r="AO235" s="219">
        <f>IFERROR(INDEX(TableWRMaster[BYE],MATCH(TableWRTECalcPts[[#This Row],[POSRef]],TableWRMaster[WRRef],0)),"")</f>
        <v>14</v>
      </c>
      <c r="AP235" s="220">
        <f>IFERROR(INDEX(TableWRMaster[Custom],MATCH(TableWRTECalcPts[[#This Row],[POSRef]],TableWRMaster[WRRef],0)),"")</f>
        <v>16.077201517724664</v>
      </c>
    </row>
    <row r="236" spans="13:42" x14ac:dyDescent="0.3">
      <c r="M236" s="191"/>
      <c r="T236" s="191"/>
      <c r="AI236" s="221" t="s">
        <v>358</v>
      </c>
      <c r="AJ236" s="189">
        <f>IFERROR(RANK(TableWRTECalcPts[[#This Row],[Custom]],TableWRTECalcPts[Custom])+COUNTIF($AP$3:AP236,AP236)-1,"")</f>
        <v>63</v>
      </c>
      <c r="AK236" s="218">
        <v>134</v>
      </c>
      <c r="AL236" s="219" t="str">
        <f>IFERROR(INDEX(TableWRMaster[Player],MATCH(TableWRTECalcPts[[#This Row],[POSRef]],TableWRMaster[WRRef],0)),"")</f>
        <v>Kenny Golladay</v>
      </c>
      <c r="AM236" s="219" t="str">
        <f>IFERROR(_xlfn.CONCAT(TableWRTECalcPts[[#This Row],[POS]],INDEX(TableWRRanks[RK],MATCH(TableWRTECalcPts[[#This Row],[PLAYER]],TableWRRanks[Player],0))),"")</f>
        <v>WR55</v>
      </c>
      <c r="AN236" s="219" t="str">
        <f>IFERROR(INDEX(TableWRMaster[TM],MATCH(TableWRTECalcPts[[#This Row],[POSRef]],TableWRMaster[WRRef],0)),"")</f>
        <v>NYG</v>
      </c>
      <c r="AO236" s="219">
        <f>IFERROR(INDEX(TableWRMaster[BYE],MATCH(TableWRTECalcPts[[#This Row],[POSRef]],TableWRMaster[WRRef],0)),"")</f>
        <v>9</v>
      </c>
      <c r="AP236" s="220">
        <f>IFERROR(INDEX(TableWRMaster[Custom],MATCH(TableWRTECalcPts[[#This Row],[POSRef]],TableWRMaster[WRRef],0)),"")</f>
        <v>104.4107223692055</v>
      </c>
    </row>
    <row r="237" spans="13:42" x14ac:dyDescent="0.3">
      <c r="M237" s="191"/>
      <c r="T237" s="191"/>
      <c r="AI237" s="221" t="s">
        <v>358</v>
      </c>
      <c r="AJ237" s="189">
        <f>IFERROR(RANK(TableWRTECalcPts[[#This Row],[Custom]],TableWRTECalcPts[Custom])+COUNTIF($AP$3:AP237,AP237)-1,"")</f>
        <v>113</v>
      </c>
      <c r="AK237" s="218">
        <v>135</v>
      </c>
      <c r="AL237" s="219" t="str">
        <f>IFERROR(INDEX(TableWRMaster[Player],MATCH(TableWRTECalcPts[[#This Row],[POSRef]],TableWRMaster[WRRef],0)),"")</f>
        <v>Sterling Shepard</v>
      </c>
      <c r="AM237" s="219" t="str">
        <f>IFERROR(_xlfn.CONCAT(TableWRTECalcPts[[#This Row],[POS]],INDEX(TableWRRanks[RK],MATCH(TableWRTECalcPts[[#This Row],[PLAYER]],TableWRRanks[Player],0))),"")</f>
        <v>WR85</v>
      </c>
      <c r="AN237" s="219" t="str">
        <f>IFERROR(INDEX(TableWRMaster[TM],MATCH(TableWRTECalcPts[[#This Row],[POSRef]],TableWRMaster[WRRef],0)),"")</f>
        <v>NYG</v>
      </c>
      <c r="AO237" s="219">
        <f>IFERROR(INDEX(TableWRMaster[BYE],MATCH(TableWRTECalcPts[[#This Row],[POSRef]],TableWRMaster[WRRef],0)),"")</f>
        <v>9</v>
      </c>
      <c r="AP237" s="220">
        <f>IFERROR(INDEX(TableWRMaster[Custom],MATCH(TableWRTECalcPts[[#This Row],[POSRef]],TableWRMaster[WRRef],0)),"")</f>
        <v>69.979573413176695</v>
      </c>
    </row>
    <row r="238" spans="13:42" x14ac:dyDescent="0.3">
      <c r="M238" s="191"/>
      <c r="T238" s="191"/>
      <c r="AI238" s="221" t="s">
        <v>358</v>
      </c>
      <c r="AJ238" s="189">
        <f>IFERROR(RANK(TableWRTECalcPts[[#This Row],[Custom]],TableWRTECalcPts[Custom])+COUNTIF($AP$3:AP238,AP238)-1,"")</f>
        <v>74</v>
      </c>
      <c r="AK238" s="218">
        <v>136</v>
      </c>
      <c r="AL238" s="219" t="str">
        <f>IFERROR(INDEX(TableWRMaster[Player],MATCH(TableWRTECalcPts[[#This Row],[POSRef]],TableWRMaster[WRRef],0)),"")</f>
        <v>Kadarius Toney</v>
      </c>
      <c r="AM238" s="219" t="str">
        <f>IFERROR(_xlfn.CONCAT(TableWRTECalcPts[[#This Row],[POS]],INDEX(TableWRRanks[RK],MATCH(TableWRTECalcPts[[#This Row],[PLAYER]],TableWRRanks[Player],0))),"")</f>
        <v>WR61</v>
      </c>
      <c r="AN238" s="219" t="str">
        <f>IFERROR(INDEX(TableWRMaster[TM],MATCH(TableWRTECalcPts[[#This Row],[POSRef]],TableWRMaster[WRRef],0)),"")</f>
        <v>NYG</v>
      </c>
      <c r="AO238" s="219">
        <f>IFERROR(INDEX(TableWRMaster[BYE],MATCH(TableWRTECalcPts[[#This Row],[POSRef]],TableWRMaster[WRRef],0)),"")</f>
        <v>9</v>
      </c>
      <c r="AP238" s="220">
        <f>IFERROR(INDEX(TableWRMaster[Custom],MATCH(TableWRTECalcPts[[#This Row],[POSRef]],TableWRMaster[WRRef],0)),"")</f>
        <v>97.721870227738862</v>
      </c>
    </row>
    <row r="239" spans="13:42" x14ac:dyDescent="0.3">
      <c r="M239" s="191"/>
      <c r="T239" s="191"/>
      <c r="AI239" s="221" t="s">
        <v>358</v>
      </c>
      <c r="AJ239" s="189">
        <f>IFERROR(RANK(TableWRTECalcPts[[#This Row],[Custom]],TableWRTECalcPts[Custom])+COUNTIF($AP$3:AP239,AP239)-1,"")</f>
        <v>165</v>
      </c>
      <c r="AK239" s="218">
        <v>137</v>
      </c>
      <c r="AL239" s="219" t="str">
        <f>IFERROR(INDEX(TableWRMaster[Player],MATCH(TableWRTECalcPts[[#This Row],[POSRef]],TableWRMaster[WRRef],0)),"")</f>
        <v>Darius Slayton</v>
      </c>
      <c r="AM239" s="219" t="str">
        <f>IFERROR(_xlfn.CONCAT(TableWRTECalcPts[[#This Row],[POS]],INDEX(TableWRRanks[RK],MATCH(TableWRTECalcPts[[#This Row],[PLAYER]],TableWRRanks[Player],0))),"")</f>
        <v>WR119</v>
      </c>
      <c r="AN239" s="219" t="str">
        <f>IFERROR(INDEX(TableWRMaster[TM],MATCH(TableWRTECalcPts[[#This Row],[POSRef]],TableWRMaster[WRRef],0)),"")</f>
        <v>NYG</v>
      </c>
      <c r="AO239" s="219">
        <f>IFERROR(INDEX(TableWRMaster[BYE],MATCH(TableWRTECalcPts[[#This Row],[POSRef]],TableWRMaster[WRRef],0)),"")</f>
        <v>9</v>
      </c>
      <c r="AP239" s="220">
        <f>IFERROR(INDEX(TableWRMaster[Custom],MATCH(TableWRTECalcPts[[#This Row],[POSRef]],TableWRMaster[WRRef],0)),"")</f>
        <v>25.280290759337788</v>
      </c>
    </row>
    <row r="240" spans="13:42" x14ac:dyDescent="0.3">
      <c r="M240" s="191"/>
      <c r="T240" s="191"/>
      <c r="AI240" s="221" t="s">
        <v>358</v>
      </c>
      <c r="AJ240" s="189">
        <f>IFERROR(RANK(TableWRTECalcPts[[#This Row],[Custom]],TableWRTECalcPts[Custom])+COUNTIF($AP$3:AP240,AP240)-1,"")</f>
        <v>120</v>
      </c>
      <c r="AK240" s="218">
        <v>138</v>
      </c>
      <c r="AL240" s="219" t="str">
        <f>IFERROR(INDEX(TableWRMaster[Player],MATCH(TableWRTECalcPts[[#This Row],[POSRef]],TableWRMaster[WRRef],0)),"")</f>
        <v>Wan'Dale Robinson</v>
      </c>
      <c r="AM240" s="219" t="str">
        <f>IFERROR(_xlfn.CONCAT(TableWRTECalcPts[[#This Row],[POS]],INDEX(TableWRRanks[RK],MATCH(TableWRTECalcPts[[#This Row],[PLAYER]],TableWRRanks[Player],0))),"")</f>
        <v>WR91</v>
      </c>
      <c r="AN240" s="219" t="str">
        <f>IFERROR(INDEX(TableWRMaster[TM],MATCH(TableWRTECalcPts[[#This Row],[POSRef]],TableWRMaster[WRRef],0)),"")</f>
        <v>NYG</v>
      </c>
      <c r="AO240" s="219">
        <f>IFERROR(INDEX(TableWRMaster[BYE],MATCH(TableWRTECalcPts[[#This Row],[POSRef]],TableWRMaster[WRRef],0)),"")</f>
        <v>9</v>
      </c>
      <c r="AP240" s="220">
        <f>IFERROR(INDEX(TableWRMaster[Custom],MATCH(TableWRTECalcPts[[#This Row],[POSRef]],TableWRMaster[WRRef],0)),"")</f>
        <v>56.120534643103298</v>
      </c>
    </row>
    <row r="241" spans="13:42" x14ac:dyDescent="0.3">
      <c r="M241" s="191"/>
      <c r="T241" s="191"/>
      <c r="AI241" s="221" t="s">
        <v>358</v>
      </c>
      <c r="AJ241" s="189">
        <f>IFERROR(RANK(TableWRTECalcPts[[#This Row],[Custom]],TableWRTECalcPts[Custom])+COUNTIF($AP$3:AP241,AP241)-1,"")</f>
        <v>194</v>
      </c>
      <c r="AK241" s="218">
        <v>139</v>
      </c>
      <c r="AL241" s="219" t="str">
        <f>IFERROR(INDEX(TableWRMaster[Player],MATCH(TableWRTECalcPts[[#This Row],[POSRef]],TableWRMaster[WRRef],0)),"")</f>
        <v>Richie James</v>
      </c>
      <c r="AM241" s="219" t="str">
        <f>IFERROR(_xlfn.CONCAT(TableWRTECalcPts[[#This Row],[POS]],INDEX(TableWRRanks[RK],MATCH(TableWRTECalcPts[[#This Row],[PLAYER]],TableWRRanks[Player],0))),"")</f>
        <v>WR138</v>
      </c>
      <c r="AN241" s="219" t="str">
        <f>IFERROR(INDEX(TableWRMaster[TM],MATCH(TableWRTECalcPts[[#This Row],[POSRef]],TableWRMaster[WRRef],0)),"")</f>
        <v>NYG</v>
      </c>
      <c r="AO241" s="219">
        <f>IFERROR(INDEX(TableWRMaster[BYE],MATCH(TableWRTECalcPts[[#This Row],[POSRef]],TableWRMaster[WRRef],0)),"")</f>
        <v>9</v>
      </c>
      <c r="AP241" s="220">
        <f>IFERROR(INDEX(TableWRMaster[Custom],MATCH(TableWRTECalcPts[[#This Row],[POSRef]],TableWRMaster[WRRef],0)),"")</f>
        <v>18.325436797417154</v>
      </c>
    </row>
    <row r="242" spans="13:42" x14ac:dyDescent="0.3">
      <c r="M242" s="191"/>
      <c r="T242" s="191"/>
      <c r="AI242" s="221" t="s">
        <v>358</v>
      </c>
      <c r="AJ242" s="189">
        <f>IFERROR(RANK(TableWRTECalcPts[[#This Row],[Custom]],TableWRTECalcPts[Custom])+COUNTIF($AP$3:AP242,AP242)-1,"")</f>
        <v>50</v>
      </c>
      <c r="AK242" s="218">
        <v>140</v>
      </c>
      <c r="AL242" s="219" t="str">
        <f>IFERROR(INDEX(TableWRMaster[Player],MATCH(TableWRTECalcPts[[#This Row],[POSRef]],TableWRMaster[WRRef],0)),"")</f>
        <v>Garrett Wilson</v>
      </c>
      <c r="AM242" s="219" t="str">
        <f>IFERROR(_xlfn.CONCAT(TableWRTECalcPts[[#This Row],[POS]],INDEX(TableWRRanks[RK],MATCH(TableWRTECalcPts[[#This Row],[PLAYER]],TableWRRanks[Player],0))),"")</f>
        <v>WR43</v>
      </c>
      <c r="AN242" s="219" t="str">
        <f>IFERROR(INDEX(TableWRMaster[TM],MATCH(TableWRTECalcPts[[#This Row],[POSRef]],TableWRMaster[WRRef],0)),"")</f>
        <v>NYJ</v>
      </c>
      <c r="AO242" s="219">
        <f>IFERROR(INDEX(TableWRMaster[BYE],MATCH(TableWRTECalcPts[[#This Row],[POSRef]],TableWRMaster[WRRef],0)),"")</f>
        <v>10</v>
      </c>
      <c r="AP242" s="220">
        <f>IFERROR(INDEX(TableWRMaster[Custom],MATCH(TableWRTECalcPts[[#This Row],[POSRef]],TableWRMaster[WRRef],0)),"")</f>
        <v>118.75015619934166</v>
      </c>
    </row>
    <row r="243" spans="13:42" x14ac:dyDescent="0.3">
      <c r="AI243" s="221" t="s">
        <v>358</v>
      </c>
      <c r="AJ243" s="189">
        <f>IFERROR(RANK(TableWRTECalcPts[[#This Row],[Custom]],TableWRTECalcPts[Custom])+COUNTIF($AP$3:AP243,AP243)-1,"")</f>
        <v>30</v>
      </c>
      <c r="AK243" s="218">
        <v>141</v>
      </c>
      <c r="AL243" s="219" t="str">
        <f>IFERROR(INDEX(TableWRMaster[Player],MATCH(TableWRTECalcPts[[#This Row],[POSRef]],TableWRMaster[WRRef],0)),"")</f>
        <v>Elijah Moore</v>
      </c>
      <c r="AM243" s="219" t="str">
        <f>IFERROR(_xlfn.CONCAT(TableWRTECalcPts[[#This Row],[POS]],INDEX(TableWRRanks[RK],MATCH(TableWRTECalcPts[[#This Row],[PLAYER]],TableWRRanks[Player],0))),"")</f>
        <v>WR27</v>
      </c>
      <c r="AN243" s="219" t="str">
        <f>IFERROR(INDEX(TableWRMaster[TM],MATCH(TableWRTECalcPts[[#This Row],[POSRef]],TableWRMaster[WRRef],0)),"")</f>
        <v>NYJ</v>
      </c>
      <c r="AO243" s="219">
        <f>IFERROR(INDEX(TableWRMaster[BYE],MATCH(TableWRTECalcPts[[#This Row],[POSRef]],TableWRMaster[WRRef],0)),"")</f>
        <v>10</v>
      </c>
      <c r="AP243" s="220">
        <f>IFERROR(INDEX(TableWRMaster[Custom],MATCH(TableWRTECalcPts[[#This Row],[POSRef]],TableWRMaster[WRRef],0)),"")</f>
        <v>140.30061800932492</v>
      </c>
    </row>
    <row r="244" spans="13:42" x14ac:dyDescent="0.3">
      <c r="AI244" s="221" t="s">
        <v>358</v>
      </c>
      <c r="AJ244" s="189">
        <f>IFERROR(RANK(TableWRTECalcPts[[#This Row],[Custom]],TableWRTECalcPts[Custom])+COUNTIF($AP$3:AP244,AP244)-1,"")</f>
        <v>115</v>
      </c>
      <c r="AK244" s="218">
        <v>142</v>
      </c>
      <c r="AL244" s="219" t="str">
        <f>IFERROR(INDEX(TableWRMaster[Player],MATCH(TableWRTECalcPts[[#This Row],[POSRef]],TableWRMaster[WRRef],0)),"")</f>
        <v>Corey Davis</v>
      </c>
      <c r="AM244" s="219" t="str">
        <f>IFERROR(_xlfn.CONCAT(TableWRTECalcPts[[#This Row],[POS]],INDEX(TableWRRanks[RK],MATCH(TableWRTECalcPts[[#This Row],[PLAYER]],TableWRRanks[Player],0))),"")</f>
        <v>WR87</v>
      </c>
      <c r="AN244" s="219" t="str">
        <f>IFERROR(INDEX(TableWRMaster[TM],MATCH(TableWRTECalcPts[[#This Row],[POSRef]],TableWRMaster[WRRef],0)),"")</f>
        <v>NYJ</v>
      </c>
      <c r="AO244" s="219">
        <f>IFERROR(INDEX(TableWRMaster[BYE],MATCH(TableWRTECalcPts[[#This Row],[POSRef]],TableWRMaster[WRRef],0)),"")</f>
        <v>10</v>
      </c>
      <c r="AP244" s="220">
        <f>IFERROR(INDEX(TableWRMaster[Custom],MATCH(TableWRTECalcPts[[#This Row],[POSRef]],TableWRMaster[WRRef],0)),"")</f>
        <v>65.288503663814794</v>
      </c>
    </row>
    <row r="245" spans="13:42" x14ac:dyDescent="0.3">
      <c r="AI245" s="221" t="s">
        <v>358</v>
      </c>
      <c r="AJ245" s="189">
        <f>IFERROR(RANK(TableWRTECalcPts[[#This Row],[Custom]],TableWRTECalcPts[Custom])+COUNTIF($AP$3:AP245,AP245)-1,"")</f>
        <v>231</v>
      </c>
      <c r="AK245" s="218">
        <v>143</v>
      </c>
      <c r="AL245" s="219" t="str">
        <f>IFERROR(INDEX(TableWRMaster[Player],MATCH(TableWRTECalcPts[[#This Row],[POSRef]],TableWRMaster[WRRef],0)),"")</f>
        <v>Denzel Mims</v>
      </c>
      <c r="AM245" s="219" t="str">
        <f>IFERROR(_xlfn.CONCAT(TableWRTECalcPts[[#This Row],[POS]],INDEX(TableWRRanks[RK],MATCH(TableWRTECalcPts[[#This Row],[PLAYER]],TableWRRanks[Player],0))),"")</f>
        <v>WR163</v>
      </c>
      <c r="AN245" s="219" t="str">
        <f>IFERROR(INDEX(TableWRMaster[TM],MATCH(TableWRTECalcPts[[#This Row],[POSRef]],TableWRMaster[WRRef],0)),"")</f>
        <v>NYJ</v>
      </c>
      <c r="AO245" s="219">
        <f>IFERROR(INDEX(TableWRMaster[BYE],MATCH(TableWRTECalcPts[[#This Row],[POSRef]],TableWRMaster[WRRef],0)),"")</f>
        <v>10</v>
      </c>
      <c r="AP245" s="220">
        <f>IFERROR(INDEX(TableWRMaster[Custom],MATCH(TableWRTECalcPts[[#This Row],[POSRef]],TableWRMaster[WRRef],0)),"")</f>
        <v>11.477164181856821</v>
      </c>
    </row>
    <row r="246" spans="13:42" x14ac:dyDescent="0.3">
      <c r="AI246" s="221" t="s">
        <v>358</v>
      </c>
      <c r="AJ246" s="189">
        <f>IFERROR(RANK(TableWRTECalcPts[[#This Row],[Custom]],TableWRTECalcPts[Custom])+COUNTIF($AP$3:AP246,AP246)-1,"")</f>
        <v>276</v>
      </c>
      <c r="AK246" s="218">
        <v>144</v>
      </c>
      <c r="AL246" s="219" t="str">
        <f>IFERROR(INDEX(TableWRMaster[Player],MATCH(TableWRTECalcPts[[#This Row],[POSRef]],TableWRMaster[WRRef],0)),"")</f>
        <v>Jeff Smith</v>
      </c>
      <c r="AM246" s="219" t="str">
        <f>IFERROR(_xlfn.CONCAT(TableWRTECalcPts[[#This Row],[POS]],INDEX(TableWRRanks[RK],MATCH(TableWRTECalcPts[[#This Row],[PLAYER]],TableWRRanks[Player],0))),"")</f>
        <v>WR184</v>
      </c>
      <c r="AN246" s="219" t="str">
        <f>IFERROR(INDEX(TableWRMaster[TM],MATCH(TableWRTECalcPts[[#This Row],[POSRef]],TableWRMaster[WRRef],0)),"")</f>
        <v>NYJ</v>
      </c>
      <c r="AO246" s="219">
        <f>IFERROR(INDEX(TableWRMaster[BYE],MATCH(TableWRTECalcPts[[#This Row],[POSRef]],TableWRMaster[WRRef],0)),"")</f>
        <v>10</v>
      </c>
      <c r="AP246" s="220">
        <f>IFERROR(INDEX(TableWRMaster[Custom],MATCH(TableWRTECalcPts[[#This Row],[POSRef]],TableWRMaster[WRRef],0)),"")</f>
        <v>3.9204597587547814</v>
      </c>
    </row>
    <row r="247" spans="13:42" x14ac:dyDescent="0.3">
      <c r="AI247" s="221" t="s">
        <v>358</v>
      </c>
      <c r="AJ247" s="189">
        <f>IFERROR(RANK(TableWRTECalcPts[[#This Row],[Custom]],TableWRTECalcPts[Custom])+COUNTIF($AP$3:AP247,AP247)-1,"")</f>
        <v>135</v>
      </c>
      <c r="AK247" s="218">
        <v>145</v>
      </c>
      <c r="AL247" s="219" t="str">
        <f>IFERROR(INDEX(TableWRMaster[Player],MATCH(TableWRTECalcPts[[#This Row],[POSRef]],TableWRMaster[WRRef],0)),"")</f>
        <v>Braxton Berrios</v>
      </c>
      <c r="AM247" s="219" t="str">
        <f>IFERROR(_xlfn.CONCAT(TableWRTECalcPts[[#This Row],[POS]],INDEX(TableWRRanks[RK],MATCH(TableWRTECalcPts[[#This Row],[PLAYER]],TableWRRanks[Player],0))),"")</f>
        <v>WR103</v>
      </c>
      <c r="AN247" s="219" t="str">
        <f>IFERROR(INDEX(TableWRMaster[TM],MATCH(TableWRTECalcPts[[#This Row],[POSRef]],TableWRMaster[WRRef],0)),"")</f>
        <v>NYJ</v>
      </c>
      <c r="AO247" s="219">
        <f>IFERROR(INDEX(TableWRMaster[BYE],MATCH(TableWRTECalcPts[[#This Row],[POSRef]],TableWRMaster[WRRef],0)),"")</f>
        <v>10</v>
      </c>
      <c r="AP247" s="220">
        <f>IFERROR(INDEX(TableWRMaster[Custom],MATCH(TableWRTECalcPts[[#This Row],[POSRef]],TableWRMaster[WRRef],0)),"")</f>
        <v>45.627287616763233</v>
      </c>
    </row>
    <row r="248" spans="13:42" x14ac:dyDescent="0.3">
      <c r="AI248" s="221" t="s">
        <v>358</v>
      </c>
      <c r="AJ248" s="189">
        <f>IFERROR(RANK(TableWRTECalcPts[[#This Row],[Custom]],TableWRTECalcPts[Custom])+COUNTIF($AP$3:AP248,AP248)-1,"")</f>
        <v>11</v>
      </c>
      <c r="AK248" s="218">
        <v>146</v>
      </c>
      <c r="AL248" s="219" t="str">
        <f>IFERROR(INDEX(TableWRMaster[Player],MATCH(TableWRTECalcPts[[#This Row],[POSRef]],TableWRMaster[WRRef],0)),"")</f>
        <v>A.J. Brown</v>
      </c>
      <c r="AM248" s="219" t="str">
        <f>IFERROR(_xlfn.CONCAT(TableWRTECalcPts[[#This Row],[POS]],INDEX(TableWRRanks[RK],MATCH(TableWRTECalcPts[[#This Row],[PLAYER]],TableWRRanks[Player],0))),"")</f>
        <v>WR11</v>
      </c>
      <c r="AN248" s="219" t="str">
        <f>IFERROR(INDEX(TableWRMaster[TM],MATCH(TableWRTECalcPts[[#This Row],[POSRef]],TableWRMaster[WRRef],0)),"")</f>
        <v>PHI</v>
      </c>
      <c r="AO248" s="219">
        <f>IFERROR(INDEX(TableWRMaster[BYE],MATCH(TableWRTECalcPts[[#This Row],[POSRef]],TableWRMaster[WRRef],0)),"")</f>
        <v>7</v>
      </c>
      <c r="AP248" s="220">
        <f>IFERROR(INDEX(TableWRMaster[Custom],MATCH(TableWRTECalcPts[[#This Row],[POSRef]],TableWRMaster[WRRef],0)),"")</f>
        <v>169.4104360268131</v>
      </c>
    </row>
    <row r="249" spans="13:42" x14ac:dyDescent="0.3">
      <c r="AI249" s="221" t="s">
        <v>358</v>
      </c>
      <c r="AJ249" s="189">
        <f>IFERROR(RANK(TableWRTECalcPts[[#This Row],[Custom]],TableWRTECalcPts[Custom])+COUNTIF($AP$3:AP249,AP249)-1,"")</f>
        <v>28</v>
      </c>
      <c r="AK249" s="218">
        <v>147</v>
      </c>
      <c r="AL249" s="219" t="str">
        <f>IFERROR(INDEX(TableWRMaster[Player],MATCH(TableWRTECalcPts[[#This Row],[POSRef]],TableWRMaster[WRRef],0)),"")</f>
        <v>DeVonta Smith</v>
      </c>
      <c r="AM249" s="219" t="str">
        <f>IFERROR(_xlfn.CONCAT(TableWRTECalcPts[[#This Row],[POS]],INDEX(TableWRRanks[RK],MATCH(TableWRTECalcPts[[#This Row],[PLAYER]],TableWRRanks[Player],0))),"")</f>
        <v>WR25</v>
      </c>
      <c r="AN249" s="219" t="str">
        <f>IFERROR(INDEX(TableWRMaster[TM],MATCH(TableWRTECalcPts[[#This Row],[POSRef]],TableWRMaster[WRRef],0)),"")</f>
        <v>PHI</v>
      </c>
      <c r="AO249" s="219">
        <f>IFERROR(INDEX(TableWRMaster[BYE],MATCH(TableWRTECalcPts[[#This Row],[POSRef]],TableWRMaster[WRRef],0)),"")</f>
        <v>7</v>
      </c>
      <c r="AP249" s="220">
        <f>IFERROR(INDEX(TableWRMaster[Custom],MATCH(TableWRTECalcPts[[#This Row],[POSRef]],TableWRMaster[WRRef],0)),"")</f>
        <v>141.82410304289172</v>
      </c>
    </row>
    <row r="250" spans="13:42" x14ac:dyDescent="0.3">
      <c r="AI250" s="221" t="s">
        <v>358</v>
      </c>
      <c r="AJ250" s="189">
        <f>IFERROR(RANK(TableWRTECalcPts[[#This Row],[Custom]],TableWRTECalcPts[Custom])+COUNTIF($AP$3:AP250,AP250)-1,"")</f>
        <v>148</v>
      </c>
      <c r="AK250" s="218">
        <v>148</v>
      </c>
      <c r="AL250" s="219" t="str">
        <f>IFERROR(INDEX(TableWRMaster[Player],MATCH(TableWRTECalcPts[[#This Row],[POSRef]],TableWRMaster[WRRef],0)),"")</f>
        <v>Quez Watkins</v>
      </c>
      <c r="AM250" s="219" t="str">
        <f>IFERROR(_xlfn.CONCAT(TableWRTECalcPts[[#This Row],[POS]],INDEX(TableWRRanks[RK],MATCH(TableWRTECalcPts[[#This Row],[PLAYER]],TableWRRanks[Player],0))),"")</f>
        <v>WR110</v>
      </c>
      <c r="AN250" s="219" t="str">
        <f>IFERROR(INDEX(TableWRMaster[TM],MATCH(TableWRTECalcPts[[#This Row],[POSRef]],TableWRMaster[WRRef],0)),"")</f>
        <v>PHI</v>
      </c>
      <c r="AO250" s="219">
        <f>IFERROR(INDEX(TableWRMaster[BYE],MATCH(TableWRTECalcPts[[#This Row],[POSRef]],TableWRMaster[WRRef],0)),"")</f>
        <v>7</v>
      </c>
      <c r="AP250" s="220">
        <f>IFERROR(INDEX(TableWRMaster[Custom],MATCH(TableWRTECalcPts[[#This Row],[POSRef]],TableWRMaster[WRRef],0)),"")</f>
        <v>34.037529360914419</v>
      </c>
    </row>
    <row r="251" spans="13:42" x14ac:dyDescent="0.3">
      <c r="AI251" s="221" t="s">
        <v>358</v>
      </c>
      <c r="AJ251" s="189">
        <f>IFERROR(RANK(TableWRTECalcPts[[#This Row],[Custom]],TableWRTECalcPts[Custom])+COUNTIF($AP$3:AP251,AP251)-1,"")</f>
        <v>164</v>
      </c>
      <c r="AK251" s="218">
        <v>149</v>
      </c>
      <c r="AL251" s="219" t="str">
        <f>IFERROR(INDEX(TableWRMaster[Player],MATCH(TableWRTECalcPts[[#This Row],[POSRef]],TableWRMaster[WRRef],0)),"")</f>
        <v>Jalen Reagor</v>
      </c>
      <c r="AM251" s="219" t="str">
        <f>IFERROR(_xlfn.CONCAT(TableWRTECalcPts[[#This Row],[POS]],INDEX(TableWRRanks[RK],MATCH(TableWRTECalcPts[[#This Row],[PLAYER]],TableWRRanks[Player],0))),"")</f>
        <v>WR118</v>
      </c>
      <c r="AN251" s="219" t="str">
        <f>IFERROR(INDEX(TableWRMaster[TM],MATCH(TableWRTECalcPts[[#This Row],[POSRef]],TableWRMaster[WRRef],0)),"")</f>
        <v>PHI</v>
      </c>
      <c r="AO251" s="219">
        <f>IFERROR(INDEX(TableWRMaster[BYE],MATCH(TableWRTECalcPts[[#This Row],[POSRef]],TableWRMaster[WRRef],0)),"")</f>
        <v>7</v>
      </c>
      <c r="AP251" s="220">
        <f>IFERROR(INDEX(TableWRMaster[Custom],MATCH(TableWRTECalcPts[[#This Row],[POSRef]],TableWRMaster[WRRef],0)),"")</f>
        <v>25.418517557427606</v>
      </c>
    </row>
    <row r="252" spans="13:42" x14ac:dyDescent="0.3">
      <c r="AI252" s="221" t="s">
        <v>358</v>
      </c>
      <c r="AJ252" s="189">
        <f>IFERROR(RANK(TableWRTECalcPts[[#This Row],[Custom]],TableWRTECalcPts[Custom])+COUNTIF($AP$3:AP252,AP252)-1,"")</f>
        <v>229</v>
      </c>
      <c r="AK252" s="218">
        <v>150</v>
      </c>
      <c r="AL252" s="219" t="str">
        <f>IFERROR(INDEX(TableWRMaster[Player],MATCH(TableWRTECalcPts[[#This Row],[POSRef]],TableWRMaster[WRRef],0)),"")</f>
        <v>Greg Ward</v>
      </c>
      <c r="AM252" s="219" t="str">
        <f>IFERROR(_xlfn.CONCAT(TableWRTECalcPts[[#This Row],[POS]],INDEX(TableWRRanks[RK],MATCH(TableWRTECalcPts[[#This Row],[PLAYER]],TableWRRanks[Player],0))),"")</f>
        <v>WR162</v>
      </c>
      <c r="AN252" s="219" t="str">
        <f>IFERROR(INDEX(TableWRMaster[TM],MATCH(TableWRTECalcPts[[#This Row],[POSRef]],TableWRMaster[WRRef],0)),"")</f>
        <v>PHI</v>
      </c>
      <c r="AO252" s="219">
        <f>IFERROR(INDEX(TableWRMaster[BYE],MATCH(TableWRTECalcPts[[#This Row],[POSRef]],TableWRMaster[WRRef],0)),"")</f>
        <v>7</v>
      </c>
      <c r="AP252" s="220">
        <f>IFERROR(INDEX(TableWRMaster[Custom],MATCH(TableWRTECalcPts[[#This Row],[POSRef]],TableWRMaster[WRRef],0)),"")</f>
        <v>11.852095478256167</v>
      </c>
    </row>
    <row r="253" spans="13:42" x14ac:dyDescent="0.3">
      <c r="AI253" s="221" t="s">
        <v>358</v>
      </c>
      <c r="AJ253" s="189">
        <f>IFERROR(RANK(TableWRTECalcPts[[#This Row],[Custom]],TableWRTECalcPts[Custom])+COUNTIF($AP$3:AP253,AP253)-1,"")</f>
        <v>170</v>
      </c>
      <c r="AK253" s="218">
        <v>151</v>
      </c>
      <c r="AL253" s="219" t="str">
        <f>IFERROR(INDEX(TableWRMaster[Player],MATCH(TableWRTECalcPts[[#This Row],[POSRef]],TableWRMaster[WRRef],0)),"")</f>
        <v>Zach Pascal</v>
      </c>
      <c r="AM253" s="219" t="str">
        <f>IFERROR(_xlfn.CONCAT(TableWRTECalcPts[[#This Row],[POS]],INDEX(TableWRRanks[RK],MATCH(TableWRTECalcPts[[#This Row],[PLAYER]],TableWRRanks[Player],0))),"")</f>
        <v>WR122</v>
      </c>
      <c r="AN253" s="219" t="str">
        <f>IFERROR(INDEX(TableWRMaster[TM],MATCH(TableWRTECalcPts[[#This Row],[POSRef]],TableWRMaster[WRRef],0)),"")</f>
        <v>PHI</v>
      </c>
      <c r="AO253" s="219">
        <f>IFERROR(INDEX(TableWRMaster[BYE],MATCH(TableWRTECalcPts[[#This Row],[POSRef]],TableWRMaster[WRRef],0)),"")</f>
        <v>7</v>
      </c>
      <c r="AP253" s="220">
        <f>IFERROR(INDEX(TableWRMaster[Custom],MATCH(TableWRTECalcPts[[#This Row],[POSRef]],TableWRMaster[WRRef],0)),"")</f>
        <v>23.786128114823704</v>
      </c>
    </row>
    <row r="254" spans="13:42" x14ac:dyDescent="0.3">
      <c r="AI254" s="221" t="s">
        <v>358</v>
      </c>
      <c r="AJ254" s="189">
        <f>IFERROR(RANK(TableWRTECalcPts[[#This Row],[Custom]],TableWRTECalcPts[Custom])+COUNTIF($AP$3:AP254,AP254)-1,"")</f>
        <v>19</v>
      </c>
      <c r="AK254" s="218">
        <v>152</v>
      </c>
      <c r="AL254" s="219" t="str">
        <f>IFERROR(INDEX(TableWRMaster[Player],MATCH(TableWRTECalcPts[[#This Row],[POSRef]],TableWRMaster[WRRef],0)),"")</f>
        <v>Diontae Johnson</v>
      </c>
      <c r="AM254" s="219" t="str">
        <f>IFERROR(_xlfn.CONCAT(TableWRTECalcPts[[#This Row],[POS]],INDEX(TableWRRanks[RK],MATCH(TableWRTECalcPts[[#This Row],[PLAYER]],TableWRRanks[Player],0))),"")</f>
        <v>WR16</v>
      </c>
      <c r="AN254" s="219" t="str">
        <f>IFERROR(INDEX(TableWRMaster[TM],MATCH(TableWRTECalcPts[[#This Row],[POSRef]],TableWRMaster[WRRef],0)),"")</f>
        <v>PIT</v>
      </c>
      <c r="AO254" s="219">
        <f>IFERROR(INDEX(TableWRMaster[BYE],MATCH(TableWRTECalcPts[[#This Row],[POSRef]],TableWRMaster[WRRef],0)),"")</f>
        <v>9</v>
      </c>
      <c r="AP254" s="220">
        <f>IFERROR(INDEX(TableWRMaster[Custom],MATCH(TableWRTECalcPts[[#This Row],[POSRef]],TableWRMaster[WRRef],0)),"")</f>
        <v>150.82650522066166</v>
      </c>
    </row>
    <row r="255" spans="13:42" x14ac:dyDescent="0.3">
      <c r="AI255" s="221" t="s">
        <v>358</v>
      </c>
      <c r="AJ255" s="189">
        <f>IFERROR(RANK(TableWRTECalcPts[[#This Row],[Custom]],TableWRTECalcPts[Custom])+COUNTIF($AP$3:AP255,AP255)-1,"")</f>
        <v>58</v>
      </c>
      <c r="AK255" s="218">
        <v>153</v>
      </c>
      <c r="AL255" s="219" t="str">
        <f>IFERROR(INDEX(TableWRMaster[Player],MATCH(TableWRTECalcPts[[#This Row],[POSRef]],TableWRMaster[WRRef],0)),"")</f>
        <v>Chase Claypool</v>
      </c>
      <c r="AM255" s="219" t="str">
        <f>IFERROR(_xlfn.CONCAT(TableWRTECalcPts[[#This Row],[POS]],INDEX(TableWRRanks[RK],MATCH(TableWRTECalcPts[[#This Row],[PLAYER]],TableWRRanks[Player],0))),"")</f>
        <v>WR51</v>
      </c>
      <c r="AN255" s="219" t="str">
        <f>IFERROR(INDEX(TableWRMaster[TM],MATCH(TableWRTECalcPts[[#This Row],[POSRef]],TableWRMaster[WRRef],0)),"")</f>
        <v>PIT</v>
      </c>
      <c r="AO255" s="219">
        <f>IFERROR(INDEX(TableWRMaster[BYE],MATCH(TableWRTECalcPts[[#This Row],[POSRef]],TableWRMaster[WRRef],0)),"")</f>
        <v>9</v>
      </c>
      <c r="AP255" s="220">
        <f>IFERROR(INDEX(TableWRMaster[Custom],MATCH(TableWRTECalcPts[[#This Row],[POSRef]],TableWRMaster[WRRef],0)),"")</f>
        <v>106.93345533928145</v>
      </c>
    </row>
    <row r="256" spans="13:42" x14ac:dyDescent="0.3">
      <c r="AI256" s="221" t="s">
        <v>358</v>
      </c>
      <c r="AJ256" s="189">
        <f>IFERROR(RANK(TableWRTECalcPts[[#This Row],[Custom]],TableWRTECalcPts[Custom])+COUNTIF($AP$3:AP256,AP256)-1,"")</f>
        <v>75</v>
      </c>
      <c r="AK256" s="218">
        <v>154</v>
      </c>
      <c r="AL256" s="219" t="str">
        <f>IFERROR(INDEX(TableWRMaster[Player],MATCH(TableWRTECalcPts[[#This Row],[POSRef]],TableWRMaster[WRRef],0)),"")</f>
        <v>George Pickens</v>
      </c>
      <c r="AM256" s="219" t="str">
        <f>IFERROR(_xlfn.CONCAT(TableWRTECalcPts[[#This Row],[POS]],INDEX(TableWRRanks[RK],MATCH(TableWRTECalcPts[[#This Row],[PLAYER]],TableWRRanks[Player],0))),"")</f>
        <v>WR62</v>
      </c>
      <c r="AN256" s="219" t="str">
        <f>IFERROR(INDEX(TableWRMaster[TM],MATCH(TableWRTECalcPts[[#This Row],[POSRef]],TableWRMaster[WRRef],0)),"")</f>
        <v>PIT</v>
      </c>
      <c r="AO256" s="219">
        <f>IFERROR(INDEX(TableWRMaster[BYE],MATCH(TableWRTECalcPts[[#This Row],[POSRef]],TableWRMaster[WRRef],0)),"")</f>
        <v>9</v>
      </c>
      <c r="AP256" s="220">
        <f>IFERROR(INDEX(TableWRMaster[Custom],MATCH(TableWRTECalcPts[[#This Row],[POSRef]],TableWRMaster[WRRef],0)),"")</f>
        <v>96.635223734682157</v>
      </c>
    </row>
    <row r="257" spans="35:42" x14ac:dyDescent="0.3">
      <c r="AI257" s="221" t="s">
        <v>358</v>
      </c>
      <c r="AJ257" s="189">
        <f>IFERROR(RANK(TableWRTECalcPts[[#This Row],[Custom]],TableWRTECalcPts[Custom])+COUNTIF($AP$3:AP257,AP257)-1,"")</f>
        <v>141</v>
      </c>
      <c r="AK257" s="218">
        <v>155</v>
      </c>
      <c r="AL257" s="219" t="str">
        <f>IFERROR(INDEX(TableWRMaster[Player],MATCH(TableWRTECalcPts[[#This Row],[POSRef]],TableWRMaster[WRRef],0)),"")</f>
        <v>Calvin Austin</v>
      </c>
      <c r="AM257" s="219" t="str">
        <f>IFERROR(_xlfn.CONCAT(TableWRTECalcPts[[#This Row],[POS]],INDEX(TableWRRanks[RK],MATCH(TableWRTECalcPts[[#This Row],[PLAYER]],TableWRRanks[Player],0))),"")</f>
        <v>WR107</v>
      </c>
      <c r="AN257" s="219" t="str">
        <f>IFERROR(INDEX(TableWRMaster[TM],MATCH(TableWRTECalcPts[[#This Row],[POSRef]],TableWRMaster[WRRef],0)),"")</f>
        <v>PIT</v>
      </c>
      <c r="AO257" s="219">
        <f>IFERROR(INDEX(TableWRMaster[BYE],MATCH(TableWRTECalcPts[[#This Row],[POSRef]],TableWRMaster[WRRef],0)),"")</f>
        <v>9</v>
      </c>
      <c r="AP257" s="220">
        <f>IFERROR(INDEX(TableWRMaster[Custom],MATCH(TableWRTECalcPts[[#This Row],[POSRef]],TableWRMaster[WRRef],0)),"")</f>
        <v>38.631807132828371</v>
      </c>
    </row>
    <row r="258" spans="35:42" x14ac:dyDescent="0.3">
      <c r="AI258" s="221" t="s">
        <v>358</v>
      </c>
      <c r="AJ258" s="189">
        <f>IFERROR(RANK(TableWRTECalcPts[[#This Row],[Custom]],TableWRTECalcPts[Custom])+COUNTIF($AP$3:AP258,AP258)-1,"")</f>
        <v>186</v>
      </c>
      <c r="AK258" s="218">
        <v>156</v>
      </c>
      <c r="AL258" s="219" t="str">
        <f>IFERROR(INDEX(TableWRMaster[Player],MATCH(TableWRTECalcPts[[#This Row],[POSRef]],TableWRMaster[WRRef],0)),"")</f>
        <v>Miles Boykin</v>
      </c>
      <c r="AM258" s="219" t="str">
        <f>IFERROR(_xlfn.CONCAT(TableWRTECalcPts[[#This Row],[POS]],INDEX(TableWRRanks[RK],MATCH(TableWRTECalcPts[[#This Row],[PLAYER]],TableWRRanks[Player],0))),"")</f>
        <v>WR133</v>
      </c>
      <c r="AN258" s="219" t="str">
        <f>IFERROR(INDEX(TableWRMaster[TM],MATCH(TableWRTECalcPts[[#This Row],[POSRef]],TableWRMaster[WRRef],0)),"")</f>
        <v>PIT</v>
      </c>
      <c r="AO258" s="219">
        <f>IFERROR(INDEX(TableWRMaster[BYE],MATCH(TableWRTECalcPts[[#This Row],[POSRef]],TableWRMaster[WRRef],0)),"")</f>
        <v>9</v>
      </c>
      <c r="AP258" s="220">
        <f>IFERROR(INDEX(TableWRMaster[Custom],MATCH(TableWRTECalcPts[[#This Row],[POSRef]],TableWRMaster[WRRef],0)),"")</f>
        <v>20.349802281807243</v>
      </c>
    </row>
    <row r="259" spans="35:42" x14ac:dyDescent="0.3">
      <c r="AI259" s="221" t="s">
        <v>358</v>
      </c>
      <c r="AJ259" s="189">
        <f>IFERROR(RANK(TableWRTECalcPts[[#This Row],[Custom]],TableWRTECalcPts[Custom])+COUNTIF($AP$3:AP259,AP259)-1,"")</f>
        <v>21</v>
      </c>
      <c r="AK259" s="218">
        <v>157</v>
      </c>
      <c r="AL259" s="219" t="str">
        <f>IFERROR(INDEX(TableWRMaster[Player],MATCH(TableWRTECalcPts[[#This Row],[POSRef]],TableWRMaster[WRRef],0)),"")</f>
        <v>DK Metcalf</v>
      </c>
      <c r="AM259" s="219" t="str">
        <f>IFERROR(_xlfn.CONCAT(TableWRTECalcPts[[#This Row],[POS]],INDEX(TableWRRanks[RK],MATCH(TableWRTECalcPts[[#This Row],[PLAYER]],TableWRRanks[Player],0))),"")</f>
        <v>WR18</v>
      </c>
      <c r="AN259" s="219" t="str">
        <f>IFERROR(INDEX(TableWRMaster[TM],MATCH(TableWRTECalcPts[[#This Row],[POSRef]],TableWRMaster[WRRef],0)),"")</f>
        <v>SEA</v>
      </c>
      <c r="AO259" s="219">
        <f>IFERROR(INDEX(TableWRMaster[BYE],MATCH(TableWRTECalcPts[[#This Row],[POSRef]],TableWRMaster[WRRef],0)),"")</f>
        <v>11</v>
      </c>
      <c r="AP259" s="220">
        <f>IFERROR(INDEX(TableWRMaster[Custom],MATCH(TableWRTECalcPts[[#This Row],[POSRef]],TableWRMaster[WRRef],0)),"")</f>
        <v>150.29995128334309</v>
      </c>
    </row>
    <row r="260" spans="35:42" x14ac:dyDescent="0.3">
      <c r="AI260" s="221" t="s">
        <v>358</v>
      </c>
      <c r="AJ260" s="189">
        <f>IFERROR(RANK(TableWRTECalcPts[[#This Row],[Custom]],TableWRTECalcPts[Custom])+COUNTIF($AP$3:AP260,AP260)-1,"")</f>
        <v>32</v>
      </c>
      <c r="AK260" s="218">
        <v>158</v>
      </c>
      <c r="AL260" s="219" t="str">
        <f>IFERROR(INDEX(TableWRMaster[Player],MATCH(TableWRTECalcPts[[#This Row],[POSRef]],TableWRMaster[WRRef],0)),"")</f>
        <v>Tyler Lockett</v>
      </c>
      <c r="AM260" s="219" t="str">
        <f>IFERROR(_xlfn.CONCAT(TableWRTECalcPts[[#This Row],[POS]],INDEX(TableWRRanks[RK],MATCH(TableWRTECalcPts[[#This Row],[PLAYER]],TableWRRanks[Player],0))),"")</f>
        <v>WR29</v>
      </c>
      <c r="AN260" s="219" t="str">
        <f>IFERROR(INDEX(TableWRMaster[TM],MATCH(TableWRTECalcPts[[#This Row],[POSRef]],TableWRMaster[WRRef],0)),"")</f>
        <v>SEA</v>
      </c>
      <c r="AO260" s="219">
        <f>IFERROR(INDEX(TableWRMaster[BYE],MATCH(TableWRTECalcPts[[#This Row],[POSRef]],TableWRMaster[WRRef],0)),"")</f>
        <v>11</v>
      </c>
      <c r="AP260" s="220">
        <f>IFERROR(INDEX(TableWRMaster[Custom],MATCH(TableWRTECalcPts[[#This Row],[POSRef]],TableWRMaster[WRRef],0)),"")</f>
        <v>135.85216520741739</v>
      </c>
    </row>
    <row r="261" spans="35:42" x14ac:dyDescent="0.3">
      <c r="AI261" s="221" t="s">
        <v>358</v>
      </c>
      <c r="AJ261" s="189">
        <f>IFERROR(RANK(TableWRTECalcPts[[#This Row],[Custom]],TableWRTECalcPts[Custom])+COUNTIF($AP$3:AP261,AP261)-1,"")</f>
        <v>163</v>
      </c>
      <c r="AK261" s="218">
        <v>159</v>
      </c>
      <c r="AL261" s="219" t="str">
        <f>IFERROR(INDEX(TableWRMaster[Player],MATCH(TableWRTECalcPts[[#This Row],[POSRef]],TableWRMaster[WRRef],0)),"")</f>
        <v>Freddie Swain</v>
      </c>
      <c r="AM261" s="219" t="str">
        <f>IFERROR(_xlfn.CONCAT(TableWRTECalcPts[[#This Row],[POS]],INDEX(TableWRRanks[RK],MATCH(TableWRTECalcPts[[#This Row],[PLAYER]],TableWRRanks[Player],0))),"")</f>
        <v>WR117</v>
      </c>
      <c r="AN261" s="219" t="str">
        <f>IFERROR(INDEX(TableWRMaster[TM],MATCH(TableWRTECalcPts[[#This Row],[POSRef]],TableWRMaster[WRRef],0)),"")</f>
        <v>SEA</v>
      </c>
      <c r="AO261" s="219">
        <f>IFERROR(INDEX(TableWRMaster[BYE],MATCH(TableWRTECalcPts[[#This Row],[POSRef]],TableWRMaster[WRRef],0)),"")</f>
        <v>11</v>
      </c>
      <c r="AP261" s="220">
        <f>IFERROR(INDEX(TableWRMaster[Custom],MATCH(TableWRTECalcPts[[#This Row],[POSRef]],TableWRMaster[WRRef],0)),"")</f>
        <v>25.723306522259342</v>
      </c>
    </row>
    <row r="262" spans="35:42" x14ac:dyDescent="0.3">
      <c r="AI262" s="221" t="s">
        <v>358</v>
      </c>
      <c r="AJ262" s="189">
        <f>IFERROR(RANK(TableWRTECalcPts[[#This Row],[Custom]],TableWRTECalcPts[Custom])+COUNTIF($AP$3:AP262,AP262)-1,"")</f>
        <v>129</v>
      </c>
      <c r="AK262" s="218">
        <v>160</v>
      </c>
      <c r="AL262" s="219" t="str">
        <f>IFERROR(INDEX(TableWRMaster[Player],MATCH(TableWRTECalcPts[[#This Row],[POSRef]],TableWRMaster[WRRef],0)),"")</f>
        <v>Dee Eskridge</v>
      </c>
      <c r="AM262" s="219" t="str">
        <f>IFERROR(_xlfn.CONCAT(TableWRTECalcPts[[#This Row],[POS]],INDEX(TableWRRanks[RK],MATCH(TableWRTECalcPts[[#This Row],[PLAYER]],TableWRRanks[Player],0))),"")</f>
        <v>WR97</v>
      </c>
      <c r="AN262" s="219" t="str">
        <f>IFERROR(INDEX(TableWRMaster[TM],MATCH(TableWRTECalcPts[[#This Row],[POSRef]],TableWRMaster[WRRef],0)),"")</f>
        <v>SEA</v>
      </c>
      <c r="AO262" s="219">
        <f>IFERROR(INDEX(TableWRMaster[BYE],MATCH(TableWRTECalcPts[[#This Row],[POSRef]],TableWRMaster[WRRef],0)),"")</f>
        <v>11</v>
      </c>
      <c r="AP262" s="220">
        <f>IFERROR(INDEX(TableWRMaster[Custom],MATCH(TableWRTECalcPts[[#This Row],[POSRef]],TableWRMaster[WRRef],0)),"")</f>
        <v>49.28641646878944</v>
      </c>
    </row>
    <row r="263" spans="35:42" x14ac:dyDescent="0.3">
      <c r="AI263" s="221" t="s">
        <v>358</v>
      </c>
      <c r="AJ263" s="189">
        <f>IFERROR(RANK(TableWRTECalcPts[[#This Row],[Custom]],TableWRTECalcPts[Custom])+COUNTIF($AP$3:AP263,AP263)-1,"")</f>
        <v>261</v>
      </c>
      <c r="AK263" s="218">
        <v>161</v>
      </c>
      <c r="AL263" s="219" t="str">
        <f>IFERROR(INDEX(TableWRMaster[Player],MATCH(TableWRTECalcPts[[#This Row],[POSRef]],TableWRMaster[WRRef],0)),"")</f>
        <v>Penny Hart</v>
      </c>
      <c r="AM263" s="219" t="str">
        <f>IFERROR(_xlfn.CONCAT(TableWRTECalcPts[[#This Row],[POS]],INDEX(TableWRRanks[RK],MATCH(TableWRTECalcPts[[#This Row],[PLAYER]],TableWRRanks[Player],0))),"")</f>
        <v>WR181</v>
      </c>
      <c r="AN263" s="219" t="str">
        <f>IFERROR(INDEX(TableWRMaster[TM],MATCH(TableWRTECalcPts[[#This Row],[POSRef]],TableWRMaster[WRRef],0)),"")</f>
        <v>SEA</v>
      </c>
      <c r="AO263" s="219">
        <f>IFERROR(INDEX(TableWRMaster[BYE],MATCH(TableWRTECalcPts[[#This Row],[POSRef]],TableWRMaster[WRRef],0)),"")</f>
        <v>11</v>
      </c>
      <c r="AP263" s="220">
        <f>IFERROR(INDEX(TableWRMaster[Custom],MATCH(TableWRTECalcPts[[#This Row],[POSRef]],TableWRMaster[WRRef],0)),"")</f>
        <v>7.1095588047201934</v>
      </c>
    </row>
    <row r="264" spans="35:42" x14ac:dyDescent="0.3">
      <c r="AI264" s="221" t="s">
        <v>358</v>
      </c>
      <c r="AJ264" s="189">
        <f>IFERROR(RANK(TableWRTECalcPts[[#This Row],[Custom]],TableWRTECalcPts[Custom])+COUNTIF($AP$3:AP264,AP264)-1,"")</f>
        <v>3</v>
      </c>
      <c r="AK264" s="218">
        <v>162</v>
      </c>
      <c r="AL264" s="219" t="str">
        <f>IFERROR(INDEX(TableWRMaster[Player],MATCH(TableWRTECalcPts[[#This Row],[POSRef]],TableWRMaster[WRRef],0)),"")</f>
        <v>Deebo Samuel</v>
      </c>
      <c r="AM264" s="219" t="str">
        <f>IFERROR(_xlfn.CONCAT(TableWRTECalcPts[[#This Row],[POS]],INDEX(TableWRRanks[RK],MATCH(TableWRTECalcPts[[#This Row],[PLAYER]],TableWRRanks[Player],0))),"")</f>
        <v>WR3</v>
      </c>
      <c r="AN264" s="219" t="str">
        <f>IFERROR(INDEX(TableWRMaster[TM],MATCH(TableWRTECalcPts[[#This Row],[POSRef]],TableWRMaster[WRRef],0)),"")</f>
        <v>SF</v>
      </c>
      <c r="AO264" s="219">
        <f>IFERROR(INDEX(TableWRMaster[BYE],MATCH(TableWRTECalcPts[[#This Row],[POSRef]],TableWRMaster[WRRef],0)),"")</f>
        <v>9</v>
      </c>
      <c r="AP264" s="220">
        <f>IFERROR(INDEX(TableWRMaster[Custom],MATCH(TableWRTECalcPts[[#This Row],[POSRef]],TableWRMaster[WRRef],0)),"")</f>
        <v>204.70306981913626</v>
      </c>
    </row>
    <row r="265" spans="35:42" x14ac:dyDescent="0.3">
      <c r="AI265" s="221" t="s">
        <v>358</v>
      </c>
      <c r="AJ265" s="189">
        <f>IFERROR(RANK(TableWRTECalcPts[[#This Row],[Custom]],TableWRTECalcPts[Custom])+COUNTIF($AP$3:AP265,AP265)-1,"")</f>
        <v>51</v>
      </c>
      <c r="AK265" s="218">
        <v>163</v>
      </c>
      <c r="AL265" s="219" t="str">
        <f>IFERROR(INDEX(TableWRMaster[Player],MATCH(TableWRTECalcPts[[#This Row],[POSRef]],TableWRMaster[WRRef],0)),"")</f>
        <v>Brandon Aiyuk</v>
      </c>
      <c r="AM265" s="219" t="str">
        <f>IFERROR(_xlfn.CONCAT(TableWRTECalcPts[[#This Row],[POS]],INDEX(TableWRRanks[RK],MATCH(TableWRTECalcPts[[#This Row],[PLAYER]],TableWRRanks[Player],0))),"")</f>
        <v>WR44</v>
      </c>
      <c r="AN265" s="219" t="str">
        <f>IFERROR(INDEX(TableWRMaster[TM],MATCH(TableWRTECalcPts[[#This Row],[POSRef]],TableWRMaster[WRRef],0)),"")</f>
        <v>SF</v>
      </c>
      <c r="AO265" s="219">
        <f>IFERROR(INDEX(TableWRMaster[BYE],MATCH(TableWRTECalcPts[[#This Row],[POSRef]],TableWRMaster[WRRef],0)),"")</f>
        <v>9</v>
      </c>
      <c r="AP265" s="220">
        <f>IFERROR(INDEX(TableWRMaster[Custom],MATCH(TableWRTECalcPts[[#This Row],[POSRef]],TableWRMaster[WRRef],0)),"")</f>
        <v>118.29153042188688</v>
      </c>
    </row>
    <row r="266" spans="35:42" x14ac:dyDescent="0.3">
      <c r="AI266" s="221" t="s">
        <v>358</v>
      </c>
      <c r="AJ266" s="189">
        <f>IFERROR(RANK(TableWRTECalcPts[[#This Row],[Custom]],TableWRTECalcPts[Custom])+COUNTIF($AP$3:AP266,AP266)-1,"")</f>
        <v>136</v>
      </c>
      <c r="AK266" s="218">
        <v>164</v>
      </c>
      <c r="AL266" s="219" t="str">
        <f>IFERROR(INDEX(TableWRMaster[Player],MATCH(TableWRTECalcPts[[#This Row],[POSRef]],TableWRMaster[WRRef],0)),"")</f>
        <v>Jauan Jennings</v>
      </c>
      <c r="AM266" s="219" t="str">
        <f>IFERROR(_xlfn.CONCAT(TableWRTECalcPts[[#This Row],[POS]],INDEX(TableWRRanks[RK],MATCH(TableWRTECalcPts[[#This Row],[PLAYER]],TableWRRanks[Player],0))),"")</f>
        <v>WR104</v>
      </c>
      <c r="AN266" s="219" t="str">
        <f>IFERROR(INDEX(TableWRMaster[TM],MATCH(TableWRTECalcPts[[#This Row],[POSRef]],TableWRMaster[WRRef],0)),"")</f>
        <v>SF</v>
      </c>
      <c r="AO266" s="219">
        <f>IFERROR(INDEX(TableWRMaster[BYE],MATCH(TableWRTECalcPts[[#This Row],[POSRef]],TableWRMaster[WRRef],0)),"")</f>
        <v>9</v>
      </c>
      <c r="AP266" s="220">
        <f>IFERROR(INDEX(TableWRMaster[Custom],MATCH(TableWRTECalcPts[[#This Row],[POSRef]],TableWRMaster[WRRef],0)),"")</f>
        <v>43.316310817014994</v>
      </c>
    </row>
    <row r="267" spans="35:42" x14ac:dyDescent="0.3">
      <c r="AI267" s="221" t="s">
        <v>358</v>
      </c>
      <c r="AJ267" s="189">
        <f>IFERROR(RANK(TableWRTECalcPts[[#This Row],[Custom]],TableWRTECalcPts[Custom])+COUNTIF($AP$3:AP267,AP267)-1,"")</f>
        <v>196</v>
      </c>
      <c r="AK267" s="218">
        <v>165</v>
      </c>
      <c r="AL267" s="219" t="str">
        <f>IFERROR(INDEX(TableWRMaster[Player],MATCH(TableWRTECalcPts[[#This Row],[POSRef]],TableWRMaster[WRRef],0)),"")</f>
        <v>Ray-Ray McCloud</v>
      </c>
      <c r="AM267" s="219" t="str">
        <f>IFERROR(_xlfn.CONCAT(TableWRTECalcPts[[#This Row],[POS]],INDEX(TableWRRanks[RK],MATCH(TableWRTECalcPts[[#This Row],[PLAYER]],TableWRRanks[Player],0))),"")</f>
        <v>WR139</v>
      </c>
      <c r="AN267" s="219" t="str">
        <f>IFERROR(INDEX(TableWRMaster[TM],MATCH(TableWRTECalcPts[[#This Row],[POSRef]],TableWRMaster[WRRef],0)),"")</f>
        <v>SF</v>
      </c>
      <c r="AO267" s="219">
        <f>IFERROR(INDEX(TableWRMaster[BYE],MATCH(TableWRTECalcPts[[#This Row],[POSRef]],TableWRMaster[WRRef],0)),"")</f>
        <v>9</v>
      </c>
      <c r="AP267" s="220">
        <f>IFERROR(INDEX(TableWRMaster[Custom],MATCH(TableWRTECalcPts[[#This Row],[POSRef]],TableWRMaster[WRRef],0)),"")</f>
        <v>17.59547476515823</v>
      </c>
    </row>
    <row r="268" spans="35:42" x14ac:dyDescent="0.3">
      <c r="AI268" s="221" t="s">
        <v>358</v>
      </c>
      <c r="AJ268" s="189">
        <f>IFERROR(RANK(TableWRTECalcPts[[#This Row],[Custom]],TableWRTECalcPts[Custom])+COUNTIF($AP$3:AP268,AP268)-1,"")</f>
        <v>180</v>
      </c>
      <c r="AK268" s="218">
        <v>166</v>
      </c>
      <c r="AL268" s="219" t="str">
        <f>IFERROR(INDEX(TableWRMaster[Player],MATCH(TableWRTECalcPts[[#This Row],[POSRef]],TableWRMaster[WRRef],0)),"")</f>
        <v>Malik Turner</v>
      </c>
      <c r="AM268" s="219" t="str">
        <f>IFERROR(_xlfn.CONCAT(TableWRTECalcPts[[#This Row],[POS]],INDEX(TableWRRanks[RK],MATCH(TableWRTECalcPts[[#This Row],[PLAYER]],TableWRRanks[Player],0))),"")</f>
        <v>WR130</v>
      </c>
      <c r="AN268" s="219" t="str">
        <f>IFERROR(INDEX(TableWRMaster[TM],MATCH(TableWRTECalcPts[[#This Row],[POSRef]],TableWRMaster[WRRef],0)),"")</f>
        <v>SF</v>
      </c>
      <c r="AO268" s="219">
        <f>IFERROR(INDEX(TableWRMaster[BYE],MATCH(TableWRTECalcPts[[#This Row],[POSRef]],TableWRMaster[WRRef],0)),"")</f>
        <v>9</v>
      </c>
      <c r="AP268" s="220">
        <f>IFERROR(INDEX(TableWRMaster[Custom],MATCH(TableWRTECalcPts[[#This Row],[POSRef]],TableWRMaster[WRRef],0)),"")</f>
        <v>21.770513630880117</v>
      </c>
    </row>
    <row r="269" spans="35:42" x14ac:dyDescent="0.3">
      <c r="AI269" s="221" t="s">
        <v>358</v>
      </c>
      <c r="AJ269" s="189">
        <f>IFERROR(RANK(TableWRTECalcPts[[#This Row],[Custom]],TableWRTECalcPts[Custom])+COUNTIF($AP$3:AP269,AP269)-1,"")</f>
        <v>205</v>
      </c>
      <c r="AK269" s="218">
        <v>167</v>
      </c>
      <c r="AL269" s="219" t="str">
        <f>IFERROR(INDEX(TableWRMaster[Player],MATCH(TableWRTECalcPts[[#This Row],[POSRef]],TableWRMaster[WRRef],0)),"")</f>
        <v>Danny Gray</v>
      </c>
      <c r="AM269" s="219" t="str">
        <f>IFERROR(_xlfn.CONCAT(TableWRTECalcPts[[#This Row],[POS]],INDEX(TableWRRanks[RK],MATCH(TableWRTECalcPts[[#This Row],[PLAYER]],TableWRRanks[Player],0))),"")</f>
        <v>WR144</v>
      </c>
      <c r="AN269" s="219" t="str">
        <f>IFERROR(INDEX(TableWRMaster[TM],MATCH(TableWRTECalcPts[[#This Row],[POSRef]],TableWRMaster[WRRef],0)),"")</f>
        <v>SF</v>
      </c>
      <c r="AO269" s="219">
        <f>IFERROR(INDEX(TableWRMaster[BYE],MATCH(TableWRTECalcPts[[#This Row],[POSRef]],TableWRMaster[WRRef],0)),"")</f>
        <v>9</v>
      </c>
      <c r="AP269" s="220">
        <f>IFERROR(INDEX(TableWRMaster[Custom],MATCH(TableWRTECalcPts[[#This Row],[POSRef]],TableWRMaster[WRRef],0)),"")</f>
        <v>16.414170038763562</v>
      </c>
    </row>
    <row r="270" spans="35:42" x14ac:dyDescent="0.3">
      <c r="AI270" s="221" t="s">
        <v>358</v>
      </c>
      <c r="AJ270" s="189">
        <f>IFERROR(RANK(TableWRTECalcPts[[#This Row],[Custom]],TableWRTECalcPts[Custom])+COUNTIF($AP$3:AP270,AP270)-1,"")</f>
        <v>8</v>
      </c>
      <c r="AK270" s="218">
        <v>168</v>
      </c>
      <c r="AL270" s="219" t="str">
        <f>IFERROR(INDEX(TableWRMaster[Player],MATCH(TableWRTECalcPts[[#This Row],[POSRef]],TableWRMaster[WRRef],0)),"")</f>
        <v>Mike Evans</v>
      </c>
      <c r="AM270" s="219" t="str">
        <f>IFERROR(_xlfn.CONCAT(TableWRTECalcPts[[#This Row],[POS]],INDEX(TableWRRanks[RK],MATCH(TableWRTECalcPts[[#This Row],[PLAYER]],TableWRRanks[Player],0))),"")</f>
        <v>WR8</v>
      </c>
      <c r="AN270" s="219" t="str">
        <f>IFERROR(INDEX(TableWRMaster[TM],MATCH(TableWRTECalcPts[[#This Row],[POSRef]],TableWRMaster[WRRef],0)),"")</f>
        <v>TB</v>
      </c>
      <c r="AO270" s="219">
        <f>IFERROR(INDEX(TableWRMaster[BYE],MATCH(TableWRTECalcPts[[#This Row],[POSRef]],TableWRMaster[WRRef],0)),"")</f>
        <v>11</v>
      </c>
      <c r="AP270" s="220">
        <f>IFERROR(INDEX(TableWRMaster[Custom],MATCH(TableWRTECalcPts[[#This Row],[POSRef]],TableWRMaster[WRRef],0)),"")</f>
        <v>179.06376440282733</v>
      </c>
    </row>
    <row r="271" spans="35:42" x14ac:dyDescent="0.3">
      <c r="AI271" s="221" t="s">
        <v>358</v>
      </c>
      <c r="AJ271" s="189">
        <f>IFERROR(RANK(TableWRTECalcPts[[#This Row],[Custom]],TableWRTECalcPts[Custom])+COUNTIF($AP$3:AP271,AP271)-1,"")</f>
        <v>37</v>
      </c>
      <c r="AK271" s="218">
        <v>169</v>
      </c>
      <c r="AL271" s="219" t="str">
        <f>IFERROR(INDEX(TableWRMaster[Player],MATCH(TableWRTECalcPts[[#This Row],[POSRef]],TableWRMaster[WRRef],0)),"")</f>
        <v>Chris Godwin</v>
      </c>
      <c r="AM271" s="219" t="str">
        <f>IFERROR(_xlfn.CONCAT(TableWRTECalcPts[[#This Row],[POS]],INDEX(TableWRRanks[RK],MATCH(TableWRTECalcPts[[#This Row],[PLAYER]],TableWRRanks[Player],0))),"")</f>
        <v>WR34</v>
      </c>
      <c r="AN271" s="219" t="str">
        <f>IFERROR(INDEX(TableWRMaster[TM],MATCH(TableWRTECalcPts[[#This Row],[POSRef]],TableWRMaster[WRRef],0)),"")</f>
        <v>TB</v>
      </c>
      <c r="AO271" s="219">
        <f>IFERROR(INDEX(TableWRMaster[BYE],MATCH(TableWRTECalcPts[[#This Row],[POSRef]],TableWRMaster[WRRef],0)),"")</f>
        <v>11</v>
      </c>
      <c r="AP271" s="220">
        <f>IFERROR(INDEX(TableWRMaster[Custom],MATCH(TableWRTECalcPts[[#This Row],[POSRef]],TableWRMaster[WRRef],0)),"")</f>
        <v>132.66088916790426</v>
      </c>
    </row>
    <row r="272" spans="35:42" x14ac:dyDescent="0.3">
      <c r="AI272" s="221" t="s">
        <v>358</v>
      </c>
      <c r="AJ272" s="189">
        <f>IFERROR(RANK(TableWRTECalcPts[[#This Row],[Custom]],TableWRTECalcPts[Custom])+COUNTIF($AP$3:AP272,AP272)-1,"")</f>
        <v>47</v>
      </c>
      <c r="AK272" s="218">
        <v>170</v>
      </c>
      <c r="AL272" s="219" t="str">
        <f>IFERROR(INDEX(TableWRMaster[Player],MATCH(TableWRTECalcPts[[#This Row],[POSRef]],TableWRMaster[WRRef],0)),"")</f>
        <v>Russell Gage</v>
      </c>
      <c r="AM272" s="219" t="str">
        <f>IFERROR(_xlfn.CONCAT(TableWRTECalcPts[[#This Row],[POS]],INDEX(TableWRRanks[RK],MATCH(TableWRTECalcPts[[#This Row],[PLAYER]],TableWRRanks[Player],0))),"")</f>
        <v>WR42</v>
      </c>
      <c r="AN272" s="219" t="str">
        <f>IFERROR(INDEX(TableWRMaster[TM],MATCH(TableWRTECalcPts[[#This Row],[POSRef]],TableWRMaster[WRRef],0)),"")</f>
        <v>TB</v>
      </c>
      <c r="AO272" s="219">
        <f>IFERROR(INDEX(TableWRMaster[BYE],MATCH(TableWRTECalcPts[[#This Row],[POSRef]],TableWRMaster[WRRef],0)),"")</f>
        <v>11</v>
      </c>
      <c r="AP272" s="220">
        <f>IFERROR(INDEX(TableWRMaster[Custom],MATCH(TableWRTECalcPts[[#This Row],[POSRef]],TableWRMaster[WRRef],0)),"")</f>
        <v>119.91450420586676</v>
      </c>
    </row>
    <row r="273" spans="35:42" x14ac:dyDescent="0.3">
      <c r="AI273" s="221" t="s">
        <v>358</v>
      </c>
      <c r="AJ273" s="189">
        <f>IFERROR(RANK(TableWRTECalcPts[[#This Row],[Custom]],TableWRTECalcPts[Custom])+COUNTIF($AP$3:AP273,AP273)-1,"")</f>
        <v>169</v>
      </c>
      <c r="AK273" s="218">
        <v>171</v>
      </c>
      <c r="AL273" s="219" t="str">
        <f>IFERROR(INDEX(TableWRMaster[Player],MATCH(TableWRTECalcPts[[#This Row],[POSRef]],TableWRMaster[WRRef],0)),"")</f>
        <v>Breshad Perriman</v>
      </c>
      <c r="AM273" s="219" t="str">
        <f>IFERROR(_xlfn.CONCAT(TableWRTECalcPts[[#This Row],[POS]],INDEX(TableWRRanks[RK],MATCH(TableWRTECalcPts[[#This Row],[PLAYER]],TableWRRanks[Player],0))),"")</f>
        <v>WR121</v>
      </c>
      <c r="AN273" s="219" t="str">
        <f>IFERROR(INDEX(TableWRMaster[TM],MATCH(TableWRTECalcPts[[#This Row],[POSRef]],TableWRMaster[WRRef],0)),"")</f>
        <v>TB</v>
      </c>
      <c r="AO273" s="219">
        <f>IFERROR(INDEX(TableWRMaster[BYE],MATCH(TableWRTECalcPts[[#This Row],[POSRef]],TableWRMaster[WRRef],0)),"")</f>
        <v>11</v>
      </c>
      <c r="AP273" s="220">
        <f>IFERROR(INDEX(TableWRMaster[Custom],MATCH(TableWRTECalcPts[[#This Row],[POSRef]],TableWRMaster[WRRef],0)),"")</f>
        <v>24.455010693231443</v>
      </c>
    </row>
    <row r="274" spans="35:42" x14ac:dyDescent="0.3">
      <c r="AI274" s="221" t="s">
        <v>358</v>
      </c>
      <c r="AJ274" s="189">
        <f>IFERROR(RANK(TableWRTECalcPts[[#This Row],[Custom]],TableWRTECalcPts[Custom])+COUNTIF($AP$3:AP274,AP274)-1,"")</f>
        <v>258</v>
      </c>
      <c r="AK274" s="218">
        <v>172</v>
      </c>
      <c r="AL274" s="219" t="str">
        <f>IFERROR(INDEX(TableWRMaster[Player],MATCH(TableWRTECalcPts[[#This Row],[POSRef]],TableWRMaster[WRRef],0)),"")</f>
        <v>Jaelon Darden</v>
      </c>
      <c r="AM274" s="219" t="str">
        <f>IFERROR(_xlfn.CONCAT(TableWRTECalcPts[[#This Row],[POS]],INDEX(TableWRRanks[RK],MATCH(TableWRTECalcPts[[#This Row],[PLAYER]],TableWRRanks[Player],0))),"")</f>
        <v>WR179</v>
      </c>
      <c r="AN274" s="219" t="str">
        <f>IFERROR(INDEX(TableWRMaster[TM],MATCH(TableWRTECalcPts[[#This Row],[POSRef]],TableWRMaster[WRRef],0)),"")</f>
        <v>TB</v>
      </c>
      <c r="AO274" s="219">
        <f>IFERROR(INDEX(TableWRMaster[BYE],MATCH(TableWRTECalcPts[[#This Row],[POSRef]],TableWRMaster[WRRef],0)),"")</f>
        <v>11</v>
      </c>
      <c r="AP274" s="220">
        <f>IFERROR(INDEX(TableWRMaster[Custom],MATCH(TableWRTECalcPts[[#This Row],[POSRef]],TableWRMaster[WRRef],0)),"")</f>
        <v>7.2374689311343037</v>
      </c>
    </row>
    <row r="275" spans="35:42" x14ac:dyDescent="0.3">
      <c r="AI275" s="221" t="s">
        <v>358</v>
      </c>
      <c r="AJ275" s="189">
        <f>IFERROR(RANK(TableWRTECalcPts[[#This Row],[Custom]],TableWRTECalcPts[Custom])+COUNTIF($AP$3:AP275,AP275)-1,"")</f>
        <v>155</v>
      </c>
      <c r="AK275" s="218">
        <v>173</v>
      </c>
      <c r="AL275" s="219" t="str">
        <f>IFERROR(INDEX(TableWRMaster[Player],MATCH(TableWRTECalcPts[[#This Row],[POSRef]],TableWRMaster[WRRef],0)),"")</f>
        <v>Tyler Johnson</v>
      </c>
      <c r="AM275" s="219" t="str">
        <f>IFERROR(_xlfn.CONCAT(TableWRTECalcPts[[#This Row],[POS]],INDEX(TableWRRanks[RK],MATCH(TableWRTECalcPts[[#This Row],[PLAYER]],TableWRRanks[Player],0))),"")</f>
        <v>WR114</v>
      </c>
      <c r="AN275" s="219" t="str">
        <f>IFERROR(INDEX(TableWRMaster[TM],MATCH(TableWRTECalcPts[[#This Row],[POSRef]],TableWRMaster[WRRef],0)),"")</f>
        <v>TB</v>
      </c>
      <c r="AO275" s="219">
        <f>IFERROR(INDEX(TableWRMaster[BYE],MATCH(TableWRTECalcPts[[#This Row],[POSRef]],TableWRMaster[WRRef],0)),"")</f>
        <v>11</v>
      </c>
      <c r="AP275" s="220">
        <f>IFERROR(INDEX(TableWRMaster[Custom],MATCH(TableWRTECalcPts[[#This Row],[POSRef]],TableWRMaster[WRRef],0)),"")</f>
        <v>29.439095558228555</v>
      </c>
    </row>
    <row r="276" spans="35:42" x14ac:dyDescent="0.3">
      <c r="AI276" s="221" t="s">
        <v>358</v>
      </c>
      <c r="AJ276" s="189">
        <f>IFERROR(RANK(TableWRTECalcPts[[#This Row],[Custom]],TableWRTECalcPts[Custom])+COUNTIF($AP$3:AP276,AP276)-1,"")</f>
        <v>53</v>
      </c>
      <c r="AK276" s="218">
        <v>174</v>
      </c>
      <c r="AL276" s="219" t="str">
        <f>IFERROR(INDEX(TableWRMaster[Player],MATCH(TableWRTECalcPts[[#This Row],[POSRef]],TableWRMaster[WRRef],0)),"")</f>
        <v>Treylon Burks</v>
      </c>
      <c r="AM276" s="219" t="str">
        <f>IFERROR(_xlfn.CONCAT(TableWRTECalcPts[[#This Row],[POS]],INDEX(TableWRRanks[RK],MATCH(TableWRTECalcPts[[#This Row],[PLAYER]],TableWRRanks[Player],0))),"")</f>
        <v>WR46</v>
      </c>
      <c r="AN276" s="219" t="str">
        <f>IFERROR(INDEX(TableWRMaster[TM],MATCH(TableWRTECalcPts[[#This Row],[POSRef]],TableWRMaster[WRRef],0)),"")</f>
        <v>TEN</v>
      </c>
      <c r="AO276" s="219">
        <f>IFERROR(INDEX(TableWRMaster[BYE],MATCH(TableWRTECalcPts[[#This Row],[POSRef]],TableWRMaster[WRRef],0)),"")</f>
        <v>6</v>
      </c>
      <c r="AP276" s="220">
        <f>IFERROR(INDEX(TableWRMaster[Custom],MATCH(TableWRTECalcPts[[#This Row],[POSRef]],TableWRMaster[WRRef],0)),"")</f>
        <v>113.28738996373363</v>
      </c>
    </row>
    <row r="277" spans="35:42" x14ac:dyDescent="0.3">
      <c r="AI277" s="221" t="s">
        <v>358</v>
      </c>
      <c r="AJ277" s="189">
        <f>IFERROR(RANK(TableWRTECalcPts[[#This Row],[Custom]],TableWRTECalcPts[Custom])+COUNTIF($AP$3:AP277,AP277)-1,"")</f>
        <v>46</v>
      </c>
      <c r="AK277" s="218">
        <v>175</v>
      </c>
      <c r="AL277" s="219" t="str">
        <f>IFERROR(INDEX(TableWRMaster[Player],MATCH(TableWRTECalcPts[[#This Row],[POSRef]],TableWRMaster[WRRef],0)),"")</f>
        <v>Robert Woods</v>
      </c>
      <c r="AM277" s="219" t="str">
        <f>IFERROR(_xlfn.CONCAT(TableWRTECalcPts[[#This Row],[POS]],INDEX(TableWRRanks[RK],MATCH(TableWRTECalcPts[[#This Row],[PLAYER]],TableWRRanks[Player],0))),"")</f>
        <v>WR41</v>
      </c>
      <c r="AN277" s="219" t="str">
        <f>IFERROR(INDEX(TableWRMaster[TM],MATCH(TableWRTECalcPts[[#This Row],[POSRef]],TableWRMaster[WRRef],0)),"")</f>
        <v>TEN</v>
      </c>
      <c r="AO277" s="219">
        <f>IFERROR(INDEX(TableWRMaster[BYE],MATCH(TableWRTECalcPts[[#This Row],[POSRef]],TableWRMaster[WRRef],0)),"")</f>
        <v>6</v>
      </c>
      <c r="AP277" s="220">
        <f>IFERROR(INDEX(TableWRMaster[Custom],MATCH(TableWRTECalcPts[[#This Row],[POSRef]],TableWRMaster[WRRef],0)),"")</f>
        <v>121.23371183487117</v>
      </c>
    </row>
    <row r="278" spans="35:42" x14ac:dyDescent="0.3">
      <c r="AI278" s="221" t="s">
        <v>358</v>
      </c>
      <c r="AJ278" s="189">
        <f>IFERROR(RANK(TableWRTECalcPts[[#This Row],[Custom]],TableWRTECalcPts[Custom])+COUNTIF($AP$3:AP278,AP278)-1,"")</f>
        <v>105</v>
      </c>
      <c r="AK278" s="218">
        <v>176</v>
      </c>
      <c r="AL278" s="219" t="str">
        <f>IFERROR(INDEX(TableWRMaster[Player],MATCH(TableWRTECalcPts[[#This Row],[POSRef]],TableWRMaster[WRRef],0)),"")</f>
        <v>Nick Westbrook-Ikhine</v>
      </c>
      <c r="AM278" s="219" t="str">
        <f>IFERROR(_xlfn.CONCAT(TableWRTECalcPts[[#This Row],[POS]],INDEX(TableWRRanks[RK],MATCH(TableWRTECalcPts[[#This Row],[PLAYER]],TableWRRanks[Player],0))),"")</f>
        <v>WR78</v>
      </c>
      <c r="AN278" s="219" t="str">
        <f>IFERROR(INDEX(TableWRMaster[TM],MATCH(TableWRTECalcPts[[#This Row],[POSRef]],TableWRMaster[WRRef],0)),"")</f>
        <v>TEN</v>
      </c>
      <c r="AO278" s="219">
        <f>IFERROR(INDEX(TableWRMaster[BYE],MATCH(TableWRTECalcPts[[#This Row],[POSRef]],TableWRMaster[WRRef],0)),"")</f>
        <v>6</v>
      </c>
      <c r="AP278" s="220">
        <f>IFERROR(INDEX(TableWRMaster[Custom],MATCH(TableWRTECalcPts[[#This Row],[POSRef]],TableWRMaster[WRRef],0)),"")</f>
        <v>75.820601020051214</v>
      </c>
    </row>
    <row r="279" spans="35:42" x14ac:dyDescent="0.3">
      <c r="AI279" s="221" t="s">
        <v>358</v>
      </c>
      <c r="AJ279" s="189">
        <f>IFERROR(RANK(TableWRTECalcPts[[#This Row],[Custom]],TableWRTECalcPts[Custom])+COUNTIF($AP$3:AP279,AP279)-1,"")</f>
        <v>206</v>
      </c>
      <c r="AK279" s="218">
        <v>177</v>
      </c>
      <c r="AL279" s="219" t="str">
        <f>IFERROR(INDEX(TableWRMaster[Player],MATCH(TableWRTECalcPts[[#This Row],[POSRef]],TableWRMaster[WRRef],0)),"")</f>
        <v>Dez Fitzpatrick</v>
      </c>
      <c r="AM279" s="219" t="str">
        <f>IFERROR(_xlfn.CONCAT(TableWRTECalcPts[[#This Row],[POS]],INDEX(TableWRRanks[RK],MATCH(TableWRTECalcPts[[#This Row],[PLAYER]],TableWRRanks[Player],0))),"")</f>
        <v>WR145</v>
      </c>
      <c r="AN279" s="219" t="str">
        <f>IFERROR(INDEX(TableWRMaster[TM],MATCH(TableWRTECalcPts[[#This Row],[POSRef]],TableWRMaster[WRRef],0)),"")</f>
        <v>TEN</v>
      </c>
      <c r="AO279" s="219">
        <f>IFERROR(INDEX(TableWRMaster[BYE],MATCH(TableWRTECalcPts[[#This Row],[POSRef]],TableWRMaster[WRRef],0)),"")</f>
        <v>6</v>
      </c>
      <c r="AP279" s="220">
        <f>IFERROR(INDEX(TableWRMaster[Custom],MATCH(TableWRTECalcPts[[#This Row],[POSRef]],TableWRMaster[WRRef],0)),"")</f>
        <v>16.391863399059599</v>
      </c>
    </row>
    <row r="280" spans="35:42" x14ac:dyDescent="0.3">
      <c r="AI280" s="221" t="s">
        <v>358</v>
      </c>
      <c r="AJ280" s="189">
        <f>IFERROR(RANK(TableWRTECalcPts[[#This Row],[Custom]],TableWRTECalcPts[Custom])+COUNTIF($AP$3:AP280,AP280)-1,"")</f>
        <v>200</v>
      </c>
      <c r="AK280" s="218">
        <v>178</v>
      </c>
      <c r="AL280" s="219" t="str">
        <f>IFERROR(INDEX(TableWRMaster[Player],MATCH(TableWRTECalcPts[[#This Row],[POSRef]],TableWRMaster[WRRef],0)),"")</f>
        <v>Racey McMath</v>
      </c>
      <c r="AM280" s="219" t="str">
        <f>IFERROR(_xlfn.CONCAT(TableWRTECalcPts[[#This Row],[POS]],INDEX(TableWRRanks[RK],MATCH(TableWRTECalcPts[[#This Row],[PLAYER]],TableWRRanks[Player],0))),"")</f>
        <v>WR142</v>
      </c>
      <c r="AN280" s="219" t="str">
        <f>IFERROR(INDEX(TableWRMaster[TM],MATCH(TableWRTECalcPts[[#This Row],[POSRef]],TableWRMaster[WRRef],0)),"")</f>
        <v>TEN</v>
      </c>
      <c r="AO280" s="219">
        <f>IFERROR(INDEX(TableWRMaster[BYE],MATCH(TableWRTECalcPts[[#This Row],[POSRef]],TableWRMaster[WRRef],0)),"")</f>
        <v>6</v>
      </c>
      <c r="AP280" s="220">
        <f>IFERROR(INDEX(TableWRMaster[Custom],MATCH(TableWRTECalcPts[[#This Row],[POSRef]],TableWRMaster[WRRef],0)),"")</f>
        <v>17.206971689669135</v>
      </c>
    </row>
    <row r="281" spans="35:42" x14ac:dyDescent="0.3">
      <c r="AI281" s="221" t="s">
        <v>358</v>
      </c>
      <c r="AJ281" s="189">
        <f>IFERROR(RANK(TableWRTECalcPts[[#This Row],[Custom]],TableWRTECalcPts[Custom])+COUNTIF($AP$3:AP281,AP281)-1,"")</f>
        <v>211</v>
      </c>
      <c r="AK281" s="218">
        <v>179</v>
      </c>
      <c r="AL281" s="219" t="str">
        <f>IFERROR(INDEX(TableWRMaster[Player],MATCH(TableWRTECalcPts[[#This Row],[POSRef]],TableWRMaster[WRRef],0)),"")</f>
        <v>Kyle Philips</v>
      </c>
      <c r="AM281" s="219" t="str">
        <f>IFERROR(_xlfn.CONCAT(TableWRTECalcPts[[#This Row],[POS]],INDEX(TableWRRanks[RK],MATCH(TableWRTECalcPts[[#This Row],[PLAYER]],TableWRRanks[Player],0))),"")</f>
        <v>WR148</v>
      </c>
      <c r="AN281" s="219" t="str">
        <f>IFERROR(INDEX(TableWRMaster[TM],MATCH(TableWRTECalcPts[[#This Row],[POSRef]],TableWRMaster[WRRef],0)),"")</f>
        <v>TEN</v>
      </c>
      <c r="AO281" s="219">
        <f>IFERROR(INDEX(TableWRMaster[BYE],MATCH(TableWRTECalcPts[[#This Row],[POSRef]],TableWRMaster[WRRef],0)),"")</f>
        <v>6</v>
      </c>
      <c r="AP281" s="220">
        <f>IFERROR(INDEX(TableWRMaster[Custom],MATCH(TableWRTECalcPts[[#This Row],[POSRef]],TableWRMaster[WRRef],0)),"")</f>
        <v>14.615915494250935</v>
      </c>
    </row>
    <row r="282" spans="35:42" x14ac:dyDescent="0.3">
      <c r="AI282" s="221" t="s">
        <v>358</v>
      </c>
      <c r="AJ282" s="189">
        <f>IFERROR(RANK(TableWRTECalcPts[[#This Row],[Custom]],TableWRTECalcPts[Custom])+COUNTIF($AP$3:AP282,AP282)-1,"")</f>
        <v>26</v>
      </c>
      <c r="AK282" s="218">
        <v>180</v>
      </c>
      <c r="AL282" s="219" t="str">
        <f>IFERROR(INDEX(TableWRMaster[Player],MATCH(TableWRTECalcPts[[#This Row],[POSRef]],TableWRMaster[WRRef],0)),"")</f>
        <v>Terry McLaurin</v>
      </c>
      <c r="AM282" s="219" t="str">
        <f>IFERROR(_xlfn.CONCAT(TableWRTECalcPts[[#This Row],[POS]],INDEX(TableWRRanks[RK],MATCH(TableWRTECalcPts[[#This Row],[PLAYER]],TableWRRanks[Player],0))),"")</f>
        <v>WR23</v>
      </c>
      <c r="AN282" s="219" t="str">
        <f>IFERROR(INDEX(TableWRMaster[TM],MATCH(TableWRTECalcPts[[#This Row],[POSRef]],TableWRMaster[WRRef],0)),"")</f>
        <v>WSH</v>
      </c>
      <c r="AO282" s="219">
        <f>IFERROR(INDEX(TableWRMaster[BYE],MATCH(TableWRTECalcPts[[#This Row],[POSRef]],TableWRMaster[WRRef],0)),"")</f>
        <v>14</v>
      </c>
      <c r="AP282" s="220">
        <f>IFERROR(INDEX(TableWRMaster[Custom],MATCH(TableWRTECalcPts[[#This Row],[POSRef]],TableWRMaster[WRRef],0)),"")</f>
        <v>144.79369367514585</v>
      </c>
    </row>
    <row r="283" spans="35:42" x14ac:dyDescent="0.3">
      <c r="AI283" s="221" t="s">
        <v>358</v>
      </c>
      <c r="AJ283" s="189">
        <f>IFERROR(RANK(TableWRTECalcPts[[#This Row],[Custom]],TableWRTECalcPts[Custom])+COUNTIF($AP$3:AP283,AP283)-1,"")</f>
        <v>86</v>
      </c>
      <c r="AK283" s="218">
        <v>181</v>
      </c>
      <c r="AL283" s="219" t="str">
        <f>IFERROR(INDEX(TableWRMaster[Player],MATCH(TableWRTECalcPts[[#This Row],[POSRef]],TableWRMaster[WRRef],0)),"")</f>
        <v>Curtis Samuel</v>
      </c>
      <c r="AM283" s="219" t="str">
        <f>IFERROR(_xlfn.CONCAT(TableWRTECalcPts[[#This Row],[POS]],INDEX(TableWRRanks[RK],MATCH(TableWRTECalcPts[[#This Row],[PLAYER]],TableWRRanks[Player],0))),"")</f>
        <v>WR69</v>
      </c>
      <c r="AN283" s="219" t="str">
        <f>IFERROR(INDEX(TableWRMaster[TM],MATCH(TableWRTECalcPts[[#This Row],[POSRef]],TableWRMaster[WRRef],0)),"")</f>
        <v>WSH</v>
      </c>
      <c r="AO283" s="219">
        <f>IFERROR(INDEX(TableWRMaster[BYE],MATCH(TableWRTECalcPts[[#This Row],[POSRef]],TableWRMaster[WRRef],0)),"")</f>
        <v>14</v>
      </c>
      <c r="AP283" s="220">
        <f>IFERROR(INDEX(TableWRMaster[Custom],MATCH(TableWRTECalcPts[[#This Row],[POSRef]],TableWRMaster[WRRef],0)),"")</f>
        <v>87.266912262059535</v>
      </c>
    </row>
    <row r="284" spans="35:42" x14ac:dyDescent="0.3">
      <c r="AI284" s="221" t="s">
        <v>358</v>
      </c>
      <c r="AJ284" s="189">
        <f>IFERROR(RANK(TableWRTECalcPts[[#This Row],[Custom]],TableWRTECalcPts[Custom])+COUNTIF($AP$3:AP284,AP284)-1,"")</f>
        <v>73</v>
      </c>
      <c r="AK284" s="218">
        <v>182</v>
      </c>
      <c r="AL284" s="219" t="str">
        <f>IFERROR(INDEX(TableWRMaster[Player],MATCH(TableWRTECalcPts[[#This Row],[POSRef]],TableWRMaster[WRRef],0)),"")</f>
        <v>Jahan Dotson</v>
      </c>
      <c r="AM284" s="219" t="str">
        <f>IFERROR(_xlfn.CONCAT(TableWRTECalcPts[[#This Row],[POS]],INDEX(TableWRRanks[RK],MATCH(TableWRTECalcPts[[#This Row],[PLAYER]],TableWRRanks[Player],0))),"")</f>
        <v>WR60</v>
      </c>
      <c r="AN284" s="219" t="str">
        <f>IFERROR(INDEX(TableWRMaster[TM],MATCH(TableWRTECalcPts[[#This Row],[POSRef]],TableWRMaster[WRRef],0)),"")</f>
        <v>WSH</v>
      </c>
      <c r="AO284" s="219">
        <f>IFERROR(INDEX(TableWRMaster[BYE],MATCH(TableWRTECalcPts[[#This Row],[POSRef]],TableWRMaster[WRRef],0)),"")</f>
        <v>14</v>
      </c>
      <c r="AP284" s="220">
        <f>IFERROR(INDEX(TableWRMaster[Custom],MATCH(TableWRTECalcPts[[#This Row],[POSRef]],TableWRMaster[WRRef],0)),"")</f>
        <v>97.971643167931461</v>
      </c>
    </row>
    <row r="285" spans="35:42" x14ac:dyDescent="0.3">
      <c r="AI285" s="221" t="s">
        <v>358</v>
      </c>
      <c r="AJ285" s="189">
        <f>IFERROR(RANK(TableWRTECalcPts[[#This Row],[Custom]],TableWRTECalcPts[Custom])+COUNTIF($AP$3:AP285,AP285)-1,"")</f>
        <v>214</v>
      </c>
      <c r="AK285" s="218">
        <v>183</v>
      </c>
      <c r="AL285" s="219" t="str">
        <f>IFERROR(INDEX(TableWRMaster[Player],MATCH(TableWRTECalcPts[[#This Row],[POSRef]],TableWRMaster[WRRef],0)),"")</f>
        <v>Cam Sims</v>
      </c>
      <c r="AM285" s="219" t="str">
        <f>IFERROR(_xlfn.CONCAT(TableWRTECalcPts[[#This Row],[POS]],INDEX(TableWRRanks[RK],MATCH(TableWRTECalcPts[[#This Row],[PLAYER]],TableWRRanks[Player],0))),"")</f>
        <v>WR151</v>
      </c>
      <c r="AN285" s="219" t="str">
        <f>IFERROR(INDEX(TableWRMaster[TM],MATCH(TableWRTECalcPts[[#This Row],[POSRef]],TableWRMaster[WRRef],0)),"")</f>
        <v>WSH</v>
      </c>
      <c r="AO285" s="219">
        <f>IFERROR(INDEX(TableWRMaster[BYE],MATCH(TableWRTECalcPts[[#This Row],[POSRef]],TableWRMaster[WRRef],0)),"")</f>
        <v>14</v>
      </c>
      <c r="AP285" s="220">
        <f>IFERROR(INDEX(TableWRMaster[Custom],MATCH(TableWRTECalcPts[[#This Row],[POSRef]],TableWRMaster[WRRef],0)),"")</f>
        <v>13.915093875252108</v>
      </c>
    </row>
    <row r="286" spans="35:42" x14ac:dyDescent="0.3">
      <c r="AI286" s="221" t="s">
        <v>358</v>
      </c>
      <c r="AJ286" s="189">
        <f>IFERROR(RANK(TableWRTECalcPts[[#This Row],[Custom]],TableWRTECalcPts[Custom])+COUNTIF($AP$3:AP286,AP286)-1,"")</f>
        <v>172</v>
      </c>
      <c r="AK286" s="218">
        <v>184</v>
      </c>
      <c r="AL286" s="219" t="str">
        <f>IFERROR(INDEX(TableWRMaster[Player],MATCH(TableWRTECalcPts[[#This Row],[POSRef]],TableWRMaster[WRRef],0)),"")</f>
        <v>Dyami Brown</v>
      </c>
      <c r="AM286" s="219" t="str">
        <f>IFERROR(_xlfn.CONCAT(TableWRTECalcPts[[#This Row],[POS]],INDEX(TableWRRanks[RK],MATCH(TableWRTECalcPts[[#This Row],[PLAYER]],TableWRRanks[Player],0))),"")</f>
        <v>WR124</v>
      </c>
      <c r="AN286" s="219" t="str">
        <f>IFERROR(INDEX(TableWRMaster[TM],MATCH(TableWRTECalcPts[[#This Row],[POSRef]],TableWRMaster[WRRef],0)),"")</f>
        <v>WSH</v>
      </c>
      <c r="AO286" s="219">
        <f>IFERROR(INDEX(TableWRMaster[BYE],MATCH(TableWRTECalcPts[[#This Row],[POSRef]],TableWRMaster[WRRef],0)),"")</f>
        <v>14</v>
      </c>
      <c r="AP286" s="220">
        <f>IFERROR(INDEX(TableWRMaster[Custom],MATCH(TableWRTECalcPts[[#This Row],[POSRef]],TableWRMaster[WRRef],0)),"")</f>
        <v>23.658623331692777</v>
      </c>
    </row>
    <row r="287" spans="35:42" x14ac:dyDescent="0.3">
      <c r="AI287" s="221" t="s">
        <v>358</v>
      </c>
      <c r="AJ287" s="189">
        <f>IFERROR(RANK(TableWRTECalcPts[[#This Row],[Custom]],TableWRTECalcPts[Custom])+COUNTIF($AP$3:AP287,AP287)-1,"")</f>
        <v>265</v>
      </c>
      <c r="AK287" s="218">
        <v>185</v>
      </c>
      <c r="AL287" s="219" t="str">
        <f>IFERROR(INDEX(TableWRMaster[Player],MATCH(TableWRTECalcPts[[#This Row],[POSRef]],TableWRMaster[WRRef],0)),"")</f>
        <v>Dax Milne</v>
      </c>
      <c r="AM287" s="219" t="str">
        <f>IFERROR(_xlfn.CONCAT(TableWRTECalcPts[[#This Row],[POS]],INDEX(TableWRRanks[RK],MATCH(TableWRTECalcPts[[#This Row],[PLAYER]],TableWRRanks[Player],0))),"")</f>
        <v>WR182</v>
      </c>
      <c r="AN287" s="219" t="str">
        <f>IFERROR(INDEX(TableWRMaster[TM],MATCH(TableWRTECalcPts[[#This Row],[POSRef]],TableWRMaster[WRRef],0)),"")</f>
        <v>WSH</v>
      </c>
      <c r="AO287" s="219">
        <f>IFERROR(INDEX(TableWRMaster[BYE],MATCH(TableWRTECalcPts[[#This Row],[POSRef]],TableWRMaster[WRRef],0)),"")</f>
        <v>14</v>
      </c>
      <c r="AP287" s="220">
        <f>IFERROR(INDEX(TableWRMaster[Custom],MATCH(TableWRTECalcPts[[#This Row],[POSRef]],TableWRMaster[WRRef],0)),"")</f>
        <v>6.5362698121605209</v>
      </c>
    </row>
    <row r="288" spans="35:42" x14ac:dyDescent="0.3">
      <c r="AI288" s="221" t="s">
        <v>358</v>
      </c>
      <c r="AJ288" s="189" t="str">
        <f>IFERROR(RANK(TableWRTECalcPts[[#This Row],[Custom]],TableWRTECalcPts[Custom])+COUNTIF($AP$3:AP288,AP288)-1,"")</f>
        <v/>
      </c>
      <c r="AK288" s="218">
        <v>186</v>
      </c>
      <c r="AL288" s="219" t="str">
        <f>IFERROR(INDEX(TableWRMaster[Player],MATCH(TableWRTECalcPts[[#This Row],[POSRef]],TableWRMaster[WRRef],0)),"")</f>
        <v/>
      </c>
      <c r="AM288" s="219" t="str">
        <f>IFERROR(_xlfn.CONCAT(TableWRTECalcPts[[#This Row],[POS]],INDEX(TableWRRanks[RK],MATCH(TableWRTECalcPts[[#This Row],[PLAYER]],TableWRRanks[Player],0))),"")</f>
        <v>WR186</v>
      </c>
      <c r="AN288" s="219" t="str">
        <f>IFERROR(INDEX(TableWRMaster[TM],MATCH(TableWRTECalcPts[[#This Row],[POSRef]],TableWRMaster[WRRef],0)),"")</f>
        <v/>
      </c>
      <c r="AO288" s="219" t="str">
        <f>IFERROR(INDEX(TableWRMaster[BYE],MATCH(TableWRTECalcPts[[#This Row],[POSRef]],TableWRMaster[WRRef],0)),"")</f>
        <v/>
      </c>
      <c r="AP288" s="220" t="str">
        <f>IFERROR(INDEX(TableWRMaster[Custom],MATCH(TableWRTECalcPts[[#This Row],[POSRef]],TableWRMaster[WRRef],0)),"")</f>
        <v/>
      </c>
    </row>
    <row r="289" spans="35:42" x14ac:dyDescent="0.3">
      <c r="AI289" s="221" t="s">
        <v>358</v>
      </c>
      <c r="AJ289" s="189" t="str">
        <f>IFERROR(RANK(TableWRTECalcPts[[#This Row],[Custom]],TableWRTECalcPts[Custom])+COUNTIF($AP$3:AP289,AP289)-1,"")</f>
        <v/>
      </c>
      <c r="AK289" s="218">
        <v>187</v>
      </c>
      <c r="AL289" s="219" t="str">
        <f>IFERROR(INDEX(TableWRMaster[Player],MATCH(TableWRTECalcPts[[#This Row],[POSRef]],TableWRMaster[WRRef],0)),"")</f>
        <v/>
      </c>
      <c r="AM289" s="219" t="str">
        <f>IFERROR(_xlfn.CONCAT(TableWRTECalcPts[[#This Row],[POS]],INDEX(TableWRRanks[RK],MATCH(TableWRTECalcPts[[#This Row],[PLAYER]],TableWRRanks[Player],0))),"")</f>
        <v>WR186</v>
      </c>
      <c r="AN289" s="219" t="str">
        <f>IFERROR(INDEX(TableWRMaster[TM],MATCH(TableWRTECalcPts[[#This Row],[POSRef]],TableWRMaster[WRRef],0)),"")</f>
        <v/>
      </c>
      <c r="AO289" s="219" t="str">
        <f>IFERROR(INDEX(TableWRMaster[BYE],MATCH(TableWRTECalcPts[[#This Row],[POSRef]],TableWRMaster[WRRef],0)),"")</f>
        <v/>
      </c>
      <c r="AP289" s="220" t="str">
        <f>IFERROR(INDEX(TableWRMaster[Custom],MATCH(TableWRTECalcPts[[#This Row],[POSRef]],TableWRMaster[WRRef],0)),"")</f>
        <v/>
      </c>
    </row>
    <row r="290" spans="35:42" x14ac:dyDescent="0.3">
      <c r="AI290" s="221" t="s">
        <v>358</v>
      </c>
      <c r="AJ290" s="189" t="str">
        <f>IFERROR(RANK(TableWRTECalcPts[[#This Row],[Custom]],TableWRTECalcPts[Custom])+COUNTIF($AP$3:AP290,AP290)-1,"")</f>
        <v/>
      </c>
      <c r="AK290" s="218">
        <v>188</v>
      </c>
      <c r="AL290" s="219" t="str">
        <f>IFERROR(INDEX(TableWRMaster[Player],MATCH(TableWRTECalcPts[[#This Row],[POSRef]],TableWRMaster[WRRef],0)),"")</f>
        <v/>
      </c>
      <c r="AM290" s="219" t="str">
        <f>IFERROR(_xlfn.CONCAT(TableWRTECalcPts[[#This Row],[POS]],INDEX(TableWRRanks[RK],MATCH(TableWRTECalcPts[[#This Row],[PLAYER]],TableWRRanks[Player],0))),"")</f>
        <v>WR186</v>
      </c>
      <c r="AN290" s="219" t="str">
        <f>IFERROR(INDEX(TableWRMaster[TM],MATCH(TableWRTECalcPts[[#This Row],[POSRef]],TableWRMaster[WRRef],0)),"")</f>
        <v/>
      </c>
      <c r="AO290" s="219" t="str">
        <f>IFERROR(INDEX(TableWRMaster[BYE],MATCH(TableWRTECalcPts[[#This Row],[POSRef]],TableWRMaster[WRRef],0)),"")</f>
        <v/>
      </c>
      <c r="AP290" s="220" t="str">
        <f>IFERROR(INDEX(TableWRMaster[Custom],MATCH(TableWRTECalcPts[[#This Row],[POSRef]],TableWRMaster[WRRef],0)),"")</f>
        <v/>
      </c>
    </row>
    <row r="291" spans="35:42" x14ac:dyDescent="0.3">
      <c r="AI291" s="221" t="s">
        <v>358</v>
      </c>
      <c r="AJ291" s="189" t="str">
        <f>IFERROR(RANK(TableWRTECalcPts[[#This Row],[Custom]],TableWRTECalcPts[Custom])+COUNTIF($AP$3:AP291,AP291)-1,"")</f>
        <v/>
      </c>
      <c r="AK291" s="218">
        <v>189</v>
      </c>
      <c r="AL291" s="219" t="str">
        <f>IFERROR(INDEX(TableWRMaster[Player],MATCH(TableWRTECalcPts[[#This Row],[POSRef]],TableWRMaster[WRRef],0)),"")</f>
        <v/>
      </c>
      <c r="AM291" s="219" t="str">
        <f>IFERROR(_xlfn.CONCAT(TableWRTECalcPts[[#This Row],[POS]],INDEX(TableWRRanks[RK],MATCH(TableWRTECalcPts[[#This Row],[PLAYER]],TableWRRanks[Player],0))),"")</f>
        <v>WR186</v>
      </c>
      <c r="AN291" s="219" t="str">
        <f>IFERROR(INDEX(TableWRMaster[TM],MATCH(TableWRTECalcPts[[#This Row],[POSRef]],TableWRMaster[WRRef],0)),"")</f>
        <v/>
      </c>
      <c r="AO291" s="219" t="str">
        <f>IFERROR(INDEX(TableWRMaster[BYE],MATCH(TableWRTECalcPts[[#This Row],[POSRef]],TableWRMaster[WRRef],0)),"")</f>
        <v/>
      </c>
      <c r="AP291" s="220" t="str">
        <f>IFERROR(INDEX(TableWRMaster[Custom],MATCH(TableWRTECalcPts[[#This Row],[POSRef]],TableWRMaster[WRRef],0)),"")</f>
        <v/>
      </c>
    </row>
    <row r="292" spans="35:42" x14ac:dyDescent="0.3">
      <c r="AI292" s="221" t="s">
        <v>358</v>
      </c>
      <c r="AJ292" s="189" t="str">
        <f>IFERROR(RANK(TableWRTECalcPts[[#This Row],[Custom]],TableWRTECalcPts[Custom])+COUNTIF($AP$3:AP292,AP292)-1,"")</f>
        <v/>
      </c>
      <c r="AK292" s="218">
        <v>190</v>
      </c>
      <c r="AL292" s="219" t="str">
        <f>IFERROR(INDEX(TableWRMaster[Player],MATCH(TableWRTECalcPts[[#This Row],[POSRef]],TableWRMaster[WRRef],0)),"")</f>
        <v/>
      </c>
      <c r="AM292" s="219" t="str">
        <f>IFERROR(_xlfn.CONCAT(TableWRTECalcPts[[#This Row],[POS]],INDEX(TableWRRanks[RK],MATCH(TableWRTECalcPts[[#This Row],[PLAYER]],TableWRRanks[Player],0))),"")</f>
        <v>WR186</v>
      </c>
      <c r="AN292" s="219" t="str">
        <f>IFERROR(INDEX(TableWRMaster[TM],MATCH(TableWRTECalcPts[[#This Row],[POSRef]],TableWRMaster[WRRef],0)),"")</f>
        <v/>
      </c>
      <c r="AO292" s="219" t="str">
        <f>IFERROR(INDEX(TableWRMaster[BYE],MATCH(TableWRTECalcPts[[#This Row],[POSRef]],TableWRMaster[WRRef],0)),"")</f>
        <v/>
      </c>
      <c r="AP292" s="220" t="str">
        <f>IFERROR(INDEX(TableWRMaster[Custom],MATCH(TableWRTECalcPts[[#This Row],[POSRef]],TableWRMaster[WRRef],0)),"")</f>
        <v/>
      </c>
    </row>
    <row r="293" spans="35:42" x14ac:dyDescent="0.3">
      <c r="AI293" s="221" t="s">
        <v>358</v>
      </c>
      <c r="AJ293" s="189" t="str">
        <f>IFERROR(RANK(TableWRTECalcPts[[#This Row],[Custom]],TableWRTECalcPts[Custom])+COUNTIF($AP$3:AP293,AP293)-1,"")</f>
        <v/>
      </c>
      <c r="AK293" s="218">
        <v>191</v>
      </c>
      <c r="AL293" s="219" t="str">
        <f>IFERROR(INDEX(TableWRMaster[Player],MATCH(TableWRTECalcPts[[#This Row],[POSRef]],TableWRMaster[WRRef],0)),"")</f>
        <v/>
      </c>
      <c r="AM293" s="219" t="str">
        <f>IFERROR(_xlfn.CONCAT(TableWRTECalcPts[[#This Row],[POS]],INDEX(TableWRRanks[RK],MATCH(TableWRTECalcPts[[#This Row],[PLAYER]],TableWRRanks[Player],0))),"")</f>
        <v>WR186</v>
      </c>
      <c r="AN293" s="219" t="str">
        <f>IFERROR(INDEX(TableWRMaster[TM],MATCH(TableWRTECalcPts[[#This Row],[POSRef]],TableWRMaster[WRRef],0)),"")</f>
        <v/>
      </c>
      <c r="AO293" s="219" t="str">
        <f>IFERROR(INDEX(TableWRMaster[BYE],MATCH(TableWRTECalcPts[[#This Row],[POSRef]],TableWRMaster[WRRef],0)),"")</f>
        <v/>
      </c>
      <c r="AP293" s="220" t="str">
        <f>IFERROR(INDEX(TableWRMaster[Custom],MATCH(TableWRTECalcPts[[#This Row],[POSRef]],TableWRMaster[WRRef],0)),"")</f>
        <v/>
      </c>
    </row>
    <row r="294" spans="35:42" x14ac:dyDescent="0.3">
      <c r="AI294" s="221" t="s">
        <v>358</v>
      </c>
      <c r="AJ294" s="189" t="str">
        <f>IFERROR(RANK(TableWRTECalcPts[[#This Row],[Custom]],TableWRTECalcPts[Custom])+COUNTIF($AP$3:AP294,AP294)-1,"")</f>
        <v/>
      </c>
      <c r="AK294" s="218">
        <v>192</v>
      </c>
      <c r="AL294" s="219" t="str">
        <f>IFERROR(INDEX(TableWRMaster[Player],MATCH(TableWRTECalcPts[[#This Row],[POSRef]],TableWRMaster[WRRef],0)),"")</f>
        <v/>
      </c>
      <c r="AM294" s="219" t="str">
        <f>IFERROR(_xlfn.CONCAT(TableWRTECalcPts[[#This Row],[POS]],INDEX(TableWRRanks[RK],MATCH(TableWRTECalcPts[[#This Row],[PLAYER]],TableWRRanks[Player],0))),"")</f>
        <v>WR186</v>
      </c>
      <c r="AN294" s="219" t="str">
        <f>IFERROR(INDEX(TableWRMaster[TM],MATCH(TableWRTECalcPts[[#This Row],[POSRef]],TableWRMaster[WRRef],0)),"")</f>
        <v/>
      </c>
      <c r="AO294" s="219" t="str">
        <f>IFERROR(INDEX(TableWRMaster[BYE],MATCH(TableWRTECalcPts[[#This Row],[POSRef]],TableWRMaster[WRRef],0)),"")</f>
        <v/>
      </c>
      <c r="AP294" s="220" t="str">
        <f>IFERROR(INDEX(TableWRMaster[Custom],MATCH(TableWRTECalcPts[[#This Row],[POSRef]],TableWRMaster[WRRef],0)),"")</f>
        <v/>
      </c>
    </row>
    <row r="295" spans="35:42" x14ac:dyDescent="0.3">
      <c r="AI295" s="221" t="s">
        <v>358</v>
      </c>
      <c r="AJ295" s="189" t="str">
        <f>IFERROR(RANK(TableWRTECalcPts[[#This Row],[Custom]],TableWRTECalcPts[Custom])+COUNTIF($AP$3:AP295,AP295)-1,"")</f>
        <v/>
      </c>
      <c r="AK295" s="218">
        <v>193</v>
      </c>
      <c r="AL295" s="219" t="str">
        <f>IFERROR(INDEX(TableWRMaster[Player],MATCH(TableWRTECalcPts[[#This Row],[POSRef]],TableWRMaster[WRRef],0)),"")</f>
        <v/>
      </c>
      <c r="AM295" s="219" t="str">
        <f>IFERROR(_xlfn.CONCAT(TableWRTECalcPts[[#This Row],[POS]],INDEX(TableWRRanks[RK],MATCH(TableWRTECalcPts[[#This Row],[PLAYER]],TableWRRanks[Player],0))),"")</f>
        <v>WR186</v>
      </c>
      <c r="AN295" s="219" t="str">
        <f>IFERROR(INDEX(TableWRMaster[TM],MATCH(TableWRTECalcPts[[#This Row],[POSRef]],TableWRMaster[WRRef],0)),"")</f>
        <v/>
      </c>
      <c r="AO295" s="219" t="str">
        <f>IFERROR(INDEX(TableWRMaster[BYE],MATCH(TableWRTECalcPts[[#This Row],[POSRef]],TableWRMaster[WRRef],0)),"")</f>
        <v/>
      </c>
      <c r="AP295" s="220" t="str">
        <f>IFERROR(INDEX(TableWRMaster[Custom],MATCH(TableWRTECalcPts[[#This Row],[POSRef]],TableWRMaster[WRRef],0)),"")</f>
        <v/>
      </c>
    </row>
    <row r="296" spans="35:42" x14ac:dyDescent="0.3">
      <c r="AI296" s="221" t="s">
        <v>358</v>
      </c>
      <c r="AJ296" s="189" t="str">
        <f>IFERROR(RANK(TableWRTECalcPts[[#This Row],[Custom]],TableWRTECalcPts[Custom])+COUNTIF($AP$3:AP296,AP296)-1,"")</f>
        <v/>
      </c>
      <c r="AK296" s="218">
        <v>194</v>
      </c>
      <c r="AL296" s="219" t="str">
        <f>IFERROR(INDEX(TableWRMaster[Player],MATCH(TableWRTECalcPts[[#This Row],[POSRef]],TableWRMaster[WRRef],0)),"")</f>
        <v/>
      </c>
      <c r="AM296" s="219" t="str">
        <f>IFERROR(_xlfn.CONCAT(TableWRTECalcPts[[#This Row],[POS]],INDEX(TableWRRanks[RK],MATCH(TableWRTECalcPts[[#This Row],[PLAYER]],TableWRRanks[Player],0))),"")</f>
        <v>WR186</v>
      </c>
      <c r="AN296" s="219" t="str">
        <f>IFERROR(INDEX(TableWRMaster[TM],MATCH(TableWRTECalcPts[[#This Row],[POSRef]],TableWRMaster[WRRef],0)),"")</f>
        <v/>
      </c>
      <c r="AO296" s="219" t="str">
        <f>IFERROR(INDEX(TableWRMaster[BYE],MATCH(TableWRTECalcPts[[#This Row],[POSRef]],TableWRMaster[WRRef],0)),"")</f>
        <v/>
      </c>
      <c r="AP296" s="220" t="str">
        <f>IFERROR(INDEX(TableWRMaster[Custom],MATCH(TableWRTECalcPts[[#This Row],[POSRef]],TableWRMaster[WRRef],0)),"")</f>
        <v/>
      </c>
    </row>
    <row r="297" spans="35:42" x14ac:dyDescent="0.3">
      <c r="AI297" s="221" t="s">
        <v>358</v>
      </c>
      <c r="AJ297" s="189" t="str">
        <f>IFERROR(RANK(TableWRTECalcPts[[#This Row],[Custom]],TableWRTECalcPts[Custom])+COUNTIF($AP$3:AP297,AP297)-1,"")</f>
        <v/>
      </c>
      <c r="AK297" s="218">
        <v>195</v>
      </c>
      <c r="AL297" s="219" t="str">
        <f>IFERROR(INDEX(TableWRMaster[Player],MATCH(TableWRTECalcPts[[#This Row],[POSRef]],TableWRMaster[WRRef],0)),"")</f>
        <v/>
      </c>
      <c r="AM297" s="219" t="str">
        <f>IFERROR(_xlfn.CONCAT(TableWRTECalcPts[[#This Row],[POS]],INDEX(TableWRRanks[RK],MATCH(TableWRTECalcPts[[#This Row],[PLAYER]],TableWRRanks[Player],0))),"")</f>
        <v>WR186</v>
      </c>
      <c r="AN297" s="219" t="str">
        <f>IFERROR(INDEX(TableWRMaster[TM],MATCH(TableWRTECalcPts[[#This Row],[POSRef]],TableWRMaster[WRRef],0)),"")</f>
        <v/>
      </c>
      <c r="AO297" s="219" t="str">
        <f>IFERROR(INDEX(TableWRMaster[BYE],MATCH(TableWRTECalcPts[[#This Row],[POSRef]],TableWRMaster[WRRef],0)),"")</f>
        <v/>
      </c>
      <c r="AP297" s="220" t="str">
        <f>IFERROR(INDEX(TableWRMaster[Custom],MATCH(TableWRTECalcPts[[#This Row],[POSRef]],TableWRMaster[WRRef],0)),"")</f>
        <v/>
      </c>
    </row>
    <row r="298" spans="35:42" x14ac:dyDescent="0.3">
      <c r="AI298" s="221" t="s">
        <v>358</v>
      </c>
      <c r="AJ298" s="189" t="str">
        <f>IFERROR(RANK(TableWRTECalcPts[[#This Row],[Custom]],TableWRTECalcPts[Custom])+COUNTIF($AP$3:AP298,AP298)-1,"")</f>
        <v/>
      </c>
      <c r="AK298" s="218">
        <v>196</v>
      </c>
      <c r="AL298" s="219" t="str">
        <f>IFERROR(INDEX(TableWRMaster[Player],MATCH(TableWRTECalcPts[[#This Row],[POSRef]],TableWRMaster[WRRef],0)),"")</f>
        <v/>
      </c>
      <c r="AM298" s="219" t="str">
        <f>IFERROR(_xlfn.CONCAT(TableWRTECalcPts[[#This Row],[POS]],INDEX(TableWRRanks[RK],MATCH(TableWRTECalcPts[[#This Row],[PLAYER]],TableWRRanks[Player],0))),"")</f>
        <v>WR186</v>
      </c>
      <c r="AN298" s="219" t="str">
        <f>IFERROR(INDEX(TableWRMaster[TM],MATCH(TableWRTECalcPts[[#This Row],[POSRef]],TableWRMaster[WRRef],0)),"")</f>
        <v/>
      </c>
      <c r="AO298" s="219" t="str">
        <f>IFERROR(INDEX(TableWRMaster[BYE],MATCH(TableWRTECalcPts[[#This Row],[POSRef]],TableWRMaster[WRRef],0)),"")</f>
        <v/>
      </c>
      <c r="AP298" s="220" t="str">
        <f>IFERROR(INDEX(TableWRMaster[Custom],MATCH(TableWRTECalcPts[[#This Row],[POSRef]],TableWRMaster[WRRef],0)),"")</f>
        <v/>
      </c>
    </row>
    <row r="299" spans="35:42" x14ac:dyDescent="0.3">
      <c r="AI299" s="221" t="s">
        <v>358</v>
      </c>
      <c r="AJ299" s="189" t="str">
        <f>IFERROR(RANK(TableWRTECalcPts[[#This Row],[Custom]],TableWRTECalcPts[Custom])+COUNTIF($AP$3:AP299,AP299)-1,"")</f>
        <v/>
      </c>
      <c r="AK299" s="218">
        <v>197</v>
      </c>
      <c r="AL299" s="219" t="str">
        <f>IFERROR(INDEX(TableWRMaster[Player],MATCH(TableWRTECalcPts[[#This Row],[POSRef]],TableWRMaster[WRRef],0)),"")</f>
        <v/>
      </c>
      <c r="AM299" s="219" t="str">
        <f>IFERROR(_xlfn.CONCAT(TableWRTECalcPts[[#This Row],[POS]],INDEX(TableWRRanks[RK],MATCH(TableWRTECalcPts[[#This Row],[PLAYER]],TableWRRanks[Player],0))),"")</f>
        <v>WR186</v>
      </c>
      <c r="AN299" s="219" t="str">
        <f>IFERROR(INDEX(TableWRMaster[TM],MATCH(TableWRTECalcPts[[#This Row],[POSRef]],TableWRMaster[WRRef],0)),"")</f>
        <v/>
      </c>
      <c r="AO299" s="219" t="str">
        <f>IFERROR(INDEX(TableWRMaster[BYE],MATCH(TableWRTECalcPts[[#This Row],[POSRef]],TableWRMaster[WRRef],0)),"")</f>
        <v/>
      </c>
      <c r="AP299" s="220" t="str">
        <f>IFERROR(INDEX(TableWRMaster[Custom],MATCH(TableWRTECalcPts[[#This Row],[POSRef]],TableWRMaster[WRRef],0)),"")</f>
        <v/>
      </c>
    </row>
    <row r="300" spans="35:42" x14ac:dyDescent="0.3">
      <c r="AI300" s="221" t="s">
        <v>358</v>
      </c>
      <c r="AJ300" s="189" t="str">
        <f>IFERROR(RANK(TableWRTECalcPts[[#This Row],[Custom]],TableWRTECalcPts[Custom])+COUNTIF($AP$3:AP300,AP300)-1,"")</f>
        <v/>
      </c>
      <c r="AK300" s="218">
        <v>198</v>
      </c>
      <c r="AL300" s="219" t="str">
        <f>IFERROR(INDEX(TableWRMaster[Player],MATCH(TableWRTECalcPts[[#This Row],[POSRef]],TableWRMaster[WRRef],0)),"")</f>
        <v/>
      </c>
      <c r="AM300" s="219" t="str">
        <f>IFERROR(_xlfn.CONCAT(TableWRTECalcPts[[#This Row],[POS]],INDEX(TableWRRanks[RK],MATCH(TableWRTECalcPts[[#This Row],[PLAYER]],TableWRRanks[Player],0))),"")</f>
        <v>WR186</v>
      </c>
      <c r="AN300" s="219" t="str">
        <f>IFERROR(INDEX(TableWRMaster[TM],MATCH(TableWRTECalcPts[[#This Row],[POSRef]],TableWRMaster[WRRef],0)),"")</f>
        <v/>
      </c>
      <c r="AO300" s="219" t="str">
        <f>IFERROR(INDEX(TableWRMaster[BYE],MATCH(TableWRTECalcPts[[#This Row],[POSRef]],TableWRMaster[WRRef],0)),"")</f>
        <v/>
      </c>
      <c r="AP300" s="220" t="str">
        <f>IFERROR(INDEX(TableWRMaster[Custom],MATCH(TableWRTECalcPts[[#This Row],[POSRef]],TableWRMaster[WRRef],0)),"")</f>
        <v/>
      </c>
    </row>
    <row r="301" spans="35:42" x14ac:dyDescent="0.3">
      <c r="AI301" s="221" t="s">
        <v>358</v>
      </c>
      <c r="AJ301" s="189" t="str">
        <f>IFERROR(RANK(TableWRTECalcPts[[#This Row],[Custom]],TableWRTECalcPts[Custom])+COUNTIF($AP$3:AP301,AP301)-1,"")</f>
        <v/>
      </c>
      <c r="AK301" s="218">
        <v>199</v>
      </c>
      <c r="AL301" s="219" t="str">
        <f>IFERROR(INDEX(TableWRMaster[Player],MATCH(TableWRTECalcPts[[#This Row],[POSRef]],TableWRMaster[WRRef],0)),"")</f>
        <v/>
      </c>
      <c r="AM301" s="219" t="str">
        <f>IFERROR(_xlfn.CONCAT(TableWRTECalcPts[[#This Row],[POS]],INDEX(TableWRRanks[RK],MATCH(TableWRTECalcPts[[#This Row],[PLAYER]],TableWRRanks[Player],0))),"")</f>
        <v>WR186</v>
      </c>
      <c r="AN301" s="219" t="str">
        <f>IFERROR(INDEX(TableWRMaster[TM],MATCH(TableWRTECalcPts[[#This Row],[POSRef]],TableWRMaster[WRRef],0)),"")</f>
        <v/>
      </c>
      <c r="AO301" s="219" t="str">
        <f>IFERROR(INDEX(TableWRMaster[BYE],MATCH(TableWRTECalcPts[[#This Row],[POSRef]],TableWRMaster[WRRef],0)),"")</f>
        <v/>
      </c>
      <c r="AP301" s="220" t="str">
        <f>IFERROR(INDEX(TableWRMaster[Custom],MATCH(TableWRTECalcPts[[#This Row],[POSRef]],TableWRMaster[WRRef],0)),"")</f>
        <v/>
      </c>
    </row>
    <row r="302" spans="35:42" x14ac:dyDescent="0.3">
      <c r="AI302" s="221" t="s">
        <v>358</v>
      </c>
      <c r="AJ302" s="189" t="str">
        <f>IFERROR(RANK(TableWRTECalcPts[[#This Row],[Custom]],TableWRTECalcPts[Custom])+COUNTIF($AP$3:AP302,AP302)-1,"")</f>
        <v/>
      </c>
      <c r="AK302" s="218">
        <v>200</v>
      </c>
      <c r="AL302" s="219" t="str">
        <f>IFERROR(INDEX(TableWRMaster[Player],MATCH(TableWRTECalcPts[[#This Row],[POSRef]],TableWRMaster[WRRef],0)),"")</f>
        <v/>
      </c>
      <c r="AM302" s="219" t="str">
        <f>IFERROR(_xlfn.CONCAT(TableWRTECalcPts[[#This Row],[POS]],INDEX(TableWRRanks[RK],MATCH(TableWRTECalcPts[[#This Row],[PLAYER]],TableWRRanks[Player],0))),"")</f>
        <v>WR186</v>
      </c>
      <c r="AN302" s="219" t="str">
        <f>IFERROR(INDEX(TableWRMaster[TM],MATCH(TableWRTECalcPts[[#This Row],[POSRef]],TableWRMaster[WRRef],0)),"")</f>
        <v/>
      </c>
      <c r="AO302" s="219" t="str">
        <f>IFERROR(INDEX(TableWRMaster[BYE],MATCH(TableWRTECalcPts[[#This Row],[POSRef]],TableWRMaster[WRRef],0)),"")</f>
        <v/>
      </c>
      <c r="AP302" s="220" t="str">
        <f>IFERROR(INDEX(TableWRMaster[Custom],MATCH(TableWRTECalcPts[[#This Row],[POSRef]],TableWRMaster[WRRef],0)),"")</f>
        <v/>
      </c>
    </row>
    <row r="303" spans="35:42" x14ac:dyDescent="0.3">
      <c r="AI303" s="221" t="s">
        <v>358</v>
      </c>
      <c r="AJ303" s="189" t="str">
        <f>IFERROR(RANK(TableWRTECalcPts[[#This Row],[Custom]],TableWRTECalcPts[Custom])+COUNTIF($AP$3:AP303,AP303)-1,"")</f>
        <v/>
      </c>
      <c r="AK303" s="218">
        <v>201</v>
      </c>
      <c r="AL303" s="219" t="str">
        <f>IFERROR(INDEX(TableWRMaster[Player],MATCH(TableWRTECalcPts[[#This Row],[POSRef]],TableWRMaster[WRRef],0)),"")</f>
        <v/>
      </c>
      <c r="AM303" s="219" t="str">
        <f>IFERROR(_xlfn.CONCAT(TableWRTECalcPts[[#This Row],[POS]],INDEX(TableWRRanks[RK],MATCH(TableWRTECalcPts[[#This Row],[PLAYER]],TableWRRanks[Player],0))),"")</f>
        <v>WR186</v>
      </c>
      <c r="AN303" s="219" t="str">
        <f>IFERROR(INDEX(TableWRMaster[TM],MATCH(TableWRTECalcPts[[#This Row],[POSRef]],TableWRMaster[WRRef],0)),"")</f>
        <v/>
      </c>
      <c r="AO303" s="219" t="str">
        <f>IFERROR(INDEX(TableWRMaster[BYE],MATCH(TableWRTECalcPts[[#This Row],[POSRef]],TableWRMaster[WRRef],0)),"")</f>
        <v/>
      </c>
      <c r="AP303" s="220" t="str">
        <f>IFERROR(INDEX(TableWRMaster[Custom],MATCH(TableWRTECalcPts[[#This Row],[POSRef]],TableWRMaster[WRRef],0)),"")</f>
        <v/>
      </c>
    </row>
    <row r="304" spans="35:42" x14ac:dyDescent="0.3">
      <c r="AI304" s="221" t="s">
        <v>358</v>
      </c>
      <c r="AJ304" s="189" t="str">
        <f>IFERROR(RANK(TableWRTECalcPts[[#This Row],[Custom]],TableWRTECalcPts[Custom])+COUNTIF($AP$3:AP304,AP304)-1,"")</f>
        <v/>
      </c>
      <c r="AK304" s="218">
        <v>202</v>
      </c>
      <c r="AL304" s="219" t="str">
        <f>IFERROR(INDEX(TableWRMaster[Player],MATCH(TableWRTECalcPts[[#This Row],[POSRef]],TableWRMaster[WRRef],0)),"")</f>
        <v/>
      </c>
      <c r="AM304" s="219" t="str">
        <f>IFERROR(_xlfn.CONCAT(TableWRTECalcPts[[#This Row],[POS]],INDEX(TableWRRanks[RK],MATCH(TableWRTECalcPts[[#This Row],[PLAYER]],TableWRRanks[Player],0))),"")</f>
        <v>WR186</v>
      </c>
      <c r="AN304" s="219" t="str">
        <f>IFERROR(INDEX(TableWRMaster[TM],MATCH(TableWRTECalcPts[[#This Row],[POSRef]],TableWRMaster[WRRef],0)),"")</f>
        <v/>
      </c>
      <c r="AO304" s="219" t="str">
        <f>IFERROR(INDEX(TableWRMaster[BYE],MATCH(TableWRTECalcPts[[#This Row],[POSRef]],TableWRMaster[WRRef],0)),"")</f>
        <v/>
      </c>
      <c r="AP304" s="220" t="str">
        <f>IFERROR(INDEX(TableWRMaster[Custom],MATCH(TableWRTECalcPts[[#This Row],[POSRef]],TableWRMaster[WRRef],0)),"")</f>
        <v/>
      </c>
    </row>
    <row r="305" spans="35:42" x14ac:dyDescent="0.3">
      <c r="AI305" s="221" t="s">
        <v>358</v>
      </c>
      <c r="AJ305" s="189" t="str">
        <f>IFERROR(RANK(TableWRTECalcPts[[#This Row],[Custom]],TableWRTECalcPts[Custom])+COUNTIF($AP$3:AP305,AP305)-1,"")</f>
        <v/>
      </c>
      <c r="AK305" s="218">
        <v>203</v>
      </c>
      <c r="AL305" s="219" t="str">
        <f>IFERROR(INDEX(TableWRMaster[Player],MATCH(TableWRTECalcPts[[#This Row],[POSRef]],TableWRMaster[WRRef],0)),"")</f>
        <v/>
      </c>
      <c r="AM305" s="219" t="str">
        <f>IFERROR(_xlfn.CONCAT(TableWRTECalcPts[[#This Row],[POS]],INDEX(TableWRRanks[RK],MATCH(TableWRTECalcPts[[#This Row],[PLAYER]],TableWRRanks[Player],0))),"")</f>
        <v>WR186</v>
      </c>
      <c r="AN305" s="219" t="str">
        <f>IFERROR(INDEX(TableWRMaster[TM],MATCH(TableWRTECalcPts[[#This Row],[POSRef]],TableWRMaster[WRRef],0)),"")</f>
        <v/>
      </c>
      <c r="AO305" s="219" t="str">
        <f>IFERROR(INDEX(TableWRMaster[BYE],MATCH(TableWRTECalcPts[[#This Row],[POSRef]],TableWRMaster[WRRef],0)),"")</f>
        <v/>
      </c>
      <c r="AP305" s="220" t="str">
        <f>IFERROR(INDEX(TableWRMaster[Custom],MATCH(TableWRTECalcPts[[#This Row],[POSRef]],TableWRMaster[WRRef],0)),"")</f>
        <v/>
      </c>
    </row>
    <row r="306" spans="35:42" x14ac:dyDescent="0.3">
      <c r="AI306" s="221" t="s">
        <v>358</v>
      </c>
      <c r="AJ306" s="189" t="str">
        <f>IFERROR(RANK(TableWRTECalcPts[[#This Row],[Custom]],TableWRTECalcPts[Custom])+COUNTIF($AP$3:AP306,AP306)-1,"")</f>
        <v/>
      </c>
      <c r="AK306" s="218">
        <v>204</v>
      </c>
      <c r="AL306" s="219" t="str">
        <f>IFERROR(INDEX(TableWRMaster[Player],MATCH(TableWRTECalcPts[[#This Row],[POSRef]],TableWRMaster[WRRef],0)),"")</f>
        <v/>
      </c>
      <c r="AM306" s="219" t="str">
        <f>IFERROR(_xlfn.CONCAT(TableWRTECalcPts[[#This Row],[POS]],INDEX(TableWRRanks[RK],MATCH(TableWRTECalcPts[[#This Row],[PLAYER]],TableWRRanks[Player],0))),"")</f>
        <v>WR186</v>
      </c>
      <c r="AN306" s="219" t="str">
        <f>IFERROR(INDEX(TableWRMaster[TM],MATCH(TableWRTECalcPts[[#This Row],[POSRef]],TableWRMaster[WRRef],0)),"")</f>
        <v/>
      </c>
      <c r="AO306" s="219" t="str">
        <f>IFERROR(INDEX(TableWRMaster[BYE],MATCH(TableWRTECalcPts[[#This Row],[POSRef]],TableWRMaster[WRRef],0)),"")</f>
        <v/>
      </c>
      <c r="AP306" s="220" t="str">
        <f>IFERROR(INDEX(TableWRMaster[Custom],MATCH(TableWRTECalcPts[[#This Row],[POSRef]],TableWRMaster[WRRef],0)),"")</f>
        <v/>
      </c>
    </row>
    <row r="307" spans="35:42" x14ac:dyDescent="0.3">
      <c r="AI307" s="221" t="s">
        <v>358</v>
      </c>
      <c r="AJ307" s="189" t="str">
        <f>IFERROR(RANK(TableWRTECalcPts[[#This Row],[Custom]],TableWRTECalcPts[Custom])+COUNTIF($AP$3:AP307,AP307)-1,"")</f>
        <v/>
      </c>
      <c r="AK307" s="218">
        <v>205</v>
      </c>
      <c r="AL307" s="219" t="str">
        <f>IFERROR(INDEX(TableWRMaster[Player],MATCH(TableWRTECalcPts[[#This Row],[POSRef]],TableWRMaster[WRRef],0)),"")</f>
        <v/>
      </c>
      <c r="AM307" s="219" t="str">
        <f>IFERROR(_xlfn.CONCAT(TableWRTECalcPts[[#This Row],[POS]],INDEX(TableWRRanks[RK],MATCH(TableWRTECalcPts[[#This Row],[PLAYER]],TableWRRanks[Player],0))),"")</f>
        <v>WR186</v>
      </c>
      <c r="AN307" s="219" t="str">
        <f>IFERROR(INDEX(TableWRMaster[TM],MATCH(TableWRTECalcPts[[#This Row],[POSRef]],TableWRMaster[WRRef],0)),"")</f>
        <v/>
      </c>
      <c r="AO307" s="219" t="str">
        <f>IFERROR(INDEX(TableWRMaster[BYE],MATCH(TableWRTECalcPts[[#This Row],[POSRef]],TableWRMaster[WRRef],0)),"")</f>
        <v/>
      </c>
      <c r="AP307" s="220" t="str">
        <f>IFERROR(INDEX(TableWRMaster[Custom],MATCH(TableWRTECalcPts[[#This Row],[POSRef]],TableWRMaster[WRRef],0)),"")</f>
        <v/>
      </c>
    </row>
    <row r="308" spans="35:42" x14ac:dyDescent="0.3">
      <c r="AI308" s="221" t="s">
        <v>358</v>
      </c>
      <c r="AJ308" s="189" t="str">
        <f>IFERROR(RANK(TableWRTECalcPts[[#This Row],[Custom]],TableWRTECalcPts[Custom])+COUNTIF($AP$3:AP308,AP308)-1,"")</f>
        <v/>
      </c>
      <c r="AK308" s="218">
        <v>206</v>
      </c>
      <c r="AL308" s="219" t="str">
        <f>IFERROR(INDEX(TableWRMaster[Player],MATCH(TableWRTECalcPts[[#This Row],[POSRef]],TableWRMaster[WRRef],0)),"")</f>
        <v/>
      </c>
      <c r="AM308" s="219" t="str">
        <f>IFERROR(_xlfn.CONCAT(TableWRTECalcPts[[#This Row],[POS]],INDEX(TableWRRanks[RK],MATCH(TableWRTECalcPts[[#This Row],[PLAYER]],TableWRRanks[Player],0))),"")</f>
        <v>WR186</v>
      </c>
      <c r="AN308" s="219" t="str">
        <f>IFERROR(INDEX(TableWRMaster[TM],MATCH(TableWRTECalcPts[[#This Row],[POSRef]],TableWRMaster[WRRef],0)),"")</f>
        <v/>
      </c>
      <c r="AO308" s="219" t="str">
        <f>IFERROR(INDEX(TableWRMaster[BYE],MATCH(TableWRTECalcPts[[#This Row],[POSRef]],TableWRMaster[WRRef],0)),"")</f>
        <v/>
      </c>
      <c r="AP308" s="220" t="str">
        <f>IFERROR(INDEX(TableWRMaster[Custom],MATCH(TableWRTECalcPts[[#This Row],[POSRef]],TableWRMaster[WRRef],0)),"")</f>
        <v/>
      </c>
    </row>
    <row r="309" spans="35:42" x14ac:dyDescent="0.3">
      <c r="AI309" s="221" t="s">
        <v>358</v>
      </c>
      <c r="AJ309" s="189" t="str">
        <f>IFERROR(RANK(TableWRTECalcPts[[#This Row],[Custom]],TableWRTECalcPts[Custom])+COUNTIF($AP$3:AP309,AP309)-1,"")</f>
        <v/>
      </c>
      <c r="AK309" s="218">
        <v>207</v>
      </c>
      <c r="AL309" s="219" t="str">
        <f>IFERROR(INDEX(TableWRMaster[Player],MATCH(TableWRTECalcPts[[#This Row],[POSRef]],TableWRMaster[WRRef],0)),"")</f>
        <v/>
      </c>
      <c r="AM309" s="219" t="str">
        <f>IFERROR(_xlfn.CONCAT(TableWRTECalcPts[[#This Row],[POS]],INDEX(TableWRRanks[RK],MATCH(TableWRTECalcPts[[#This Row],[PLAYER]],TableWRRanks[Player],0))),"")</f>
        <v>WR186</v>
      </c>
      <c r="AN309" s="219" t="str">
        <f>IFERROR(INDEX(TableWRMaster[TM],MATCH(TableWRTECalcPts[[#This Row],[POSRef]],TableWRMaster[WRRef],0)),"")</f>
        <v/>
      </c>
      <c r="AO309" s="219" t="str">
        <f>IFERROR(INDEX(TableWRMaster[BYE],MATCH(TableWRTECalcPts[[#This Row],[POSRef]],TableWRMaster[WRRef],0)),"")</f>
        <v/>
      </c>
      <c r="AP309" s="220" t="str">
        <f>IFERROR(INDEX(TableWRMaster[Custom],MATCH(TableWRTECalcPts[[#This Row],[POSRef]],TableWRMaster[WRRef],0)),"")</f>
        <v/>
      </c>
    </row>
    <row r="310" spans="35:42" x14ac:dyDescent="0.3">
      <c r="AI310" s="221" t="s">
        <v>358</v>
      </c>
      <c r="AJ310" s="189" t="str">
        <f>IFERROR(RANK(TableWRTECalcPts[[#This Row],[Custom]],TableWRTECalcPts[Custom])+COUNTIF($AP$3:AP310,AP310)-1,"")</f>
        <v/>
      </c>
      <c r="AK310" s="218">
        <v>208</v>
      </c>
      <c r="AL310" s="219" t="str">
        <f>IFERROR(INDEX(TableWRMaster[Player],MATCH(TableWRTECalcPts[[#This Row],[POSRef]],TableWRMaster[WRRef],0)),"")</f>
        <v/>
      </c>
      <c r="AM310" s="219" t="str">
        <f>IFERROR(_xlfn.CONCAT(TableWRTECalcPts[[#This Row],[POS]],INDEX(TableWRRanks[RK],MATCH(TableWRTECalcPts[[#This Row],[PLAYER]],TableWRRanks[Player],0))),"")</f>
        <v>WR186</v>
      </c>
      <c r="AN310" s="219" t="str">
        <f>IFERROR(INDEX(TableWRMaster[TM],MATCH(TableWRTECalcPts[[#This Row],[POSRef]],TableWRMaster[WRRef],0)),"")</f>
        <v/>
      </c>
      <c r="AO310" s="219" t="str">
        <f>IFERROR(INDEX(TableWRMaster[BYE],MATCH(TableWRTECalcPts[[#This Row],[POSRef]],TableWRMaster[WRRef],0)),"")</f>
        <v/>
      </c>
      <c r="AP310" s="220" t="str">
        <f>IFERROR(INDEX(TableWRMaster[Custom],MATCH(TableWRTECalcPts[[#This Row],[POSRef]],TableWRMaster[WRRef],0)),"")</f>
        <v/>
      </c>
    </row>
    <row r="311" spans="35:42" x14ac:dyDescent="0.3">
      <c r="AI311" s="221" t="s">
        <v>358</v>
      </c>
      <c r="AJ311" s="189" t="str">
        <f>IFERROR(RANK(TableWRTECalcPts[[#This Row],[Custom]],TableWRTECalcPts[Custom])+COUNTIF($AP$3:AP311,AP311)-1,"")</f>
        <v/>
      </c>
      <c r="AK311" s="218">
        <v>209</v>
      </c>
      <c r="AL311" s="219" t="str">
        <f>IFERROR(INDEX(TableWRMaster[Player],MATCH(TableWRTECalcPts[[#This Row],[POSRef]],TableWRMaster[WRRef],0)),"")</f>
        <v/>
      </c>
      <c r="AM311" s="219" t="str">
        <f>IFERROR(_xlfn.CONCAT(TableWRTECalcPts[[#This Row],[POS]],INDEX(TableWRRanks[RK],MATCH(TableWRTECalcPts[[#This Row],[PLAYER]],TableWRRanks[Player],0))),"")</f>
        <v>WR186</v>
      </c>
      <c r="AN311" s="219" t="str">
        <f>IFERROR(INDEX(TableWRMaster[TM],MATCH(TableWRTECalcPts[[#This Row],[POSRef]],TableWRMaster[WRRef],0)),"")</f>
        <v/>
      </c>
      <c r="AO311" s="219" t="str">
        <f>IFERROR(INDEX(TableWRMaster[BYE],MATCH(TableWRTECalcPts[[#This Row],[POSRef]],TableWRMaster[WRRef],0)),"")</f>
        <v/>
      </c>
      <c r="AP311" s="220" t="str">
        <f>IFERROR(INDEX(TableWRMaster[Custom],MATCH(TableWRTECalcPts[[#This Row],[POSRef]],TableWRMaster[WRRef],0)),"")</f>
        <v/>
      </c>
    </row>
    <row r="312" spans="35:42" x14ac:dyDescent="0.3">
      <c r="AI312" s="221" t="s">
        <v>358</v>
      </c>
      <c r="AJ312" s="189" t="str">
        <f>IFERROR(RANK(TableWRTECalcPts[[#This Row],[Custom]],TableWRTECalcPts[Custom])+COUNTIF($AP$3:AP312,AP312)-1,"")</f>
        <v/>
      </c>
      <c r="AK312" s="218">
        <v>210</v>
      </c>
      <c r="AL312" s="219" t="str">
        <f>IFERROR(INDEX(TableWRMaster[Player],MATCH(TableWRTECalcPts[[#This Row],[POSRef]],TableWRMaster[WRRef],0)),"")</f>
        <v/>
      </c>
      <c r="AM312" s="219" t="str">
        <f>IFERROR(_xlfn.CONCAT(TableWRTECalcPts[[#This Row],[POS]],INDEX(TableWRRanks[RK],MATCH(TableWRTECalcPts[[#This Row],[PLAYER]],TableWRRanks[Player],0))),"")</f>
        <v>WR186</v>
      </c>
      <c r="AN312" s="219" t="str">
        <f>IFERROR(INDEX(TableWRMaster[TM],MATCH(TableWRTECalcPts[[#This Row],[POSRef]],TableWRMaster[WRRef],0)),"")</f>
        <v/>
      </c>
      <c r="AO312" s="219" t="str">
        <f>IFERROR(INDEX(TableWRMaster[BYE],MATCH(TableWRTECalcPts[[#This Row],[POSRef]],TableWRMaster[WRRef],0)),"")</f>
        <v/>
      </c>
      <c r="AP312" s="220" t="str">
        <f>IFERROR(INDEX(TableWRMaster[Custom],MATCH(TableWRTECalcPts[[#This Row],[POSRef]],TableWRMaster[WRRef],0)),"")</f>
        <v/>
      </c>
    </row>
    <row r="313" spans="35:42" x14ac:dyDescent="0.3">
      <c r="AI313" s="221" t="s">
        <v>358</v>
      </c>
      <c r="AJ313" s="189" t="str">
        <f>IFERROR(RANK(TableWRTECalcPts[[#This Row],[Custom]],TableWRTECalcPts[Custom])+COUNTIF($AP$3:AP313,AP313)-1,"")</f>
        <v/>
      </c>
      <c r="AK313" s="218">
        <v>211</v>
      </c>
      <c r="AL313" s="219" t="str">
        <f>IFERROR(INDEX(TableWRMaster[Player],MATCH(TableWRTECalcPts[[#This Row],[POSRef]],TableWRMaster[WRRef],0)),"")</f>
        <v/>
      </c>
      <c r="AM313" s="219" t="str">
        <f>IFERROR(_xlfn.CONCAT(TableWRTECalcPts[[#This Row],[POS]],INDEX(TableWRRanks[RK],MATCH(TableWRTECalcPts[[#This Row],[PLAYER]],TableWRRanks[Player],0))),"")</f>
        <v>WR186</v>
      </c>
      <c r="AN313" s="219" t="str">
        <f>IFERROR(INDEX(TableWRMaster[TM],MATCH(TableWRTECalcPts[[#This Row],[POSRef]],TableWRMaster[WRRef],0)),"")</f>
        <v/>
      </c>
      <c r="AO313" s="219" t="str">
        <f>IFERROR(INDEX(TableWRMaster[BYE],MATCH(TableWRTECalcPts[[#This Row],[POSRef]],TableWRMaster[WRRef],0)),"")</f>
        <v/>
      </c>
      <c r="AP313" s="220" t="str">
        <f>IFERROR(INDEX(TableWRMaster[Custom],MATCH(TableWRTECalcPts[[#This Row],[POSRef]],TableWRMaster[WRRef],0)),"")</f>
        <v/>
      </c>
    </row>
    <row r="314" spans="35:42" x14ac:dyDescent="0.3">
      <c r="AI314" s="221" t="s">
        <v>358</v>
      </c>
      <c r="AJ314" s="189" t="str">
        <f>IFERROR(RANK(TableWRTECalcPts[[#This Row],[Custom]],TableWRTECalcPts[Custom])+COUNTIF($AP$3:AP314,AP314)-1,"")</f>
        <v/>
      </c>
      <c r="AK314" s="218">
        <v>212</v>
      </c>
      <c r="AL314" s="219" t="str">
        <f>IFERROR(INDEX(TableWRMaster[Player],MATCH(TableWRTECalcPts[[#This Row],[POSRef]],TableWRMaster[WRRef],0)),"")</f>
        <v/>
      </c>
      <c r="AM314" s="219" t="str">
        <f>IFERROR(_xlfn.CONCAT(TableWRTECalcPts[[#This Row],[POS]],INDEX(TableWRRanks[RK],MATCH(TableWRTECalcPts[[#This Row],[PLAYER]],TableWRRanks[Player],0))),"")</f>
        <v>WR186</v>
      </c>
      <c r="AN314" s="219" t="str">
        <f>IFERROR(INDEX(TableWRMaster[TM],MATCH(TableWRTECalcPts[[#This Row],[POSRef]],TableWRMaster[WRRef],0)),"")</f>
        <v/>
      </c>
      <c r="AO314" s="219" t="str">
        <f>IFERROR(INDEX(TableWRMaster[BYE],MATCH(TableWRTECalcPts[[#This Row],[POSRef]],TableWRMaster[WRRef],0)),"")</f>
        <v/>
      </c>
      <c r="AP314" s="220" t="str">
        <f>IFERROR(INDEX(TableWRMaster[Custom],MATCH(TableWRTECalcPts[[#This Row],[POSRef]],TableWRMaster[WRRef],0)),"")</f>
        <v/>
      </c>
    </row>
    <row r="315" spans="35:42" x14ac:dyDescent="0.3">
      <c r="AI315" s="221" t="s">
        <v>358</v>
      </c>
      <c r="AJ315" s="189" t="str">
        <f>IFERROR(RANK(TableWRTECalcPts[[#This Row],[Custom]],TableWRTECalcPts[Custom])+COUNTIF($AP$3:AP315,AP315)-1,"")</f>
        <v/>
      </c>
      <c r="AK315" s="218">
        <v>213</v>
      </c>
      <c r="AL315" s="219" t="str">
        <f>IFERROR(INDEX(TableWRMaster[Player],MATCH(TableWRTECalcPts[[#This Row],[POSRef]],TableWRMaster[WRRef],0)),"")</f>
        <v/>
      </c>
      <c r="AM315" s="219" t="str">
        <f>IFERROR(_xlfn.CONCAT(TableWRTECalcPts[[#This Row],[POS]],INDEX(TableWRRanks[RK],MATCH(TableWRTECalcPts[[#This Row],[PLAYER]],TableWRRanks[Player],0))),"")</f>
        <v>WR186</v>
      </c>
      <c r="AN315" s="219" t="str">
        <f>IFERROR(INDEX(TableWRMaster[TM],MATCH(TableWRTECalcPts[[#This Row],[POSRef]],TableWRMaster[WRRef],0)),"")</f>
        <v/>
      </c>
      <c r="AO315" s="219" t="str">
        <f>IFERROR(INDEX(TableWRMaster[BYE],MATCH(TableWRTECalcPts[[#This Row],[POSRef]],TableWRMaster[WRRef],0)),"")</f>
        <v/>
      </c>
      <c r="AP315" s="220" t="str">
        <f>IFERROR(INDEX(TableWRMaster[Custom],MATCH(TableWRTECalcPts[[#This Row],[POSRef]],TableWRMaster[WRRef],0)),"")</f>
        <v/>
      </c>
    </row>
    <row r="316" spans="35:42" x14ac:dyDescent="0.3">
      <c r="AI316" s="221" t="s">
        <v>358</v>
      </c>
      <c r="AJ316" s="189" t="str">
        <f>IFERROR(RANK(TableWRTECalcPts[[#This Row],[Custom]],TableWRTECalcPts[Custom])+COUNTIF($AP$3:AP316,AP316)-1,"")</f>
        <v/>
      </c>
      <c r="AK316" s="218">
        <v>214</v>
      </c>
      <c r="AL316" s="219" t="str">
        <f>IFERROR(INDEX(TableWRMaster[Player],MATCH(TableWRTECalcPts[[#This Row],[POSRef]],TableWRMaster[WRRef],0)),"")</f>
        <v/>
      </c>
      <c r="AM316" s="219" t="str">
        <f>IFERROR(_xlfn.CONCAT(TableWRTECalcPts[[#This Row],[POS]],INDEX(TableWRRanks[RK],MATCH(TableWRTECalcPts[[#This Row],[PLAYER]],TableWRRanks[Player],0))),"")</f>
        <v>WR186</v>
      </c>
      <c r="AN316" s="219" t="str">
        <f>IFERROR(INDEX(TableWRMaster[TM],MATCH(TableWRTECalcPts[[#This Row],[POSRef]],TableWRMaster[WRRef],0)),"")</f>
        <v/>
      </c>
      <c r="AO316" s="219" t="str">
        <f>IFERROR(INDEX(TableWRMaster[BYE],MATCH(TableWRTECalcPts[[#This Row],[POSRef]],TableWRMaster[WRRef],0)),"")</f>
        <v/>
      </c>
      <c r="AP316" s="220" t="str">
        <f>IFERROR(INDEX(TableWRMaster[Custom],MATCH(TableWRTECalcPts[[#This Row],[POSRef]],TableWRMaster[WRRef],0)),"")</f>
        <v/>
      </c>
    </row>
    <row r="317" spans="35:42" x14ac:dyDescent="0.3">
      <c r="AI317" s="221" t="s">
        <v>358</v>
      </c>
      <c r="AJ317" s="189" t="str">
        <f>IFERROR(RANK(TableWRTECalcPts[[#This Row],[Custom]],TableWRTECalcPts[Custom])+COUNTIF($AP$3:AP317,AP317)-1,"")</f>
        <v/>
      </c>
      <c r="AK317" s="218">
        <v>215</v>
      </c>
      <c r="AL317" s="219" t="str">
        <f>IFERROR(INDEX(TableWRMaster[Player],MATCH(TableWRTECalcPts[[#This Row],[POSRef]],TableWRMaster[WRRef],0)),"")</f>
        <v/>
      </c>
      <c r="AM317" s="219" t="str">
        <f>IFERROR(_xlfn.CONCAT(TableWRTECalcPts[[#This Row],[POS]],INDEX(TableWRRanks[RK],MATCH(TableWRTECalcPts[[#This Row],[PLAYER]],TableWRRanks[Player],0))),"")</f>
        <v>WR186</v>
      </c>
      <c r="AN317" s="219" t="str">
        <f>IFERROR(INDEX(TableWRMaster[TM],MATCH(TableWRTECalcPts[[#This Row],[POSRef]],TableWRMaster[WRRef],0)),"")</f>
        <v/>
      </c>
      <c r="AO317" s="219" t="str">
        <f>IFERROR(INDEX(TableWRMaster[BYE],MATCH(TableWRTECalcPts[[#This Row],[POSRef]],TableWRMaster[WRRef],0)),"")</f>
        <v/>
      </c>
      <c r="AP317" s="220" t="str">
        <f>IFERROR(INDEX(TableWRMaster[Custom],MATCH(TableWRTECalcPts[[#This Row],[POSRef]],TableWRMaster[WRRef],0)),"")</f>
        <v/>
      </c>
    </row>
    <row r="318" spans="35:42" x14ac:dyDescent="0.3">
      <c r="AI318" s="221" t="s">
        <v>358</v>
      </c>
      <c r="AJ318" s="189" t="str">
        <f>IFERROR(RANK(TableWRTECalcPts[[#This Row],[Custom]],TableWRTECalcPts[Custom])+COUNTIF($AP$3:AP318,AP318)-1,"")</f>
        <v/>
      </c>
      <c r="AK318" s="218">
        <v>216</v>
      </c>
      <c r="AL318" s="219" t="str">
        <f>IFERROR(INDEX(TableWRMaster[Player],MATCH(TableWRTECalcPts[[#This Row],[POSRef]],TableWRMaster[WRRef],0)),"")</f>
        <v/>
      </c>
      <c r="AM318" s="219" t="str">
        <f>IFERROR(_xlfn.CONCAT(TableWRTECalcPts[[#This Row],[POS]],INDEX(TableWRRanks[RK],MATCH(TableWRTECalcPts[[#This Row],[PLAYER]],TableWRRanks[Player],0))),"")</f>
        <v>WR186</v>
      </c>
      <c r="AN318" s="219" t="str">
        <f>IFERROR(INDEX(TableWRMaster[TM],MATCH(TableWRTECalcPts[[#This Row],[POSRef]],TableWRMaster[WRRef],0)),"")</f>
        <v/>
      </c>
      <c r="AO318" s="219" t="str">
        <f>IFERROR(INDEX(TableWRMaster[BYE],MATCH(TableWRTECalcPts[[#This Row],[POSRef]],TableWRMaster[WRRef],0)),"")</f>
        <v/>
      </c>
      <c r="AP318" s="220" t="str">
        <f>IFERROR(INDEX(TableWRMaster[Custom],MATCH(TableWRTECalcPts[[#This Row],[POSRef]],TableWRMaster[WRRef],0)),"")</f>
        <v/>
      </c>
    </row>
    <row r="319" spans="35:42" x14ac:dyDescent="0.3">
      <c r="AI319" s="221" t="s">
        <v>358</v>
      </c>
      <c r="AJ319" s="189" t="str">
        <f>IFERROR(RANK(TableWRTECalcPts[[#This Row],[Custom]],TableWRTECalcPts[Custom])+COUNTIF($AP$3:AP319,AP319)-1,"")</f>
        <v/>
      </c>
      <c r="AK319" s="218">
        <v>217</v>
      </c>
      <c r="AL319" s="219" t="str">
        <f>IFERROR(INDEX(TableWRMaster[Player],MATCH(TableWRTECalcPts[[#This Row],[POSRef]],TableWRMaster[WRRef],0)),"")</f>
        <v/>
      </c>
      <c r="AM319" s="219" t="str">
        <f>IFERROR(_xlfn.CONCAT(TableWRTECalcPts[[#This Row],[POS]],INDEX(TableWRRanks[RK],MATCH(TableWRTECalcPts[[#This Row],[PLAYER]],TableWRRanks[Player],0))),"")</f>
        <v>WR186</v>
      </c>
      <c r="AN319" s="219" t="str">
        <f>IFERROR(INDEX(TableWRMaster[TM],MATCH(TableWRTECalcPts[[#This Row],[POSRef]],TableWRMaster[WRRef],0)),"")</f>
        <v/>
      </c>
      <c r="AO319" s="219" t="str">
        <f>IFERROR(INDEX(TableWRMaster[BYE],MATCH(TableWRTECalcPts[[#This Row],[POSRef]],TableWRMaster[WRRef],0)),"")</f>
        <v/>
      </c>
      <c r="AP319" s="220" t="str">
        <f>IFERROR(INDEX(TableWRMaster[Custom],MATCH(TableWRTECalcPts[[#This Row],[POSRef]],TableWRMaster[WRRef],0)),"")</f>
        <v/>
      </c>
    </row>
    <row r="320" spans="35:42" x14ac:dyDescent="0.3">
      <c r="AI320" s="221" t="s">
        <v>358</v>
      </c>
      <c r="AJ320" s="189" t="str">
        <f>IFERROR(RANK(TableWRTECalcPts[[#This Row],[Custom]],TableWRTECalcPts[Custom])+COUNTIF($AP$3:AP320,AP320)-1,"")</f>
        <v/>
      </c>
      <c r="AK320" s="218">
        <v>218</v>
      </c>
      <c r="AL320" s="219" t="str">
        <f>IFERROR(INDEX(TableWRMaster[Player],MATCH(TableWRTECalcPts[[#This Row],[POSRef]],TableWRMaster[WRRef],0)),"")</f>
        <v/>
      </c>
      <c r="AM320" s="219" t="str">
        <f>IFERROR(_xlfn.CONCAT(TableWRTECalcPts[[#This Row],[POS]],INDEX(TableWRRanks[RK],MATCH(TableWRTECalcPts[[#This Row],[PLAYER]],TableWRRanks[Player],0))),"")</f>
        <v>WR186</v>
      </c>
      <c r="AN320" s="219" t="str">
        <f>IFERROR(INDEX(TableWRMaster[TM],MATCH(TableWRTECalcPts[[#This Row],[POSRef]],TableWRMaster[WRRef],0)),"")</f>
        <v/>
      </c>
      <c r="AO320" s="219" t="str">
        <f>IFERROR(INDEX(TableWRMaster[BYE],MATCH(TableWRTECalcPts[[#This Row],[POSRef]],TableWRMaster[WRRef],0)),"")</f>
        <v/>
      </c>
      <c r="AP320" s="220" t="str">
        <f>IFERROR(INDEX(TableWRMaster[Custom],MATCH(TableWRTECalcPts[[#This Row],[POSRef]],TableWRMaster[WRRef],0)),"")</f>
        <v/>
      </c>
    </row>
    <row r="321" spans="35:42" x14ac:dyDescent="0.3">
      <c r="AI321" s="221" t="s">
        <v>358</v>
      </c>
      <c r="AJ321" s="189" t="str">
        <f>IFERROR(RANK(TableWRTECalcPts[[#This Row],[Custom]],TableWRTECalcPts[Custom])+COUNTIF($AP$3:AP321,AP321)-1,"")</f>
        <v/>
      </c>
      <c r="AK321" s="218">
        <v>219</v>
      </c>
      <c r="AL321" s="219" t="str">
        <f>IFERROR(INDEX(TableWRMaster[Player],MATCH(TableWRTECalcPts[[#This Row],[POSRef]],TableWRMaster[WRRef],0)),"")</f>
        <v/>
      </c>
      <c r="AM321" s="219" t="str">
        <f>IFERROR(_xlfn.CONCAT(TableWRTECalcPts[[#This Row],[POS]],INDEX(TableWRRanks[RK],MATCH(TableWRTECalcPts[[#This Row],[PLAYER]],TableWRRanks[Player],0))),"")</f>
        <v>WR186</v>
      </c>
      <c r="AN321" s="219" t="str">
        <f>IFERROR(INDEX(TableWRMaster[TM],MATCH(TableWRTECalcPts[[#This Row],[POSRef]],TableWRMaster[WRRef],0)),"")</f>
        <v/>
      </c>
      <c r="AO321" s="219" t="str">
        <f>IFERROR(INDEX(TableWRMaster[BYE],MATCH(TableWRTECalcPts[[#This Row],[POSRef]],TableWRMaster[WRRef],0)),"")</f>
        <v/>
      </c>
      <c r="AP321" s="220" t="str">
        <f>IFERROR(INDEX(TableWRMaster[Custom],MATCH(TableWRTECalcPts[[#This Row],[POSRef]],TableWRMaster[WRRef],0)),"")</f>
        <v/>
      </c>
    </row>
    <row r="322" spans="35:42" x14ac:dyDescent="0.3">
      <c r="AI322" s="221" t="s">
        <v>358</v>
      </c>
      <c r="AJ322" s="189" t="str">
        <f>IFERROR(RANK(TableWRTECalcPts[[#This Row],[Custom]],TableWRTECalcPts[Custom])+COUNTIF($AP$3:AP322,AP322)-1,"")</f>
        <v/>
      </c>
      <c r="AK322" s="218">
        <v>220</v>
      </c>
      <c r="AL322" s="219" t="str">
        <f>IFERROR(INDEX(TableWRMaster[Player],MATCH(TableWRTECalcPts[[#This Row],[POSRef]],TableWRMaster[WRRef],0)),"")</f>
        <v/>
      </c>
      <c r="AM322" s="219" t="str">
        <f>IFERROR(_xlfn.CONCAT(TableWRTECalcPts[[#This Row],[POS]],INDEX(TableWRRanks[RK],MATCH(TableWRTECalcPts[[#This Row],[PLAYER]],TableWRRanks[Player],0))),"")</f>
        <v>WR186</v>
      </c>
      <c r="AN322" s="219" t="str">
        <f>IFERROR(INDEX(TableWRMaster[TM],MATCH(TableWRTECalcPts[[#This Row],[POSRef]],TableWRMaster[WRRef],0)),"")</f>
        <v/>
      </c>
      <c r="AO322" s="219" t="str">
        <f>IFERROR(INDEX(TableWRMaster[BYE],MATCH(TableWRTECalcPts[[#This Row],[POSRef]],TableWRMaster[WRRef],0)),"")</f>
        <v/>
      </c>
      <c r="AP322" s="220" t="str">
        <f>IFERROR(INDEX(TableWRMaster[Custom],MATCH(TableWRTECalcPts[[#This Row],[POSRef]],TableWRMaster[WRRef],0)),"")</f>
        <v/>
      </c>
    </row>
    <row r="323" spans="35:42" x14ac:dyDescent="0.3">
      <c r="AI323" s="221" t="s">
        <v>358</v>
      </c>
      <c r="AJ323" s="189" t="str">
        <f>IFERROR(RANK(TableWRTECalcPts[[#This Row],[Custom]],TableWRTECalcPts[Custom])+COUNTIF($AP$3:AP323,AP323)-1,"")</f>
        <v/>
      </c>
      <c r="AK323" s="218">
        <v>221</v>
      </c>
      <c r="AL323" s="219" t="str">
        <f>IFERROR(INDEX(TableWRMaster[Player],MATCH(TableWRTECalcPts[[#This Row],[POSRef]],TableWRMaster[WRRef],0)),"")</f>
        <v/>
      </c>
      <c r="AM323" s="219" t="str">
        <f>IFERROR(_xlfn.CONCAT(TableWRTECalcPts[[#This Row],[POS]],INDEX(TableWRRanks[RK],MATCH(TableWRTECalcPts[[#This Row],[PLAYER]],TableWRRanks[Player],0))),"")</f>
        <v>WR186</v>
      </c>
      <c r="AN323" s="219" t="str">
        <f>IFERROR(INDEX(TableWRMaster[TM],MATCH(TableWRTECalcPts[[#This Row],[POSRef]],TableWRMaster[WRRef],0)),"")</f>
        <v/>
      </c>
      <c r="AO323" s="219" t="str">
        <f>IFERROR(INDEX(TableWRMaster[BYE],MATCH(TableWRTECalcPts[[#This Row],[POSRef]],TableWRMaster[WRRef],0)),"")</f>
        <v/>
      </c>
      <c r="AP323" s="220" t="str">
        <f>IFERROR(INDEX(TableWRMaster[Custom],MATCH(TableWRTECalcPts[[#This Row],[POSRef]],TableWRMaster[WRRef],0)),"")</f>
        <v/>
      </c>
    </row>
    <row r="324" spans="35:42" x14ac:dyDescent="0.3">
      <c r="AI324" s="221" t="s">
        <v>358</v>
      </c>
      <c r="AJ324" s="189" t="str">
        <f>IFERROR(RANK(TableWRTECalcPts[[#This Row],[Custom]],TableWRTECalcPts[Custom])+COUNTIF($AP$3:AP324,AP324)-1,"")</f>
        <v/>
      </c>
      <c r="AK324" s="218">
        <v>222</v>
      </c>
      <c r="AL324" s="219" t="str">
        <f>IFERROR(INDEX(TableWRMaster[Player],MATCH(TableWRTECalcPts[[#This Row],[POSRef]],TableWRMaster[WRRef],0)),"")</f>
        <v/>
      </c>
      <c r="AM324" s="219" t="str">
        <f>IFERROR(_xlfn.CONCAT(TableWRTECalcPts[[#This Row],[POS]],INDEX(TableWRRanks[RK],MATCH(TableWRTECalcPts[[#This Row],[PLAYER]],TableWRRanks[Player],0))),"")</f>
        <v>WR186</v>
      </c>
      <c r="AN324" s="219" t="str">
        <f>IFERROR(INDEX(TableWRMaster[TM],MATCH(TableWRTECalcPts[[#This Row],[POSRef]],TableWRMaster[WRRef],0)),"")</f>
        <v/>
      </c>
      <c r="AO324" s="219" t="str">
        <f>IFERROR(INDEX(TableWRMaster[BYE],MATCH(TableWRTECalcPts[[#This Row],[POSRef]],TableWRMaster[WRRef],0)),"")</f>
        <v/>
      </c>
      <c r="AP324" s="220" t="str">
        <f>IFERROR(INDEX(TableWRMaster[Custom],MATCH(TableWRTECalcPts[[#This Row],[POSRef]],TableWRMaster[WRRef],0)),"")</f>
        <v/>
      </c>
    </row>
    <row r="325" spans="35:42" x14ac:dyDescent="0.3">
      <c r="AI325" s="221" t="s">
        <v>358</v>
      </c>
      <c r="AJ325" s="189" t="str">
        <f>IFERROR(RANK(TableWRTECalcPts[[#This Row],[Custom]],TableWRTECalcPts[Custom])+COUNTIF($AP$3:AP325,AP325)-1,"")</f>
        <v/>
      </c>
      <c r="AK325" s="218">
        <v>223</v>
      </c>
      <c r="AL325" s="219" t="str">
        <f>IFERROR(INDEX(TableWRMaster[Player],MATCH(TableWRTECalcPts[[#This Row],[POSRef]],TableWRMaster[WRRef],0)),"")</f>
        <v/>
      </c>
      <c r="AM325" s="219" t="str">
        <f>IFERROR(_xlfn.CONCAT(TableWRTECalcPts[[#This Row],[POS]],INDEX(TableWRRanks[RK],MATCH(TableWRTECalcPts[[#This Row],[PLAYER]],TableWRRanks[Player],0))),"")</f>
        <v>WR186</v>
      </c>
      <c r="AN325" s="219" t="str">
        <f>IFERROR(INDEX(TableWRMaster[TM],MATCH(TableWRTECalcPts[[#This Row],[POSRef]],TableWRMaster[WRRef],0)),"")</f>
        <v/>
      </c>
      <c r="AO325" s="219" t="str">
        <f>IFERROR(INDEX(TableWRMaster[BYE],MATCH(TableWRTECalcPts[[#This Row],[POSRef]],TableWRMaster[WRRef],0)),"")</f>
        <v/>
      </c>
      <c r="AP325" s="220" t="str">
        <f>IFERROR(INDEX(TableWRMaster[Custom],MATCH(TableWRTECalcPts[[#This Row],[POSRef]],TableWRMaster[WRRef],0)),"")</f>
        <v/>
      </c>
    </row>
    <row r="326" spans="35:42" x14ac:dyDescent="0.3">
      <c r="AI326" s="221" t="s">
        <v>358</v>
      </c>
      <c r="AJ326" s="189" t="str">
        <f>IFERROR(RANK(TableWRTECalcPts[[#This Row],[Custom]],TableWRTECalcPts[Custom])+COUNTIF($AP$3:AP326,AP326)-1,"")</f>
        <v/>
      </c>
      <c r="AK326" s="218">
        <v>224</v>
      </c>
      <c r="AL326" s="219" t="str">
        <f>IFERROR(INDEX(TableWRMaster[Player],MATCH(TableWRTECalcPts[[#This Row],[POSRef]],TableWRMaster[WRRef],0)),"")</f>
        <v/>
      </c>
      <c r="AM326" s="219" t="str">
        <f>IFERROR(_xlfn.CONCAT(TableWRTECalcPts[[#This Row],[POS]],INDEX(TableWRRanks[RK],MATCH(TableWRTECalcPts[[#This Row],[PLAYER]],TableWRRanks[Player],0))),"")</f>
        <v>WR186</v>
      </c>
      <c r="AN326" s="219" t="str">
        <f>IFERROR(INDEX(TableWRMaster[TM],MATCH(TableWRTECalcPts[[#This Row],[POSRef]],TableWRMaster[WRRef],0)),"")</f>
        <v/>
      </c>
      <c r="AO326" s="219" t="str">
        <f>IFERROR(INDEX(TableWRMaster[BYE],MATCH(TableWRTECalcPts[[#This Row],[POSRef]],TableWRMaster[WRRef],0)),"")</f>
        <v/>
      </c>
      <c r="AP326" s="220" t="str">
        <f>IFERROR(INDEX(TableWRMaster[Custom],MATCH(TableWRTECalcPts[[#This Row],[POSRef]],TableWRMaster[WRRef],0)),"")</f>
        <v/>
      </c>
    </row>
    <row r="327" spans="35:42" x14ac:dyDescent="0.3">
      <c r="AI327" s="221" t="s">
        <v>358</v>
      </c>
      <c r="AJ327" s="189" t="str">
        <f>IFERROR(RANK(TableWRTECalcPts[[#This Row],[Custom]],TableWRTECalcPts[Custom])+COUNTIF($AP$3:AP327,AP327)-1,"")</f>
        <v/>
      </c>
      <c r="AK327" s="218">
        <v>225</v>
      </c>
      <c r="AL327" s="219" t="str">
        <f>IFERROR(INDEX(TableWRMaster[Player],MATCH(TableWRTECalcPts[[#This Row],[POSRef]],TableWRMaster[WRRef],0)),"")</f>
        <v/>
      </c>
      <c r="AM327" s="219" t="str">
        <f>IFERROR(_xlfn.CONCAT(TableWRTECalcPts[[#This Row],[POS]],INDEX(TableWRRanks[RK],MATCH(TableWRTECalcPts[[#This Row],[PLAYER]],TableWRRanks[Player],0))),"")</f>
        <v>WR186</v>
      </c>
      <c r="AN327" s="219" t="str">
        <f>IFERROR(INDEX(TableWRMaster[TM],MATCH(TableWRTECalcPts[[#This Row],[POSRef]],TableWRMaster[WRRef],0)),"")</f>
        <v/>
      </c>
      <c r="AO327" s="219" t="str">
        <f>IFERROR(INDEX(TableWRMaster[BYE],MATCH(TableWRTECalcPts[[#This Row],[POSRef]],TableWRMaster[WRRef],0)),"")</f>
        <v/>
      </c>
      <c r="AP327" s="220" t="str">
        <f>IFERROR(INDEX(TableWRMaster[Custom],MATCH(TableWRTECalcPts[[#This Row],[POSRef]],TableWRMaster[WRRef],0)),"")</f>
        <v/>
      </c>
    </row>
  </sheetData>
  <pageMargins left="0.7" right="0.7" top="0.75" bottom="0.75" header="0.3" footer="0.3"/>
  <pageSetup orientation="portrait" horizontalDpi="90" verticalDpi="90" r:id="rId1"/>
  <ignoredErrors>
    <ignoredError sqref="AM3:AM327" calculatedColumn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D904-1E5C-49A4-BE58-407A92F40514}">
  <dimension ref="A1:Q187"/>
  <sheetViews>
    <sheetView zoomScale="85" zoomScaleNormal="85" workbookViewId="0"/>
  </sheetViews>
  <sheetFormatPr defaultRowHeight="13.8" x14ac:dyDescent="0.3"/>
  <cols>
    <col min="1" max="1" width="4.109375" bestFit="1" customWidth="1"/>
    <col min="2" max="2" width="4.109375" customWidth="1"/>
    <col min="3" max="3" width="16.109375" bestFit="1" customWidth="1"/>
    <col min="4" max="4" width="5.5546875" bestFit="1" customWidth="1"/>
    <col min="5" max="5" width="7.6640625" bestFit="1" customWidth="1"/>
    <col min="7" max="7" width="19.33203125" bestFit="1" customWidth="1"/>
    <col min="8" max="8" width="5.5546875" bestFit="1" customWidth="1"/>
    <col min="9" max="9" width="7.6640625" bestFit="1" customWidth="1"/>
    <col min="11" max="11" width="22" bestFit="1" customWidth="1"/>
    <col min="12" max="12" width="5.5546875" bestFit="1" customWidth="1"/>
    <col min="13" max="13" width="7.6640625" bestFit="1" customWidth="1"/>
    <col min="15" max="15" width="18.5546875" bestFit="1" customWidth="1"/>
    <col min="16" max="16" width="5.5546875" bestFit="1" customWidth="1"/>
    <col min="17" max="17" width="7.6640625" bestFit="1" customWidth="1"/>
  </cols>
  <sheetData>
    <row r="1" spans="1:17" x14ac:dyDescent="0.3">
      <c r="A1" t="s">
        <v>191</v>
      </c>
      <c r="C1" t="s">
        <v>9</v>
      </c>
      <c r="G1" t="s">
        <v>357</v>
      </c>
      <c r="K1" t="s">
        <v>358</v>
      </c>
      <c r="O1" t="s">
        <v>10</v>
      </c>
    </row>
    <row r="2" spans="1:17" x14ac:dyDescent="0.3">
      <c r="C2" t="s">
        <v>840</v>
      </c>
      <c r="D2" t="s">
        <v>711</v>
      </c>
      <c r="E2" t="s">
        <v>841</v>
      </c>
      <c r="G2" t="s">
        <v>840</v>
      </c>
      <c r="H2" t="s">
        <v>711</v>
      </c>
      <c r="I2" t="s">
        <v>841</v>
      </c>
      <c r="K2" t="s">
        <v>840</v>
      </c>
      <c r="L2" t="s">
        <v>711</v>
      </c>
      <c r="M2" t="s">
        <v>841</v>
      </c>
      <c r="O2" t="s">
        <v>840</v>
      </c>
      <c r="P2" t="s">
        <v>711</v>
      </c>
      <c r="Q2" t="s">
        <v>841</v>
      </c>
    </row>
    <row r="3" spans="1:17" x14ac:dyDescent="0.3">
      <c r="A3">
        <v>1</v>
      </c>
      <c r="C3" t="s">
        <v>31</v>
      </c>
      <c r="D3" t="s">
        <v>140</v>
      </c>
      <c r="E3" t="s">
        <v>9</v>
      </c>
      <c r="G3" t="s">
        <v>211</v>
      </c>
      <c r="H3" t="s">
        <v>151</v>
      </c>
      <c r="I3" t="s">
        <v>357</v>
      </c>
      <c r="K3" t="s">
        <v>78</v>
      </c>
      <c r="L3" t="s">
        <v>155</v>
      </c>
      <c r="M3" t="s">
        <v>358</v>
      </c>
      <c r="O3" t="s">
        <v>73</v>
      </c>
      <c r="P3" t="s">
        <v>153</v>
      </c>
      <c r="Q3" t="s">
        <v>10</v>
      </c>
    </row>
    <row r="4" spans="1:17" x14ac:dyDescent="0.3">
      <c r="A4">
        <v>2</v>
      </c>
      <c r="C4" t="s">
        <v>22</v>
      </c>
      <c r="D4" t="s">
        <v>139</v>
      </c>
      <c r="E4" t="s">
        <v>9</v>
      </c>
      <c r="G4" t="s">
        <v>5</v>
      </c>
      <c r="H4" t="s">
        <v>141</v>
      </c>
      <c r="I4" t="s">
        <v>357</v>
      </c>
      <c r="K4" t="s">
        <v>327</v>
      </c>
      <c r="L4" t="s">
        <v>144</v>
      </c>
      <c r="M4" t="s">
        <v>358</v>
      </c>
      <c r="O4" t="s">
        <v>26</v>
      </c>
      <c r="P4" t="s">
        <v>139</v>
      </c>
      <c r="Q4" t="s">
        <v>10</v>
      </c>
    </row>
    <row r="5" spans="1:17" x14ac:dyDescent="0.3">
      <c r="A5">
        <v>3</v>
      </c>
      <c r="C5" t="s">
        <v>222</v>
      </c>
      <c r="D5" t="s">
        <v>163</v>
      </c>
      <c r="E5" t="s">
        <v>9</v>
      </c>
      <c r="G5" t="s">
        <v>86</v>
      </c>
      <c r="H5" t="s">
        <v>168</v>
      </c>
      <c r="I5" t="s">
        <v>357</v>
      </c>
      <c r="K5" t="s">
        <v>218</v>
      </c>
      <c r="L5" t="s">
        <v>157</v>
      </c>
      <c r="M5" t="s">
        <v>358</v>
      </c>
      <c r="O5" t="s">
        <v>280</v>
      </c>
      <c r="P5" t="s">
        <v>138</v>
      </c>
      <c r="Q5" t="s">
        <v>10</v>
      </c>
    </row>
    <row r="6" spans="1:17" x14ac:dyDescent="0.3">
      <c r="A6">
        <v>4</v>
      </c>
      <c r="C6" t="s">
        <v>213</v>
      </c>
      <c r="D6" t="s">
        <v>154</v>
      </c>
      <c r="E6" t="s">
        <v>9</v>
      </c>
      <c r="G6" t="s">
        <v>315</v>
      </c>
      <c r="H6" t="s">
        <v>164</v>
      </c>
      <c r="I6" t="s">
        <v>357</v>
      </c>
      <c r="K6" t="s">
        <v>59</v>
      </c>
      <c r="L6" t="s">
        <v>239</v>
      </c>
      <c r="M6" t="s">
        <v>358</v>
      </c>
      <c r="O6" t="s">
        <v>15</v>
      </c>
      <c r="P6" t="s">
        <v>166</v>
      </c>
      <c r="Q6" t="s">
        <v>10</v>
      </c>
    </row>
    <row r="7" spans="1:17" x14ac:dyDescent="0.3">
      <c r="A7">
        <v>5</v>
      </c>
      <c r="C7" t="s">
        <v>68</v>
      </c>
      <c r="D7" t="s">
        <v>153</v>
      </c>
      <c r="E7" t="s">
        <v>9</v>
      </c>
      <c r="G7" t="s">
        <v>16</v>
      </c>
      <c r="H7" t="s">
        <v>154</v>
      </c>
      <c r="I7" t="s">
        <v>357</v>
      </c>
      <c r="K7" t="s">
        <v>131</v>
      </c>
      <c r="L7" t="s">
        <v>140</v>
      </c>
      <c r="M7" t="s">
        <v>358</v>
      </c>
      <c r="O7" t="s">
        <v>108</v>
      </c>
      <c r="P7" t="s">
        <v>239</v>
      </c>
      <c r="Q7" t="s">
        <v>10</v>
      </c>
    </row>
    <row r="8" spans="1:17" x14ac:dyDescent="0.3">
      <c r="A8">
        <v>6</v>
      </c>
      <c r="C8" t="s">
        <v>201</v>
      </c>
      <c r="D8" t="s">
        <v>144</v>
      </c>
      <c r="E8" t="s">
        <v>9</v>
      </c>
      <c r="G8" t="s">
        <v>39</v>
      </c>
      <c r="H8" t="s">
        <v>144</v>
      </c>
      <c r="I8" t="s">
        <v>357</v>
      </c>
      <c r="K8" t="s">
        <v>204</v>
      </c>
      <c r="L8" t="s">
        <v>146</v>
      </c>
      <c r="M8" t="s">
        <v>358</v>
      </c>
      <c r="O8" t="s">
        <v>189</v>
      </c>
      <c r="P8" t="s">
        <v>146</v>
      </c>
      <c r="Q8" t="s">
        <v>10</v>
      </c>
    </row>
    <row r="9" spans="1:17" x14ac:dyDescent="0.3">
      <c r="A9">
        <v>7</v>
      </c>
      <c r="C9" t="s">
        <v>135</v>
      </c>
      <c r="D9" t="s">
        <v>137</v>
      </c>
      <c r="E9" t="s">
        <v>9</v>
      </c>
      <c r="G9" t="s">
        <v>116</v>
      </c>
      <c r="H9" t="s">
        <v>160</v>
      </c>
      <c r="I9" t="s">
        <v>357</v>
      </c>
      <c r="K9" t="s">
        <v>14</v>
      </c>
      <c r="L9" t="s">
        <v>166</v>
      </c>
      <c r="M9" t="s">
        <v>358</v>
      </c>
      <c r="O9" t="s">
        <v>54</v>
      </c>
      <c r="P9" t="s">
        <v>148</v>
      </c>
      <c r="Q9" t="s">
        <v>10</v>
      </c>
    </row>
    <row r="10" spans="1:17" x14ac:dyDescent="0.3">
      <c r="A10">
        <v>8</v>
      </c>
      <c r="C10" t="s">
        <v>122</v>
      </c>
      <c r="D10" t="s">
        <v>167</v>
      </c>
      <c r="E10" t="s">
        <v>9</v>
      </c>
      <c r="G10" t="s">
        <v>242</v>
      </c>
      <c r="H10" t="s">
        <v>148</v>
      </c>
      <c r="I10" t="s">
        <v>357</v>
      </c>
      <c r="K10" t="s">
        <v>92</v>
      </c>
      <c r="L10" t="s">
        <v>167</v>
      </c>
      <c r="M10" t="s">
        <v>358</v>
      </c>
      <c r="O10" t="s">
        <v>106</v>
      </c>
      <c r="P10" t="s">
        <v>163</v>
      </c>
      <c r="Q10" t="s">
        <v>10</v>
      </c>
    </row>
    <row r="11" spans="1:17" x14ac:dyDescent="0.3">
      <c r="A11">
        <v>9</v>
      </c>
      <c r="C11" t="s">
        <v>57</v>
      </c>
      <c r="D11" t="s">
        <v>149</v>
      </c>
      <c r="E11" t="s">
        <v>9</v>
      </c>
      <c r="G11" t="s">
        <v>128</v>
      </c>
      <c r="H11" t="s">
        <v>157</v>
      </c>
      <c r="I11" t="s">
        <v>357</v>
      </c>
      <c r="K11" t="s">
        <v>69</v>
      </c>
      <c r="L11" t="s">
        <v>156</v>
      </c>
      <c r="M11" t="s">
        <v>358</v>
      </c>
      <c r="O11" t="s">
        <v>105</v>
      </c>
      <c r="P11" t="s">
        <v>137</v>
      </c>
      <c r="Q11" t="s">
        <v>10</v>
      </c>
    </row>
    <row r="12" spans="1:17" x14ac:dyDescent="0.3">
      <c r="A12">
        <v>10</v>
      </c>
      <c r="C12" t="s">
        <v>56</v>
      </c>
      <c r="D12" t="s">
        <v>155</v>
      </c>
      <c r="E12" t="s">
        <v>9</v>
      </c>
      <c r="G12" t="s">
        <v>42</v>
      </c>
      <c r="H12" t="s">
        <v>145</v>
      </c>
      <c r="I12" t="s">
        <v>357</v>
      </c>
      <c r="K12" t="s">
        <v>202</v>
      </c>
      <c r="L12" t="s">
        <v>144</v>
      </c>
      <c r="M12" t="s">
        <v>358</v>
      </c>
      <c r="O12" t="s">
        <v>621</v>
      </c>
      <c r="P12" t="s">
        <v>157</v>
      </c>
      <c r="Q12" t="s">
        <v>10</v>
      </c>
    </row>
    <row r="13" spans="1:17" x14ac:dyDescent="0.3">
      <c r="A13">
        <v>11</v>
      </c>
      <c r="C13" t="s">
        <v>94</v>
      </c>
      <c r="D13" t="s">
        <v>147</v>
      </c>
      <c r="E13" t="s">
        <v>9</v>
      </c>
      <c r="G13" t="s">
        <v>67</v>
      </c>
      <c r="H13" t="s">
        <v>167</v>
      </c>
      <c r="I13" t="s">
        <v>357</v>
      </c>
      <c r="K13" t="s">
        <v>186</v>
      </c>
      <c r="L13" t="s">
        <v>164</v>
      </c>
      <c r="M13" t="s">
        <v>358</v>
      </c>
      <c r="O13" t="s">
        <v>91</v>
      </c>
      <c r="P13" t="s">
        <v>167</v>
      </c>
      <c r="Q13" t="s">
        <v>10</v>
      </c>
    </row>
    <row r="14" spans="1:17" x14ac:dyDescent="0.3">
      <c r="A14">
        <v>12</v>
      </c>
      <c r="C14" t="s">
        <v>50</v>
      </c>
      <c r="D14" t="s">
        <v>146</v>
      </c>
      <c r="E14" t="s">
        <v>9</v>
      </c>
      <c r="G14" t="s">
        <v>617</v>
      </c>
      <c r="H14" t="s">
        <v>155</v>
      </c>
      <c r="I14" t="s">
        <v>357</v>
      </c>
      <c r="K14" t="s">
        <v>88</v>
      </c>
      <c r="L14" t="s">
        <v>163</v>
      </c>
      <c r="M14" t="s">
        <v>358</v>
      </c>
      <c r="O14" t="s">
        <v>293</v>
      </c>
      <c r="P14" t="s">
        <v>164</v>
      </c>
      <c r="Q14" t="s">
        <v>10</v>
      </c>
    </row>
    <row r="15" spans="1:17" x14ac:dyDescent="0.3">
      <c r="A15">
        <v>13</v>
      </c>
      <c r="C15" t="s">
        <v>268</v>
      </c>
      <c r="D15" t="s">
        <v>698</v>
      </c>
      <c r="E15" t="s">
        <v>9</v>
      </c>
      <c r="G15" t="s">
        <v>101</v>
      </c>
      <c r="H15" t="s">
        <v>137</v>
      </c>
      <c r="I15" t="s">
        <v>357</v>
      </c>
      <c r="K15" t="s">
        <v>17</v>
      </c>
      <c r="L15" t="s">
        <v>154</v>
      </c>
      <c r="M15" t="s">
        <v>358</v>
      </c>
      <c r="O15" t="s">
        <v>29</v>
      </c>
      <c r="P15" t="s">
        <v>140</v>
      </c>
      <c r="Q15" t="s">
        <v>10</v>
      </c>
    </row>
    <row r="16" spans="1:17" x14ac:dyDescent="0.3">
      <c r="A16">
        <v>14</v>
      </c>
      <c r="C16" t="s">
        <v>107</v>
      </c>
      <c r="D16" t="s">
        <v>239</v>
      </c>
      <c r="E16" t="s">
        <v>9</v>
      </c>
      <c r="G16" t="s">
        <v>305</v>
      </c>
      <c r="H16" t="s">
        <v>147</v>
      </c>
      <c r="I16" t="s">
        <v>357</v>
      </c>
      <c r="K16" t="s">
        <v>772</v>
      </c>
      <c r="L16" t="s">
        <v>151</v>
      </c>
      <c r="M16" t="s">
        <v>358</v>
      </c>
      <c r="O16" t="s">
        <v>44</v>
      </c>
      <c r="P16" t="s">
        <v>145</v>
      </c>
      <c r="Q16" t="s">
        <v>10</v>
      </c>
    </row>
    <row r="17" spans="1:17" x14ac:dyDescent="0.3">
      <c r="A17">
        <v>15</v>
      </c>
      <c r="C17" t="s">
        <v>278</v>
      </c>
      <c r="D17" t="s">
        <v>166</v>
      </c>
      <c r="E17" t="s">
        <v>9</v>
      </c>
      <c r="G17" t="s">
        <v>230</v>
      </c>
      <c r="H17" t="s">
        <v>691</v>
      </c>
      <c r="I17" t="s">
        <v>357</v>
      </c>
      <c r="K17" t="s">
        <v>45</v>
      </c>
      <c r="L17" t="s">
        <v>145</v>
      </c>
      <c r="M17" t="s">
        <v>358</v>
      </c>
      <c r="O17" t="s">
        <v>200</v>
      </c>
      <c r="P17" t="s">
        <v>142</v>
      </c>
      <c r="Q17" t="s">
        <v>10</v>
      </c>
    </row>
    <row r="18" spans="1:17" x14ac:dyDescent="0.3">
      <c r="A18">
        <v>16</v>
      </c>
      <c r="C18" t="s">
        <v>264</v>
      </c>
      <c r="D18" t="s">
        <v>142</v>
      </c>
      <c r="E18" t="s">
        <v>9</v>
      </c>
      <c r="G18" t="s">
        <v>58</v>
      </c>
      <c r="H18" t="s">
        <v>149</v>
      </c>
      <c r="I18" t="s">
        <v>357</v>
      </c>
      <c r="K18" t="s">
        <v>324</v>
      </c>
      <c r="L18" t="s">
        <v>141</v>
      </c>
      <c r="M18" t="s">
        <v>358</v>
      </c>
      <c r="O18" t="s">
        <v>84</v>
      </c>
      <c r="P18" t="s">
        <v>156</v>
      </c>
      <c r="Q18" t="s">
        <v>10</v>
      </c>
    </row>
    <row r="19" spans="1:17" x14ac:dyDescent="0.3">
      <c r="A19">
        <v>17</v>
      </c>
      <c r="C19" t="s">
        <v>127</v>
      </c>
      <c r="D19" t="s">
        <v>157</v>
      </c>
      <c r="E19" t="s">
        <v>9</v>
      </c>
      <c r="G19" t="s">
        <v>119</v>
      </c>
      <c r="H19" t="s">
        <v>159</v>
      </c>
      <c r="I19" t="s">
        <v>357</v>
      </c>
      <c r="K19" t="s">
        <v>341</v>
      </c>
      <c r="L19" t="s">
        <v>156</v>
      </c>
      <c r="M19" t="s">
        <v>358</v>
      </c>
      <c r="O19" t="s">
        <v>19</v>
      </c>
      <c r="P19" t="s">
        <v>158</v>
      </c>
      <c r="Q19" t="s">
        <v>10</v>
      </c>
    </row>
    <row r="20" spans="1:17" x14ac:dyDescent="0.3">
      <c r="A20">
        <v>18</v>
      </c>
      <c r="C20" t="s">
        <v>216</v>
      </c>
      <c r="D20" t="s">
        <v>156</v>
      </c>
      <c r="E20" t="s">
        <v>9</v>
      </c>
      <c r="G20" t="s">
        <v>587</v>
      </c>
      <c r="H20" t="s">
        <v>139</v>
      </c>
      <c r="I20" t="s">
        <v>357</v>
      </c>
      <c r="K20" t="s">
        <v>618</v>
      </c>
      <c r="L20" t="s">
        <v>155</v>
      </c>
      <c r="M20" t="s">
        <v>358</v>
      </c>
      <c r="O20" t="s">
        <v>53</v>
      </c>
      <c r="P20" t="s">
        <v>165</v>
      </c>
      <c r="Q20" t="s">
        <v>10</v>
      </c>
    </row>
    <row r="21" spans="1:17" x14ac:dyDescent="0.3">
      <c r="A21">
        <v>19</v>
      </c>
      <c r="C21" t="s">
        <v>176</v>
      </c>
      <c r="D21" t="s">
        <v>168</v>
      </c>
      <c r="E21" t="s">
        <v>9</v>
      </c>
      <c r="G21" t="s">
        <v>651</v>
      </c>
      <c r="H21" t="s">
        <v>161</v>
      </c>
      <c r="I21" t="s">
        <v>357</v>
      </c>
      <c r="K21" t="s">
        <v>255</v>
      </c>
      <c r="L21" t="s">
        <v>165</v>
      </c>
      <c r="M21" t="s">
        <v>358</v>
      </c>
      <c r="O21" t="s">
        <v>283</v>
      </c>
      <c r="P21" t="s">
        <v>150</v>
      </c>
      <c r="Q21" t="s">
        <v>10</v>
      </c>
    </row>
    <row r="22" spans="1:17" x14ac:dyDescent="0.3">
      <c r="A22">
        <v>20</v>
      </c>
      <c r="C22" t="s">
        <v>20</v>
      </c>
      <c r="D22" t="s">
        <v>151</v>
      </c>
      <c r="E22" t="s">
        <v>9</v>
      </c>
      <c r="G22" t="s">
        <v>110</v>
      </c>
      <c r="H22" t="s">
        <v>239</v>
      </c>
      <c r="I22" t="s">
        <v>357</v>
      </c>
      <c r="K22" t="s">
        <v>76</v>
      </c>
      <c r="L22" t="s">
        <v>150</v>
      </c>
      <c r="M22" t="s">
        <v>358</v>
      </c>
      <c r="O22" t="s">
        <v>74</v>
      </c>
      <c r="P22" t="s">
        <v>154</v>
      </c>
      <c r="Q22" t="s">
        <v>10</v>
      </c>
    </row>
    <row r="23" spans="1:17" x14ac:dyDescent="0.3">
      <c r="A23">
        <v>21</v>
      </c>
      <c r="C23" t="s">
        <v>117</v>
      </c>
      <c r="D23" t="s">
        <v>160</v>
      </c>
      <c r="E23" t="s">
        <v>9</v>
      </c>
      <c r="G23" t="s">
        <v>48</v>
      </c>
      <c r="H23" t="s">
        <v>146</v>
      </c>
      <c r="I23" t="s">
        <v>357</v>
      </c>
      <c r="K23" t="s">
        <v>584</v>
      </c>
      <c r="L23" t="s">
        <v>138</v>
      </c>
      <c r="M23" t="s">
        <v>358</v>
      </c>
      <c r="O23" t="s">
        <v>251</v>
      </c>
      <c r="P23" t="s">
        <v>147</v>
      </c>
      <c r="Q23" t="s">
        <v>10</v>
      </c>
    </row>
    <row r="24" spans="1:17" x14ac:dyDescent="0.3">
      <c r="A24">
        <v>22</v>
      </c>
      <c r="C24" t="s">
        <v>276</v>
      </c>
      <c r="D24" t="s">
        <v>161</v>
      </c>
      <c r="E24" t="s">
        <v>9</v>
      </c>
      <c r="G24" t="s">
        <v>610</v>
      </c>
      <c r="H24" t="s">
        <v>698</v>
      </c>
      <c r="I24" t="s">
        <v>357</v>
      </c>
      <c r="K24" t="s">
        <v>18</v>
      </c>
      <c r="L24" t="s">
        <v>154</v>
      </c>
      <c r="M24" t="s">
        <v>358</v>
      </c>
      <c r="O24" t="s">
        <v>113</v>
      </c>
      <c r="P24" t="s">
        <v>698</v>
      </c>
      <c r="Q24" t="s">
        <v>10</v>
      </c>
    </row>
    <row r="25" spans="1:17" x14ac:dyDescent="0.3">
      <c r="A25">
        <v>23</v>
      </c>
      <c r="C25" t="s">
        <v>102</v>
      </c>
      <c r="D25" t="s">
        <v>691</v>
      </c>
      <c r="E25" t="s">
        <v>9</v>
      </c>
      <c r="G25" t="s">
        <v>33</v>
      </c>
      <c r="H25" t="s">
        <v>142</v>
      </c>
      <c r="I25" t="s">
        <v>357</v>
      </c>
      <c r="K25" t="s">
        <v>322</v>
      </c>
      <c r="L25" t="s">
        <v>139</v>
      </c>
      <c r="M25" t="s">
        <v>358</v>
      </c>
      <c r="O25" t="s">
        <v>231</v>
      </c>
      <c r="P25" t="s">
        <v>691</v>
      </c>
      <c r="Q25" t="s">
        <v>10</v>
      </c>
    </row>
    <row r="26" spans="1:17" x14ac:dyDescent="0.3">
      <c r="A26">
        <v>24</v>
      </c>
      <c r="C26" t="s">
        <v>80</v>
      </c>
      <c r="D26" t="s">
        <v>148</v>
      </c>
      <c r="E26" t="s">
        <v>9</v>
      </c>
      <c r="G26" t="s">
        <v>319</v>
      </c>
      <c r="H26" t="s">
        <v>166</v>
      </c>
      <c r="I26" t="s">
        <v>357</v>
      </c>
      <c r="K26" t="s">
        <v>99</v>
      </c>
      <c r="L26" t="s">
        <v>153</v>
      </c>
      <c r="M26" t="s">
        <v>358</v>
      </c>
      <c r="O26" t="s">
        <v>75</v>
      </c>
      <c r="P26" t="s">
        <v>155</v>
      </c>
      <c r="Q26" t="s">
        <v>10</v>
      </c>
    </row>
    <row r="27" spans="1:17" x14ac:dyDescent="0.3">
      <c r="A27">
        <v>25</v>
      </c>
      <c r="C27" t="s">
        <v>275</v>
      </c>
      <c r="D27" t="s">
        <v>159</v>
      </c>
      <c r="E27" t="s">
        <v>9</v>
      </c>
      <c r="G27" t="s">
        <v>125</v>
      </c>
      <c r="H27" t="s">
        <v>158</v>
      </c>
      <c r="I27" t="s">
        <v>357</v>
      </c>
      <c r="K27" t="s">
        <v>85</v>
      </c>
      <c r="L27" t="s">
        <v>691</v>
      </c>
      <c r="M27" t="s">
        <v>358</v>
      </c>
      <c r="O27" t="s">
        <v>27</v>
      </c>
      <c r="P27" t="s">
        <v>144</v>
      </c>
      <c r="Q27" t="s">
        <v>10</v>
      </c>
    </row>
    <row r="28" spans="1:17" x14ac:dyDescent="0.3">
      <c r="A28">
        <v>26</v>
      </c>
      <c r="C28" t="s">
        <v>274</v>
      </c>
      <c r="D28" t="s">
        <v>158</v>
      </c>
      <c r="E28" t="s">
        <v>9</v>
      </c>
      <c r="G28" t="s">
        <v>844</v>
      </c>
      <c r="H28" t="s">
        <v>165</v>
      </c>
      <c r="I28" t="s">
        <v>357</v>
      </c>
      <c r="K28" t="s">
        <v>51</v>
      </c>
      <c r="L28" t="s">
        <v>147</v>
      </c>
      <c r="M28" t="s">
        <v>358</v>
      </c>
      <c r="O28" t="s">
        <v>152</v>
      </c>
      <c r="P28" t="s">
        <v>151</v>
      </c>
      <c r="Q28" t="s">
        <v>10</v>
      </c>
    </row>
    <row r="29" spans="1:17" x14ac:dyDescent="0.3">
      <c r="A29">
        <v>27</v>
      </c>
      <c r="C29" t="s">
        <v>61</v>
      </c>
      <c r="D29" t="s">
        <v>145</v>
      </c>
      <c r="E29" t="s">
        <v>9</v>
      </c>
      <c r="G29" s="227" t="s">
        <v>842</v>
      </c>
      <c r="H29" t="s">
        <v>149</v>
      </c>
      <c r="I29" t="s">
        <v>357</v>
      </c>
      <c r="K29" t="s">
        <v>246</v>
      </c>
      <c r="L29" t="s">
        <v>140</v>
      </c>
      <c r="M29" t="s">
        <v>358</v>
      </c>
      <c r="O29" t="s">
        <v>259</v>
      </c>
      <c r="P29" t="s">
        <v>149</v>
      </c>
      <c r="Q29" t="s">
        <v>10</v>
      </c>
    </row>
    <row r="30" spans="1:17" x14ac:dyDescent="0.3">
      <c r="A30">
        <v>28</v>
      </c>
      <c r="C30" t="s">
        <v>267</v>
      </c>
      <c r="D30" t="s">
        <v>150</v>
      </c>
      <c r="E30" t="s">
        <v>9</v>
      </c>
      <c r="G30" t="s">
        <v>212</v>
      </c>
      <c r="H30" t="s">
        <v>153</v>
      </c>
      <c r="I30" t="s">
        <v>357</v>
      </c>
      <c r="K30" t="s">
        <v>345</v>
      </c>
      <c r="L30" t="s">
        <v>161</v>
      </c>
      <c r="M30" t="s">
        <v>358</v>
      </c>
      <c r="O30" t="s">
        <v>21</v>
      </c>
      <c r="P30" t="s">
        <v>168</v>
      </c>
      <c r="Q30" t="s">
        <v>10</v>
      </c>
    </row>
    <row r="31" spans="1:17" x14ac:dyDescent="0.3">
      <c r="A31">
        <v>29</v>
      </c>
      <c r="C31" t="s">
        <v>630</v>
      </c>
      <c r="D31" t="s">
        <v>164</v>
      </c>
      <c r="E31" t="s">
        <v>9</v>
      </c>
      <c r="G31" t="s">
        <v>134</v>
      </c>
      <c r="H31" t="s">
        <v>156</v>
      </c>
      <c r="I31" t="s">
        <v>357</v>
      </c>
      <c r="K31" t="s">
        <v>326</v>
      </c>
      <c r="L31" t="s">
        <v>142</v>
      </c>
      <c r="M31" t="s">
        <v>358</v>
      </c>
      <c r="O31" t="s">
        <v>35</v>
      </c>
      <c r="P31" t="s">
        <v>161</v>
      </c>
      <c r="Q31" t="s">
        <v>10</v>
      </c>
    </row>
    <row r="32" spans="1:17" x14ac:dyDescent="0.3">
      <c r="A32">
        <v>30</v>
      </c>
      <c r="C32" t="s">
        <v>272</v>
      </c>
      <c r="D32" t="s">
        <v>138</v>
      </c>
      <c r="E32" t="s">
        <v>9</v>
      </c>
      <c r="G32" t="s">
        <v>30</v>
      </c>
      <c r="H32" t="s">
        <v>140</v>
      </c>
      <c r="I32" t="s">
        <v>357</v>
      </c>
      <c r="K32" t="s">
        <v>206</v>
      </c>
      <c r="L32" t="s">
        <v>147</v>
      </c>
      <c r="M32" t="s">
        <v>358</v>
      </c>
      <c r="O32" t="s">
        <v>197</v>
      </c>
      <c r="P32" t="s">
        <v>698</v>
      </c>
      <c r="Q32" t="s">
        <v>10</v>
      </c>
    </row>
    <row r="33" spans="1:17" x14ac:dyDescent="0.3">
      <c r="A33">
        <v>31</v>
      </c>
      <c r="C33" t="s">
        <v>111</v>
      </c>
      <c r="D33" t="s">
        <v>141</v>
      </c>
      <c r="E33" t="s">
        <v>9</v>
      </c>
      <c r="G33" t="s">
        <v>43</v>
      </c>
      <c r="H33" t="s">
        <v>145</v>
      </c>
      <c r="I33" t="s">
        <v>357</v>
      </c>
      <c r="K33" t="s">
        <v>332</v>
      </c>
      <c r="L33" t="s">
        <v>148</v>
      </c>
      <c r="M33" t="s">
        <v>358</v>
      </c>
      <c r="O33" t="s">
        <v>282</v>
      </c>
      <c r="P33" t="s">
        <v>141</v>
      </c>
      <c r="Q33" t="s">
        <v>10</v>
      </c>
    </row>
    <row r="34" spans="1:17" x14ac:dyDescent="0.3">
      <c r="A34">
        <v>32</v>
      </c>
      <c r="C34" t="s">
        <v>205</v>
      </c>
      <c r="D34" t="s">
        <v>165</v>
      </c>
      <c r="E34" t="s">
        <v>9</v>
      </c>
      <c r="G34" t="s">
        <v>49</v>
      </c>
      <c r="H34" t="s">
        <v>146</v>
      </c>
      <c r="I34" t="s">
        <v>357</v>
      </c>
      <c r="K34" t="s">
        <v>93</v>
      </c>
      <c r="L34" t="s">
        <v>167</v>
      </c>
      <c r="M34" t="s">
        <v>358</v>
      </c>
      <c r="O34" t="s">
        <v>220</v>
      </c>
      <c r="P34" t="s">
        <v>159</v>
      </c>
      <c r="Q34" t="s">
        <v>10</v>
      </c>
    </row>
    <row r="35" spans="1:17" x14ac:dyDescent="0.3">
      <c r="A35">
        <v>33</v>
      </c>
      <c r="C35" t="s">
        <v>175</v>
      </c>
      <c r="D35" t="s">
        <v>145</v>
      </c>
      <c r="E35" t="s">
        <v>9</v>
      </c>
      <c r="G35" t="s">
        <v>103</v>
      </c>
      <c r="H35" t="s">
        <v>163</v>
      </c>
      <c r="I35" t="s">
        <v>357</v>
      </c>
      <c r="K35" t="s">
        <v>244</v>
      </c>
      <c r="L35" t="s">
        <v>137</v>
      </c>
      <c r="M35" t="s">
        <v>358</v>
      </c>
      <c r="O35" t="s">
        <v>579</v>
      </c>
      <c r="P35" t="s">
        <v>160</v>
      </c>
      <c r="Q35" t="s">
        <v>10</v>
      </c>
    </row>
    <row r="36" spans="1:17" x14ac:dyDescent="0.3">
      <c r="A36">
        <v>34</v>
      </c>
      <c r="C36" t="s">
        <v>677</v>
      </c>
      <c r="D36" t="s">
        <v>138</v>
      </c>
      <c r="E36" t="s">
        <v>9</v>
      </c>
      <c r="G36" t="s">
        <v>737</v>
      </c>
      <c r="H36" t="s">
        <v>147</v>
      </c>
      <c r="I36" t="s">
        <v>357</v>
      </c>
      <c r="K36" t="s">
        <v>77</v>
      </c>
      <c r="L36" t="s">
        <v>168</v>
      </c>
      <c r="M36" t="s">
        <v>358</v>
      </c>
      <c r="O36" t="s">
        <v>89</v>
      </c>
      <c r="P36" t="s">
        <v>158</v>
      </c>
      <c r="Q36" t="s">
        <v>10</v>
      </c>
    </row>
    <row r="37" spans="1:17" x14ac:dyDescent="0.3">
      <c r="A37">
        <v>35</v>
      </c>
      <c r="C37" t="s">
        <v>277</v>
      </c>
      <c r="D37" t="s">
        <v>165</v>
      </c>
      <c r="E37" t="s">
        <v>9</v>
      </c>
      <c r="G37" t="s">
        <v>96</v>
      </c>
      <c r="H37" t="s">
        <v>165</v>
      </c>
      <c r="I37" t="s">
        <v>357</v>
      </c>
      <c r="K37" t="s">
        <v>346</v>
      </c>
      <c r="L37" t="s">
        <v>163</v>
      </c>
      <c r="M37" t="s">
        <v>358</v>
      </c>
      <c r="O37" t="s">
        <v>297</v>
      </c>
      <c r="P37" t="s">
        <v>168</v>
      </c>
      <c r="Q37" t="s">
        <v>10</v>
      </c>
    </row>
    <row r="38" spans="1:17" x14ac:dyDescent="0.3">
      <c r="A38">
        <v>36</v>
      </c>
      <c r="C38" t="s">
        <v>32</v>
      </c>
      <c r="D38" t="s">
        <v>164</v>
      </c>
      <c r="E38" t="s">
        <v>9</v>
      </c>
      <c r="G38" t="s">
        <v>34</v>
      </c>
      <c r="H38" t="s">
        <v>138</v>
      </c>
      <c r="I38" t="s">
        <v>357</v>
      </c>
      <c r="K38" t="s">
        <v>97</v>
      </c>
      <c r="L38" t="s">
        <v>165</v>
      </c>
      <c r="M38" t="s">
        <v>358</v>
      </c>
      <c r="O38" t="s">
        <v>661</v>
      </c>
      <c r="P38" t="s">
        <v>167</v>
      </c>
      <c r="Q38" t="s">
        <v>10</v>
      </c>
    </row>
    <row r="39" spans="1:17" x14ac:dyDescent="0.3">
      <c r="A39">
        <v>37</v>
      </c>
      <c r="C39" t="s">
        <v>675</v>
      </c>
      <c r="D39" t="s">
        <v>141</v>
      </c>
      <c r="E39" t="s">
        <v>9</v>
      </c>
      <c r="G39" t="s">
        <v>63</v>
      </c>
      <c r="H39" t="s">
        <v>151</v>
      </c>
      <c r="I39" t="s">
        <v>357</v>
      </c>
      <c r="K39" t="s">
        <v>162</v>
      </c>
      <c r="L39" t="s">
        <v>239</v>
      </c>
      <c r="M39" t="s">
        <v>358</v>
      </c>
      <c r="O39" t="s">
        <v>250</v>
      </c>
      <c r="P39" t="s">
        <v>145</v>
      </c>
      <c r="Q39" t="s">
        <v>10</v>
      </c>
    </row>
    <row r="40" spans="1:17" x14ac:dyDescent="0.3">
      <c r="A40">
        <v>38</v>
      </c>
      <c r="C40" t="s">
        <v>118</v>
      </c>
      <c r="D40" t="s">
        <v>159</v>
      </c>
      <c r="E40" t="s">
        <v>9</v>
      </c>
      <c r="G40" t="s">
        <v>23</v>
      </c>
      <c r="H40" t="s">
        <v>139</v>
      </c>
      <c r="I40" t="s">
        <v>357</v>
      </c>
      <c r="K40" t="s">
        <v>24</v>
      </c>
      <c r="L40" t="s">
        <v>137</v>
      </c>
      <c r="M40" t="s">
        <v>358</v>
      </c>
      <c r="O40" t="s">
        <v>90</v>
      </c>
      <c r="P40" t="s">
        <v>140</v>
      </c>
      <c r="Q40" t="s">
        <v>10</v>
      </c>
    </row>
    <row r="41" spans="1:17" x14ac:dyDescent="0.3">
      <c r="A41">
        <v>39</v>
      </c>
      <c r="C41" t="s">
        <v>695</v>
      </c>
      <c r="D41" t="s">
        <v>160</v>
      </c>
      <c r="E41" t="s">
        <v>9</v>
      </c>
      <c r="G41" t="s">
        <v>311</v>
      </c>
      <c r="H41" t="s">
        <v>158</v>
      </c>
      <c r="I41" t="s">
        <v>357</v>
      </c>
      <c r="K41" t="s">
        <v>207</v>
      </c>
      <c r="L41" t="s">
        <v>149</v>
      </c>
      <c r="M41" t="s">
        <v>358</v>
      </c>
      <c r="O41" t="s">
        <v>616</v>
      </c>
      <c r="P41" t="s">
        <v>154</v>
      </c>
      <c r="Q41" t="s">
        <v>10</v>
      </c>
    </row>
    <row r="42" spans="1:17" x14ac:dyDescent="0.3">
      <c r="A42">
        <v>40</v>
      </c>
      <c r="C42" t="s">
        <v>566</v>
      </c>
      <c r="D42" t="s">
        <v>163</v>
      </c>
      <c r="E42" t="s">
        <v>9</v>
      </c>
      <c r="G42" t="s">
        <v>645</v>
      </c>
      <c r="H42" t="s">
        <v>150</v>
      </c>
      <c r="I42" t="s">
        <v>357</v>
      </c>
      <c r="K42" t="s">
        <v>632</v>
      </c>
      <c r="L42" t="s">
        <v>161</v>
      </c>
      <c r="M42" t="s">
        <v>358</v>
      </c>
      <c r="O42" t="s">
        <v>816</v>
      </c>
      <c r="P42" t="s">
        <v>137</v>
      </c>
      <c r="Q42" t="s">
        <v>10</v>
      </c>
    </row>
    <row r="43" spans="1:17" x14ac:dyDescent="0.3">
      <c r="A43">
        <v>41</v>
      </c>
      <c r="C43" t="s">
        <v>271</v>
      </c>
      <c r="D43" t="s">
        <v>155</v>
      </c>
      <c r="E43" t="s">
        <v>9</v>
      </c>
      <c r="G43" t="s">
        <v>613</v>
      </c>
      <c r="H43" t="s">
        <v>153</v>
      </c>
      <c r="I43" t="s">
        <v>357</v>
      </c>
      <c r="K43" t="s">
        <v>132</v>
      </c>
      <c r="L43" t="s">
        <v>698</v>
      </c>
      <c r="M43" t="s">
        <v>358</v>
      </c>
      <c r="O43" t="s">
        <v>210</v>
      </c>
      <c r="P43" t="s">
        <v>160</v>
      </c>
      <c r="Q43" t="s">
        <v>10</v>
      </c>
    </row>
    <row r="44" spans="1:17" x14ac:dyDescent="0.3">
      <c r="A44">
        <v>42</v>
      </c>
      <c r="C44" t="s">
        <v>586</v>
      </c>
      <c r="D44" t="s">
        <v>139</v>
      </c>
      <c r="E44" t="s">
        <v>9</v>
      </c>
      <c r="G44" t="s">
        <v>676</v>
      </c>
      <c r="H44" t="s">
        <v>140</v>
      </c>
      <c r="I44" t="s">
        <v>357</v>
      </c>
      <c r="K44" t="s">
        <v>602</v>
      </c>
      <c r="L44" t="s">
        <v>148</v>
      </c>
      <c r="M44" t="s">
        <v>358</v>
      </c>
      <c r="O44" t="s">
        <v>671</v>
      </c>
      <c r="P44" t="s">
        <v>147</v>
      </c>
      <c r="Q44" t="s">
        <v>10</v>
      </c>
    </row>
    <row r="45" spans="1:17" x14ac:dyDescent="0.3">
      <c r="A45">
        <v>43</v>
      </c>
      <c r="C45" t="s">
        <v>605</v>
      </c>
      <c r="D45" t="s">
        <v>150</v>
      </c>
      <c r="E45" t="s">
        <v>9</v>
      </c>
      <c r="G45" t="s">
        <v>638</v>
      </c>
      <c r="H45" t="s">
        <v>138</v>
      </c>
      <c r="I45" t="s">
        <v>357</v>
      </c>
      <c r="K45" t="s">
        <v>625</v>
      </c>
      <c r="L45" t="s">
        <v>168</v>
      </c>
      <c r="M45" t="s">
        <v>358</v>
      </c>
      <c r="O45" t="s">
        <v>678</v>
      </c>
      <c r="P45" t="s">
        <v>160</v>
      </c>
      <c r="Q45" t="s">
        <v>10</v>
      </c>
    </row>
    <row r="46" spans="1:17" x14ac:dyDescent="0.3">
      <c r="A46">
        <v>44</v>
      </c>
      <c r="C46" t="s">
        <v>567</v>
      </c>
      <c r="D46" t="s">
        <v>146</v>
      </c>
      <c r="E46" t="s">
        <v>9</v>
      </c>
      <c r="G46" t="s">
        <v>718</v>
      </c>
      <c r="H46" t="s">
        <v>163</v>
      </c>
      <c r="I46" t="s">
        <v>357</v>
      </c>
      <c r="K46" t="s">
        <v>195</v>
      </c>
      <c r="L46" t="s">
        <v>167</v>
      </c>
      <c r="M46" t="s">
        <v>358</v>
      </c>
      <c r="O46" t="s">
        <v>188</v>
      </c>
      <c r="P46" t="s">
        <v>138</v>
      </c>
      <c r="Q46" t="s">
        <v>10</v>
      </c>
    </row>
    <row r="47" spans="1:17" x14ac:dyDescent="0.3">
      <c r="A47">
        <v>45</v>
      </c>
      <c r="C47" t="s">
        <v>199</v>
      </c>
      <c r="D47" t="s">
        <v>156</v>
      </c>
      <c r="E47" t="s">
        <v>9</v>
      </c>
      <c r="G47" t="s">
        <v>301</v>
      </c>
      <c r="H47" t="s">
        <v>142</v>
      </c>
      <c r="I47" t="s">
        <v>357</v>
      </c>
      <c r="K47" t="s">
        <v>46</v>
      </c>
      <c r="L47" t="s">
        <v>146</v>
      </c>
      <c r="M47" t="s">
        <v>358</v>
      </c>
      <c r="O47" t="s">
        <v>788</v>
      </c>
      <c r="P47" t="s">
        <v>161</v>
      </c>
      <c r="Q47" t="s">
        <v>10</v>
      </c>
    </row>
    <row r="48" spans="1:17" x14ac:dyDescent="0.3">
      <c r="A48">
        <v>46</v>
      </c>
      <c r="C48" t="s">
        <v>660</v>
      </c>
      <c r="D48" t="s">
        <v>168</v>
      </c>
      <c r="E48" t="s">
        <v>9</v>
      </c>
      <c r="G48" t="s">
        <v>260</v>
      </c>
      <c r="H48" t="s">
        <v>698</v>
      </c>
      <c r="I48" t="s">
        <v>357</v>
      </c>
      <c r="K48" t="s">
        <v>130</v>
      </c>
      <c r="L48" t="s">
        <v>157</v>
      </c>
      <c r="M48" t="s">
        <v>358</v>
      </c>
      <c r="O48" t="s">
        <v>109</v>
      </c>
      <c r="P48" t="s">
        <v>239</v>
      </c>
      <c r="Q48" t="s">
        <v>10</v>
      </c>
    </row>
    <row r="49" spans="1:17" x14ac:dyDescent="0.3">
      <c r="A49">
        <v>47</v>
      </c>
      <c r="C49" t="s">
        <v>590</v>
      </c>
      <c r="D49" t="s">
        <v>142</v>
      </c>
      <c r="E49" t="s">
        <v>9</v>
      </c>
      <c r="G49" t="s">
        <v>647</v>
      </c>
      <c r="H49" t="s">
        <v>154</v>
      </c>
      <c r="I49" t="s">
        <v>357</v>
      </c>
      <c r="K49" t="s">
        <v>226</v>
      </c>
      <c r="L49" t="s">
        <v>166</v>
      </c>
      <c r="M49" t="s">
        <v>358</v>
      </c>
      <c r="O49" t="s">
        <v>284</v>
      </c>
      <c r="P49" t="s">
        <v>150</v>
      </c>
      <c r="Q49" t="s">
        <v>10</v>
      </c>
    </row>
    <row r="50" spans="1:17" x14ac:dyDescent="0.3">
      <c r="A50">
        <v>48</v>
      </c>
      <c r="C50" t="s">
        <v>11</v>
      </c>
      <c r="D50" t="s">
        <v>166</v>
      </c>
      <c r="E50" t="s">
        <v>9</v>
      </c>
      <c r="G50" t="s">
        <v>261</v>
      </c>
      <c r="H50" t="s">
        <v>691</v>
      </c>
      <c r="I50" t="s">
        <v>357</v>
      </c>
      <c r="K50" t="s">
        <v>120</v>
      </c>
      <c r="L50" t="s">
        <v>159</v>
      </c>
      <c r="M50" t="s">
        <v>358</v>
      </c>
      <c r="O50" t="s">
        <v>298</v>
      </c>
      <c r="P50" t="s">
        <v>691</v>
      </c>
      <c r="Q50" t="s">
        <v>10</v>
      </c>
    </row>
    <row r="51" spans="1:17" x14ac:dyDescent="0.3">
      <c r="A51">
        <v>49</v>
      </c>
      <c r="C51" t="s">
        <v>574</v>
      </c>
      <c r="D51" t="s">
        <v>161</v>
      </c>
      <c r="E51" t="s">
        <v>9</v>
      </c>
      <c r="G51" t="s">
        <v>129</v>
      </c>
      <c r="H51" t="s">
        <v>157</v>
      </c>
      <c r="I51" t="s">
        <v>357</v>
      </c>
      <c r="K51" t="s">
        <v>670</v>
      </c>
      <c r="L51" t="s">
        <v>149</v>
      </c>
      <c r="M51" t="s">
        <v>358</v>
      </c>
      <c r="O51" t="s">
        <v>285</v>
      </c>
      <c r="P51" t="s">
        <v>151</v>
      </c>
      <c r="Q51" t="s">
        <v>10</v>
      </c>
    </row>
    <row r="52" spans="1:17" x14ac:dyDescent="0.3">
      <c r="A52">
        <v>50</v>
      </c>
      <c r="C52" t="s">
        <v>279</v>
      </c>
      <c r="D52" t="s">
        <v>691</v>
      </c>
      <c r="E52" t="s">
        <v>9</v>
      </c>
      <c r="G52" t="s">
        <v>313</v>
      </c>
      <c r="H52" t="s">
        <v>161</v>
      </c>
      <c r="I52" t="s">
        <v>357</v>
      </c>
      <c r="K52" t="s">
        <v>52</v>
      </c>
      <c r="L52" t="s">
        <v>147</v>
      </c>
      <c r="M52" t="s">
        <v>358</v>
      </c>
      <c r="O52" t="s">
        <v>7</v>
      </c>
      <c r="P52" t="s">
        <v>141</v>
      </c>
      <c r="Q52" t="s">
        <v>10</v>
      </c>
    </row>
    <row r="53" spans="1:17" x14ac:dyDescent="0.3">
      <c r="A53">
        <v>51</v>
      </c>
      <c r="C53" t="s">
        <v>41</v>
      </c>
      <c r="D53" t="s">
        <v>159</v>
      </c>
      <c r="E53" t="s">
        <v>9</v>
      </c>
      <c r="G53" t="s">
        <v>634</v>
      </c>
      <c r="H53" t="s">
        <v>159</v>
      </c>
      <c r="I53" t="s">
        <v>357</v>
      </c>
      <c r="K53" t="s">
        <v>344</v>
      </c>
      <c r="L53" t="s">
        <v>160</v>
      </c>
      <c r="M53" t="s">
        <v>358</v>
      </c>
      <c r="O53" t="s">
        <v>668</v>
      </c>
      <c r="P53" t="s">
        <v>151</v>
      </c>
      <c r="Q53" t="s">
        <v>10</v>
      </c>
    </row>
    <row r="54" spans="1:17" x14ac:dyDescent="0.3">
      <c r="A54">
        <v>52</v>
      </c>
      <c r="C54" t="s">
        <v>263</v>
      </c>
      <c r="D54" t="s">
        <v>137</v>
      </c>
      <c r="E54" t="s">
        <v>9</v>
      </c>
      <c r="G54" t="s">
        <v>243</v>
      </c>
      <c r="H54" t="s">
        <v>148</v>
      </c>
      <c r="I54" t="s">
        <v>357</v>
      </c>
      <c r="K54" t="s">
        <v>762</v>
      </c>
      <c r="L54" t="s">
        <v>159</v>
      </c>
      <c r="M54" t="s">
        <v>358</v>
      </c>
      <c r="O54" t="s">
        <v>98</v>
      </c>
      <c r="P54" t="s">
        <v>165</v>
      </c>
      <c r="Q54" t="s">
        <v>10</v>
      </c>
    </row>
    <row r="55" spans="1:17" x14ac:dyDescent="0.3">
      <c r="A55">
        <v>53</v>
      </c>
      <c r="C55" t="s">
        <v>601</v>
      </c>
      <c r="D55" t="s">
        <v>148</v>
      </c>
      <c r="E55" t="s">
        <v>9</v>
      </c>
      <c r="G55" t="s">
        <v>662</v>
      </c>
      <c r="H55" t="s">
        <v>167</v>
      </c>
      <c r="I55" t="s">
        <v>357</v>
      </c>
      <c r="K55" t="s">
        <v>635</v>
      </c>
      <c r="L55" t="s">
        <v>159</v>
      </c>
      <c r="M55" t="s">
        <v>358</v>
      </c>
      <c r="O55" t="s">
        <v>28</v>
      </c>
      <c r="P55" t="s">
        <v>139</v>
      </c>
      <c r="Q55" t="s">
        <v>10</v>
      </c>
    </row>
    <row r="56" spans="1:17" x14ac:dyDescent="0.3">
      <c r="A56">
        <v>54</v>
      </c>
      <c r="C56" t="s">
        <v>699</v>
      </c>
      <c r="D56" t="s">
        <v>147</v>
      </c>
      <c r="E56" t="s">
        <v>9</v>
      </c>
      <c r="G56" t="s">
        <v>62</v>
      </c>
      <c r="H56" t="s">
        <v>150</v>
      </c>
      <c r="I56" t="s">
        <v>357</v>
      </c>
      <c r="K56" t="s">
        <v>38</v>
      </c>
      <c r="L56" t="s">
        <v>144</v>
      </c>
      <c r="M56" t="s">
        <v>358</v>
      </c>
      <c r="O56" t="s">
        <v>65</v>
      </c>
      <c r="P56" t="s">
        <v>142</v>
      </c>
      <c r="Q56" t="s">
        <v>10</v>
      </c>
    </row>
    <row r="57" spans="1:17" x14ac:dyDescent="0.3">
      <c r="A57">
        <v>55</v>
      </c>
      <c r="C57" t="s">
        <v>619</v>
      </c>
      <c r="D57" t="s">
        <v>239</v>
      </c>
      <c r="E57" t="s">
        <v>9</v>
      </c>
      <c r="G57" t="s">
        <v>184</v>
      </c>
      <c r="H57" t="s">
        <v>156</v>
      </c>
      <c r="I57" t="s">
        <v>357</v>
      </c>
      <c r="K57" t="s">
        <v>55</v>
      </c>
      <c r="L57" t="s">
        <v>160</v>
      </c>
      <c r="M57" t="s">
        <v>358</v>
      </c>
      <c r="O57" t="s">
        <v>603</v>
      </c>
      <c r="P57" t="s">
        <v>148</v>
      </c>
      <c r="Q57" t="s">
        <v>10</v>
      </c>
    </row>
    <row r="58" spans="1:17" x14ac:dyDescent="0.3">
      <c r="A58">
        <v>56</v>
      </c>
      <c r="C58" t="s">
        <v>637</v>
      </c>
      <c r="D58" t="s">
        <v>158</v>
      </c>
      <c r="E58" t="s">
        <v>9</v>
      </c>
      <c r="G58" t="s">
        <v>124</v>
      </c>
      <c r="H58" t="s">
        <v>158</v>
      </c>
      <c r="I58" t="s">
        <v>357</v>
      </c>
      <c r="K58" t="s">
        <v>666</v>
      </c>
      <c r="L58" t="s">
        <v>153</v>
      </c>
      <c r="M58" t="s">
        <v>358</v>
      </c>
      <c r="O58" t="s">
        <v>568</v>
      </c>
      <c r="P58" t="s">
        <v>149</v>
      </c>
      <c r="Q58" t="s">
        <v>10</v>
      </c>
    </row>
    <row r="59" spans="1:17" x14ac:dyDescent="0.3">
      <c r="A59">
        <v>57</v>
      </c>
      <c r="C59" t="s">
        <v>591</v>
      </c>
      <c r="D59" t="s">
        <v>151</v>
      </c>
      <c r="E59" t="s">
        <v>9</v>
      </c>
      <c r="G59" t="s">
        <v>727</v>
      </c>
      <c r="H59" t="s">
        <v>155</v>
      </c>
      <c r="I59" t="s">
        <v>357</v>
      </c>
      <c r="K59" t="s">
        <v>771</v>
      </c>
      <c r="L59" t="s">
        <v>698</v>
      </c>
      <c r="M59" t="s">
        <v>358</v>
      </c>
      <c r="O59" t="s">
        <v>291</v>
      </c>
      <c r="P59" t="s">
        <v>156</v>
      </c>
      <c r="Q59" t="s">
        <v>10</v>
      </c>
    </row>
    <row r="60" spans="1:17" x14ac:dyDescent="0.3">
      <c r="A60">
        <v>58</v>
      </c>
      <c r="C60" t="s">
        <v>208</v>
      </c>
      <c r="D60" t="s">
        <v>149</v>
      </c>
      <c r="E60" t="s">
        <v>9</v>
      </c>
      <c r="G60" t="s">
        <v>126</v>
      </c>
      <c r="H60" t="s">
        <v>150</v>
      </c>
      <c r="I60" t="s">
        <v>357</v>
      </c>
      <c r="K60" t="s">
        <v>667</v>
      </c>
      <c r="L60" t="s">
        <v>151</v>
      </c>
      <c r="M60" t="s">
        <v>358</v>
      </c>
      <c r="O60" t="s">
        <v>190</v>
      </c>
      <c r="P60" t="s">
        <v>137</v>
      </c>
      <c r="Q60" t="s">
        <v>10</v>
      </c>
    </row>
    <row r="61" spans="1:17" x14ac:dyDescent="0.3">
      <c r="A61">
        <v>59</v>
      </c>
      <c r="C61" t="s">
        <v>692</v>
      </c>
      <c r="D61" t="s">
        <v>167</v>
      </c>
      <c r="E61" t="s">
        <v>9</v>
      </c>
      <c r="G61" t="s">
        <v>817</v>
      </c>
      <c r="H61" t="s">
        <v>137</v>
      </c>
      <c r="I61" t="s">
        <v>357</v>
      </c>
      <c r="K61" t="s">
        <v>71</v>
      </c>
      <c r="L61" t="s">
        <v>153</v>
      </c>
      <c r="M61" t="s">
        <v>358</v>
      </c>
      <c r="O61" t="s">
        <v>36</v>
      </c>
      <c r="P61" t="s">
        <v>144</v>
      </c>
      <c r="Q61" t="s">
        <v>10</v>
      </c>
    </row>
    <row r="62" spans="1:17" x14ac:dyDescent="0.3">
      <c r="A62">
        <v>60</v>
      </c>
      <c r="C62" t="s">
        <v>266</v>
      </c>
      <c r="D62" t="s">
        <v>140</v>
      </c>
      <c r="E62" t="s">
        <v>9</v>
      </c>
      <c r="G62" t="s">
        <v>300</v>
      </c>
      <c r="H62" t="s">
        <v>138</v>
      </c>
      <c r="I62" t="s">
        <v>357</v>
      </c>
      <c r="K62" t="s">
        <v>225</v>
      </c>
      <c r="L62" t="s">
        <v>164</v>
      </c>
      <c r="M62" t="s">
        <v>358</v>
      </c>
      <c r="O62" t="s">
        <v>209</v>
      </c>
      <c r="P62" t="s">
        <v>149</v>
      </c>
      <c r="Q62" t="s">
        <v>10</v>
      </c>
    </row>
    <row r="63" spans="1:17" x14ac:dyDescent="0.3">
      <c r="A63">
        <v>61</v>
      </c>
      <c r="C63" t="s">
        <v>693</v>
      </c>
      <c r="D63" t="s">
        <v>164</v>
      </c>
      <c r="E63" t="s">
        <v>9</v>
      </c>
      <c r="G63" t="s">
        <v>303</v>
      </c>
      <c r="H63" t="s">
        <v>144</v>
      </c>
      <c r="I63" t="s">
        <v>357</v>
      </c>
      <c r="K63" t="s">
        <v>821</v>
      </c>
      <c r="L63" t="s">
        <v>141</v>
      </c>
      <c r="M63" t="s">
        <v>358</v>
      </c>
      <c r="O63" t="s">
        <v>580</v>
      </c>
      <c r="P63" t="s">
        <v>142</v>
      </c>
      <c r="Q63" t="s">
        <v>10</v>
      </c>
    </row>
    <row r="64" spans="1:17" x14ac:dyDescent="0.3">
      <c r="A64">
        <v>62</v>
      </c>
      <c r="C64" t="s">
        <v>270</v>
      </c>
      <c r="D64" t="s">
        <v>154</v>
      </c>
      <c r="E64" t="s">
        <v>9</v>
      </c>
      <c r="G64" t="s">
        <v>81</v>
      </c>
      <c r="H64" t="s">
        <v>239</v>
      </c>
      <c r="I64" t="s">
        <v>357</v>
      </c>
      <c r="K64" t="s">
        <v>623</v>
      </c>
      <c r="L64" t="s">
        <v>691</v>
      </c>
      <c r="M64" t="s">
        <v>358</v>
      </c>
      <c r="O64" t="s">
        <v>232</v>
      </c>
      <c r="P64" t="s">
        <v>155</v>
      </c>
      <c r="Q64" t="s">
        <v>10</v>
      </c>
    </row>
    <row r="65" spans="1:17" x14ac:dyDescent="0.3">
      <c r="A65">
        <v>63</v>
      </c>
      <c r="C65" t="s">
        <v>269</v>
      </c>
      <c r="D65" t="s">
        <v>153</v>
      </c>
      <c r="E65" t="s">
        <v>9</v>
      </c>
      <c r="G65" t="s">
        <v>648</v>
      </c>
      <c r="H65" t="s">
        <v>239</v>
      </c>
      <c r="I65" t="s">
        <v>357</v>
      </c>
      <c r="K65" t="s">
        <v>185</v>
      </c>
      <c r="L65" t="s">
        <v>158</v>
      </c>
      <c r="M65" t="s">
        <v>358</v>
      </c>
      <c r="O65" t="s">
        <v>292</v>
      </c>
      <c r="P65" t="s">
        <v>159</v>
      </c>
      <c r="Q65" t="s">
        <v>10</v>
      </c>
    </row>
    <row r="66" spans="1:17" x14ac:dyDescent="0.3">
      <c r="A66">
        <v>64</v>
      </c>
      <c r="C66" t="s">
        <v>265</v>
      </c>
      <c r="D66" t="s">
        <v>144</v>
      </c>
      <c r="E66" t="s">
        <v>9</v>
      </c>
      <c r="G66" t="s">
        <v>589</v>
      </c>
      <c r="H66" t="s">
        <v>141</v>
      </c>
      <c r="I66" t="s">
        <v>357</v>
      </c>
      <c r="K66" t="s">
        <v>653</v>
      </c>
      <c r="L66" t="s">
        <v>164</v>
      </c>
      <c r="M66" t="s">
        <v>358</v>
      </c>
      <c r="O66" t="s">
        <v>287</v>
      </c>
      <c r="P66" t="s">
        <v>153</v>
      </c>
      <c r="Q66" t="s">
        <v>10</v>
      </c>
    </row>
    <row r="67" spans="1:17" x14ac:dyDescent="0.3">
      <c r="A67">
        <v>65</v>
      </c>
      <c r="C67" t="s">
        <v>273</v>
      </c>
      <c r="D67" t="s">
        <v>157</v>
      </c>
      <c r="E67" t="s">
        <v>9</v>
      </c>
      <c r="G67" t="s">
        <v>13</v>
      </c>
      <c r="H67" t="s">
        <v>160</v>
      </c>
      <c r="I67" t="s">
        <v>357</v>
      </c>
      <c r="K67" t="s">
        <v>214</v>
      </c>
      <c r="L67" t="s">
        <v>155</v>
      </c>
      <c r="M67" t="s">
        <v>358</v>
      </c>
      <c r="O67" t="s">
        <v>288</v>
      </c>
      <c r="P67" t="s">
        <v>154</v>
      </c>
      <c r="Q67" t="s">
        <v>10</v>
      </c>
    </row>
    <row r="68" spans="1:17" x14ac:dyDescent="0.3">
      <c r="A68">
        <v>66</v>
      </c>
      <c r="C68" t="s">
        <v>569</v>
      </c>
      <c r="D68" t="s">
        <v>698</v>
      </c>
      <c r="E68" t="s">
        <v>9</v>
      </c>
      <c r="G68" t="s">
        <v>223</v>
      </c>
      <c r="H68" t="s">
        <v>163</v>
      </c>
      <c r="I68" t="s">
        <v>357</v>
      </c>
      <c r="K68" t="s">
        <v>321</v>
      </c>
      <c r="L68" t="s">
        <v>137</v>
      </c>
      <c r="M68" t="s">
        <v>358</v>
      </c>
      <c r="O68" t="s">
        <v>289</v>
      </c>
      <c r="P68" t="s">
        <v>155</v>
      </c>
      <c r="Q68" t="s">
        <v>10</v>
      </c>
    </row>
    <row r="69" spans="1:17" x14ac:dyDescent="0.3">
      <c r="A69">
        <v>67</v>
      </c>
      <c r="G69" t="s">
        <v>657</v>
      </c>
      <c r="H69" t="s">
        <v>691</v>
      </c>
      <c r="I69" t="s">
        <v>357</v>
      </c>
      <c r="K69" t="s">
        <v>669</v>
      </c>
      <c r="L69" t="s">
        <v>150</v>
      </c>
      <c r="M69" t="s">
        <v>358</v>
      </c>
      <c r="O69" t="s">
        <v>631</v>
      </c>
      <c r="P69" t="s">
        <v>163</v>
      </c>
      <c r="Q69" t="s">
        <v>10</v>
      </c>
    </row>
    <row r="70" spans="1:17" x14ac:dyDescent="0.3">
      <c r="A70">
        <v>68</v>
      </c>
      <c r="G70" t="s">
        <v>659</v>
      </c>
      <c r="H70" t="s">
        <v>168</v>
      </c>
      <c r="I70" t="s">
        <v>357</v>
      </c>
      <c r="K70" t="s">
        <v>249</v>
      </c>
      <c r="L70" t="s">
        <v>142</v>
      </c>
      <c r="M70" t="s">
        <v>358</v>
      </c>
      <c r="O70" t="s">
        <v>252</v>
      </c>
      <c r="P70" t="s">
        <v>698</v>
      </c>
      <c r="Q70" t="s">
        <v>10</v>
      </c>
    </row>
    <row r="71" spans="1:17" x14ac:dyDescent="0.3">
      <c r="A71">
        <v>69</v>
      </c>
      <c r="G71" t="s">
        <v>624</v>
      </c>
      <c r="H71" t="s">
        <v>168</v>
      </c>
      <c r="I71" t="s">
        <v>357</v>
      </c>
      <c r="K71" t="s">
        <v>6</v>
      </c>
      <c r="L71" t="s">
        <v>691</v>
      </c>
      <c r="M71" t="s">
        <v>358</v>
      </c>
      <c r="O71" t="s">
        <v>811</v>
      </c>
      <c r="P71" t="s">
        <v>144</v>
      </c>
      <c r="Q71" t="s">
        <v>10</v>
      </c>
    </row>
    <row r="72" spans="1:17" x14ac:dyDescent="0.3">
      <c r="A72">
        <v>70</v>
      </c>
      <c r="G72" t="s">
        <v>620</v>
      </c>
      <c r="H72" t="s">
        <v>239</v>
      </c>
      <c r="I72" t="s">
        <v>357</v>
      </c>
      <c r="K72" t="s">
        <v>82</v>
      </c>
      <c r="L72" t="s">
        <v>158</v>
      </c>
      <c r="M72" t="s">
        <v>358</v>
      </c>
      <c r="O72" t="s">
        <v>294</v>
      </c>
      <c r="P72" t="s">
        <v>164</v>
      </c>
      <c r="Q72" t="s">
        <v>10</v>
      </c>
    </row>
    <row r="73" spans="1:17" x14ac:dyDescent="0.3">
      <c r="A73">
        <v>71</v>
      </c>
      <c r="G73" t="s">
        <v>40</v>
      </c>
      <c r="H73" t="s">
        <v>167</v>
      </c>
      <c r="I73" t="s">
        <v>357</v>
      </c>
      <c r="K73" t="s">
        <v>330</v>
      </c>
      <c r="L73" t="s">
        <v>156</v>
      </c>
      <c r="M73" t="s">
        <v>358</v>
      </c>
      <c r="O73" t="s">
        <v>286</v>
      </c>
      <c r="P73" t="s">
        <v>153</v>
      </c>
      <c r="Q73" t="s">
        <v>10</v>
      </c>
    </row>
    <row r="74" spans="1:17" x14ac:dyDescent="0.3">
      <c r="A74">
        <v>72</v>
      </c>
      <c r="G74" t="s">
        <v>724</v>
      </c>
      <c r="H74" t="s">
        <v>156</v>
      </c>
      <c r="I74" t="s">
        <v>357</v>
      </c>
      <c r="K74" t="s">
        <v>235</v>
      </c>
      <c r="L74" t="s">
        <v>145</v>
      </c>
      <c r="M74" t="s">
        <v>358</v>
      </c>
      <c r="O74" t="s">
        <v>639</v>
      </c>
      <c r="P74" t="s">
        <v>139</v>
      </c>
      <c r="Q74" t="s">
        <v>10</v>
      </c>
    </row>
    <row r="75" spans="1:17" x14ac:dyDescent="0.3">
      <c r="A75">
        <v>73</v>
      </c>
      <c r="G75" t="s">
        <v>302</v>
      </c>
      <c r="H75" t="s">
        <v>144</v>
      </c>
      <c r="I75" t="s">
        <v>357</v>
      </c>
      <c r="K75" t="s">
        <v>60</v>
      </c>
      <c r="L75" t="s">
        <v>153</v>
      </c>
      <c r="M75" t="s">
        <v>358</v>
      </c>
      <c r="O75" t="s">
        <v>652</v>
      </c>
      <c r="P75" t="s">
        <v>161</v>
      </c>
      <c r="Q75" t="s">
        <v>10</v>
      </c>
    </row>
    <row r="76" spans="1:17" x14ac:dyDescent="0.3">
      <c r="A76">
        <v>74</v>
      </c>
      <c r="G76" t="s">
        <v>664</v>
      </c>
      <c r="H76" t="s">
        <v>166</v>
      </c>
      <c r="I76" t="s">
        <v>357</v>
      </c>
      <c r="K76" t="s">
        <v>846</v>
      </c>
      <c r="L76" t="s">
        <v>148</v>
      </c>
      <c r="M76" t="s">
        <v>358</v>
      </c>
      <c r="O76" t="s">
        <v>808</v>
      </c>
      <c r="P76" t="s">
        <v>146</v>
      </c>
      <c r="Q76" t="s">
        <v>10</v>
      </c>
    </row>
    <row r="77" spans="1:17" x14ac:dyDescent="0.3">
      <c r="A77">
        <v>75</v>
      </c>
      <c r="G77" t="s">
        <v>299</v>
      </c>
      <c r="H77" t="s">
        <v>141</v>
      </c>
      <c r="I77" t="s">
        <v>357</v>
      </c>
      <c r="K77" t="s">
        <v>338</v>
      </c>
      <c r="L77" t="s">
        <v>154</v>
      </c>
      <c r="M77" t="s">
        <v>358</v>
      </c>
      <c r="O77" t="s">
        <v>622</v>
      </c>
      <c r="P77" t="s">
        <v>157</v>
      </c>
      <c r="Q77" t="s">
        <v>10</v>
      </c>
    </row>
    <row r="78" spans="1:17" x14ac:dyDescent="0.3">
      <c r="A78">
        <v>76</v>
      </c>
      <c r="G78" t="s">
        <v>751</v>
      </c>
      <c r="H78" t="s">
        <v>137</v>
      </c>
      <c r="I78" t="s">
        <v>357</v>
      </c>
      <c r="K78" t="s">
        <v>351</v>
      </c>
      <c r="L78" t="s">
        <v>168</v>
      </c>
      <c r="M78" t="s">
        <v>358</v>
      </c>
      <c r="O78" t="s">
        <v>227</v>
      </c>
      <c r="P78" t="s">
        <v>166</v>
      </c>
      <c r="Q78" t="s">
        <v>10</v>
      </c>
    </row>
    <row r="79" spans="1:17" x14ac:dyDescent="0.3">
      <c r="A79">
        <v>77</v>
      </c>
      <c r="G79" t="s">
        <v>241</v>
      </c>
      <c r="H79" t="s">
        <v>145</v>
      </c>
      <c r="I79" t="s">
        <v>357</v>
      </c>
      <c r="K79" t="s">
        <v>114</v>
      </c>
      <c r="L79" t="s">
        <v>160</v>
      </c>
      <c r="M79" t="s">
        <v>358</v>
      </c>
      <c r="O79" t="s">
        <v>779</v>
      </c>
      <c r="P79" t="s">
        <v>168</v>
      </c>
      <c r="Q79" t="s">
        <v>10</v>
      </c>
    </row>
    <row r="80" spans="1:17" x14ac:dyDescent="0.3">
      <c r="A80">
        <v>78</v>
      </c>
      <c r="G80" t="s">
        <v>318</v>
      </c>
      <c r="H80" t="s">
        <v>166</v>
      </c>
      <c r="I80" t="s">
        <v>357</v>
      </c>
      <c r="K80" t="s">
        <v>198</v>
      </c>
      <c r="L80" t="s">
        <v>139</v>
      </c>
      <c r="M80" t="s">
        <v>358</v>
      </c>
      <c r="O80" t="s">
        <v>793</v>
      </c>
      <c r="P80" t="s">
        <v>239</v>
      </c>
      <c r="Q80" t="s">
        <v>10</v>
      </c>
    </row>
    <row r="81" spans="1:17" x14ac:dyDescent="0.3">
      <c r="A81">
        <v>79</v>
      </c>
      <c r="G81" t="s">
        <v>565</v>
      </c>
      <c r="H81" t="s">
        <v>159</v>
      </c>
      <c r="I81" t="s">
        <v>357</v>
      </c>
      <c r="K81" t="s">
        <v>70</v>
      </c>
      <c r="L81" t="s">
        <v>149</v>
      </c>
      <c r="M81" t="s">
        <v>358</v>
      </c>
      <c r="O81" t="s">
        <v>575</v>
      </c>
      <c r="P81" t="s">
        <v>159</v>
      </c>
      <c r="Q81" t="s">
        <v>10</v>
      </c>
    </row>
    <row r="82" spans="1:17" x14ac:dyDescent="0.3">
      <c r="A82">
        <v>80</v>
      </c>
      <c r="G82" t="s">
        <v>236</v>
      </c>
      <c r="H82" t="s">
        <v>137</v>
      </c>
      <c r="I82" t="s">
        <v>357</v>
      </c>
      <c r="K82" t="s">
        <v>672</v>
      </c>
      <c r="L82" t="s">
        <v>146</v>
      </c>
      <c r="M82" t="s">
        <v>358</v>
      </c>
      <c r="O82" t="s">
        <v>786</v>
      </c>
      <c r="P82" t="s">
        <v>163</v>
      </c>
      <c r="Q82" t="s">
        <v>10</v>
      </c>
    </row>
    <row r="83" spans="1:17" x14ac:dyDescent="0.3">
      <c r="A83">
        <v>81</v>
      </c>
      <c r="G83" t="s">
        <v>665</v>
      </c>
      <c r="H83" t="s">
        <v>155</v>
      </c>
      <c r="I83" t="s">
        <v>357</v>
      </c>
      <c r="K83" t="s">
        <v>576</v>
      </c>
      <c r="L83" t="s">
        <v>157</v>
      </c>
      <c r="M83" t="s">
        <v>358</v>
      </c>
      <c r="O83" t="s">
        <v>597</v>
      </c>
      <c r="P83" t="s">
        <v>146</v>
      </c>
      <c r="Q83" t="s">
        <v>10</v>
      </c>
    </row>
    <row r="84" spans="1:17" x14ac:dyDescent="0.3">
      <c r="A84">
        <v>82</v>
      </c>
      <c r="G84" t="s">
        <v>614</v>
      </c>
      <c r="H84" t="s">
        <v>153</v>
      </c>
      <c r="I84" t="s">
        <v>357</v>
      </c>
      <c r="K84" t="s">
        <v>776</v>
      </c>
      <c r="L84" t="s">
        <v>141</v>
      </c>
      <c r="M84" t="s">
        <v>358</v>
      </c>
      <c r="O84" t="s">
        <v>791</v>
      </c>
      <c r="P84" t="s">
        <v>157</v>
      </c>
      <c r="Q84" t="s">
        <v>10</v>
      </c>
    </row>
    <row r="85" spans="1:17" x14ac:dyDescent="0.3">
      <c r="A85">
        <v>83</v>
      </c>
      <c r="G85" t="s">
        <v>732</v>
      </c>
      <c r="H85" t="s">
        <v>151</v>
      </c>
      <c r="I85" t="s">
        <v>357</v>
      </c>
      <c r="K85" t="s">
        <v>334</v>
      </c>
      <c r="L85" t="s">
        <v>150</v>
      </c>
      <c r="M85" t="s">
        <v>358</v>
      </c>
      <c r="O85" t="s">
        <v>290</v>
      </c>
      <c r="P85" t="s">
        <v>156</v>
      </c>
      <c r="Q85" t="s">
        <v>10</v>
      </c>
    </row>
    <row r="86" spans="1:17" x14ac:dyDescent="0.3">
      <c r="A86">
        <v>84</v>
      </c>
      <c r="G86" t="s">
        <v>650</v>
      </c>
      <c r="H86" t="s">
        <v>158</v>
      </c>
      <c r="I86" t="s">
        <v>357</v>
      </c>
      <c r="K86" t="s">
        <v>112</v>
      </c>
      <c r="L86" t="s">
        <v>140</v>
      </c>
      <c r="M86" t="s">
        <v>358</v>
      </c>
      <c r="O86" t="s">
        <v>296</v>
      </c>
      <c r="P86" t="s">
        <v>166</v>
      </c>
      <c r="Q86" t="s">
        <v>10</v>
      </c>
    </row>
    <row r="87" spans="1:17" x14ac:dyDescent="0.3">
      <c r="A87">
        <v>85</v>
      </c>
      <c r="G87" t="s">
        <v>582</v>
      </c>
      <c r="H87" t="s">
        <v>140</v>
      </c>
      <c r="I87" t="s">
        <v>357</v>
      </c>
      <c r="K87" t="s">
        <v>47</v>
      </c>
      <c r="L87" t="s">
        <v>149</v>
      </c>
      <c r="M87" t="s">
        <v>358</v>
      </c>
      <c r="O87" t="s">
        <v>783</v>
      </c>
      <c r="P87" t="s">
        <v>167</v>
      </c>
      <c r="Q87" t="s">
        <v>10</v>
      </c>
    </row>
    <row r="88" spans="1:17" x14ac:dyDescent="0.3">
      <c r="A88">
        <v>86</v>
      </c>
      <c r="G88" t="s">
        <v>304</v>
      </c>
      <c r="H88" t="s">
        <v>145</v>
      </c>
      <c r="I88" t="s">
        <v>357</v>
      </c>
      <c r="K88" t="s">
        <v>187</v>
      </c>
      <c r="L88" t="s">
        <v>158</v>
      </c>
      <c r="M88" t="s">
        <v>358</v>
      </c>
      <c r="O88" t="s">
        <v>820</v>
      </c>
      <c r="P88" t="s">
        <v>140</v>
      </c>
      <c r="Q88" t="s">
        <v>10</v>
      </c>
    </row>
    <row r="89" spans="1:17" x14ac:dyDescent="0.3">
      <c r="A89">
        <v>87</v>
      </c>
      <c r="G89" t="s">
        <v>498</v>
      </c>
      <c r="H89" t="s">
        <v>166</v>
      </c>
      <c r="I89" t="s">
        <v>357</v>
      </c>
      <c r="K89" t="s">
        <v>673</v>
      </c>
      <c r="L89" t="s">
        <v>145</v>
      </c>
      <c r="M89" t="s">
        <v>358</v>
      </c>
      <c r="O89" t="s">
        <v>801</v>
      </c>
      <c r="P89" t="s">
        <v>150</v>
      </c>
      <c r="Q89" t="s">
        <v>10</v>
      </c>
    </row>
    <row r="90" spans="1:17" x14ac:dyDescent="0.3">
      <c r="A90">
        <v>88</v>
      </c>
      <c r="G90" t="s">
        <v>828</v>
      </c>
      <c r="H90" t="s">
        <v>160</v>
      </c>
      <c r="I90" t="s">
        <v>357</v>
      </c>
      <c r="K90" t="s">
        <v>258</v>
      </c>
      <c r="L90" t="s">
        <v>154</v>
      </c>
      <c r="M90" t="s">
        <v>358</v>
      </c>
      <c r="O90" t="s">
        <v>655</v>
      </c>
      <c r="P90" t="s">
        <v>691</v>
      </c>
      <c r="Q90" t="s">
        <v>10</v>
      </c>
    </row>
    <row r="91" spans="1:17" x14ac:dyDescent="0.3">
      <c r="A91">
        <v>89</v>
      </c>
      <c r="G91" t="s">
        <v>826</v>
      </c>
      <c r="H91" t="s">
        <v>156</v>
      </c>
      <c r="I91" t="s">
        <v>357</v>
      </c>
      <c r="K91" t="s">
        <v>87</v>
      </c>
      <c r="L91" t="s">
        <v>161</v>
      </c>
      <c r="M91" t="s">
        <v>358</v>
      </c>
      <c r="O91" t="s">
        <v>219</v>
      </c>
      <c r="P91" t="s">
        <v>158</v>
      </c>
      <c r="Q91" t="s">
        <v>10</v>
      </c>
    </row>
    <row r="92" spans="1:17" x14ac:dyDescent="0.3">
      <c r="A92">
        <v>90</v>
      </c>
      <c r="G92" t="s">
        <v>237</v>
      </c>
      <c r="H92" t="s">
        <v>154</v>
      </c>
      <c r="I92" t="s">
        <v>357</v>
      </c>
      <c r="K92" t="s">
        <v>257</v>
      </c>
      <c r="L92" t="s">
        <v>698</v>
      </c>
      <c r="M92" t="s">
        <v>358</v>
      </c>
      <c r="O92" t="s">
        <v>281</v>
      </c>
      <c r="P92" t="s">
        <v>147</v>
      </c>
      <c r="Q92" t="s">
        <v>10</v>
      </c>
    </row>
    <row r="93" spans="1:17" x14ac:dyDescent="0.3">
      <c r="A93">
        <v>91</v>
      </c>
      <c r="G93" t="s">
        <v>228</v>
      </c>
      <c r="H93" t="s">
        <v>167</v>
      </c>
      <c r="I93" t="s">
        <v>357</v>
      </c>
      <c r="K93" t="s">
        <v>679</v>
      </c>
      <c r="L93" t="s">
        <v>160</v>
      </c>
      <c r="M93" t="s">
        <v>358</v>
      </c>
      <c r="O93" t="s">
        <v>824</v>
      </c>
      <c r="P93" t="s">
        <v>148</v>
      </c>
      <c r="Q93" t="s">
        <v>10</v>
      </c>
    </row>
    <row r="94" spans="1:17" x14ac:dyDescent="0.3">
      <c r="A94">
        <v>92</v>
      </c>
      <c r="G94" t="s">
        <v>739</v>
      </c>
      <c r="H94" t="s">
        <v>146</v>
      </c>
      <c r="I94" t="s">
        <v>357</v>
      </c>
      <c r="K94" t="s">
        <v>674</v>
      </c>
      <c r="L94" t="s">
        <v>142</v>
      </c>
      <c r="M94" t="s">
        <v>358</v>
      </c>
    </row>
    <row r="95" spans="1:17" x14ac:dyDescent="0.3">
      <c r="A95">
        <v>93</v>
      </c>
      <c r="G95" t="s">
        <v>646</v>
      </c>
      <c r="H95" t="s">
        <v>698</v>
      </c>
      <c r="I95" t="s">
        <v>357</v>
      </c>
      <c r="K95" t="s">
        <v>64</v>
      </c>
      <c r="L95" t="s">
        <v>151</v>
      </c>
      <c r="M95" t="s">
        <v>358</v>
      </c>
    </row>
    <row r="96" spans="1:17" x14ac:dyDescent="0.3">
      <c r="A96">
        <v>94</v>
      </c>
      <c r="G96" t="s">
        <v>827</v>
      </c>
      <c r="H96" t="s">
        <v>159</v>
      </c>
      <c r="I96" t="s">
        <v>357</v>
      </c>
      <c r="K96" t="s">
        <v>37</v>
      </c>
      <c r="L96" t="s">
        <v>137</v>
      </c>
      <c r="M96" t="s">
        <v>358</v>
      </c>
    </row>
    <row r="97" spans="1:13" x14ac:dyDescent="0.3">
      <c r="A97">
        <v>95</v>
      </c>
      <c r="G97" t="s">
        <v>308</v>
      </c>
      <c r="H97" t="s">
        <v>150</v>
      </c>
      <c r="I97" t="s">
        <v>357</v>
      </c>
      <c r="K97" t="s">
        <v>245</v>
      </c>
      <c r="L97" t="s">
        <v>138</v>
      </c>
      <c r="M97" t="s">
        <v>358</v>
      </c>
    </row>
    <row r="98" spans="1:13" x14ac:dyDescent="0.3">
      <c r="A98">
        <v>96</v>
      </c>
      <c r="G98" t="s">
        <v>717</v>
      </c>
      <c r="H98" t="s">
        <v>164</v>
      </c>
      <c r="I98" t="s">
        <v>357</v>
      </c>
      <c r="K98" t="s">
        <v>100</v>
      </c>
      <c r="L98" t="s">
        <v>146</v>
      </c>
      <c r="M98" t="s">
        <v>358</v>
      </c>
    </row>
    <row r="99" spans="1:13" x14ac:dyDescent="0.3">
      <c r="A99">
        <v>97</v>
      </c>
      <c r="G99" t="s">
        <v>229</v>
      </c>
      <c r="H99" t="s">
        <v>142</v>
      </c>
      <c r="I99" t="s">
        <v>357</v>
      </c>
      <c r="K99" t="s">
        <v>628</v>
      </c>
      <c r="L99" t="s">
        <v>165</v>
      </c>
      <c r="M99" t="s">
        <v>358</v>
      </c>
    </row>
    <row r="100" spans="1:13" x14ac:dyDescent="0.3">
      <c r="A100">
        <v>98</v>
      </c>
      <c r="G100" t="s">
        <v>143</v>
      </c>
      <c r="H100" t="s">
        <v>139</v>
      </c>
      <c r="I100" t="s">
        <v>357</v>
      </c>
      <c r="K100" t="s">
        <v>215</v>
      </c>
      <c r="L100" t="s">
        <v>138</v>
      </c>
      <c r="M100" t="s">
        <v>358</v>
      </c>
    </row>
    <row r="101" spans="1:13" x14ac:dyDescent="0.3">
      <c r="A101">
        <v>99</v>
      </c>
      <c r="G101" t="s">
        <v>306</v>
      </c>
      <c r="H101" t="s">
        <v>148</v>
      </c>
      <c r="I101" t="s">
        <v>357</v>
      </c>
      <c r="K101" t="s">
        <v>612</v>
      </c>
      <c r="L101" t="s">
        <v>698</v>
      </c>
      <c r="M101" t="s">
        <v>358</v>
      </c>
    </row>
    <row r="102" spans="1:13" x14ac:dyDescent="0.3">
      <c r="A102">
        <v>100</v>
      </c>
      <c r="G102" t="s">
        <v>240</v>
      </c>
      <c r="H102" t="s">
        <v>140</v>
      </c>
      <c r="I102" t="s">
        <v>357</v>
      </c>
      <c r="K102" t="s">
        <v>599</v>
      </c>
      <c r="L102" t="s">
        <v>147</v>
      </c>
      <c r="M102" t="s">
        <v>358</v>
      </c>
    </row>
    <row r="103" spans="1:13" x14ac:dyDescent="0.3">
      <c r="A103">
        <v>101</v>
      </c>
      <c r="G103" t="s">
        <v>12</v>
      </c>
      <c r="H103" t="s">
        <v>161</v>
      </c>
      <c r="I103" t="s">
        <v>357</v>
      </c>
      <c r="K103" t="s">
        <v>588</v>
      </c>
      <c r="L103" t="s">
        <v>139</v>
      </c>
      <c r="M103" t="s">
        <v>358</v>
      </c>
    </row>
    <row r="104" spans="1:13" x14ac:dyDescent="0.3">
      <c r="A104">
        <v>102</v>
      </c>
      <c r="G104" t="s">
        <v>731</v>
      </c>
      <c r="H104" t="s">
        <v>153</v>
      </c>
      <c r="I104" t="s">
        <v>357</v>
      </c>
      <c r="K104" t="s">
        <v>770</v>
      </c>
      <c r="L104" t="s">
        <v>698</v>
      </c>
      <c r="M104" t="s">
        <v>358</v>
      </c>
    </row>
    <row r="105" spans="1:13" x14ac:dyDescent="0.3">
      <c r="A105">
        <v>103</v>
      </c>
      <c r="G105" t="s">
        <v>748</v>
      </c>
      <c r="H105" t="s">
        <v>139</v>
      </c>
      <c r="I105" t="s">
        <v>357</v>
      </c>
      <c r="K105" t="s">
        <v>262</v>
      </c>
      <c r="L105" t="s">
        <v>161</v>
      </c>
      <c r="M105" t="s">
        <v>358</v>
      </c>
    </row>
    <row r="106" spans="1:13" x14ac:dyDescent="0.3">
      <c r="A106">
        <v>104</v>
      </c>
      <c r="G106" t="s">
        <v>238</v>
      </c>
      <c r="H106" t="s">
        <v>165</v>
      </c>
      <c r="I106" t="s">
        <v>357</v>
      </c>
      <c r="K106" t="s">
        <v>247</v>
      </c>
      <c r="L106" t="s">
        <v>140</v>
      </c>
      <c r="M106" t="s">
        <v>358</v>
      </c>
    </row>
    <row r="107" spans="1:13" x14ac:dyDescent="0.3">
      <c r="A107">
        <v>105</v>
      </c>
      <c r="G107" t="s">
        <v>317</v>
      </c>
      <c r="H107" t="s">
        <v>166</v>
      </c>
      <c r="I107" t="s">
        <v>357</v>
      </c>
      <c r="K107" t="s">
        <v>572</v>
      </c>
      <c r="L107" t="s">
        <v>166</v>
      </c>
      <c r="M107" t="s">
        <v>358</v>
      </c>
    </row>
    <row r="108" spans="1:13" x14ac:dyDescent="0.3">
      <c r="A108">
        <v>106</v>
      </c>
      <c r="G108" t="s">
        <v>642</v>
      </c>
      <c r="H108" t="s">
        <v>145</v>
      </c>
      <c r="I108" t="s">
        <v>357</v>
      </c>
      <c r="K108" t="s">
        <v>329</v>
      </c>
      <c r="L108" t="s">
        <v>145</v>
      </c>
      <c r="M108" t="s">
        <v>358</v>
      </c>
    </row>
    <row r="109" spans="1:13" x14ac:dyDescent="0.3">
      <c r="A109">
        <v>107</v>
      </c>
      <c r="G109" t="s">
        <v>314</v>
      </c>
      <c r="H109" t="s">
        <v>161</v>
      </c>
      <c r="I109" t="s">
        <v>357</v>
      </c>
      <c r="K109" t="s">
        <v>654</v>
      </c>
      <c r="L109" t="s">
        <v>164</v>
      </c>
      <c r="M109" t="s">
        <v>358</v>
      </c>
    </row>
    <row r="110" spans="1:13" x14ac:dyDescent="0.3">
      <c r="A110">
        <v>108</v>
      </c>
      <c r="G110" t="s">
        <v>307</v>
      </c>
      <c r="H110" t="s">
        <v>149</v>
      </c>
      <c r="I110" t="s">
        <v>357</v>
      </c>
      <c r="K110" t="s">
        <v>72</v>
      </c>
      <c r="L110" t="s">
        <v>239</v>
      </c>
      <c r="M110" t="s">
        <v>358</v>
      </c>
    </row>
    <row r="111" spans="1:13" x14ac:dyDescent="0.3">
      <c r="A111">
        <v>109</v>
      </c>
      <c r="G111" t="s">
        <v>750</v>
      </c>
      <c r="H111" t="s">
        <v>138</v>
      </c>
      <c r="I111" t="s">
        <v>357</v>
      </c>
      <c r="K111" t="s">
        <v>233</v>
      </c>
      <c r="L111" t="s">
        <v>167</v>
      </c>
      <c r="M111" t="s">
        <v>358</v>
      </c>
    </row>
    <row r="112" spans="1:13" x14ac:dyDescent="0.3">
      <c r="A112">
        <v>110</v>
      </c>
      <c r="G112" t="s">
        <v>736</v>
      </c>
      <c r="H112" t="s">
        <v>148</v>
      </c>
      <c r="I112" t="s">
        <v>357</v>
      </c>
      <c r="K112" t="s">
        <v>343</v>
      </c>
      <c r="L112" t="s">
        <v>159</v>
      </c>
      <c r="M112" t="s">
        <v>358</v>
      </c>
    </row>
    <row r="113" spans="1:13" x14ac:dyDescent="0.3">
      <c r="A113">
        <v>111</v>
      </c>
      <c r="G113" t="s">
        <v>722</v>
      </c>
      <c r="H113" t="s">
        <v>157</v>
      </c>
      <c r="I113" t="s">
        <v>357</v>
      </c>
      <c r="K113" t="s">
        <v>347</v>
      </c>
      <c r="L113" t="s">
        <v>163</v>
      </c>
      <c r="M113" t="s">
        <v>358</v>
      </c>
    </row>
    <row r="114" spans="1:13" x14ac:dyDescent="0.3">
      <c r="A114">
        <v>112</v>
      </c>
      <c r="G114" t="s">
        <v>316</v>
      </c>
      <c r="H114" t="s">
        <v>165</v>
      </c>
      <c r="I114" t="s">
        <v>357</v>
      </c>
      <c r="K114" t="s">
        <v>66</v>
      </c>
      <c r="L114" t="s">
        <v>150</v>
      </c>
      <c r="M114" t="s">
        <v>358</v>
      </c>
    </row>
    <row r="115" spans="1:13" x14ac:dyDescent="0.3">
      <c r="A115">
        <v>113</v>
      </c>
      <c r="G115" t="s">
        <v>720</v>
      </c>
      <c r="H115" t="s">
        <v>158</v>
      </c>
      <c r="I115" t="s">
        <v>357</v>
      </c>
      <c r="K115" t="s">
        <v>333</v>
      </c>
      <c r="L115" t="s">
        <v>149</v>
      </c>
      <c r="M115" t="s">
        <v>358</v>
      </c>
    </row>
    <row r="116" spans="1:13" x14ac:dyDescent="0.3">
      <c r="A116">
        <v>114</v>
      </c>
      <c r="G116" t="s">
        <v>196</v>
      </c>
      <c r="H116" t="s">
        <v>147</v>
      </c>
      <c r="I116" t="s">
        <v>357</v>
      </c>
      <c r="K116" t="s">
        <v>79</v>
      </c>
      <c r="L116" t="s">
        <v>148</v>
      </c>
      <c r="M116" t="s">
        <v>358</v>
      </c>
    </row>
    <row r="117" spans="1:13" x14ac:dyDescent="0.3">
      <c r="A117">
        <v>115</v>
      </c>
      <c r="G117" t="s">
        <v>310</v>
      </c>
      <c r="H117" t="s">
        <v>157</v>
      </c>
      <c r="I117" t="s">
        <v>357</v>
      </c>
      <c r="K117" t="s">
        <v>253</v>
      </c>
      <c r="L117" t="s">
        <v>138</v>
      </c>
      <c r="M117" t="s">
        <v>358</v>
      </c>
    </row>
    <row r="118" spans="1:13" x14ac:dyDescent="0.3">
      <c r="A118">
        <v>116</v>
      </c>
      <c r="G118" t="s">
        <v>744</v>
      </c>
      <c r="H118" t="s">
        <v>142</v>
      </c>
      <c r="I118" t="s">
        <v>357</v>
      </c>
      <c r="K118" t="s">
        <v>763</v>
      </c>
      <c r="L118" t="s">
        <v>158</v>
      </c>
      <c r="M118" t="s">
        <v>358</v>
      </c>
    </row>
    <row r="119" spans="1:13" x14ac:dyDescent="0.3">
      <c r="A119">
        <v>117</v>
      </c>
      <c r="G119" t="s">
        <v>845</v>
      </c>
      <c r="H119" t="s">
        <v>164</v>
      </c>
      <c r="I119" t="s">
        <v>357</v>
      </c>
      <c r="K119" t="s">
        <v>349</v>
      </c>
      <c r="L119" t="s">
        <v>165</v>
      </c>
      <c r="M119" t="s">
        <v>358</v>
      </c>
    </row>
    <row r="120" spans="1:13" x14ac:dyDescent="0.3">
      <c r="A120">
        <v>118</v>
      </c>
      <c r="G120" t="s">
        <v>729</v>
      </c>
      <c r="H120" t="s">
        <v>154</v>
      </c>
      <c r="I120" t="s">
        <v>357</v>
      </c>
      <c r="K120" t="s">
        <v>224</v>
      </c>
      <c r="L120" t="s">
        <v>163</v>
      </c>
      <c r="M120" t="s">
        <v>358</v>
      </c>
    </row>
    <row r="121" spans="1:13" x14ac:dyDescent="0.3">
      <c r="A121">
        <v>119</v>
      </c>
      <c r="G121" t="s">
        <v>320</v>
      </c>
      <c r="H121" t="s">
        <v>691</v>
      </c>
      <c r="I121" t="s">
        <v>357</v>
      </c>
      <c r="K121" t="s">
        <v>248</v>
      </c>
      <c r="L121" t="s">
        <v>141</v>
      </c>
      <c r="M121" t="s">
        <v>358</v>
      </c>
    </row>
    <row r="122" spans="1:13" x14ac:dyDescent="0.3">
      <c r="A122">
        <v>120</v>
      </c>
      <c r="G122" t="s">
        <v>716</v>
      </c>
      <c r="H122" t="s">
        <v>164</v>
      </c>
      <c r="I122" t="s">
        <v>357</v>
      </c>
      <c r="K122" t="s">
        <v>115</v>
      </c>
      <c r="L122" t="s">
        <v>160</v>
      </c>
      <c r="M122" t="s">
        <v>358</v>
      </c>
    </row>
    <row r="123" spans="1:13" x14ac:dyDescent="0.3">
      <c r="A123">
        <v>121</v>
      </c>
      <c r="G123" t="s">
        <v>830</v>
      </c>
      <c r="H123" t="s">
        <v>163</v>
      </c>
      <c r="I123" t="s">
        <v>357</v>
      </c>
      <c r="K123" t="s">
        <v>761</v>
      </c>
      <c r="L123" t="s">
        <v>163</v>
      </c>
      <c r="M123" t="s">
        <v>358</v>
      </c>
    </row>
    <row r="124" spans="1:13" x14ac:dyDescent="0.3">
      <c r="A124">
        <v>122</v>
      </c>
      <c r="G124" t="s">
        <v>312</v>
      </c>
      <c r="H124" t="s">
        <v>160</v>
      </c>
      <c r="I124" t="s">
        <v>357</v>
      </c>
      <c r="K124" t="s">
        <v>336</v>
      </c>
      <c r="L124" t="s">
        <v>151</v>
      </c>
      <c r="M124" t="s">
        <v>358</v>
      </c>
    </row>
    <row r="125" spans="1:13" x14ac:dyDescent="0.3">
      <c r="A125">
        <v>123</v>
      </c>
      <c r="G125" t="s">
        <v>611</v>
      </c>
      <c r="H125" t="s">
        <v>698</v>
      </c>
      <c r="I125" t="s">
        <v>357</v>
      </c>
      <c r="K125" t="s">
        <v>104</v>
      </c>
      <c r="L125" t="s">
        <v>158</v>
      </c>
      <c r="M125" t="s">
        <v>358</v>
      </c>
    </row>
    <row r="126" spans="1:13" x14ac:dyDescent="0.3">
      <c r="A126">
        <v>124</v>
      </c>
      <c r="G126" t="s">
        <v>309</v>
      </c>
      <c r="H126" t="s">
        <v>155</v>
      </c>
      <c r="I126" t="s">
        <v>357</v>
      </c>
      <c r="K126" t="s">
        <v>353</v>
      </c>
      <c r="L126" t="s">
        <v>691</v>
      </c>
      <c r="M126" t="s">
        <v>358</v>
      </c>
    </row>
    <row r="127" spans="1:13" x14ac:dyDescent="0.3">
      <c r="A127">
        <v>125</v>
      </c>
      <c r="K127" t="s">
        <v>203</v>
      </c>
      <c r="L127" t="s">
        <v>138</v>
      </c>
      <c r="M127" t="s">
        <v>358</v>
      </c>
    </row>
    <row r="128" spans="1:13" x14ac:dyDescent="0.3">
      <c r="A128">
        <v>126</v>
      </c>
      <c r="K128" t="s">
        <v>819</v>
      </c>
      <c r="L128" t="s">
        <v>139</v>
      </c>
      <c r="M128" t="s">
        <v>358</v>
      </c>
    </row>
    <row r="129" spans="1:13" x14ac:dyDescent="0.3">
      <c r="A129">
        <v>127</v>
      </c>
      <c r="K129" t="s">
        <v>581</v>
      </c>
      <c r="L129" t="s">
        <v>167</v>
      </c>
      <c r="M129" t="s">
        <v>358</v>
      </c>
    </row>
    <row r="130" spans="1:13" x14ac:dyDescent="0.3">
      <c r="A130">
        <v>128</v>
      </c>
      <c r="K130" t="s">
        <v>585</v>
      </c>
      <c r="L130" t="s">
        <v>138</v>
      </c>
      <c r="M130" t="s">
        <v>358</v>
      </c>
    </row>
    <row r="131" spans="1:13" x14ac:dyDescent="0.3">
      <c r="A131">
        <v>129</v>
      </c>
      <c r="K131" t="s">
        <v>596</v>
      </c>
      <c r="L131" t="s">
        <v>146</v>
      </c>
      <c r="M131" t="s">
        <v>358</v>
      </c>
    </row>
    <row r="132" spans="1:13" x14ac:dyDescent="0.3">
      <c r="A132">
        <v>130</v>
      </c>
      <c r="K132" t="s">
        <v>121</v>
      </c>
      <c r="L132" t="s">
        <v>159</v>
      </c>
      <c r="M132" t="s">
        <v>358</v>
      </c>
    </row>
    <row r="133" spans="1:13" x14ac:dyDescent="0.3">
      <c r="A133">
        <v>131</v>
      </c>
      <c r="K133" t="s">
        <v>340</v>
      </c>
      <c r="L133" t="s">
        <v>155</v>
      </c>
      <c r="M133" t="s">
        <v>358</v>
      </c>
    </row>
    <row r="134" spans="1:13" x14ac:dyDescent="0.3">
      <c r="A134">
        <v>132</v>
      </c>
      <c r="K134" t="s">
        <v>759</v>
      </c>
      <c r="L134" t="s">
        <v>166</v>
      </c>
      <c r="M134" t="s">
        <v>358</v>
      </c>
    </row>
    <row r="135" spans="1:13" x14ac:dyDescent="0.3">
      <c r="A135">
        <v>133</v>
      </c>
      <c r="K135" t="s">
        <v>25</v>
      </c>
      <c r="L135" t="s">
        <v>164</v>
      </c>
      <c r="M135" t="s">
        <v>358</v>
      </c>
    </row>
    <row r="136" spans="1:13" x14ac:dyDescent="0.3">
      <c r="A136">
        <v>134</v>
      </c>
      <c r="K136" t="s">
        <v>592</v>
      </c>
      <c r="L136" t="s">
        <v>142</v>
      </c>
      <c r="M136" t="s">
        <v>358</v>
      </c>
    </row>
    <row r="137" spans="1:13" x14ac:dyDescent="0.3">
      <c r="A137">
        <v>135</v>
      </c>
      <c r="K137" t="s">
        <v>767</v>
      </c>
      <c r="L137" t="s">
        <v>239</v>
      </c>
      <c r="M137" t="s">
        <v>358</v>
      </c>
    </row>
    <row r="138" spans="1:13" x14ac:dyDescent="0.3">
      <c r="A138">
        <v>136</v>
      </c>
      <c r="K138" t="s">
        <v>348</v>
      </c>
      <c r="L138" t="s">
        <v>166</v>
      </c>
      <c r="M138" t="s">
        <v>358</v>
      </c>
    </row>
    <row r="139" spans="1:13" x14ac:dyDescent="0.3">
      <c r="A139">
        <v>137</v>
      </c>
      <c r="K139" t="s">
        <v>644</v>
      </c>
      <c r="L139" t="s">
        <v>149</v>
      </c>
      <c r="M139" t="s">
        <v>358</v>
      </c>
    </row>
    <row r="140" spans="1:13" x14ac:dyDescent="0.3">
      <c r="A140">
        <v>138</v>
      </c>
      <c r="K140" t="s">
        <v>829</v>
      </c>
      <c r="L140" t="s">
        <v>160</v>
      </c>
      <c r="M140" t="s">
        <v>358</v>
      </c>
    </row>
    <row r="141" spans="1:13" x14ac:dyDescent="0.3">
      <c r="A141">
        <v>139</v>
      </c>
      <c r="K141" t="s">
        <v>663</v>
      </c>
      <c r="L141" t="s">
        <v>166</v>
      </c>
      <c r="M141" t="s">
        <v>358</v>
      </c>
    </row>
    <row r="142" spans="1:13" x14ac:dyDescent="0.3">
      <c r="A142">
        <v>140</v>
      </c>
      <c r="K142" t="s">
        <v>578</v>
      </c>
      <c r="L142" t="s">
        <v>239</v>
      </c>
      <c r="M142" t="s">
        <v>358</v>
      </c>
    </row>
    <row r="143" spans="1:13" x14ac:dyDescent="0.3">
      <c r="A143">
        <v>141</v>
      </c>
      <c r="K143" t="s">
        <v>847</v>
      </c>
      <c r="L143" t="s">
        <v>157</v>
      </c>
      <c r="M143" t="s">
        <v>358</v>
      </c>
    </row>
    <row r="144" spans="1:13" x14ac:dyDescent="0.3">
      <c r="A144">
        <v>142</v>
      </c>
      <c r="K144" t="s">
        <v>641</v>
      </c>
      <c r="L144" t="s">
        <v>140</v>
      </c>
      <c r="M144" t="s">
        <v>358</v>
      </c>
    </row>
    <row r="145" spans="1:13" x14ac:dyDescent="0.3">
      <c r="A145">
        <v>143</v>
      </c>
      <c r="K145" t="s">
        <v>339</v>
      </c>
      <c r="L145" t="s">
        <v>155</v>
      </c>
      <c r="M145" t="s">
        <v>358</v>
      </c>
    </row>
    <row r="146" spans="1:13" x14ac:dyDescent="0.3">
      <c r="A146">
        <v>144</v>
      </c>
      <c r="K146" t="s">
        <v>352</v>
      </c>
      <c r="L146" t="s">
        <v>168</v>
      </c>
      <c r="M146" t="s">
        <v>358</v>
      </c>
    </row>
    <row r="147" spans="1:13" x14ac:dyDescent="0.3">
      <c r="A147">
        <v>145</v>
      </c>
      <c r="K147" t="s">
        <v>626</v>
      </c>
      <c r="L147" t="s">
        <v>168</v>
      </c>
      <c r="M147" t="s">
        <v>358</v>
      </c>
    </row>
    <row r="148" spans="1:13" x14ac:dyDescent="0.3">
      <c r="A148">
        <v>146</v>
      </c>
      <c r="K148" t="s">
        <v>848</v>
      </c>
      <c r="L148" t="s">
        <v>159</v>
      </c>
      <c r="M148" t="s">
        <v>358</v>
      </c>
    </row>
    <row r="149" spans="1:13" x14ac:dyDescent="0.3">
      <c r="A149">
        <v>147</v>
      </c>
      <c r="K149" t="s">
        <v>133</v>
      </c>
      <c r="L149" t="s">
        <v>137</v>
      </c>
      <c r="M149" t="s">
        <v>358</v>
      </c>
    </row>
    <row r="150" spans="1:13" x14ac:dyDescent="0.3">
      <c r="A150">
        <v>148</v>
      </c>
      <c r="K150" t="s">
        <v>658</v>
      </c>
      <c r="L150" t="s">
        <v>168</v>
      </c>
      <c r="M150" t="s">
        <v>358</v>
      </c>
    </row>
    <row r="151" spans="1:13" x14ac:dyDescent="0.3">
      <c r="A151">
        <v>149</v>
      </c>
      <c r="K151" t="s">
        <v>822</v>
      </c>
      <c r="L151" t="s">
        <v>142</v>
      </c>
      <c r="M151" t="s">
        <v>358</v>
      </c>
    </row>
    <row r="152" spans="1:13" x14ac:dyDescent="0.3">
      <c r="A152">
        <v>150</v>
      </c>
      <c r="K152" t="s">
        <v>583</v>
      </c>
      <c r="L152" t="s">
        <v>137</v>
      </c>
      <c r="M152" t="s">
        <v>358</v>
      </c>
    </row>
    <row r="153" spans="1:13" x14ac:dyDescent="0.3">
      <c r="A153">
        <v>151</v>
      </c>
      <c r="K153" t="s">
        <v>234</v>
      </c>
      <c r="L153" t="s">
        <v>148</v>
      </c>
      <c r="M153" t="s">
        <v>358</v>
      </c>
    </row>
    <row r="154" spans="1:13" x14ac:dyDescent="0.3">
      <c r="A154">
        <v>152</v>
      </c>
      <c r="K154" t="s">
        <v>354</v>
      </c>
      <c r="L154" t="s">
        <v>691</v>
      </c>
      <c r="M154" t="s">
        <v>358</v>
      </c>
    </row>
    <row r="155" spans="1:13" x14ac:dyDescent="0.3">
      <c r="A155">
        <v>153</v>
      </c>
      <c r="K155" t="s">
        <v>325</v>
      </c>
      <c r="L155" t="s">
        <v>141</v>
      </c>
      <c r="M155" t="s">
        <v>358</v>
      </c>
    </row>
    <row r="156" spans="1:13" x14ac:dyDescent="0.3">
      <c r="A156">
        <v>154</v>
      </c>
      <c r="K156" t="s">
        <v>83</v>
      </c>
      <c r="L156" t="s">
        <v>156</v>
      </c>
      <c r="M156" t="s">
        <v>358</v>
      </c>
    </row>
    <row r="157" spans="1:13" x14ac:dyDescent="0.3">
      <c r="A157">
        <v>155</v>
      </c>
      <c r="K157" t="s">
        <v>849</v>
      </c>
      <c r="L157" t="s">
        <v>161</v>
      </c>
      <c r="M157" t="s">
        <v>358</v>
      </c>
    </row>
    <row r="158" spans="1:13" x14ac:dyDescent="0.3">
      <c r="A158">
        <v>156</v>
      </c>
      <c r="K158" t="s">
        <v>595</v>
      </c>
      <c r="L158" t="s">
        <v>145</v>
      </c>
      <c r="M158" t="s">
        <v>358</v>
      </c>
    </row>
    <row r="159" spans="1:13" x14ac:dyDescent="0.3">
      <c r="A159">
        <v>157</v>
      </c>
      <c r="K159" t="s">
        <v>342</v>
      </c>
      <c r="L159" t="s">
        <v>157</v>
      </c>
      <c r="M159" t="s">
        <v>358</v>
      </c>
    </row>
    <row r="160" spans="1:13" x14ac:dyDescent="0.3">
      <c r="A160">
        <v>158</v>
      </c>
      <c r="K160" t="s">
        <v>571</v>
      </c>
      <c r="L160" t="s">
        <v>154</v>
      </c>
      <c r="M160" t="s">
        <v>358</v>
      </c>
    </row>
    <row r="161" spans="1:13" x14ac:dyDescent="0.3">
      <c r="A161">
        <v>159</v>
      </c>
      <c r="K161" t="s">
        <v>328</v>
      </c>
      <c r="L161" t="s">
        <v>144</v>
      </c>
      <c r="M161" t="s">
        <v>358</v>
      </c>
    </row>
    <row r="162" spans="1:13" x14ac:dyDescent="0.3">
      <c r="A162">
        <v>160</v>
      </c>
      <c r="K162" t="s">
        <v>773</v>
      </c>
      <c r="L162" t="s">
        <v>150</v>
      </c>
      <c r="M162" t="s">
        <v>358</v>
      </c>
    </row>
    <row r="163" spans="1:13" x14ac:dyDescent="0.3">
      <c r="A163">
        <v>161</v>
      </c>
      <c r="K163" t="s">
        <v>254</v>
      </c>
      <c r="L163" t="s">
        <v>163</v>
      </c>
      <c r="M163" t="s">
        <v>358</v>
      </c>
    </row>
    <row r="164" spans="1:13" x14ac:dyDescent="0.3">
      <c r="A164">
        <v>162</v>
      </c>
      <c r="K164" t="s">
        <v>593</v>
      </c>
      <c r="L164" t="s">
        <v>142</v>
      </c>
      <c r="M164" t="s">
        <v>358</v>
      </c>
    </row>
    <row r="165" spans="1:13" x14ac:dyDescent="0.3">
      <c r="A165">
        <v>163</v>
      </c>
      <c r="K165" t="s">
        <v>221</v>
      </c>
      <c r="L165" t="s">
        <v>161</v>
      </c>
      <c r="M165" t="s">
        <v>358</v>
      </c>
    </row>
    <row r="166" spans="1:13" x14ac:dyDescent="0.3">
      <c r="A166">
        <v>164</v>
      </c>
      <c r="K166" t="s">
        <v>331</v>
      </c>
      <c r="L166" t="s">
        <v>146</v>
      </c>
      <c r="M166" t="s">
        <v>358</v>
      </c>
    </row>
    <row r="167" spans="1:13" x14ac:dyDescent="0.3">
      <c r="A167">
        <v>165</v>
      </c>
      <c r="K167" t="s">
        <v>356</v>
      </c>
      <c r="L167" t="s">
        <v>156</v>
      </c>
      <c r="M167" t="s">
        <v>358</v>
      </c>
    </row>
    <row r="168" spans="1:13" x14ac:dyDescent="0.3">
      <c r="A168">
        <v>166</v>
      </c>
      <c r="K168" t="s">
        <v>337</v>
      </c>
      <c r="L168" t="s">
        <v>698</v>
      </c>
      <c r="M168" t="s">
        <v>358</v>
      </c>
    </row>
    <row r="169" spans="1:13" x14ac:dyDescent="0.3">
      <c r="A169">
        <v>167</v>
      </c>
      <c r="K169" t="s">
        <v>600</v>
      </c>
      <c r="L169" t="s">
        <v>147</v>
      </c>
      <c r="M169" t="s">
        <v>358</v>
      </c>
    </row>
    <row r="170" spans="1:13" x14ac:dyDescent="0.3">
      <c r="A170">
        <v>168</v>
      </c>
      <c r="K170" t="s">
        <v>615</v>
      </c>
      <c r="L170" t="s">
        <v>153</v>
      </c>
      <c r="M170" t="s">
        <v>358</v>
      </c>
    </row>
    <row r="171" spans="1:13" x14ac:dyDescent="0.3">
      <c r="A171">
        <v>169</v>
      </c>
      <c r="K171" t="s">
        <v>335</v>
      </c>
      <c r="L171" t="s">
        <v>151</v>
      </c>
      <c r="M171" t="s">
        <v>358</v>
      </c>
    </row>
    <row r="172" spans="1:13" x14ac:dyDescent="0.3">
      <c r="A172">
        <v>170</v>
      </c>
      <c r="K172" t="s">
        <v>604</v>
      </c>
      <c r="L172" t="s">
        <v>149</v>
      </c>
      <c r="M172" t="s">
        <v>358</v>
      </c>
    </row>
    <row r="173" spans="1:13" x14ac:dyDescent="0.3">
      <c r="A173">
        <v>171</v>
      </c>
      <c r="K173" t="s">
        <v>649</v>
      </c>
      <c r="L173" t="s">
        <v>156</v>
      </c>
      <c r="M173" t="s">
        <v>358</v>
      </c>
    </row>
    <row r="174" spans="1:13" x14ac:dyDescent="0.3">
      <c r="A174">
        <v>172</v>
      </c>
      <c r="K174" t="s">
        <v>564</v>
      </c>
      <c r="L174" t="s">
        <v>148</v>
      </c>
      <c r="M174" t="s">
        <v>358</v>
      </c>
    </row>
    <row r="175" spans="1:13" x14ac:dyDescent="0.3">
      <c r="A175">
        <v>173</v>
      </c>
      <c r="K175" t="s">
        <v>769</v>
      </c>
      <c r="L175" t="s">
        <v>154</v>
      </c>
      <c r="M175" t="s">
        <v>358</v>
      </c>
    </row>
    <row r="176" spans="1:13" x14ac:dyDescent="0.3">
      <c r="A176">
        <v>174</v>
      </c>
      <c r="K176" t="s">
        <v>606</v>
      </c>
      <c r="L176" t="s">
        <v>150</v>
      </c>
      <c r="M176" t="s">
        <v>358</v>
      </c>
    </row>
    <row r="177" spans="1:13" x14ac:dyDescent="0.3">
      <c r="A177">
        <v>175</v>
      </c>
      <c r="K177" t="s">
        <v>764</v>
      </c>
      <c r="L177" t="s">
        <v>157</v>
      </c>
      <c r="M177" t="s">
        <v>358</v>
      </c>
    </row>
    <row r="178" spans="1:13" x14ac:dyDescent="0.3">
      <c r="A178">
        <v>176</v>
      </c>
      <c r="K178" t="s">
        <v>777</v>
      </c>
      <c r="L178" t="s">
        <v>140</v>
      </c>
      <c r="M178" t="s">
        <v>358</v>
      </c>
    </row>
    <row r="179" spans="1:13" x14ac:dyDescent="0.3">
      <c r="A179">
        <v>177</v>
      </c>
      <c r="K179" t="s">
        <v>609</v>
      </c>
      <c r="L179" t="s">
        <v>151</v>
      </c>
      <c r="M179" t="s">
        <v>358</v>
      </c>
    </row>
    <row r="180" spans="1:13" x14ac:dyDescent="0.3">
      <c r="A180">
        <v>178</v>
      </c>
      <c r="K180" t="s">
        <v>594</v>
      </c>
      <c r="L180" t="s">
        <v>144</v>
      </c>
      <c r="M180" t="s">
        <v>358</v>
      </c>
    </row>
    <row r="181" spans="1:13" x14ac:dyDescent="0.3">
      <c r="A181">
        <v>179</v>
      </c>
      <c r="K181" t="s">
        <v>350</v>
      </c>
      <c r="L181" t="s">
        <v>167</v>
      </c>
      <c r="M181" t="s">
        <v>358</v>
      </c>
    </row>
    <row r="182" spans="1:13" x14ac:dyDescent="0.3">
      <c r="A182">
        <v>180</v>
      </c>
      <c r="K182" t="s">
        <v>629</v>
      </c>
      <c r="L182" t="s">
        <v>165</v>
      </c>
      <c r="M182" t="s">
        <v>358</v>
      </c>
    </row>
    <row r="183" spans="1:13" x14ac:dyDescent="0.3">
      <c r="A183">
        <v>181</v>
      </c>
      <c r="K183" t="s">
        <v>323</v>
      </c>
      <c r="L183" t="s">
        <v>139</v>
      </c>
      <c r="M183" t="s">
        <v>358</v>
      </c>
    </row>
    <row r="184" spans="1:13" x14ac:dyDescent="0.3">
      <c r="A184">
        <v>182</v>
      </c>
      <c r="K184" t="s">
        <v>757</v>
      </c>
      <c r="L184" t="s">
        <v>691</v>
      </c>
      <c r="M184" t="s">
        <v>358</v>
      </c>
    </row>
    <row r="185" spans="1:13" x14ac:dyDescent="0.3">
      <c r="A185">
        <v>183</v>
      </c>
      <c r="K185" t="s">
        <v>831</v>
      </c>
      <c r="L185" t="s">
        <v>147</v>
      </c>
      <c r="M185" t="s">
        <v>358</v>
      </c>
    </row>
    <row r="186" spans="1:13" x14ac:dyDescent="0.3">
      <c r="A186">
        <v>184</v>
      </c>
      <c r="K186" t="s">
        <v>633</v>
      </c>
      <c r="L186" t="s">
        <v>161</v>
      </c>
      <c r="M186" t="s">
        <v>358</v>
      </c>
    </row>
    <row r="187" spans="1:13" x14ac:dyDescent="0.3">
      <c r="A187">
        <v>185</v>
      </c>
      <c r="K187" t="s">
        <v>818</v>
      </c>
      <c r="L187" t="s">
        <v>139</v>
      </c>
      <c r="M187" t="s">
        <v>358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"/>
  <dimension ref="A1:O68"/>
  <sheetViews>
    <sheetView showGridLines="0" zoomScale="85" zoomScaleNormal="85" workbookViewId="0"/>
  </sheetViews>
  <sheetFormatPr defaultColWidth="9.109375" defaultRowHeight="14.4" x14ac:dyDescent="0.3"/>
  <cols>
    <col min="1" max="1" width="9.33203125" style="184" bestFit="1" customWidth="1"/>
    <col min="2" max="2" width="19.5546875" style="184" bestFit="1" customWidth="1"/>
    <col min="3" max="3" width="6.5546875" style="185" bestFit="1" customWidth="1"/>
    <col min="4" max="4" width="7" style="185" bestFit="1" customWidth="1"/>
    <col min="5" max="5" width="8" style="185" bestFit="1" customWidth="1"/>
    <col min="6" max="6" width="7.5546875" style="185" bestFit="1" customWidth="1"/>
    <col min="7" max="8" width="8.44140625" style="185" bestFit="1" customWidth="1"/>
    <col min="9" max="9" width="6.6640625" style="185" bestFit="1" customWidth="1"/>
    <col min="10" max="10" width="8.5546875" style="185" bestFit="1" customWidth="1"/>
    <col min="11" max="12" width="8.6640625" style="184" bestFit="1" customWidth="1"/>
    <col min="13" max="13" width="6.88671875" style="184" bestFit="1" customWidth="1"/>
    <col min="14" max="14" width="10" style="184" bestFit="1" customWidth="1"/>
    <col min="15" max="15" width="8.44140625" style="184" bestFit="1" customWidth="1"/>
    <col min="16" max="16384" width="9.109375" style="184"/>
  </cols>
  <sheetData>
    <row r="1" spans="1:15" s="182" customFormat="1" x14ac:dyDescent="0.3">
      <c r="A1" s="178" t="s">
        <v>542</v>
      </c>
      <c r="B1" s="179" t="s">
        <v>507</v>
      </c>
      <c r="C1" s="179" t="s">
        <v>136</v>
      </c>
      <c r="D1" s="179" t="s">
        <v>174</v>
      </c>
      <c r="E1" s="178" t="s">
        <v>177</v>
      </c>
      <c r="F1" s="178" t="s">
        <v>178</v>
      </c>
      <c r="G1" s="178" t="s">
        <v>179</v>
      </c>
      <c r="H1" s="178" t="s">
        <v>180</v>
      </c>
      <c r="I1" s="178" t="s">
        <v>2</v>
      </c>
      <c r="J1" s="178" t="s">
        <v>181</v>
      </c>
      <c r="K1" s="178" t="s">
        <v>182</v>
      </c>
      <c r="L1" s="178" t="s">
        <v>183</v>
      </c>
      <c r="M1" s="180" t="s">
        <v>169</v>
      </c>
      <c r="N1" s="181" t="s">
        <v>503</v>
      </c>
      <c r="O1" s="181" t="s">
        <v>477</v>
      </c>
    </row>
    <row r="2" spans="1:15" x14ac:dyDescent="0.3">
      <c r="A2" s="183">
        <v>1</v>
      </c>
      <c r="B2" s="184" t="str">
        <f>ARI!A$2</f>
        <v>Kyler Murray</v>
      </c>
      <c r="C2" s="184" t="s">
        <v>137</v>
      </c>
      <c r="D2" s="184">
        <f>ARI!C$2</f>
        <v>13</v>
      </c>
      <c r="E2" s="185">
        <f>ARI!D$2</f>
        <v>604.88196535000009</v>
      </c>
      <c r="F2" s="185">
        <f>ARI!E$2</f>
        <v>403.45627088845009</v>
      </c>
      <c r="G2" s="185">
        <f>ARI!F$2</f>
        <v>4485.3168405119823</v>
      </c>
      <c r="H2" s="185">
        <f>ARI!G$2</f>
        <v>28.282284589280351</v>
      </c>
      <c r="I2" s="185">
        <f>ARI!H$2</f>
        <v>9.0465899526061726</v>
      </c>
      <c r="J2" s="185">
        <f>ARI!I$2</f>
        <v>95.56169749874222</v>
      </c>
      <c r="K2" s="185">
        <f>ARI!J$2</f>
        <v>487.36465724358527</v>
      </c>
      <c r="L2" s="185">
        <f>ARI!K$2</f>
        <v>5.0647699674333371</v>
      </c>
      <c r="M2" s="185">
        <f t="shared" ref="M2:M33" si="0">(G2/25)+(H2*4)+(I2*-1.5)+(K2/10)+(L2*6)</f>
        <v>358.09701257764999</v>
      </c>
      <c r="N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353.57371760134686</v>
      </c>
      <c r="O2" s="187">
        <v>18.908176323604344</v>
      </c>
    </row>
    <row r="3" spans="1:15" x14ac:dyDescent="0.3">
      <c r="A3" s="183">
        <f>IF(TableQBMaster[[#This Row],[Player]]&lt;&gt;0,A2+1,A2)</f>
        <v>2</v>
      </c>
      <c r="B3" s="184" t="str">
        <f>ARI!A$3</f>
        <v>Colt McCoy</v>
      </c>
      <c r="C3" s="184" t="s">
        <v>137</v>
      </c>
      <c r="D3" s="184">
        <f>ARI!C$3</f>
        <v>13</v>
      </c>
      <c r="E3" s="185">
        <f>ARI!D$3</f>
        <v>18.70768965000002</v>
      </c>
      <c r="F3" s="185">
        <f>ARI!E$3</f>
        <v>12.025147009606261</v>
      </c>
      <c r="G3" s="185">
        <f>ARI!F$3</f>
        <v>129.15007888317126</v>
      </c>
      <c r="H3" s="185">
        <f>ARI!G$3</f>
        <v>0.67628298084750083</v>
      </c>
      <c r="I3" s="185">
        <f>ARI!H$3</f>
        <v>0.27687900989618419</v>
      </c>
      <c r="J3" s="185">
        <f>ARI!I$3</f>
        <v>1.4998853838390409</v>
      </c>
      <c r="K3" s="185">
        <f>ARI!J$3</f>
        <v>5.7995568175109584</v>
      </c>
      <c r="L3" s="185">
        <f>ARI!K$3</f>
        <v>0</v>
      </c>
      <c r="M3" s="185">
        <f t="shared" si="0"/>
        <v>8.035772245623674</v>
      </c>
      <c r="N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7.8973327406755809</v>
      </c>
      <c r="O3" s="187">
        <v>0</v>
      </c>
    </row>
    <row r="4" spans="1:15" x14ac:dyDescent="0.3">
      <c r="A4" s="183">
        <f>IF(TableQBMaster[[#This Row],[Player]]&lt;&gt;0,A3+1,A3)</f>
        <v>3</v>
      </c>
      <c r="B4" s="184" t="str">
        <f>ATL!A$2</f>
        <v>Marcus Mariota</v>
      </c>
      <c r="C4" s="184" t="s">
        <v>138</v>
      </c>
      <c r="D4" s="184">
        <f>ATL!C$2</f>
        <v>14</v>
      </c>
      <c r="E4" s="185">
        <f>ATL!D$2</f>
        <v>453.06680999999998</v>
      </c>
      <c r="F4" s="185">
        <f>ATL!E$2</f>
        <v>285.82060924630895</v>
      </c>
      <c r="G4" s="185">
        <f>ATL!F$2</f>
        <v>3289.795212425016</v>
      </c>
      <c r="H4" s="185">
        <f>ATL!G$2</f>
        <v>16.810781356444785</v>
      </c>
      <c r="I4" s="185">
        <f>ATL!H$2</f>
        <v>8.0473601831645905</v>
      </c>
      <c r="J4" s="185">
        <f>ATL!I$2</f>
        <v>30.373596275357116</v>
      </c>
      <c r="K4" s="185">
        <f>ATL!J$2</f>
        <v>182.40966705779738</v>
      </c>
      <c r="L4" s="185">
        <f>ATL!K$2</f>
        <v>1.359585713984468</v>
      </c>
      <c r="M4" s="185">
        <f t="shared" si="0"/>
        <v>213.16237463771944</v>
      </c>
      <c r="N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209.13869454613715</v>
      </c>
      <c r="O4" s="187">
        <v>4.1586617123562934</v>
      </c>
    </row>
    <row r="5" spans="1:15" x14ac:dyDescent="0.3">
      <c r="A5" s="183">
        <f>IF(TableQBMaster[[#This Row],[Player]]&lt;&gt;0,A4+1,A4)</f>
        <v>4</v>
      </c>
      <c r="B5" s="184" t="str">
        <f>ATL!A$3</f>
        <v>Desmond Ridder</v>
      </c>
      <c r="C5" s="184" t="s">
        <v>138</v>
      </c>
      <c r="D5" s="184">
        <f>ATL!C$3</f>
        <v>14</v>
      </c>
      <c r="E5" s="185">
        <f>ATL!D$3</f>
        <v>194.17149000000003</v>
      </c>
      <c r="F5" s="185">
        <f>ATL!E$3</f>
        <v>117.12286686057021</v>
      </c>
      <c r="G5" s="185">
        <f>ATL!F$3</f>
        <v>1323.4883955244434</v>
      </c>
      <c r="H5" s="185">
        <f>ATL!G$3</f>
        <v>7.0111129962407857</v>
      </c>
      <c r="I5" s="185">
        <f>ATL!H$3</f>
        <v>2.9081830254177503</v>
      </c>
      <c r="J5" s="185">
        <f>ATL!I$3</f>
        <v>17.640769971000349</v>
      </c>
      <c r="K5" s="185">
        <f>ATL!J$3</f>
        <v>82.55534517571256</v>
      </c>
      <c r="L5" s="185">
        <f>ATL!K$3</f>
        <v>0.65767453134186415</v>
      </c>
      <c r="M5" s="185">
        <f t="shared" si="0"/>
        <v>88.823294973436703</v>
      </c>
      <c r="N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87.369203460727817</v>
      </c>
      <c r="O5" s="187">
        <v>0</v>
      </c>
    </row>
    <row r="6" spans="1:15" x14ac:dyDescent="0.3">
      <c r="A6" s="183">
        <f>IF(TableQBMaster[[#This Row],[Player]]&lt;&gt;0,A5+1,A5)</f>
        <v>5</v>
      </c>
      <c r="B6" s="184" t="str">
        <f>BAL!A$2</f>
        <v>Lamar Jackson</v>
      </c>
      <c r="C6" s="184" t="s">
        <v>139</v>
      </c>
      <c r="D6" s="184">
        <f>BAL!C$2</f>
        <v>10</v>
      </c>
      <c r="E6" s="185">
        <f>BAL!D$2</f>
        <v>494.6515</v>
      </c>
      <c r="F6" s="185">
        <f>BAL!E$2</f>
        <v>321.06154047054855</v>
      </c>
      <c r="G6" s="185">
        <f>BAL!F$2</f>
        <v>3615.1529456983767</v>
      </c>
      <c r="H6" s="185">
        <f>BAL!G$2</f>
        <v>30.308209420419782</v>
      </c>
      <c r="I6" s="185">
        <f>BAL!H$2</f>
        <v>9.4681371888136034</v>
      </c>
      <c r="J6" s="185">
        <f>BAL!I$2</f>
        <v>173.58438227729116</v>
      </c>
      <c r="K6" s="185">
        <f>BAL!J$2</f>
        <v>1025.8836992587908</v>
      </c>
      <c r="L6" s="185">
        <f>BAL!K$2</f>
        <v>5.3811158505960259</v>
      </c>
      <c r="M6" s="185">
        <f t="shared" si="0"/>
        <v>386.51181475584906</v>
      </c>
      <c r="N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381.77774616144228</v>
      </c>
      <c r="O6" s="187">
        <v>14.529245789940152</v>
      </c>
    </row>
    <row r="7" spans="1:15" x14ac:dyDescent="0.3">
      <c r="A7" s="183">
        <f>IF(TableQBMaster[[#This Row],[Player]]&lt;&gt;0,A6+1,A6)</f>
        <v>6</v>
      </c>
      <c r="B7" s="184" t="str">
        <f>BAL!A$3</f>
        <v>Tyler Huntley</v>
      </c>
      <c r="C7" s="184" t="s">
        <v>139</v>
      </c>
      <c r="D7" s="184">
        <f>BAL!C$3</f>
        <v>10</v>
      </c>
      <c r="E7" s="185">
        <f>BAL!D$3</f>
        <v>15.298500000000013</v>
      </c>
      <c r="F7" s="185">
        <f>BAL!E$3</f>
        <v>9.9622404650199137</v>
      </c>
      <c r="G7" s="185">
        <f>BAL!F$3</f>
        <v>101.71447514785332</v>
      </c>
      <c r="H7" s="185">
        <f>BAL!G$3</f>
        <v>0.51006671180901964</v>
      </c>
      <c r="I7" s="185">
        <f>BAL!H$3</f>
        <v>0.2004626835029093</v>
      </c>
      <c r="J7" s="185">
        <f>BAL!I$3</f>
        <v>9.7713062871322851</v>
      </c>
      <c r="K7" s="185">
        <f>BAL!J$3</f>
        <v>59.409542225764291</v>
      </c>
      <c r="L7" s="185">
        <f>BAL!K$3</f>
        <v>0.14656959430698427</v>
      </c>
      <c r="M7" s="185">
        <f t="shared" si="0"/>
        <v>12.628523616314181</v>
      </c>
      <c r="N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12.528292274562727</v>
      </c>
      <c r="O7" s="187">
        <v>0</v>
      </c>
    </row>
    <row r="8" spans="1:15" x14ac:dyDescent="0.3">
      <c r="A8" s="183">
        <f>IF(TableQBMaster[[#This Row],[Player]]&lt;&gt;0,A7+1,A7)</f>
        <v>7</v>
      </c>
      <c r="B8" s="184" t="str">
        <f>BUF!A$2</f>
        <v>Josh Allen</v>
      </c>
      <c r="C8" s="184" t="s">
        <v>140</v>
      </c>
      <c r="D8" s="184">
        <f>BUF!C$2</f>
        <v>7</v>
      </c>
      <c r="E8" s="185">
        <f>BUF!D$2</f>
        <v>651.94629884999995</v>
      </c>
      <c r="F8" s="185">
        <f>BUF!E$2</f>
        <v>420.11444548436134</v>
      </c>
      <c r="G8" s="185">
        <f>BUF!F$2</f>
        <v>4659.0692004215671</v>
      </c>
      <c r="H8" s="185">
        <f>BUF!G$2</f>
        <v>37.390185648108158</v>
      </c>
      <c r="I8" s="185">
        <f>BUF!H$2</f>
        <v>10.126478057632715</v>
      </c>
      <c r="J8" s="185">
        <f>BUF!I$2</f>
        <v>120.56485053562976</v>
      </c>
      <c r="K8" s="185">
        <f>BUF!J$2</f>
        <v>700.66180489306487</v>
      </c>
      <c r="L8" s="185">
        <f>BUF!K$2</f>
        <v>6.0282425267814883</v>
      </c>
      <c r="M8" s="185">
        <f t="shared" si="0"/>
        <v>426.96942917284161</v>
      </c>
      <c r="N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421.90619014402529</v>
      </c>
      <c r="O8" s="187">
        <v>23.688618937110689</v>
      </c>
    </row>
    <row r="9" spans="1:15" x14ac:dyDescent="0.3">
      <c r="A9" s="183">
        <f>IF(TableQBMaster[[#This Row],[Player]]&lt;&gt;0,A8+1,A8)</f>
        <v>8</v>
      </c>
      <c r="B9" s="184" t="str">
        <f>BUF!A$3</f>
        <v>Case Keenum</v>
      </c>
      <c r="C9" s="184" t="s">
        <v>140</v>
      </c>
      <c r="D9" s="184">
        <f>BUF!C$3</f>
        <v>7</v>
      </c>
      <c r="E9" s="185">
        <f>BUF!D$3</f>
        <v>6.5853161500000059</v>
      </c>
      <c r="F9" s="185">
        <f>BUF!E$3</f>
        <v>4.368299701908632</v>
      </c>
      <c r="G9" s="185">
        <f>BUF!F$3</f>
        <v>46.260293843212409</v>
      </c>
      <c r="H9" s="185">
        <f>BUF!G$3</f>
        <v>0.37200896910894371</v>
      </c>
      <c r="I9" s="185">
        <f>BUF!H$3</f>
        <v>0.10583638724706224</v>
      </c>
      <c r="J9" s="185">
        <f>BUF!I$3</f>
        <v>0.83370743920929435</v>
      </c>
      <c r="K9" s="185">
        <f>BUF!J$3</f>
        <v>3.2014365665636904</v>
      </c>
      <c r="L9" s="185">
        <f>BUF!K$3</f>
        <v>0</v>
      </c>
      <c r="M9" s="185">
        <f t="shared" si="0"/>
        <v>3.499836705950047</v>
      </c>
      <c r="N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3.446918512326516</v>
      </c>
      <c r="O9" s="187">
        <v>0</v>
      </c>
    </row>
    <row r="10" spans="1:15" x14ac:dyDescent="0.3">
      <c r="A10" s="183">
        <f>IF(TableQBMaster[[#This Row],[Player]]&lt;&gt;0,A9+1,A9)</f>
        <v>9</v>
      </c>
      <c r="B10" s="184" t="str">
        <f>CAR!A$2</f>
        <v>Sam Darnold</v>
      </c>
      <c r="C10" s="184" t="s">
        <v>141</v>
      </c>
      <c r="D10" s="184">
        <f>CAR!C$2</f>
        <v>13</v>
      </c>
      <c r="E10" s="185">
        <f>CAR!D$2</f>
        <v>437.03593849999987</v>
      </c>
      <c r="F10" s="185">
        <f>CAR!E$2</f>
        <v>269.6511740544999</v>
      </c>
      <c r="G10" s="185">
        <f>CAR!F$2</f>
        <v>2904.1431445669637</v>
      </c>
      <c r="H10" s="185">
        <f>CAR!G$2</f>
        <v>11.835034186481824</v>
      </c>
      <c r="I10" s="185">
        <f>CAR!H$2</f>
        <v>8.1900632541385381</v>
      </c>
      <c r="J10" s="185">
        <f>CAR!I$2</f>
        <v>40.507422682692706</v>
      </c>
      <c r="K10" s="185">
        <f>CAR!J$2</f>
        <v>178.23265980384792</v>
      </c>
      <c r="L10" s="185">
        <f>CAR!K$2</f>
        <v>2.9026693253343501</v>
      </c>
      <c r="M10" s="185">
        <f t="shared" si="0"/>
        <v>186.46004957978894</v>
      </c>
      <c r="N1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182.36501795271968</v>
      </c>
      <c r="O10" s="187">
        <v>0</v>
      </c>
    </row>
    <row r="11" spans="1:15" x14ac:dyDescent="0.3">
      <c r="A11" s="183">
        <f>IF(TableQBMaster[[#This Row],[Player]]&lt;&gt;0,A10+1,A10)</f>
        <v>10</v>
      </c>
      <c r="B11" s="184" t="str">
        <f>CAR!A$3</f>
        <v>Matt Corral</v>
      </c>
      <c r="C11" s="184" t="s">
        <v>141</v>
      </c>
      <c r="D11" s="184">
        <f>CAR!C$3</f>
        <v>13</v>
      </c>
      <c r="E11" s="185">
        <f>CAR!D$3</f>
        <v>187.30111649999998</v>
      </c>
      <c r="F11" s="185">
        <f>CAR!E$3</f>
        <v>115.75208999699998</v>
      </c>
      <c r="G11" s="185">
        <f>CAR!F$3</f>
        <v>1222.5798242202841</v>
      </c>
      <c r="H11" s="185">
        <f>CAR!G$3</f>
        <v>6.17211809198397</v>
      </c>
      <c r="I11" s="185">
        <f>CAR!H$3</f>
        <v>3.083215315079495</v>
      </c>
      <c r="J11" s="185">
        <f>CAR!I$3</f>
        <v>12.204496060476657</v>
      </c>
      <c r="K11" s="185">
        <f>CAR!J$3</f>
        <v>54.554097390330654</v>
      </c>
      <c r="L11" s="185">
        <f>CAR!K$3</f>
        <v>0.52019163536457891</v>
      </c>
      <c r="M11" s="185">
        <f t="shared" si="0"/>
        <v>77.543401915348539</v>
      </c>
      <c r="N1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76.001794257808797</v>
      </c>
      <c r="O11" s="187">
        <v>0</v>
      </c>
    </row>
    <row r="12" spans="1:15" x14ac:dyDescent="0.3">
      <c r="A12" s="183">
        <f>IF(TableQBMaster[[#This Row],[Player]]&lt;&gt;0,A11+1,A11)</f>
        <v>11</v>
      </c>
      <c r="B12" s="184" t="str">
        <f>CHI!A$2</f>
        <v>Justin Fields</v>
      </c>
      <c r="C12" s="184" t="s">
        <v>142</v>
      </c>
      <c r="D12" s="184">
        <f>CHI!C$2</f>
        <v>14</v>
      </c>
      <c r="E12" s="185">
        <f>CHI!D$2</f>
        <v>555.81244349999997</v>
      </c>
      <c r="F12" s="185">
        <f>CHI!E$2</f>
        <v>346.82696474400001</v>
      </c>
      <c r="G12" s="185">
        <f>CHI!F$2</f>
        <v>3880.99373548536</v>
      </c>
      <c r="H12" s="185">
        <f>CHI!G$2</f>
        <v>19.769136990408001</v>
      </c>
      <c r="I12" s="185">
        <f>CHI!H$2</f>
        <v>10.242241068988218</v>
      </c>
      <c r="J12" s="185">
        <f>CHI!I$2</f>
        <v>116.82231299571052</v>
      </c>
      <c r="K12" s="185">
        <f>CHI!J$2</f>
        <v>620.32648200722281</v>
      </c>
      <c r="L12" s="185">
        <f>CHI!K$2</f>
        <v>5.6074710237941048</v>
      </c>
      <c r="M12" s="185">
        <f t="shared" si="0"/>
        <v>314.630410121051</v>
      </c>
      <c r="N1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309.50928958655686</v>
      </c>
      <c r="O12" s="187">
        <v>0</v>
      </c>
    </row>
    <row r="13" spans="1:15" x14ac:dyDescent="0.3">
      <c r="A13" s="183">
        <f>IF(TableQBMaster[[#This Row],[Player]]&lt;&gt;0,A12+1,A12)</f>
        <v>12</v>
      </c>
      <c r="B13" s="184" t="str">
        <f>CHI!A$3</f>
        <v>Trevor Siemian</v>
      </c>
      <c r="C13" s="184" t="s">
        <v>142</v>
      </c>
      <c r="D13" s="184">
        <f>CHI!C$3</f>
        <v>14</v>
      </c>
      <c r="E13" s="185">
        <f>CHI!D$3</f>
        <v>29.253286500000026</v>
      </c>
      <c r="F13" s="185">
        <f>CHI!E$3</f>
        <v>17.79251888947347</v>
      </c>
      <c r="G13" s="185">
        <f>CHI!F$3</f>
        <v>194.82808183973449</v>
      </c>
      <c r="H13" s="185">
        <f>CHI!G$3</f>
        <v>1.0766852442387023</v>
      </c>
      <c r="I13" s="185">
        <f>CHI!H$3</f>
        <v>0.47030335142688978</v>
      </c>
      <c r="J13" s="185">
        <f>CHI!I$3</f>
        <v>1.1053533923819034</v>
      </c>
      <c r="K13" s="185">
        <f>CHI!J$3</f>
        <v>3.4818631860029958</v>
      </c>
      <c r="L13" s="185">
        <f>CHI!K$3</f>
        <v>0</v>
      </c>
      <c r="M13" s="185">
        <f t="shared" si="0"/>
        <v>11.742595542004155</v>
      </c>
      <c r="N1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11.507443866290711</v>
      </c>
      <c r="O13" s="187">
        <v>0</v>
      </c>
    </row>
    <row r="14" spans="1:15" x14ac:dyDescent="0.3">
      <c r="A14" s="183">
        <f>IF(TableQBMaster[[#This Row],[Player]]&lt;&gt;0,A13+1,A13)</f>
        <v>13</v>
      </c>
      <c r="B14" s="184" t="str">
        <f>CIN!A$2</f>
        <v>Joe Burrow</v>
      </c>
      <c r="C14" s="184" t="s">
        <v>144</v>
      </c>
      <c r="D14" s="184">
        <f>CIN!C$2</f>
        <v>10</v>
      </c>
      <c r="E14" s="185">
        <f>CIN!D$2</f>
        <v>619.48004580000008</v>
      </c>
      <c r="F14" s="185">
        <f>CIN!E$2</f>
        <v>420.15831819475358</v>
      </c>
      <c r="G14" s="185">
        <f>CIN!F$2</f>
        <v>5130.1330651579419</v>
      </c>
      <c r="H14" s="185">
        <f>CIN!G$2</f>
        <v>37.394090319333067</v>
      </c>
      <c r="I14" s="185">
        <f>CIN!H$2</f>
        <v>9.9590801954200856</v>
      </c>
      <c r="J14" s="185">
        <f>CIN!I$2</f>
        <v>39.767721090205143</v>
      </c>
      <c r="K14" s="185">
        <f>CIN!J$2</f>
        <v>139.58470102662005</v>
      </c>
      <c r="L14" s="185">
        <f>CIN!K$2</f>
        <v>2.1433940800279623</v>
      </c>
      <c r="M14" s="185">
        <f t="shared" si="0"/>
        <v>366.66189817334958</v>
      </c>
      <c r="N1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361.68235807563957</v>
      </c>
      <c r="O14" s="187">
        <v>11.000501619200461</v>
      </c>
    </row>
    <row r="15" spans="1:15" x14ac:dyDescent="0.3">
      <c r="A15" s="183">
        <f>IF(TableQBMaster[[#This Row],[Player]]&lt;&gt;0,A14+1,A14)</f>
        <v>14</v>
      </c>
      <c r="B15" s="184" t="str">
        <f>CIN!A$3</f>
        <v>Brandon Allen</v>
      </c>
      <c r="C15" s="184" t="s">
        <v>144</v>
      </c>
      <c r="D15" s="184">
        <f>CIN!C$3</f>
        <v>10</v>
      </c>
      <c r="E15" s="185">
        <f>CIN!D$3</f>
        <v>6.2573742000000063</v>
      </c>
      <c r="F15" s="185">
        <f>CIN!E$3</f>
        <v>3.7397932164900691</v>
      </c>
      <c r="G15" s="185">
        <f>CIN!F$3</f>
        <v>37.933523311632968</v>
      </c>
      <c r="H15" s="185">
        <f>CIN!G$3</f>
        <v>0.26579311394416105</v>
      </c>
      <c r="I15" s="185">
        <f>CIN!H$3</f>
        <v>7.3323542490030577E-2</v>
      </c>
      <c r="J15" s="185">
        <f>CIN!I$3</f>
        <v>1.2330949218433878</v>
      </c>
      <c r="K15" s="185">
        <f>CIN!J$3</f>
        <v>4.1925227342675182</v>
      </c>
      <c r="L15" s="185">
        <f>CIN!K$3</f>
        <v>0</v>
      </c>
      <c r="M15" s="185">
        <f t="shared" si="0"/>
        <v>2.8897803479336686</v>
      </c>
      <c r="N1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2.8531185766886535</v>
      </c>
      <c r="O15" s="187">
        <v>0</v>
      </c>
    </row>
    <row r="16" spans="1:15" x14ac:dyDescent="0.3">
      <c r="A16" s="183">
        <f>IF(TableQBMaster[[#This Row],[Player]]&lt;&gt;0,A15+1,A15)</f>
        <v>15</v>
      </c>
      <c r="B16" s="184" t="str">
        <f>CLE!A$2</f>
        <v>Deshaun Watson</v>
      </c>
      <c r="C16" s="184" t="s">
        <v>145</v>
      </c>
      <c r="D16" s="184">
        <f>CLE!C$2</f>
        <v>9</v>
      </c>
      <c r="E16" s="185">
        <f>CLE!D$2</f>
        <v>276.77232000000004</v>
      </c>
      <c r="F16" s="185">
        <f>CLE!E$2</f>
        <v>182.45860618510085</v>
      </c>
      <c r="G16" s="185">
        <f>CLE!F$2</f>
        <v>2265.5017241412725</v>
      </c>
      <c r="H16" s="185">
        <f>CLE!G$2</f>
        <v>15.910359668620705</v>
      </c>
      <c r="I16" s="185">
        <f>CLE!H$2</f>
        <v>3.4538361548477265</v>
      </c>
      <c r="J16" s="185">
        <f>CLE!I$2</f>
        <v>86.013589908041283</v>
      </c>
      <c r="K16" s="185">
        <f>CLE!J$2</f>
        <v>390.12896754391994</v>
      </c>
      <c r="L16" s="185">
        <f>CLE!K$2</f>
        <v>4.214665905494023</v>
      </c>
      <c r="M16" s="185">
        <f t="shared" si="0"/>
        <v>213.38164559521823</v>
      </c>
      <c r="N1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211.65472751779441</v>
      </c>
      <c r="O16" s="187">
        <v>0</v>
      </c>
    </row>
    <row r="17" spans="1:15" x14ac:dyDescent="0.3">
      <c r="A17" s="183">
        <f>IF(TableQBMaster[[#This Row],[Player]]&lt;&gt;0,A16+1,A16)</f>
        <v>16</v>
      </c>
      <c r="B17" s="184" t="str">
        <f>CLE!A$3</f>
        <v>Jacoby Brissett</v>
      </c>
      <c r="C17" s="184" t="s">
        <v>145</v>
      </c>
      <c r="D17" s="184">
        <f>CLE!C$3</f>
        <v>9</v>
      </c>
      <c r="E17" s="185">
        <f>CLE!D$3</f>
        <v>276.77232000000004</v>
      </c>
      <c r="F17" s="185">
        <f>CLE!E$3</f>
        <v>173.81301696000003</v>
      </c>
      <c r="G17" s="185">
        <f>CLE!F$3</f>
        <v>1873.7043228288003</v>
      </c>
      <c r="H17" s="185">
        <f>CLE!G$3</f>
        <v>14.339573899200003</v>
      </c>
      <c r="I17" s="185">
        <f>CLE!H$3</f>
        <v>3.2976447285908996</v>
      </c>
      <c r="J17" s="185">
        <f>CLE!I$3</f>
        <v>13.357889761858702</v>
      </c>
      <c r="K17" s="185">
        <f>CLE!J$3</f>
        <v>53.707767100346274</v>
      </c>
      <c r="L17" s="185">
        <f>CLE!K$3</f>
        <v>0.59275342048080326</v>
      </c>
      <c r="M17" s="185">
        <f t="shared" si="0"/>
        <v>136.28729864998513</v>
      </c>
      <c r="N1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134.63847628568968</v>
      </c>
      <c r="O17" s="187">
        <v>0</v>
      </c>
    </row>
    <row r="18" spans="1:15" x14ac:dyDescent="0.3">
      <c r="A18" s="183">
        <f>IF(TableQBMaster[[#This Row],[Player]]&lt;&gt;0,A17+1,A17)</f>
        <v>17</v>
      </c>
      <c r="B18" s="184" t="str">
        <f>DAL!A$2</f>
        <v>Dak Prescott</v>
      </c>
      <c r="C18" s="184" t="s">
        <v>146</v>
      </c>
      <c r="D18" s="184">
        <f>DAL!C$2</f>
        <v>9</v>
      </c>
      <c r="E18" s="185">
        <f>DAL!D$2</f>
        <v>626.92223999999999</v>
      </c>
      <c r="F18" s="185">
        <f>DAL!E$2</f>
        <v>420.80921620897954</v>
      </c>
      <c r="G18" s="185">
        <f>DAL!F$2</f>
        <v>4633.1094704608649</v>
      </c>
      <c r="H18" s="185">
        <f>DAL!G$2</f>
        <v>33.117685315646689</v>
      </c>
      <c r="I18" s="185">
        <f>DAL!H$2</f>
        <v>8.2662984259280616</v>
      </c>
      <c r="J18" s="185">
        <f>DAL!I$2</f>
        <v>51.335939219324352</v>
      </c>
      <c r="K18" s="185">
        <f>DAL!J$2</f>
        <v>186.94156246984693</v>
      </c>
      <c r="L18" s="185">
        <f>DAL!K$2</f>
        <v>2.4121462502255273</v>
      </c>
      <c r="M18" s="185">
        <f t="shared" si="0"/>
        <v>338.56270619046711</v>
      </c>
      <c r="N1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334.42955697750307</v>
      </c>
      <c r="O18" s="187">
        <v>14.963176810803908</v>
      </c>
    </row>
    <row r="19" spans="1:15" x14ac:dyDescent="0.3">
      <c r="A19" s="183">
        <f>IF(TableQBMaster[[#This Row],[Player]]&lt;&gt;0,A18+1,A18)</f>
        <v>18</v>
      </c>
      <c r="B19" s="184" t="str">
        <f>DAL!A$3</f>
        <v>Cooper Rush</v>
      </c>
      <c r="C19" s="184" t="s">
        <v>146</v>
      </c>
      <c r="D19" s="184">
        <f>DAL!C$3</f>
        <v>9</v>
      </c>
      <c r="E19" s="185">
        <f>DAL!D$3</f>
        <v>26.121760000000023</v>
      </c>
      <c r="F19" s="185">
        <f>DAL!E$3</f>
        <v>16.386720373160585</v>
      </c>
      <c r="G19" s="185">
        <f>DAL!F$3</f>
        <v>176.6488456226711</v>
      </c>
      <c r="H19" s="185">
        <f>DAL!G$3</f>
        <v>1.2126173076138833</v>
      </c>
      <c r="I19" s="185">
        <f>DAL!H$3</f>
        <v>0.41448317241876798</v>
      </c>
      <c r="J19" s="185">
        <f>DAL!I$3</f>
        <v>4.201530115026606</v>
      </c>
      <c r="K19" s="185">
        <f>DAL!J$3</f>
        <v>11.753271204741239</v>
      </c>
      <c r="L19" s="185">
        <f>DAL!K$3</f>
        <v>0</v>
      </c>
      <c r="M19" s="185">
        <f t="shared" si="0"/>
        <v>12.470025417208349</v>
      </c>
      <c r="N1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12.262783830998966</v>
      </c>
      <c r="O19" s="187">
        <v>0</v>
      </c>
    </row>
    <row r="20" spans="1:15" x14ac:dyDescent="0.3">
      <c r="A20" s="183">
        <f>IF(TableQBMaster[[#This Row],[Player]]&lt;&gt;0,A19+1,A19)</f>
        <v>19</v>
      </c>
      <c r="B20" s="184" t="str">
        <f>DEN!A$2</f>
        <v>Russell Wilson</v>
      </c>
      <c r="C20" s="184" t="s">
        <v>147</v>
      </c>
      <c r="D20" s="184">
        <f>DEN!C$2</f>
        <v>9</v>
      </c>
      <c r="E20" s="185">
        <f>DEN!D$2</f>
        <v>578.71428439999988</v>
      </c>
      <c r="F20" s="185">
        <f>DEN!E$2</f>
        <v>379.63657056639994</v>
      </c>
      <c r="G20" s="185">
        <f>DEN!F$2</f>
        <v>4352.5105903618705</v>
      </c>
      <c r="H20" s="185">
        <f>DEN!G$2</f>
        <v>31.927435584634232</v>
      </c>
      <c r="I20" s="185">
        <f>DEN!H$2</f>
        <v>7.2440794789437346</v>
      </c>
      <c r="J20" s="185">
        <f>DEN!I$2</f>
        <v>50.729726711340213</v>
      </c>
      <c r="K20" s="185">
        <f>DEN!J$2</f>
        <v>231.84326106246735</v>
      </c>
      <c r="L20" s="185">
        <f>DEN!K$2</f>
        <v>1.7964011331592831</v>
      </c>
      <c r="M20" s="185">
        <f t="shared" si="0"/>
        <v>324.90677963979857</v>
      </c>
      <c r="N2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321.28473990032666</v>
      </c>
      <c r="O20" s="187">
        <v>0</v>
      </c>
    </row>
    <row r="21" spans="1:15" x14ac:dyDescent="0.3">
      <c r="A21" s="183">
        <f>IF(TableQBMaster[[#This Row],[Player]]&lt;&gt;0,A20+1,A20)</f>
        <v>20</v>
      </c>
      <c r="B21" s="184" t="str">
        <f>DEN!A$3</f>
        <v>Brett Rypien</v>
      </c>
      <c r="C21" s="184" t="s">
        <v>147</v>
      </c>
      <c r="D21" s="184">
        <f>DEN!C$3</f>
        <v>9</v>
      </c>
      <c r="E21" s="185">
        <f>DEN!D$3</f>
        <v>11.810495600000008</v>
      </c>
      <c r="F21" s="185">
        <f>DEN!E$3</f>
        <v>6.9515781757767527</v>
      </c>
      <c r="G21" s="185">
        <f>DEN!F$3</f>
        <v>78.701206541874527</v>
      </c>
      <c r="H21" s="185">
        <f>DEN!G$3</f>
        <v>0.57698098858947056</v>
      </c>
      <c r="I21" s="185">
        <f>DEN!H$3</f>
        <v>0.16826705791652816</v>
      </c>
      <c r="J21" s="185">
        <f>DEN!I$3</f>
        <v>0.8002451711914611</v>
      </c>
      <c r="K21" s="185">
        <f>DEN!J$3</f>
        <v>2.9258964071687799</v>
      </c>
      <c r="L21" s="185">
        <f>DEN!K$3</f>
        <v>2.5007661599733166E-2</v>
      </c>
      <c r="M21" s="185">
        <f t="shared" si="0"/>
        <v>5.6462072394733491</v>
      </c>
      <c r="N2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5.5620737105150848</v>
      </c>
      <c r="O21" s="187">
        <v>0</v>
      </c>
    </row>
    <row r="22" spans="1:15" x14ac:dyDescent="0.3">
      <c r="A22" s="183">
        <f>IF(TableQBMaster[[#This Row],[Player]]&lt;&gt;0,A21+1,A21)</f>
        <v>21</v>
      </c>
      <c r="B22" s="184" t="str">
        <f>DET!A$2</f>
        <v>Jared Goff</v>
      </c>
      <c r="C22" s="184" t="s">
        <v>148</v>
      </c>
      <c r="D22" s="184">
        <f>DET!C$2</f>
        <v>6</v>
      </c>
      <c r="E22" s="185">
        <f>DET!D$2</f>
        <v>613.66644539999993</v>
      </c>
      <c r="F22" s="185">
        <f>DET!E$2</f>
        <v>400.72418884619998</v>
      </c>
      <c r="G22" s="185">
        <f>DET!F$2</f>
        <v>4151.5025964466313</v>
      </c>
      <c r="H22" s="185">
        <f>DET!G$2</f>
        <v>24.8448997084644</v>
      </c>
      <c r="I22" s="185">
        <f>DET!H$2</f>
        <v>10.819553098847399</v>
      </c>
      <c r="J22" s="185">
        <f>DET!I$2</f>
        <v>22.631872773843334</v>
      </c>
      <c r="K22" s="185">
        <f>DET!J$2</f>
        <v>91.865059811952278</v>
      </c>
      <c r="L22" s="185">
        <f>DET!K$2</f>
        <v>0.86001116540604672</v>
      </c>
      <c r="M22" s="185">
        <f t="shared" si="0"/>
        <v>263.55694601708325</v>
      </c>
      <c r="N2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258.14716946765958</v>
      </c>
      <c r="O22" s="187">
        <v>0</v>
      </c>
    </row>
    <row r="23" spans="1:15" x14ac:dyDescent="0.3">
      <c r="A23" s="183">
        <f>IF(TableQBMaster[[#This Row],[Player]]&lt;&gt;0,A22+1,A22)</f>
        <v>22</v>
      </c>
      <c r="B23" s="184" t="str">
        <f>DET!A$3</f>
        <v>Tim Boyle</v>
      </c>
      <c r="C23" s="184" t="s">
        <v>148</v>
      </c>
      <c r="D23" s="184">
        <f>DET!C$3</f>
        <v>6</v>
      </c>
      <c r="E23" s="185">
        <f>DET!D$3</f>
        <v>18.979374600000014</v>
      </c>
      <c r="F23" s="185">
        <f>DET!E$3</f>
        <v>12.097806291208267</v>
      </c>
      <c r="G23" s="185">
        <f>DET!F$3</f>
        <v>123.15566804450015</v>
      </c>
      <c r="H23" s="185">
        <f>DET!G$3</f>
        <v>0.68957495859887119</v>
      </c>
      <c r="I23" s="185">
        <f>DET!H$3</f>
        <v>0.30204703770224323</v>
      </c>
      <c r="J23" s="185">
        <f>DET!I$3</f>
        <v>1.2005104412077487</v>
      </c>
      <c r="K23" s="185">
        <f>DET!J$3</f>
        <v>4.0517227390761521</v>
      </c>
      <c r="L23" s="185">
        <f>DET!K$3</f>
        <v>0</v>
      </c>
      <c r="M23" s="185">
        <f t="shared" si="0"/>
        <v>7.6366282735297419</v>
      </c>
      <c r="N2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7.4856047546786204</v>
      </c>
      <c r="O23" s="187">
        <v>0</v>
      </c>
    </row>
    <row r="24" spans="1:15" x14ac:dyDescent="0.3">
      <c r="A24" s="183">
        <f>IF(TableQBMaster[[#This Row],[Player]]&lt;&gt;0,A23+1,A23)</f>
        <v>23</v>
      </c>
      <c r="B24" s="184" t="str">
        <f>GB!A$2</f>
        <v>Aaron Rodgers</v>
      </c>
      <c r="C24" s="184" t="s">
        <v>149</v>
      </c>
      <c r="D24" s="184">
        <f>GB!C$2</f>
        <v>14</v>
      </c>
      <c r="E24" s="185">
        <f>GB!D$2</f>
        <v>586.58033609999995</v>
      </c>
      <c r="F24" s="185">
        <f>GB!E$2</f>
        <v>398.65738050458367</v>
      </c>
      <c r="G24" s="185">
        <f>GB!F$2</f>
        <v>4425.0969236008787</v>
      </c>
      <c r="H24" s="185">
        <f>GB!G$2</f>
        <v>36.317687363967572</v>
      </c>
      <c r="I24" s="185">
        <f>GB!H$2</f>
        <v>5.2972066548580266</v>
      </c>
      <c r="J24" s="185">
        <f>GB!I$2</f>
        <v>32.153089215713266</v>
      </c>
      <c r="K24" s="185">
        <f>GB!J$2</f>
        <v>119.28796099029621</v>
      </c>
      <c r="L24" s="185">
        <f>GB!K$2</f>
        <v>2.2329541101329613</v>
      </c>
      <c r="M24" s="185">
        <f t="shared" si="0"/>
        <v>339.6553371774458</v>
      </c>
      <c r="N2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337.00673385001676</v>
      </c>
      <c r="O24" s="187">
        <v>16.118099546479993</v>
      </c>
    </row>
    <row r="25" spans="1:15" x14ac:dyDescent="0.3">
      <c r="A25" s="183">
        <f>IF(TableQBMaster[[#This Row],[Player]]&lt;&gt;0,A24+1,A24)</f>
        <v>24</v>
      </c>
      <c r="B25" s="184" t="str">
        <f>GB!A$3</f>
        <v>Jordan Love</v>
      </c>
      <c r="C25" s="184" t="s">
        <v>149</v>
      </c>
      <c r="D25" s="184">
        <f>GB!C$3</f>
        <v>14</v>
      </c>
      <c r="E25" s="185">
        <f>GB!D$3</f>
        <v>5.9250539000000044</v>
      </c>
      <c r="F25" s="185">
        <f>GB!E$3</f>
        <v>3.6012734522123306</v>
      </c>
      <c r="G25" s="185">
        <f>GB!F$3</f>
        <v>39.28989336363653</v>
      </c>
      <c r="H25" s="185">
        <f>GB!G$3</f>
        <v>0.30854834661250868</v>
      </c>
      <c r="I25" s="185">
        <f>GB!H$3</f>
        <v>0.10502073286668255</v>
      </c>
      <c r="J25" s="185">
        <f>GB!I$3</f>
        <v>2.7249439991546445</v>
      </c>
      <c r="K25" s="185">
        <f>GB!J$3</f>
        <v>11.639760789049562</v>
      </c>
      <c r="L25" s="185">
        <f>GB!K$3</f>
        <v>5.9998766953863726E-2</v>
      </c>
      <c r="M25" s="185">
        <f t="shared" si="0"/>
        <v>4.172226702323611</v>
      </c>
      <c r="N2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4.1197163358902698</v>
      </c>
      <c r="O25" s="187">
        <v>0</v>
      </c>
    </row>
    <row r="26" spans="1:15" x14ac:dyDescent="0.3">
      <c r="A26" s="183">
        <f>IF(TableQBMaster[[#This Row],[Player]]&lt;&gt;0,A25+1,A25)</f>
        <v>25</v>
      </c>
      <c r="B26" s="184" t="str">
        <f>HOU!A$3</f>
        <v>Kyle Allen</v>
      </c>
      <c r="C26" s="184" t="s">
        <v>150</v>
      </c>
      <c r="D26" s="184">
        <f>HOU!C$3</f>
        <v>6</v>
      </c>
      <c r="E26" s="185">
        <f>HOU!D$3</f>
        <v>29.936400000000024</v>
      </c>
      <c r="F26" s="185">
        <f>HOU!E$3</f>
        <v>18.974355444102056</v>
      </c>
      <c r="G26" s="185">
        <f>HOU!F$3</f>
        <v>213.40380725291624</v>
      </c>
      <c r="H26" s="185">
        <f>HOU!G$3</f>
        <v>1.1574356820902254</v>
      </c>
      <c r="I26" s="185">
        <f>HOU!H$3</f>
        <v>0.51418792644611722</v>
      </c>
      <c r="J26" s="185">
        <f>HOU!I$3</f>
        <v>0.89975188546224483</v>
      </c>
      <c r="K26" s="185">
        <f>HOU!J$3</f>
        <v>3.572014985285112</v>
      </c>
      <c r="L26" s="185">
        <f>HOU!K$3</f>
        <v>0</v>
      </c>
      <c r="M26" s="185">
        <f t="shared" si="0"/>
        <v>12.751814627336888</v>
      </c>
      <c r="N2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12.49472066411383</v>
      </c>
      <c r="O26" s="187">
        <v>0</v>
      </c>
    </row>
    <row r="27" spans="1:15" x14ac:dyDescent="0.3">
      <c r="A27" s="183">
        <f>IF(TableQBMaster[[#This Row],[Player]]&lt;&gt;0,A26+1,A26)</f>
        <v>26</v>
      </c>
      <c r="B27" s="184" t="str">
        <f>HOU!A$2</f>
        <v>Davis Mills</v>
      </c>
      <c r="C27" s="184" t="s">
        <v>150</v>
      </c>
      <c r="D27" s="184">
        <f>HOU!C$2</f>
        <v>6</v>
      </c>
      <c r="E27" s="185">
        <f>HOU!D$2</f>
        <v>568.7915999999999</v>
      </c>
      <c r="F27" s="185">
        <f>HOU!E$2</f>
        <v>373.5977168634646</v>
      </c>
      <c r="G27" s="185">
        <f>HOU!F$2</f>
        <v>3945.1918900781861</v>
      </c>
      <c r="H27" s="185">
        <f>HOU!G$2</f>
        <v>22.154344610003449</v>
      </c>
      <c r="I27" s="185">
        <f>HOU!H$2</f>
        <v>9.3473719545889082</v>
      </c>
      <c r="J27" s="185">
        <f>HOU!I$2</f>
        <v>20.987462521644744</v>
      </c>
      <c r="K27" s="185">
        <f>HOU!J$2</f>
        <v>77.750759540607561</v>
      </c>
      <c r="L27" s="185">
        <f>HOU!K$2</f>
        <v>0.45167544650204683</v>
      </c>
      <c r="M27" s="185">
        <f t="shared" si="0"/>
        <v>242.8891247443309</v>
      </c>
      <c r="N2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238.21543876703646</v>
      </c>
      <c r="O27" s="187">
        <v>0</v>
      </c>
    </row>
    <row r="28" spans="1:15" x14ac:dyDescent="0.3">
      <c r="A28" s="183">
        <f>IF(TableQBMaster[[#This Row],[Player]]&lt;&gt;0,A27+1,A27)</f>
        <v>26</v>
      </c>
      <c r="B28" s="184">
        <f>HOU!A$4</f>
        <v>0</v>
      </c>
      <c r="C28" s="184" t="s">
        <v>150</v>
      </c>
      <c r="D28" s="184">
        <f>HOU!C$4</f>
        <v>6</v>
      </c>
      <c r="E28" s="185">
        <f>HOU!D$4</f>
        <v>0</v>
      </c>
      <c r="F28" s="185">
        <f>HOU!E$4</f>
        <v>0</v>
      </c>
      <c r="G28" s="185">
        <f>HOU!F$4</f>
        <v>0</v>
      </c>
      <c r="H28" s="185">
        <f>HOU!G$4</f>
        <v>0</v>
      </c>
      <c r="I28" s="185">
        <f>HOU!H$4</f>
        <v>0</v>
      </c>
      <c r="J28" s="185">
        <f>HOU!I$4</f>
        <v>0</v>
      </c>
      <c r="K28" s="185">
        <f>HOU!J$4</f>
        <v>0</v>
      </c>
      <c r="L28" s="185">
        <f>HOU!K$4</f>
        <v>0</v>
      </c>
      <c r="M28" s="185">
        <f t="shared" si="0"/>
        <v>0</v>
      </c>
      <c r="N2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28" s="187">
        <v>0</v>
      </c>
    </row>
    <row r="29" spans="1:15" x14ac:dyDescent="0.3">
      <c r="A29" s="183">
        <f>IF(TableQBMaster[[#This Row],[Player]]&lt;&gt;0,A28+1,A28)</f>
        <v>27</v>
      </c>
      <c r="B29" s="184" t="str">
        <f>IND!A$2</f>
        <v>Matt Ryan</v>
      </c>
      <c r="C29" s="184" t="s">
        <v>151</v>
      </c>
      <c r="D29" s="184">
        <f>IND!C$2</f>
        <v>14</v>
      </c>
      <c r="E29" s="185">
        <f>IND!D$2</f>
        <v>556.94066400000008</v>
      </c>
      <c r="F29" s="185">
        <f>IND!E$2</f>
        <v>369.25166023200006</v>
      </c>
      <c r="G29" s="185">
        <f>IND!F$2</f>
        <v>4176.2362772239212</v>
      </c>
      <c r="H29" s="185">
        <f>IND!G$2</f>
        <v>25.847616216240006</v>
      </c>
      <c r="I29" s="185">
        <f>IND!H$2</f>
        <v>8.2227669554099254</v>
      </c>
      <c r="J29" s="185">
        <f>IND!I$2</f>
        <v>36.297072469025615</v>
      </c>
      <c r="K29" s="185">
        <f>IND!J$2</f>
        <v>109.61715885645735</v>
      </c>
      <c r="L29" s="185">
        <f>IND!K$2</f>
        <v>1.9680104549167567</v>
      </c>
      <c r="M29" s="185">
        <f t="shared" si="0"/>
        <v>280.87554413594825</v>
      </c>
      <c r="N2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276.76416065824327</v>
      </c>
      <c r="O29" s="187">
        <v>0</v>
      </c>
    </row>
    <row r="30" spans="1:15" x14ac:dyDescent="0.3">
      <c r="A30" s="183">
        <f>IF(TableQBMaster[[#This Row],[Player]]&lt;&gt;0,A29+1,A29)</f>
        <v>28</v>
      </c>
      <c r="B30" s="184" t="str">
        <f>IND!A$3</f>
        <v>Nick Foles</v>
      </c>
      <c r="C30" s="184" t="s">
        <v>151</v>
      </c>
      <c r="D30" s="184">
        <f>IND!C$3</f>
        <v>14</v>
      </c>
      <c r="E30" s="185">
        <f>IND!D$3</f>
        <v>11.366136000000012</v>
      </c>
      <c r="F30" s="185">
        <f>IND!E$3</f>
        <v>6.4297080014047188</v>
      </c>
      <c r="G30" s="185">
        <f>IND!F$3</f>
        <v>73.877344936140219</v>
      </c>
      <c r="H30" s="185">
        <f>IND!G$3</f>
        <v>0.44073270056188585</v>
      </c>
      <c r="I30" s="185">
        <f>IND!H$3</f>
        <v>0.13434948629437438</v>
      </c>
      <c r="J30" s="185">
        <f>IND!I$3</f>
        <v>0</v>
      </c>
      <c r="K30" s="185">
        <f>IND!J$3</f>
        <v>0</v>
      </c>
      <c r="L30" s="185">
        <f>IND!K$3</f>
        <v>0</v>
      </c>
      <c r="M30" s="185">
        <f t="shared" si="0"/>
        <v>4.51650037025159</v>
      </c>
      <c r="N3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4.449325627104403</v>
      </c>
      <c r="O30" s="187">
        <v>0</v>
      </c>
    </row>
    <row r="31" spans="1:15" x14ac:dyDescent="0.3">
      <c r="A31" s="183">
        <f>IF(TableQBMaster[[#This Row],[Player]]&lt;&gt;0,A30+1,A30)</f>
        <v>29</v>
      </c>
      <c r="B31" s="184" t="str">
        <f>JAX!A$2</f>
        <v>Trevor Lawrence</v>
      </c>
      <c r="C31" s="184" t="s">
        <v>170</v>
      </c>
      <c r="D31" s="184">
        <f>JAX!C$2</f>
        <v>11</v>
      </c>
      <c r="E31" s="185">
        <f>JAX!D$2</f>
        <v>647.93520000000001</v>
      </c>
      <c r="F31" s="185">
        <f>JAX!E$2</f>
        <v>410.14298159999998</v>
      </c>
      <c r="G31" s="185">
        <f>JAX!F$2</f>
        <v>4540.2828063119996</v>
      </c>
      <c r="H31" s="185">
        <f>JAX!G$2</f>
        <v>27.889722748800001</v>
      </c>
      <c r="I31" s="185">
        <f>JAX!H$2</f>
        <v>10.529240895693187</v>
      </c>
      <c r="J31" s="185">
        <f>JAX!I$2</f>
        <v>66.981975388584672</v>
      </c>
      <c r="K31" s="185">
        <f>JAX!J$2</f>
        <v>330.27573816963746</v>
      </c>
      <c r="L31" s="185">
        <f>JAX!K$2</f>
        <v>2.0787364507901929</v>
      </c>
      <c r="M31" s="185">
        <f t="shared" si="0"/>
        <v>322.87633442584507</v>
      </c>
      <c r="N3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317.61171397799848</v>
      </c>
      <c r="O31" s="187">
        <v>6.07799409151934</v>
      </c>
    </row>
    <row r="32" spans="1:15" x14ac:dyDescent="0.3">
      <c r="A32" s="183">
        <f>IF(TableQBMaster[[#This Row],[Player]]&lt;&gt;0,A31+1,A31)</f>
        <v>30</v>
      </c>
      <c r="B32" s="184" t="str">
        <f>JAX!A$3</f>
        <v>C.J. Beathard</v>
      </c>
      <c r="C32" s="184" t="s">
        <v>170</v>
      </c>
      <c r="D32" s="184">
        <f>JAX!C$3</f>
        <v>11</v>
      </c>
      <c r="E32" s="185">
        <f>JAX!D$3</f>
        <v>6.5448000000000057</v>
      </c>
      <c r="F32" s="185">
        <f>JAX!E$3</f>
        <v>3.9538060540540583</v>
      </c>
      <c r="G32" s="185">
        <f>JAX!F$3</f>
        <v>43.056947928648697</v>
      </c>
      <c r="H32" s="185">
        <f>JAX!G$3</f>
        <v>0.25304358745945976</v>
      </c>
      <c r="I32" s="185">
        <f>JAX!H$3</f>
        <v>9.51050645434625E-2</v>
      </c>
      <c r="J32" s="185">
        <f>JAX!I$3</f>
        <v>0</v>
      </c>
      <c r="K32" s="185">
        <f>JAX!J$3</f>
        <v>0</v>
      </c>
      <c r="L32" s="185">
        <f>JAX!K$3</f>
        <v>0</v>
      </c>
      <c r="M32" s="185">
        <f t="shared" si="0"/>
        <v>2.5917946701685937</v>
      </c>
      <c r="N3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2.544242137896862</v>
      </c>
      <c r="O32" s="187">
        <v>0</v>
      </c>
    </row>
    <row r="33" spans="1:15" x14ac:dyDescent="0.3">
      <c r="A33" s="183">
        <f>IF(TableQBMaster[[#This Row],[Player]]&lt;&gt;0,A32+1,A32)</f>
        <v>31</v>
      </c>
      <c r="B33" s="184" t="str">
        <f>KC!A$2</f>
        <v>Patrick Mahomes</v>
      </c>
      <c r="C33" s="184" t="s">
        <v>153</v>
      </c>
      <c r="D33" s="184">
        <f>KC!C$2</f>
        <v>8</v>
      </c>
      <c r="E33" s="185">
        <f>KC!D$2</f>
        <v>678.04668854999989</v>
      </c>
      <c r="F33" s="185">
        <f>KC!E$2</f>
        <v>444.79862768879997</v>
      </c>
      <c r="G33" s="185">
        <f>KC!F$2</f>
        <v>4999.5365752221114</v>
      </c>
      <c r="H33" s="185">
        <f>KC!G$2</f>
        <v>38.021539673322749</v>
      </c>
      <c r="I33" s="185">
        <f>KC!H$2</f>
        <v>8.9219512843902216</v>
      </c>
      <c r="J33" s="185">
        <f>KC!I$2</f>
        <v>64.285773136614523</v>
      </c>
      <c r="K33" s="185">
        <f>KC!J$2</f>
        <v>360.64318729640752</v>
      </c>
      <c r="L33" s="185">
        <f>KC!K$2</f>
        <v>2.3429894537262701</v>
      </c>
      <c r="M33" s="185">
        <f t="shared" si="0"/>
        <v>388.80695022758846</v>
      </c>
      <c r="N3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384.34597458539344</v>
      </c>
      <c r="O33" s="187">
        <v>24</v>
      </c>
    </row>
    <row r="34" spans="1:15" x14ac:dyDescent="0.3">
      <c r="A34" s="183">
        <f>IF(TableQBMaster[[#This Row],[Player]]&lt;&gt;0,A33+1,A33)</f>
        <v>32</v>
      </c>
      <c r="B34" s="184" t="str">
        <f>KC!A$3</f>
        <v>Chad Henne</v>
      </c>
      <c r="C34" s="184" t="s">
        <v>153</v>
      </c>
      <c r="D34" s="184">
        <f>KC!C$3</f>
        <v>8</v>
      </c>
      <c r="E34" s="185">
        <f>KC!D$3</f>
        <v>6.8489564500000055</v>
      </c>
      <c r="F34" s="185">
        <f>KC!E$3</f>
        <v>4.4195626551236087</v>
      </c>
      <c r="G34" s="185">
        <f>KC!F$3</f>
        <v>44.177882517857704</v>
      </c>
      <c r="H34" s="185">
        <f>KC!G$3</f>
        <v>0.3045337761119577</v>
      </c>
      <c r="I34" s="185">
        <f>KC!H$3</f>
        <v>8.1639759779470564E-2</v>
      </c>
      <c r="J34" s="185">
        <f>KC!I$3</f>
        <v>0</v>
      </c>
      <c r="K34" s="185">
        <f>KC!J$3</f>
        <v>0</v>
      </c>
      <c r="L34" s="185">
        <f>KC!K$3</f>
        <v>0</v>
      </c>
      <c r="M34" s="185">
        <f t="shared" ref="M34:M65" si="1">(G34/25)+(H34*4)+(I34*-1.5)+(K34/10)+(L34*6)</f>
        <v>2.8627907654929334</v>
      </c>
      <c r="N3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2.8219708856031982</v>
      </c>
      <c r="O34" s="187">
        <v>0</v>
      </c>
    </row>
    <row r="35" spans="1:15" x14ac:dyDescent="0.3">
      <c r="A35" s="183">
        <f>IF(TableQBMaster[[#This Row],[Player]]&lt;&gt;0,A34+1,A34)</f>
        <v>33</v>
      </c>
      <c r="B35" s="184" t="str">
        <f>LAC!A$2</f>
        <v>Justin Herbert</v>
      </c>
      <c r="C35" s="184" t="s">
        <v>154</v>
      </c>
      <c r="D35" s="184">
        <f>LAC!C$2</f>
        <v>8</v>
      </c>
      <c r="E35" s="185">
        <f>LAC!D$2</f>
        <v>683.19667350000009</v>
      </c>
      <c r="F35" s="185">
        <f>LAC!E$2</f>
        <v>453.42264227056302</v>
      </c>
      <c r="G35" s="185">
        <f>LAC!F$2</f>
        <v>5155.4198459273193</v>
      </c>
      <c r="H35" s="185">
        <f>LAC!G$2</f>
        <v>38.268871007635518</v>
      </c>
      <c r="I35" s="185">
        <f>LAC!H$2</f>
        <v>10.238594983099787</v>
      </c>
      <c r="J35" s="185">
        <f>LAC!I$2</f>
        <v>56.347575291854504</v>
      </c>
      <c r="K35" s="185">
        <f>LAC!J$2</f>
        <v>272.72226441257578</v>
      </c>
      <c r="L35" s="185">
        <f>LAC!K$2</f>
        <v>3.1154603058103687</v>
      </c>
      <c r="M35" s="185">
        <f t="shared" si="1"/>
        <v>389.89937366910499</v>
      </c>
      <c r="N3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384.78007617755509</v>
      </c>
      <c r="O35" s="187">
        <v>12.05655843904823</v>
      </c>
    </row>
    <row r="36" spans="1:15" x14ac:dyDescent="0.3">
      <c r="A36" s="183">
        <f>IF(TableQBMaster[[#This Row],[Player]]&lt;&gt;0,A35+1,A35)</f>
        <v>34</v>
      </c>
      <c r="B36" s="184" t="str">
        <f>LAC!A$3</f>
        <v>Chase Daniel</v>
      </c>
      <c r="C36" s="184" t="s">
        <v>154</v>
      </c>
      <c r="D36" s="184">
        <f>LAC!C$3</f>
        <v>8</v>
      </c>
      <c r="E36" s="185">
        <f>LAC!D$3</f>
        <v>6.9009765000000067</v>
      </c>
      <c r="F36" s="185">
        <f>LAC!E$3</f>
        <v>4.0724876447204776</v>
      </c>
      <c r="G36" s="185">
        <f>LAC!F$3</f>
        <v>45.897800100391699</v>
      </c>
      <c r="H36" s="185">
        <f>LAC!G$3</f>
        <v>0.32130717646674889</v>
      </c>
      <c r="I36" s="185">
        <f>LAC!H$3</f>
        <v>9.7480755556701978E-2</v>
      </c>
      <c r="J36" s="185">
        <f>LAC!I$3</f>
        <v>0</v>
      </c>
      <c r="K36" s="185">
        <f>LAC!J$3</f>
        <v>0</v>
      </c>
      <c r="L36" s="185">
        <f>LAC!K$3</f>
        <v>0</v>
      </c>
      <c r="M36" s="185">
        <f t="shared" si="1"/>
        <v>2.9749195765476104</v>
      </c>
      <c r="N3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2.9261791987692596</v>
      </c>
      <c r="O36" s="187">
        <v>0</v>
      </c>
    </row>
    <row r="37" spans="1:15" x14ac:dyDescent="0.3">
      <c r="A37" s="183">
        <f>IF(TableQBMaster[[#This Row],[Player]]&lt;&gt;0,A36+1,A36)</f>
        <v>35</v>
      </c>
      <c r="B37" s="184" t="str">
        <f>LAR!A$2</f>
        <v>Matthew Stafford</v>
      </c>
      <c r="C37" s="184" t="s">
        <v>155</v>
      </c>
      <c r="D37" s="184">
        <f>LAR!C$2</f>
        <v>7</v>
      </c>
      <c r="E37" s="185">
        <f>LAR!D$2</f>
        <v>601.25340399999993</v>
      </c>
      <c r="F37" s="185">
        <f>LAR!E$2</f>
        <v>401.63727387199998</v>
      </c>
      <c r="G37" s="185">
        <f>LAR!F$2</f>
        <v>4800.0594957390258</v>
      </c>
      <c r="H37" s="185">
        <f>LAR!G$2</f>
        <v>37.753903743967996</v>
      </c>
      <c r="I37" s="185">
        <f>LAR!H$2</f>
        <v>10.532452986454619</v>
      </c>
      <c r="J37" s="185">
        <f>LAR!I$2</f>
        <v>26.400119748850717</v>
      </c>
      <c r="K37" s="185">
        <f>LAR!J$2</f>
        <v>69.595709957570037</v>
      </c>
      <c r="L37" s="185">
        <f>LAR!K$2</f>
        <v>0.98545643210168243</v>
      </c>
      <c r="M37" s="185">
        <f t="shared" si="1"/>
        <v>340.09162491411814</v>
      </c>
      <c r="N3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334.82539842089091</v>
      </c>
      <c r="O37" s="187">
        <v>1.8629292270178726</v>
      </c>
    </row>
    <row r="38" spans="1:15" x14ac:dyDescent="0.3">
      <c r="A38" s="183">
        <f>IF(TableQBMaster[[#This Row],[Player]]&lt;&gt;0,A37+1,A37)</f>
        <v>36</v>
      </c>
      <c r="B38" s="184" t="str">
        <f>LAR!A$3</f>
        <v>John Wolford</v>
      </c>
      <c r="C38" s="184" t="s">
        <v>155</v>
      </c>
      <c r="D38" s="184">
        <f>LAR!C$3</f>
        <v>7</v>
      </c>
      <c r="E38" s="185">
        <f>LAR!D$3</f>
        <v>31.64491600000003</v>
      </c>
      <c r="F38" s="185">
        <f>LAR!E$3</f>
        <v>19.418155963271403</v>
      </c>
      <c r="G38" s="185">
        <f>LAR!F$3</f>
        <v>192.55396018820144</v>
      </c>
      <c r="H38" s="185">
        <f>LAR!G$3</f>
        <v>1.3613028161816281</v>
      </c>
      <c r="I38" s="185">
        <f>LAR!H$3</f>
        <v>0.4442618080657289</v>
      </c>
      <c r="J38" s="185">
        <f>LAR!I$3</f>
        <v>0</v>
      </c>
      <c r="K38" s="185">
        <f>LAR!J$3</f>
        <v>0</v>
      </c>
      <c r="L38" s="185">
        <f>LAR!K$3</f>
        <v>0</v>
      </c>
      <c r="M38" s="185">
        <f t="shared" si="1"/>
        <v>12.480976960155976</v>
      </c>
      <c r="N3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12.258846056123112</v>
      </c>
      <c r="O38" s="187">
        <v>0</v>
      </c>
    </row>
    <row r="39" spans="1:15" x14ac:dyDescent="0.3">
      <c r="A39" s="183">
        <f>IF(TableQBMaster[[#This Row],[Player]]&lt;&gt;0,A38+1,A38)</f>
        <v>37</v>
      </c>
      <c r="B39" s="184" t="str">
        <f>LV!A$2</f>
        <v>Derek Carr</v>
      </c>
      <c r="C39" s="184" t="s">
        <v>239</v>
      </c>
      <c r="D39" s="184">
        <f>LV!C$2</f>
        <v>6</v>
      </c>
      <c r="E39" s="185">
        <f>LV!D$2</f>
        <v>617.38873979999994</v>
      </c>
      <c r="F39" s="185">
        <f>LV!E$2</f>
        <v>417.97217684459997</v>
      </c>
      <c r="G39" s="185">
        <f>LV!F$2</f>
        <v>4614.4128323643836</v>
      </c>
      <c r="H39" s="185">
        <f>LV!G$2</f>
        <v>30.093996732811195</v>
      </c>
      <c r="I39" s="185">
        <f>LV!H$2</f>
        <v>9.6929929279980254</v>
      </c>
      <c r="J39" s="185">
        <f>LV!I$2</f>
        <v>31.348661726637555</v>
      </c>
      <c r="K39" s="185">
        <f>LV!J$2</f>
        <v>108.49668481845534</v>
      </c>
      <c r="L39" s="185">
        <f>LV!K$2</f>
        <v>0.94045985179912661</v>
      </c>
      <c r="M39" s="185">
        <f t="shared" si="1"/>
        <v>306.90543842646338</v>
      </c>
      <c r="N3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302.05894196246436</v>
      </c>
      <c r="O39" s="187">
        <v>0</v>
      </c>
    </row>
    <row r="40" spans="1:15" x14ac:dyDescent="0.3">
      <c r="A40" s="183">
        <f>IF(TableQBMaster[[#This Row],[Player]]&lt;&gt;0,A39+1,A39)</f>
        <v>38</v>
      </c>
      <c r="B40" s="184" t="str">
        <f>LV!A$3</f>
        <v>Nick Mullens</v>
      </c>
      <c r="C40" s="184" t="s">
        <v>239</v>
      </c>
      <c r="D40" s="184">
        <f>LV!C$3</f>
        <v>6</v>
      </c>
      <c r="E40" s="185">
        <f>LV!D$3</f>
        <v>12.599770200000009</v>
      </c>
      <c r="F40" s="185">
        <f>LV!E$3</f>
        <v>8.1268517790000061</v>
      </c>
      <c r="G40" s="185">
        <f>LV!F$3</f>
        <v>81.59678102447451</v>
      </c>
      <c r="H40" s="185">
        <f>LV!G$3</f>
        <v>0.52824536563500046</v>
      </c>
      <c r="I40" s="185">
        <f>LV!H$3</f>
        <v>0.17854460780618633</v>
      </c>
      <c r="J40" s="185">
        <f>LV!I$3</f>
        <v>0</v>
      </c>
      <c r="K40" s="185">
        <f>LV!J$3</f>
        <v>0</v>
      </c>
      <c r="L40" s="185">
        <f>LV!K$3</f>
        <v>0</v>
      </c>
      <c r="M40" s="185">
        <f t="shared" si="1"/>
        <v>5.1090357918097027</v>
      </c>
      <c r="N4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5.0197634879066095</v>
      </c>
      <c r="O40" s="187">
        <v>0</v>
      </c>
    </row>
    <row r="41" spans="1:15" x14ac:dyDescent="0.3">
      <c r="A41" s="183">
        <f>IF(TableQBMaster[[#This Row],[Player]]&lt;&gt;0,A40+1,A40)</f>
        <v>39</v>
      </c>
      <c r="B41" s="184" t="str">
        <f>MIA!A$2</f>
        <v>Tua Tagovailoa</v>
      </c>
      <c r="C41" s="184" t="s">
        <v>156</v>
      </c>
      <c r="D41" s="184">
        <f>MIA!C$2</f>
        <v>11</v>
      </c>
      <c r="E41" s="185">
        <f>MIA!D$2</f>
        <v>611.08885469999984</v>
      </c>
      <c r="F41" s="185">
        <f>MIA!E$2</f>
        <v>405.93703942062996</v>
      </c>
      <c r="G41" s="185">
        <f>MIA!F$2</f>
        <v>4290.7545066760586</v>
      </c>
      <c r="H41" s="185">
        <f>MIA!G$2</f>
        <v>26.971654891819306</v>
      </c>
      <c r="I41" s="185">
        <f>MIA!H$2</f>
        <v>9.6335162674567894</v>
      </c>
      <c r="J41" s="185">
        <f>MIA!I$2</f>
        <v>53.23026696557271</v>
      </c>
      <c r="K41" s="185">
        <f>MIA!J$2</f>
        <v>172.24639029749829</v>
      </c>
      <c r="L41" s="185">
        <f>MIA!K$2</f>
        <v>3.5113534088989367</v>
      </c>
      <c r="M41" s="185">
        <f t="shared" si="1"/>
        <v>303.35928491627783</v>
      </c>
      <c r="N4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298.54252678254943</v>
      </c>
      <c r="O41" s="187">
        <v>0.7572092175449775</v>
      </c>
    </row>
    <row r="42" spans="1:15" x14ac:dyDescent="0.3">
      <c r="A42" s="183">
        <f>IF(TableQBMaster[[#This Row],[Player]]&lt;&gt;0,A41+1,A41)</f>
        <v>40</v>
      </c>
      <c r="B42" s="184" t="str">
        <f>MIA!A$3</f>
        <v>Teddy Bridgewater</v>
      </c>
      <c r="C42" s="184" t="s">
        <v>156</v>
      </c>
      <c r="D42" s="184">
        <f>MIA!C$3</f>
        <v>11</v>
      </c>
      <c r="E42" s="185">
        <f>MIA!D$3</f>
        <v>18.899655300000013</v>
      </c>
      <c r="F42" s="185">
        <f>MIA!E$3</f>
        <v>12.487063830355419</v>
      </c>
      <c r="G42" s="185">
        <f>MIA!F$3</f>
        <v>135.85925447426698</v>
      </c>
      <c r="H42" s="185">
        <f>MIA!G$3</f>
        <v>1.0450131417500794</v>
      </c>
      <c r="I42" s="185">
        <f>MIA!H$3</f>
        <v>0.3352126278739308</v>
      </c>
      <c r="J42" s="185">
        <f>MIA!I$3</f>
        <v>2.1988549721774246</v>
      </c>
      <c r="K42" s="185">
        <f>MIA!J$3</f>
        <v>8.3114391117648285</v>
      </c>
      <c r="L42" s="185">
        <f>MIA!K$3</f>
        <v>8.3765903701997144E-2</v>
      </c>
      <c r="M42" s="185">
        <f t="shared" si="1"/>
        <v>10.445343137548566</v>
      </c>
      <c r="N4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10.277736823611601</v>
      </c>
      <c r="O42" s="187">
        <v>0</v>
      </c>
    </row>
    <row r="43" spans="1:15" x14ac:dyDescent="0.3">
      <c r="A43" s="183">
        <f>IF(TableQBMaster[[#This Row],[Player]]&lt;&gt;0,A42+1,A42)</f>
        <v>41</v>
      </c>
      <c r="B43" s="184" t="str">
        <f>MIN!A$2</f>
        <v>Kirk Cousins</v>
      </c>
      <c r="C43" s="184" t="s">
        <v>157</v>
      </c>
      <c r="D43" s="184">
        <f>MIN!C$2</f>
        <v>7</v>
      </c>
      <c r="E43" s="185">
        <f>MIN!D$2</f>
        <v>594.88550549999991</v>
      </c>
      <c r="F43" s="185">
        <f>MIN!E$2</f>
        <v>394.15474834428454</v>
      </c>
      <c r="G43" s="185">
        <f>MIN!F$2</f>
        <v>4403.6670414729006</v>
      </c>
      <c r="H43" s="185">
        <f>MIN!G$2</f>
        <v>31.048460602424925</v>
      </c>
      <c r="I43" s="185">
        <f>MIN!H$2</f>
        <v>7.3485228624001389</v>
      </c>
      <c r="J43" s="185">
        <f>MIN!I$2</f>
        <v>26.52114475271901</v>
      </c>
      <c r="K43" s="185">
        <f>MIN!J$2</f>
        <v>105.61340308826387</v>
      </c>
      <c r="L43" s="185">
        <f>MIN!K$2</f>
        <v>0.95476121109788425</v>
      </c>
      <c r="M43" s="185">
        <f t="shared" si="1"/>
        <v>305.60764735042926</v>
      </c>
      <c r="N4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301.93338591922918</v>
      </c>
      <c r="O43" s="187">
        <v>0</v>
      </c>
    </row>
    <row r="44" spans="1:15" x14ac:dyDescent="0.3">
      <c r="A44" s="183">
        <f>IF(TableQBMaster[[#This Row],[Player]]&lt;&gt;0,A43+1,A43)</f>
        <v>42</v>
      </c>
      <c r="B44" s="184" t="str">
        <f>MIN!A$3</f>
        <v>Kellen Mond</v>
      </c>
      <c r="C44" s="184" t="s">
        <v>157</v>
      </c>
      <c r="D44" s="184">
        <f>MIN!C$3</f>
        <v>7</v>
      </c>
      <c r="E44" s="185">
        <f>MIN!D$3</f>
        <v>6.0089445000000046</v>
      </c>
      <c r="F44" s="185">
        <f>MIN!E$3</f>
        <v>3.663484297927464</v>
      </c>
      <c r="G44" s="185">
        <f>MIN!F$3</f>
        <v>36.468792699481888</v>
      </c>
      <c r="H44" s="185">
        <f>MIN!G$3</f>
        <v>0.22831913471502613</v>
      </c>
      <c r="I44" s="185">
        <f>MIN!H$3</f>
        <v>9.2799832532417054E-2</v>
      </c>
      <c r="J44" s="185">
        <f>MIN!I$3</f>
        <v>0</v>
      </c>
      <c r="K44" s="185">
        <f>MIN!J$3</f>
        <v>0</v>
      </c>
      <c r="L44" s="185">
        <f>MIN!K$3</f>
        <v>0</v>
      </c>
      <c r="M44" s="185">
        <f t="shared" si="1"/>
        <v>2.2328284980407549</v>
      </c>
      <c r="N4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2.1864285817745461</v>
      </c>
      <c r="O44" s="187">
        <v>0</v>
      </c>
    </row>
    <row r="45" spans="1:15" x14ac:dyDescent="0.3">
      <c r="A45" s="183">
        <f>IF(TableQBMaster[[#This Row],[Player]]&lt;&gt;0,A44+1,A44)</f>
        <v>43</v>
      </c>
      <c r="B45" s="184" t="str">
        <f>NE!A$2</f>
        <v>Mac Jones</v>
      </c>
      <c r="C45" s="184" t="s">
        <v>158</v>
      </c>
      <c r="D45" s="184">
        <f>NE!C$2</f>
        <v>10</v>
      </c>
      <c r="E45" s="185">
        <f>NE!D$2</f>
        <v>514.63265279999996</v>
      </c>
      <c r="F45" s="185">
        <f>NE!E$2</f>
        <v>346.34777533440001</v>
      </c>
      <c r="G45" s="185">
        <f>NE!F$2</f>
        <v>3785.5811844049922</v>
      </c>
      <c r="H45" s="185">
        <f>NE!G$2</f>
        <v>23.689073921544175</v>
      </c>
      <c r="I45" s="185">
        <f>NE!H$2</f>
        <v>9.128797571894447</v>
      </c>
      <c r="J45" s="185">
        <f>NE!I$2</f>
        <v>36.020719118291382</v>
      </c>
      <c r="K45" s="185">
        <f>NE!J$2</f>
        <v>127.43824394751014</v>
      </c>
      <c r="L45" s="185">
        <f>NE!K$2</f>
        <v>0.43198251698430029</v>
      </c>
      <c r="M45" s="185">
        <f t="shared" si="1"/>
        <v>247.82206620119157</v>
      </c>
      <c r="N4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243.25766741524433</v>
      </c>
      <c r="O45" s="187">
        <v>0</v>
      </c>
    </row>
    <row r="46" spans="1:15" x14ac:dyDescent="0.3">
      <c r="A46" s="183">
        <f>IF(TableQBMaster[[#This Row],[Player]]&lt;&gt;0,A45+1,A45)</f>
        <v>44</v>
      </c>
      <c r="B46" s="184" t="str">
        <f>NE!A$3</f>
        <v>Brian Hoyer</v>
      </c>
      <c r="C46" s="184" t="s">
        <v>158</v>
      </c>
      <c r="D46" s="184">
        <f>NE!C$3</f>
        <v>10</v>
      </c>
      <c r="E46" s="185">
        <f>NE!D$3</f>
        <v>10.502707200000009</v>
      </c>
      <c r="F46" s="185">
        <f>NE!E$3</f>
        <v>6.6945545498947432</v>
      </c>
      <c r="G46" s="185">
        <f>NE!F$3</f>
        <v>73.640100048842172</v>
      </c>
      <c r="H46" s="185">
        <f>NE!G$3</f>
        <v>0.5379182602105268</v>
      </c>
      <c r="I46" s="185">
        <f>NE!H$3</f>
        <v>0.22417949117739641</v>
      </c>
      <c r="J46" s="185">
        <f>NE!I$3</f>
        <v>0</v>
      </c>
      <c r="K46" s="185">
        <f>NE!J$3</f>
        <v>0</v>
      </c>
      <c r="L46" s="185">
        <f>NE!K$3</f>
        <v>0</v>
      </c>
      <c r="M46" s="185">
        <f t="shared" si="1"/>
        <v>4.7610078060296992</v>
      </c>
      <c r="N4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4.6489180604410008</v>
      </c>
      <c r="O46" s="187">
        <v>0</v>
      </c>
    </row>
    <row r="47" spans="1:15" x14ac:dyDescent="0.3">
      <c r="A47" s="183">
        <f>IF(TableQBMaster[[#This Row],[Player]]&lt;&gt;0,A46+1,A46)</f>
        <v>45</v>
      </c>
      <c r="B47" s="184" t="str">
        <f>NO!A$2</f>
        <v>Jameis Winston</v>
      </c>
      <c r="C47" s="184" t="s">
        <v>159</v>
      </c>
      <c r="D47" s="184">
        <f>NO!C$2</f>
        <v>14</v>
      </c>
      <c r="E47" s="185">
        <f>NO!D$2</f>
        <v>523.894676</v>
      </c>
      <c r="F47" s="185">
        <f>NO!E$2</f>
        <v>326.91027782399999</v>
      </c>
      <c r="G47" s="185">
        <f>NO!F$2</f>
        <v>3837.9266616537598</v>
      </c>
      <c r="H47" s="185">
        <f>NO!G$2</f>
        <v>23.210629725503996</v>
      </c>
      <c r="I47" s="185">
        <f>NO!H$2</f>
        <v>7.2692267559589059</v>
      </c>
      <c r="J47" s="185">
        <f>NO!I$2</f>
        <v>25.851913197467784</v>
      </c>
      <c r="K47" s="185">
        <f>NO!J$2</f>
        <v>148.37858851567731</v>
      </c>
      <c r="L47" s="185">
        <f>NO!K$2</f>
        <v>1.9130415766126159</v>
      </c>
      <c r="M47" s="185">
        <f t="shared" si="1"/>
        <v>261.77185354547146</v>
      </c>
      <c r="N4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258.137240167492</v>
      </c>
      <c r="O47" s="187">
        <v>0</v>
      </c>
    </row>
    <row r="48" spans="1:15" x14ac:dyDescent="0.3">
      <c r="A48" s="183">
        <f>IF(TableQBMaster[[#This Row],[Player]]&lt;&gt;0,A47+1,A47)</f>
        <v>46</v>
      </c>
      <c r="B48" s="184" t="str">
        <f>NO!A$3</f>
        <v>Taysom Hill</v>
      </c>
      <c r="C48" s="184" t="s">
        <v>159</v>
      </c>
      <c r="D48" s="184">
        <f>NO!C$3</f>
        <v>14</v>
      </c>
      <c r="E48" s="185">
        <f>NO!D$3</f>
        <v>5.5146807999999998</v>
      </c>
      <c r="F48" s="185">
        <f>NO!E$3</f>
        <v>3.3143231607999999</v>
      </c>
      <c r="G48" s="185">
        <f>NO!F$3</f>
        <v>36.457554768800001</v>
      </c>
      <c r="H48" s="185">
        <f>NO!G$3</f>
        <v>0.22095487738666666</v>
      </c>
      <c r="I48" s="185">
        <f>NO!H$3</f>
        <v>0.16571615804000001</v>
      </c>
      <c r="J48" s="185">
        <f>NO!I$3</f>
        <v>40.045120443136376</v>
      </c>
      <c r="K48" s="185">
        <f>NO!J$3</f>
        <v>209.83643112203461</v>
      </c>
      <c r="L48" s="185">
        <f>NO!K$3</f>
        <v>3.4438803581097281</v>
      </c>
      <c r="M48" s="185">
        <f t="shared" si="1"/>
        <v>43.740472724100499</v>
      </c>
      <c r="N4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43.6576146450805</v>
      </c>
      <c r="O48" s="187">
        <v>0</v>
      </c>
    </row>
    <row r="49" spans="1:15" x14ac:dyDescent="0.3">
      <c r="A49" s="183">
        <f>IF(TableQBMaster[[#This Row],[Player]]&lt;&gt;0,A48+1,A48)</f>
        <v>47</v>
      </c>
      <c r="B49" s="184" t="str">
        <f>NO!A$4</f>
        <v>Andy Dalton</v>
      </c>
      <c r="C49" s="184" t="s">
        <v>159</v>
      </c>
      <c r="D49" s="184">
        <f>NO!C$4</f>
        <v>14</v>
      </c>
      <c r="E49" s="185">
        <f>NO!D$4</f>
        <v>22.058723200000021</v>
      </c>
      <c r="F49" s="185">
        <f>NO!E$4</f>
        <v>15.485223686400014</v>
      </c>
      <c r="G49" s="185">
        <f>NO!F$4</f>
        <v>167.85982476057615</v>
      </c>
      <c r="H49" s="185">
        <f>NO!G$4</f>
        <v>1.068480434361601</v>
      </c>
      <c r="I49" s="185">
        <f>NO!H$4</f>
        <v>0.97556909224320087</v>
      </c>
      <c r="J49" s="185">
        <f>NO!I$4</f>
        <v>0</v>
      </c>
      <c r="K49" s="185">
        <f>NO!J$4</f>
        <v>0</v>
      </c>
      <c r="L49" s="185">
        <f>NO!K$4</f>
        <v>0</v>
      </c>
      <c r="M49" s="185">
        <f t="shared" si="1"/>
        <v>9.5249610895046501</v>
      </c>
      <c r="N4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9.0371765433830493</v>
      </c>
      <c r="O49" s="187">
        <v>0</v>
      </c>
    </row>
    <row r="50" spans="1:15" x14ac:dyDescent="0.3">
      <c r="A50" s="183">
        <f>IF(TableQBMaster[[#This Row],[Player]]&lt;&gt;0,A49+1,A49)</f>
        <v>48</v>
      </c>
      <c r="B50" s="184" t="str">
        <f>NYG!A$2</f>
        <v>Daniel Jones</v>
      </c>
      <c r="C50" s="184" t="s">
        <v>160</v>
      </c>
      <c r="D50" s="184">
        <f>NYG!C$2</f>
        <v>9</v>
      </c>
      <c r="E50" s="185">
        <f>NYG!D$2</f>
        <v>544.26556800000003</v>
      </c>
      <c r="F50" s="185">
        <f>NYG!E$2</f>
        <v>340.60310019955267</v>
      </c>
      <c r="G50" s="185">
        <f>NYG!F$2</f>
        <v>3733.0099781870977</v>
      </c>
      <c r="H50" s="185">
        <f>NYG!G$2</f>
        <v>22.479804613170476</v>
      </c>
      <c r="I50" s="185">
        <f>NYG!H$2</f>
        <v>8.4057052686485019</v>
      </c>
      <c r="J50" s="185">
        <f>NYG!I$2</f>
        <v>64.100296116710538</v>
      </c>
      <c r="K50" s="185">
        <f>NYG!J$2</f>
        <v>337.1675575738974</v>
      </c>
      <c r="L50" s="185">
        <f>NYG!K$2</f>
        <v>2.6967999280838546</v>
      </c>
      <c r="M50" s="185">
        <f t="shared" si="1"/>
        <v>276.52861500308592</v>
      </c>
      <c r="N5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272.32576236876167</v>
      </c>
      <c r="O50" s="187">
        <v>2.2131778336992549</v>
      </c>
    </row>
    <row r="51" spans="1:15" x14ac:dyDescent="0.3">
      <c r="A51" s="183">
        <f>IF(TableQBMaster[[#This Row],[Player]]&lt;&gt;0,A50+1,A50)</f>
        <v>49</v>
      </c>
      <c r="B51" s="184" t="str">
        <f>NYG!A$3</f>
        <v>Tyrod Taylor</v>
      </c>
      <c r="C51" s="184" t="s">
        <v>160</v>
      </c>
      <c r="D51" s="184">
        <f>NYG!C$3</f>
        <v>9</v>
      </c>
      <c r="E51" s="185">
        <f>NYG!D$3</f>
        <v>60.473951999999983</v>
      </c>
      <c r="F51" s="185">
        <f>NYG!E$3</f>
        <v>36.528886997247362</v>
      </c>
      <c r="G51" s="185">
        <f>NYG!F$3</f>
        <v>397.06900166007881</v>
      </c>
      <c r="H51" s="185">
        <f>NYG!G$3</f>
        <v>2.2374683373879338</v>
      </c>
      <c r="I51" s="185">
        <f>NYG!H$3</f>
        <v>0.97713326257072664</v>
      </c>
      <c r="J51" s="185">
        <f>NYG!I$3</f>
        <v>5.5694923861184602</v>
      </c>
      <c r="K51" s="185">
        <f>NYG!J$3</f>
        <v>27.568987311286378</v>
      </c>
      <c r="L51" s="185">
        <f>NYG!K$3</f>
        <v>0.40020304570911097</v>
      </c>
      <c r="M51" s="185">
        <f t="shared" si="1"/>
        <v>28.525050527482101</v>
      </c>
      <c r="N5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28.036483896196742</v>
      </c>
      <c r="O51" s="187">
        <v>0</v>
      </c>
    </row>
    <row r="52" spans="1:15" x14ac:dyDescent="0.3">
      <c r="A52" s="183">
        <f>IF(TableQBMaster[[#This Row],[Player]]&lt;&gt;0,A51+1,A51)</f>
        <v>50</v>
      </c>
      <c r="B52" s="184" t="str">
        <f>NYJ!A$2</f>
        <v>Zach Wilson</v>
      </c>
      <c r="C52" s="184" t="s">
        <v>161</v>
      </c>
      <c r="D52" s="184">
        <f>NYJ!C$2</f>
        <v>10</v>
      </c>
      <c r="E52" s="185">
        <f>NYJ!D$2</f>
        <v>580.95329279999999</v>
      </c>
      <c r="F52" s="185">
        <f>NYJ!E$2</f>
        <v>353.21960202240001</v>
      </c>
      <c r="G52" s="185">
        <f>NYJ!F$2</f>
        <v>3917.2053864284162</v>
      </c>
      <c r="H52" s="185">
        <f>NYJ!G$2</f>
        <v>23.312493733478401</v>
      </c>
      <c r="I52" s="185">
        <f>NYJ!H$2</f>
        <v>9.2849039727885767</v>
      </c>
      <c r="J52" s="185">
        <f>NYJ!I$2</f>
        <v>41.993782067041032</v>
      </c>
      <c r="K52" s="185">
        <f>NYJ!J$2</f>
        <v>242.30412252682675</v>
      </c>
      <c r="L52" s="185">
        <f>NYJ!K$2</f>
        <v>3.5005861905159033</v>
      </c>
      <c r="M52" s="185">
        <f t="shared" si="1"/>
        <v>281.24476382764544</v>
      </c>
      <c r="N5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276.60231184125121</v>
      </c>
      <c r="O52" s="187">
        <v>0</v>
      </c>
    </row>
    <row r="53" spans="1:15" x14ac:dyDescent="0.3">
      <c r="A53" s="183">
        <f>IF(TableQBMaster[[#This Row],[Player]]&lt;&gt;0,A52+1,A52)</f>
        <v>51</v>
      </c>
      <c r="B53" s="184" t="str">
        <f>NYJ!A$3</f>
        <v>Mike White</v>
      </c>
      <c r="C53" s="184" t="s">
        <v>161</v>
      </c>
      <c r="D53" s="184">
        <f>NYJ!C$3</f>
        <v>10</v>
      </c>
      <c r="E53" s="185">
        <f>NYJ!D$3</f>
        <v>24.20638720000002</v>
      </c>
      <c r="F53" s="185">
        <f>NYJ!E$3</f>
        <v>14.765896192000012</v>
      </c>
      <c r="G53" s="185">
        <f>NYJ!F$3</f>
        <v>168.17301055817157</v>
      </c>
      <c r="H53" s="185">
        <f>NYJ!G$3</f>
        <v>1.1074422144000009</v>
      </c>
      <c r="I53" s="185">
        <f>NYJ!H$3</f>
        <v>0.59063584768000055</v>
      </c>
      <c r="J53" s="185">
        <f>NYJ!I$3</f>
        <v>0</v>
      </c>
      <c r="K53" s="185">
        <f>NYJ!J$3</f>
        <v>0</v>
      </c>
      <c r="L53" s="185">
        <f>NYJ!K$3</f>
        <v>0</v>
      </c>
      <c r="M53" s="185">
        <f t="shared" si="1"/>
        <v>10.270735508406865</v>
      </c>
      <c r="N5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9.9754175845668644</v>
      </c>
      <c r="O53" s="187">
        <v>0</v>
      </c>
    </row>
    <row r="54" spans="1:15" x14ac:dyDescent="0.3">
      <c r="A54" s="183">
        <f>IF(TableQBMaster[[#This Row],[Player]]&lt;&gt;0,A53+1,A53)</f>
        <v>52</v>
      </c>
      <c r="B54" s="184" t="str">
        <f>PHI!A$2</f>
        <v>Jalen Hurts</v>
      </c>
      <c r="C54" s="184" t="s">
        <v>163</v>
      </c>
      <c r="D54" s="184">
        <f>PHI!C$2</f>
        <v>7</v>
      </c>
      <c r="E54" s="185">
        <f>PHI!D$2</f>
        <v>572.11962574999995</v>
      </c>
      <c r="F54" s="185">
        <f>PHI!E$2</f>
        <v>355.28628759074996</v>
      </c>
      <c r="G54" s="185">
        <f>PHI!F$2</f>
        <v>4253.575461040512</v>
      </c>
      <c r="H54" s="185">
        <f>PHI!G$2</f>
        <v>27.357044144487748</v>
      </c>
      <c r="I54" s="185">
        <f>PHI!H$2</f>
        <v>8.5219986998548798</v>
      </c>
      <c r="J54" s="185">
        <f>PHI!I$2</f>
        <v>134.58895552938262</v>
      </c>
      <c r="K54" s="185">
        <f>PHI!J$2</f>
        <v>763.11937785159944</v>
      </c>
      <c r="L54" s="185">
        <f>PHI!K$2</f>
        <v>9.152048975998019</v>
      </c>
      <c r="M54" s="185">
        <f t="shared" si="1"/>
        <v>398.01242861093726</v>
      </c>
      <c r="N5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393.75142926100978</v>
      </c>
      <c r="O54" s="187">
        <v>10.245470930481673</v>
      </c>
    </row>
    <row r="55" spans="1:15" x14ac:dyDescent="0.3">
      <c r="A55" s="183">
        <f>IF(TableQBMaster[[#This Row],[Player]]&lt;&gt;0,A54+1,A54)</f>
        <v>53</v>
      </c>
      <c r="B55" s="184" t="str">
        <f>PHI!A$3</f>
        <v>Gardner Minshew</v>
      </c>
      <c r="C55" s="184" t="s">
        <v>163</v>
      </c>
      <c r="D55" s="184">
        <f>PHI!C$3</f>
        <v>7</v>
      </c>
      <c r="E55" s="185">
        <f>PHI!D$3</f>
        <v>30.111559250000028</v>
      </c>
      <c r="F55" s="185">
        <f>PHI!E$3</f>
        <v>19.105690323723408</v>
      </c>
      <c r="G55" s="185">
        <f>PHI!F$3</f>
        <v>231.35845360501807</v>
      </c>
      <c r="H55" s="185">
        <f>PHI!G$3</f>
        <v>1.6726322536379954</v>
      </c>
      <c r="I55" s="185">
        <f>PHI!H$3</f>
        <v>0.44889400943339258</v>
      </c>
      <c r="J55" s="185">
        <f>PHI!I$3</f>
        <v>6.7054995637414816</v>
      </c>
      <c r="K55" s="185">
        <f>PHI!J$3</f>
        <v>29.235978097912863</v>
      </c>
      <c r="L55" s="185">
        <f>PHI!K$3</f>
        <v>6.0948697960497469E-2</v>
      </c>
      <c r="M55" s="185">
        <f t="shared" si="1"/>
        <v>18.560816142156884</v>
      </c>
      <c r="N5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18.33636913744019</v>
      </c>
      <c r="O55" s="187">
        <v>0</v>
      </c>
    </row>
    <row r="56" spans="1:15" x14ac:dyDescent="0.3">
      <c r="A56" s="183">
        <f>IF(TableQBMaster[[#This Row],[Player]]&lt;&gt;0,A55+1,A55)</f>
        <v>54</v>
      </c>
      <c r="B56" s="184" t="str">
        <f>PIT!A$2</f>
        <v>Kenny Pickett</v>
      </c>
      <c r="C56" s="184" t="s">
        <v>164</v>
      </c>
      <c r="D56" s="184">
        <f>PIT!C$2</f>
        <v>9</v>
      </c>
      <c r="E56" s="185">
        <f>PIT!D$2</f>
        <v>527.84054400000002</v>
      </c>
      <c r="F56" s="185">
        <f>PIT!E$2</f>
        <v>322.510572384</v>
      </c>
      <c r="G56" s="185">
        <f>PIT!F$2</f>
        <v>3402.4865386512001</v>
      </c>
      <c r="H56" s="185">
        <f>PIT!G$2</f>
        <v>19.673144915424</v>
      </c>
      <c r="I56" s="185">
        <f>PIT!H$2</f>
        <v>7.5146377885526316</v>
      </c>
      <c r="J56" s="185">
        <f>PIT!I$2</f>
        <v>28.017146906232178</v>
      </c>
      <c r="K56" s="185">
        <f>PIT!J$2</f>
        <v>112.90910203211568</v>
      </c>
      <c r="L56" s="185">
        <f>PIT!K$2</f>
        <v>1.1107621728924826</v>
      </c>
      <c r="M56" s="185">
        <f t="shared" si="1"/>
        <v>221.47556776548157</v>
      </c>
      <c r="N5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217.71824887120525</v>
      </c>
      <c r="O56" s="187">
        <v>0</v>
      </c>
    </row>
    <row r="57" spans="1:15" x14ac:dyDescent="0.3">
      <c r="A57" s="183">
        <f>IF(TableQBMaster[[#This Row],[Player]]&lt;&gt;0,A56+1,A56)</f>
        <v>55</v>
      </c>
      <c r="B57" s="184" t="str">
        <f>PIT!A$3</f>
        <v>Mitchell Trubisky</v>
      </c>
      <c r="C57" s="184" t="s">
        <v>164</v>
      </c>
      <c r="D57" s="184">
        <f>PIT!C$3</f>
        <v>9</v>
      </c>
      <c r="E57" s="185">
        <f>PIT!D$3</f>
        <v>118.76412239999999</v>
      </c>
      <c r="F57" s="185">
        <f>PIT!E$3</f>
        <v>75.890274213599994</v>
      </c>
      <c r="G57" s="185">
        <f>PIT!F$3</f>
        <v>766.49176955735993</v>
      </c>
      <c r="H57" s="185">
        <f>PIT!G$3</f>
        <v>4.3257456301751995</v>
      </c>
      <c r="I57" s="185">
        <f>PIT!H$3</f>
        <v>1.3657874075999998</v>
      </c>
      <c r="J57" s="185">
        <f>PIT!I$3</f>
        <v>16.726711385027528</v>
      </c>
      <c r="K57" s="185">
        <f>PIT!J$3</f>
        <v>59.923489845585884</v>
      </c>
      <c r="L57" s="185">
        <f>PIT!K$3</f>
        <v>0.53525476432088093</v>
      </c>
      <c r="M57" s="185">
        <f t="shared" si="1"/>
        <v>55.117849762079068</v>
      </c>
      <c r="N5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54.43495605827907</v>
      </c>
      <c r="O57" s="187">
        <v>0</v>
      </c>
    </row>
    <row r="58" spans="1:15" x14ac:dyDescent="0.3">
      <c r="A58" s="183">
        <f>IF(TableQBMaster[[#This Row],[Player]]&lt;&gt;0,A57+1,A57)</f>
        <v>56</v>
      </c>
      <c r="B58" s="184" t="str">
        <f>PIT!A$4</f>
        <v>Mason Rudolph</v>
      </c>
      <c r="C58" s="184" t="s">
        <v>164</v>
      </c>
      <c r="D58" s="184">
        <f>PIT!C$4</f>
        <v>9</v>
      </c>
      <c r="E58" s="185">
        <f>PIT!D$4</f>
        <v>13.196013600000011</v>
      </c>
      <c r="F58" s="185">
        <f>PIT!E$4</f>
        <v>8.2079204592000075</v>
      </c>
      <c r="G58" s="185">
        <f>PIT!F$4</f>
        <v>69.767323903200065</v>
      </c>
      <c r="H58" s="185">
        <f>PIT!G$4</f>
        <v>0.39398018204160035</v>
      </c>
      <c r="I58" s="185">
        <f>PIT!H$4</f>
        <v>0.47605938663360048</v>
      </c>
      <c r="J58" s="185">
        <f>PIT!I$4</f>
        <v>0</v>
      </c>
      <c r="K58" s="185">
        <f>PIT!J$4</f>
        <v>0</v>
      </c>
      <c r="L58" s="185">
        <f>PIT!K$4</f>
        <v>0</v>
      </c>
      <c r="M58" s="185">
        <f t="shared" si="1"/>
        <v>3.6525246043440029</v>
      </c>
      <c r="N5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3.4144949110272025</v>
      </c>
      <c r="O58" s="187">
        <v>0</v>
      </c>
    </row>
    <row r="59" spans="1:15" x14ac:dyDescent="0.3">
      <c r="A59" s="183">
        <f>IF(TableQBMaster[[#This Row],[Player]]&lt;&gt;0,A58+1,A58)</f>
        <v>57</v>
      </c>
      <c r="B59" s="184" t="str">
        <f>SEA!A$2</f>
        <v>Drew Lock</v>
      </c>
      <c r="C59" s="184" t="s">
        <v>165</v>
      </c>
      <c r="D59" s="184">
        <f>SEA!C$2</f>
        <v>11</v>
      </c>
      <c r="E59" s="185">
        <f>SEA!D$2</f>
        <v>349.05842399999995</v>
      </c>
      <c r="F59" s="185">
        <f>SEA!E$2</f>
        <v>215.71810603199995</v>
      </c>
      <c r="G59" s="185">
        <f>SEA!F$2</f>
        <v>2476.4438572473596</v>
      </c>
      <c r="H59" s="185">
        <f>SEA!G$2</f>
        <v>12.511650149855997</v>
      </c>
      <c r="I59" s="185">
        <f>SEA!H$2</f>
        <v>5.829927815749409</v>
      </c>
      <c r="J59" s="185">
        <f>SEA!I$2</f>
        <v>30.410395784168831</v>
      </c>
      <c r="K59" s="185">
        <f>SEA!J$2</f>
        <v>140.0955325952267</v>
      </c>
      <c r="L59" s="185">
        <f>SEA!K$2</f>
        <v>1.6421613723451169</v>
      </c>
      <c r="M59" s="185">
        <f t="shared" si="1"/>
        <v>164.22198465928761</v>
      </c>
      <c r="N59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161.30702075141295</v>
      </c>
      <c r="O59" s="187">
        <v>12.340934137474003</v>
      </c>
    </row>
    <row r="60" spans="1:15" x14ac:dyDescent="0.3">
      <c r="A60" s="183">
        <f>IF(TableQBMaster[[#This Row],[Player]]&lt;&gt;0,A59+1,A59)</f>
        <v>58</v>
      </c>
      <c r="B60" s="184" t="str">
        <f>SEA!A$3</f>
        <v>Geno Smith</v>
      </c>
      <c r="C60" s="184" t="s">
        <v>165</v>
      </c>
      <c r="D60" s="184">
        <f>SEA!C$3</f>
        <v>11</v>
      </c>
      <c r="E60" s="185">
        <f>SEA!D$3</f>
        <v>232.70561599999996</v>
      </c>
      <c r="F60" s="185">
        <f>SEA!E$3</f>
        <v>150.76678049807032</v>
      </c>
      <c r="G60" s="185">
        <f>SEA!F$3</f>
        <v>1672.0035957235998</v>
      </c>
      <c r="H60" s="185">
        <f>SEA!G$3</f>
        <v>8.6633661477744344</v>
      </c>
      <c r="I60" s="185">
        <f>SEA!H$3</f>
        <v>3.1370041471525831</v>
      </c>
      <c r="J60" s="185">
        <f>SEA!I$3</f>
        <v>15.378041080599093</v>
      </c>
      <c r="K60" s="185">
        <f>SEA!J$3</f>
        <v>61.064923192057371</v>
      </c>
      <c r="L60" s="185">
        <f>SEA!K$3</f>
        <v>0.90730442375534648</v>
      </c>
      <c r="M60" s="185">
        <f t="shared" si="1"/>
        <v>108.37842106105067</v>
      </c>
      <c r="N60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106.80991898747439</v>
      </c>
      <c r="O60" s="187">
        <v>0</v>
      </c>
    </row>
    <row r="61" spans="1:15" x14ac:dyDescent="0.3">
      <c r="A61" s="183">
        <f>IF(TableQBMaster[[#This Row],[Player]]&lt;&gt;0,A60+1,A60)</f>
        <v>59</v>
      </c>
      <c r="B61" s="184" t="str">
        <f>SF!A$2</f>
        <v>Trey Lance</v>
      </c>
      <c r="C61" s="184" t="s">
        <v>166</v>
      </c>
      <c r="D61" s="184">
        <f>SF!C$2</f>
        <v>9</v>
      </c>
      <c r="E61" s="185">
        <f>SF!D$2</f>
        <v>531.85365780000006</v>
      </c>
      <c r="F61" s="185">
        <f>SF!E$2</f>
        <v>331.34482880940004</v>
      </c>
      <c r="G61" s="185">
        <f>SF!F$2</f>
        <v>4055.6607046270565</v>
      </c>
      <c r="H61" s="185">
        <f>SF!G$2</f>
        <v>24.48638284901466</v>
      </c>
      <c r="I61" s="185">
        <f>SF!H$2</f>
        <v>13.585137981185403</v>
      </c>
      <c r="J61" s="185">
        <f>SF!I$2</f>
        <v>119.92000593798524</v>
      </c>
      <c r="K61" s="185">
        <f>SF!J$2</f>
        <v>600.79922974930605</v>
      </c>
      <c r="L61" s="185">
        <f>SF!K$2</f>
        <v>5.1565602553333649</v>
      </c>
      <c r="M61" s="185">
        <f t="shared" si="1"/>
        <v>330.81353711629356</v>
      </c>
      <c r="N61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324.0209681257009</v>
      </c>
      <c r="O61" s="187">
        <v>0</v>
      </c>
    </row>
    <row r="62" spans="1:15" x14ac:dyDescent="0.3">
      <c r="A62" s="183">
        <f>IF(TableQBMaster[[#This Row],[Player]]&lt;&gt;0,A61+1,A61)</f>
        <v>60</v>
      </c>
      <c r="B62" s="184" t="str">
        <f>SF!A$3</f>
        <v>Jimmy Garoppolo</v>
      </c>
      <c r="C62" s="184" t="s">
        <v>166</v>
      </c>
      <c r="D62" s="184">
        <f>SF!C$3</f>
        <v>9</v>
      </c>
      <c r="E62" s="185">
        <f>SF!D$3</f>
        <v>16.449082200000017</v>
      </c>
      <c r="F62" s="185">
        <f>SF!E$3</f>
        <v>11.201824978200012</v>
      </c>
      <c r="G62" s="185">
        <f>SF!F$3</f>
        <v>136.21419173491213</v>
      </c>
      <c r="H62" s="185">
        <f>SF!G$3</f>
        <v>0.9964014665148806</v>
      </c>
      <c r="I62" s="185">
        <f>SF!H$3</f>
        <v>0.47047664908440051</v>
      </c>
      <c r="J62" s="185">
        <f>SF!I$3</f>
        <v>2.87592393428673</v>
      </c>
      <c r="K62" s="185">
        <f>SF!J$3</f>
        <v>11.110734397402643</v>
      </c>
      <c r="L62" s="185">
        <f>SF!K$3</f>
        <v>0.17830728392577727</v>
      </c>
      <c r="M62" s="185">
        <f t="shared" si="1"/>
        <v>10.909375705124337</v>
      </c>
      <c r="N62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10.674137380582136</v>
      </c>
      <c r="O62" s="187">
        <v>0</v>
      </c>
    </row>
    <row r="63" spans="1:15" x14ac:dyDescent="0.3">
      <c r="A63" s="183">
        <f>IF(TableQBMaster[[#This Row],[Player]]&lt;&gt;0,A62+1,A62)</f>
        <v>61</v>
      </c>
      <c r="B63" s="184" t="str">
        <f>TB!A$2</f>
        <v>Tom Brady</v>
      </c>
      <c r="C63" s="184" t="s">
        <v>167</v>
      </c>
      <c r="D63" s="184">
        <f>TB!C$2</f>
        <v>11</v>
      </c>
      <c r="E63" s="185">
        <f>TB!D$2</f>
        <v>700.62992999999994</v>
      </c>
      <c r="F63" s="185">
        <f>TB!E$2</f>
        <v>471.52394289</v>
      </c>
      <c r="G63" s="185">
        <f>TB!F$2</f>
        <v>5064.1671466385997</v>
      </c>
      <c r="H63" s="185">
        <f>TB!G$2</f>
        <v>38.240591768379005</v>
      </c>
      <c r="I63" s="185">
        <f>TB!H$2</f>
        <v>9.0738867325646932</v>
      </c>
      <c r="J63" s="185">
        <f>TB!I$2</f>
        <v>21.319046566187502</v>
      </c>
      <c r="K63" s="185">
        <f>TB!J$2</f>
        <v>52.511562045284172</v>
      </c>
      <c r="L63" s="185">
        <f>TB!K$2</f>
        <v>1.7060637454723477</v>
      </c>
      <c r="M63" s="185">
        <f t="shared" si="1"/>
        <v>357.4057615175754</v>
      </c>
      <c r="N63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352.86881815129311</v>
      </c>
      <c r="O63" s="187">
        <v>10.125962691548789</v>
      </c>
    </row>
    <row r="64" spans="1:15" x14ac:dyDescent="0.3">
      <c r="A64" s="183">
        <f>IF(TableQBMaster[[#This Row],[Player]]&lt;&gt;0,A63+1,A63)</f>
        <v>62</v>
      </c>
      <c r="B64" s="184" t="str">
        <f>TB!A$3</f>
        <v>Kyle Trask</v>
      </c>
      <c r="C64" s="184" t="s">
        <v>167</v>
      </c>
      <c r="D64" s="184">
        <f>TB!C$3</f>
        <v>11</v>
      </c>
      <c r="E64" s="185">
        <f>TB!D$3</f>
        <v>7.0770700000000062</v>
      </c>
      <c r="F64" s="185">
        <f>TB!E$3</f>
        <v>4.367179272151902</v>
      </c>
      <c r="G64" s="185">
        <f>TB!F$3</f>
        <v>43.746445358649822</v>
      </c>
      <c r="H64" s="185">
        <f>TB!G$3</f>
        <v>0.34762747006329142</v>
      </c>
      <c r="I64" s="185">
        <f>TB!H$3</f>
        <v>9.6741312990706693E-2</v>
      </c>
      <c r="J64" s="185">
        <f>TB!I$3</f>
        <v>0</v>
      </c>
      <c r="K64" s="185">
        <f>TB!J$3</f>
        <v>0</v>
      </c>
      <c r="L64" s="185">
        <f>TB!K$3</f>
        <v>0</v>
      </c>
      <c r="M64" s="185">
        <f t="shared" si="1"/>
        <v>2.9952557251130987</v>
      </c>
      <c r="N64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2.9468850686177452</v>
      </c>
      <c r="O64" s="187">
        <v>0</v>
      </c>
    </row>
    <row r="65" spans="1:15" x14ac:dyDescent="0.3">
      <c r="A65" s="183">
        <f>IF(TableQBMaster[[#This Row],[Player]]&lt;&gt;0,A64+1,A64)</f>
        <v>63</v>
      </c>
      <c r="B65" s="184" t="str">
        <f>TEN!A$2</f>
        <v>Ryan Tannehill</v>
      </c>
      <c r="C65" s="184" t="s">
        <v>168</v>
      </c>
      <c r="D65" s="184">
        <f>TEN!C$2</f>
        <v>6</v>
      </c>
      <c r="E65" s="185">
        <f>TEN!D$2</f>
        <v>535.31787699999995</v>
      </c>
      <c r="F65" s="185">
        <f>TEN!E$2</f>
        <v>356.08976112867651</v>
      </c>
      <c r="G65" s="185">
        <f>TEN!F$2</f>
        <v>3710.4970662453034</v>
      </c>
      <c r="H65" s="185">
        <f>TEN!G$2</f>
        <v>22.789744712235297</v>
      </c>
      <c r="I65" s="185">
        <f>TEN!H$2</f>
        <v>8.5573818942207041</v>
      </c>
      <c r="J65" s="185">
        <f>TEN!I$2</f>
        <v>48.022270163649296</v>
      </c>
      <c r="K65" s="185">
        <f>TEN!J$2</f>
        <v>240.59157351988296</v>
      </c>
      <c r="L65" s="185">
        <f>TEN!K$2</f>
        <v>4.0999163461648704</v>
      </c>
      <c r="M65" s="185">
        <f t="shared" si="1"/>
        <v>275.40144408639981</v>
      </c>
      <c r="N65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271.12275313928944</v>
      </c>
      <c r="O65" s="187">
        <v>4.8245524484709676</v>
      </c>
    </row>
    <row r="66" spans="1:15" x14ac:dyDescent="0.3">
      <c r="A66" s="183">
        <f>IF(TableQBMaster[[#This Row],[Player]]&lt;&gt;0,A65+1,A65)</f>
        <v>64</v>
      </c>
      <c r="B66" s="184" t="str">
        <f>TEN!A$3</f>
        <v>Malik Willis</v>
      </c>
      <c r="C66" s="184" t="s">
        <v>168</v>
      </c>
      <c r="D66" s="184">
        <f>TEN!C$3</f>
        <v>6</v>
      </c>
      <c r="E66" s="185">
        <f>TEN!D$3</f>
        <v>16.556223000000013</v>
      </c>
      <c r="F66" s="185">
        <f>TEN!E$3</f>
        <v>9.6049920767179913</v>
      </c>
      <c r="G66" s="185">
        <f>TEN!F$3</f>
        <v>115.33964591038108</v>
      </c>
      <c r="H66" s="185">
        <f>TEN!G$3</f>
        <v>0.85436774748430444</v>
      </c>
      <c r="I66" s="185">
        <f>TEN!H$3</f>
        <v>0.36149862671125765</v>
      </c>
      <c r="J66" s="185">
        <f>TEN!I$3</f>
        <v>3.1499357293705712</v>
      </c>
      <c r="K66" s="185">
        <f>TEN!J$3</f>
        <v>19.919593564781515</v>
      </c>
      <c r="L66" s="185">
        <f>TEN!K$3</f>
        <v>0.13999714352758091</v>
      </c>
      <c r="M66" s="185">
        <f t="shared" ref="M66:M68" si="2">(G66/25)+(H66*4)+(I66*-1.5)+(K66/10)+(L66*6)</f>
        <v>10.320751103929211</v>
      </c>
      <c r="N66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10.140001790573582</v>
      </c>
      <c r="O66" s="187">
        <v>0</v>
      </c>
    </row>
    <row r="67" spans="1:15" x14ac:dyDescent="0.3">
      <c r="A67" s="183">
        <f>IF(TableQBMaster[[#This Row],[Player]]&lt;&gt;0,A66+1,A66)</f>
        <v>65</v>
      </c>
      <c r="B67" s="184" t="str">
        <f>WSH!A$2</f>
        <v>Carson Wentz</v>
      </c>
      <c r="C67" s="184" t="s">
        <v>171</v>
      </c>
      <c r="D67" s="184">
        <f>WSH!C$2</f>
        <v>14</v>
      </c>
      <c r="E67" s="185">
        <f>WSH!D$2</f>
        <v>597.30170324999995</v>
      </c>
      <c r="F67" s="185">
        <f>WSH!E$2</f>
        <v>377.49467645399994</v>
      </c>
      <c r="G67" s="185">
        <f>WSH!F$2</f>
        <v>4193.9658554039388</v>
      </c>
      <c r="H67" s="185">
        <f>WSH!G$2</f>
        <v>25.197074665159352</v>
      </c>
      <c r="I67" s="185">
        <f>WSH!H$2</f>
        <v>7.9688501132900651</v>
      </c>
      <c r="J67" s="185">
        <f>WSH!I$2</f>
        <v>45.103943615323686</v>
      </c>
      <c r="K67" s="185">
        <f>WSH!J$2</f>
        <v>184.64007933328469</v>
      </c>
      <c r="L67" s="185">
        <f>WSH!K$2</f>
        <v>1.1621087251777349</v>
      </c>
      <c r="M67" s="185">
        <f t="shared" si="2"/>
        <v>282.03031799125472</v>
      </c>
      <c r="N67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278.04589293460975</v>
      </c>
      <c r="O67" s="187">
        <v>0</v>
      </c>
    </row>
    <row r="68" spans="1:15" x14ac:dyDescent="0.3">
      <c r="A68" s="183">
        <f>IF(TableQBMaster[[#This Row],[Player]]&lt;&gt;0,A67+1,A67)</f>
        <v>66</v>
      </c>
      <c r="B68" s="184" t="str">
        <f>WSH!A$3</f>
        <v>Taylor Heinicke</v>
      </c>
      <c r="C68" s="184" t="s">
        <v>171</v>
      </c>
      <c r="D68" s="184">
        <f>WSH!C$3</f>
        <v>14</v>
      </c>
      <c r="E68" s="185">
        <f>WSH!D$3</f>
        <v>12.574772699999999</v>
      </c>
      <c r="F68" s="185">
        <f>WSH!E$3</f>
        <v>8.0855788460999989</v>
      </c>
      <c r="G68" s="185">
        <f>WSH!F$3</f>
        <v>93.145868307071979</v>
      </c>
      <c r="H68" s="185">
        <f>WSH!G$3</f>
        <v>0.71021976350878369</v>
      </c>
      <c r="I68" s="185">
        <f>WSH!H$3</f>
        <v>0.44231831762035007</v>
      </c>
      <c r="J68" s="185">
        <f>WSH!I$3</f>
        <v>4.7981462674587743</v>
      </c>
      <c r="K68" s="185">
        <f>WSH!J$3</f>
        <v>23.96574099215086</v>
      </c>
      <c r="L68" s="185">
        <f>WSH!K$3</f>
        <v>0.17493241600110115</v>
      </c>
      <c r="M68" s="185">
        <f t="shared" si="2"/>
        <v>9.3494049051091803</v>
      </c>
      <c r="N68" s="186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9.1282457462990063</v>
      </c>
      <c r="O68" s="187">
        <v>0</v>
      </c>
    </row>
  </sheetData>
  <phoneticPr fontId="16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"/>
  <dimension ref="A1:P161"/>
  <sheetViews>
    <sheetView showGridLines="0" zoomScale="85" zoomScaleNormal="85" workbookViewId="0">
      <selection activeCell="A3" sqref="A3"/>
    </sheetView>
  </sheetViews>
  <sheetFormatPr defaultColWidth="9.109375" defaultRowHeight="14.4" x14ac:dyDescent="0.3"/>
  <cols>
    <col min="1" max="1" width="9" style="189" bestFit="1" customWidth="1"/>
    <col min="2" max="2" width="22.33203125" style="189" bestFit="1" customWidth="1"/>
    <col min="3" max="3" width="6.5546875" style="189" bestFit="1" customWidth="1"/>
    <col min="4" max="4" width="7" style="191" bestFit="1" customWidth="1"/>
    <col min="5" max="5" width="8.5546875" style="191" bestFit="1" customWidth="1"/>
    <col min="6" max="7" width="8.6640625" style="191" bestFit="1" customWidth="1"/>
    <col min="8" max="8" width="7.109375" style="191" bestFit="1" customWidth="1"/>
    <col min="9" max="9" width="7" style="191" bestFit="1" customWidth="1"/>
    <col min="10" max="10" width="8.44140625" style="191" bestFit="1" customWidth="1"/>
    <col min="11" max="11" width="8.44140625" style="189" bestFit="1" customWidth="1"/>
    <col min="12" max="12" width="6.88671875" style="189" bestFit="1" customWidth="1"/>
    <col min="13" max="13" width="8.109375" style="189" bestFit="1" customWidth="1"/>
    <col min="14" max="14" width="7" style="189" bestFit="1" customWidth="1"/>
    <col min="15" max="15" width="10" style="189" bestFit="1" customWidth="1"/>
    <col min="16" max="16" width="8.44140625" style="189" bestFit="1" customWidth="1"/>
    <col min="17" max="16384" width="9.109375" style="189"/>
  </cols>
  <sheetData>
    <row r="1" spans="1:16" s="195" customFormat="1" x14ac:dyDescent="0.3">
      <c r="A1" s="192" t="s">
        <v>543</v>
      </c>
      <c r="B1" s="192" t="s">
        <v>507</v>
      </c>
      <c r="C1" s="192" t="s">
        <v>136</v>
      </c>
      <c r="D1" s="192" t="s">
        <v>174</v>
      </c>
      <c r="E1" s="193" t="s">
        <v>181</v>
      </c>
      <c r="F1" s="193" t="s">
        <v>182</v>
      </c>
      <c r="G1" s="193" t="s">
        <v>183</v>
      </c>
      <c r="H1" s="193" t="s">
        <v>3</v>
      </c>
      <c r="I1" s="193" t="s">
        <v>4</v>
      </c>
      <c r="J1" s="193" t="s">
        <v>193</v>
      </c>
      <c r="K1" s="193" t="s">
        <v>194</v>
      </c>
      <c r="L1" s="194" t="s">
        <v>169</v>
      </c>
      <c r="M1" s="194" t="s">
        <v>172</v>
      </c>
      <c r="N1" s="194" t="s">
        <v>173</v>
      </c>
      <c r="O1" s="194" t="s">
        <v>503</v>
      </c>
      <c r="P1" s="194" t="s">
        <v>477</v>
      </c>
    </row>
    <row r="2" spans="1:16" x14ac:dyDescent="0.3">
      <c r="A2" s="196">
        <v>1</v>
      </c>
      <c r="B2" s="144" t="str">
        <f>ARI!A7</f>
        <v>James Conner</v>
      </c>
      <c r="C2" s="144" t="s">
        <v>137</v>
      </c>
      <c r="D2" s="144">
        <f>ARI!C7</f>
        <v>13</v>
      </c>
      <c r="E2" s="145">
        <f>ARI!I7</f>
        <v>207.09737456506932</v>
      </c>
      <c r="F2" s="145">
        <f>ARI!J7</f>
        <v>886.3767631384967</v>
      </c>
      <c r="G2" s="145">
        <f>ARI!K7</f>
        <v>10.596209583821869</v>
      </c>
      <c r="H2" s="145">
        <f>ARI!L7</f>
        <v>63.606144809999996</v>
      </c>
      <c r="I2" s="145">
        <f>ARI!M7</f>
        <v>51.648189585719997</v>
      </c>
      <c r="J2" s="145">
        <f>ARI!N7</f>
        <v>404.4053244561876</v>
      </c>
      <c r="K2" s="145">
        <f>ARI!O7</f>
        <v>3.0472431855574795</v>
      </c>
      <c r="L2" s="145">
        <f t="shared" ref="L2" si="0">(F2/10)+(G2*6)+(J2/10)+(K2*6)</f>
        <v>210.93892537574453</v>
      </c>
      <c r="M2" s="145">
        <f t="shared" ref="M2" si="1">L2+(I2*0.5)</f>
        <v>236.76302016860453</v>
      </c>
      <c r="N2" s="145">
        <f t="shared" ref="N2" si="2">L2+I2</f>
        <v>262.58711496146452</v>
      </c>
      <c r="O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210.93892537574453</v>
      </c>
      <c r="P2" s="190">
        <v>21.355435170779902</v>
      </c>
    </row>
    <row r="3" spans="1:16" x14ac:dyDescent="0.3">
      <c r="A3" s="196">
        <f>IF(TableRBMaster[[#This Row],[Player]]&lt;&gt;0,A2+1,A2)</f>
        <v>2</v>
      </c>
      <c r="B3" s="144" t="str">
        <f>ARI!A8</f>
        <v>Darrel Williams</v>
      </c>
      <c r="C3" s="144" t="s">
        <v>137</v>
      </c>
      <c r="D3" s="144">
        <f>ARI!C8</f>
        <v>13</v>
      </c>
      <c r="E3" s="145">
        <f>ARI!I8</f>
        <v>102.31889289675634</v>
      </c>
      <c r="F3" s="145">
        <f>ARI!J8</f>
        <v>432.80891695327938</v>
      </c>
      <c r="G3" s="145">
        <f>ARI!K8</f>
        <v>3.7506209475200207</v>
      </c>
      <c r="H3" s="145">
        <f>ARI!L8</f>
        <v>21.825637925000002</v>
      </c>
      <c r="I3" s="145">
        <f>ARI!M8</f>
        <v>16.078947459347503</v>
      </c>
      <c r="J3" s="145">
        <f>ARI!N8</f>
        <v>129.75710599693437</v>
      </c>
      <c r="K3" s="145">
        <f>ARI!O8</f>
        <v>0.88507967666133036</v>
      </c>
      <c r="L3" s="145">
        <f t="shared" ref="L3:L11" si="3">(F3/10)+(G3*6)+(J3/10)+(K3*6)</f>
        <v>84.070806040109474</v>
      </c>
      <c r="M3" s="145">
        <f t="shared" ref="M3:M11" si="4">L3+(I3*0.5)</f>
        <v>92.110279769783233</v>
      </c>
      <c r="N3" s="145">
        <f t="shared" ref="N3:N11" si="5">L3+I3</f>
        <v>100.14975349945698</v>
      </c>
      <c r="O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84.070806040109474</v>
      </c>
      <c r="P3" s="190">
        <v>13.809396324367668</v>
      </c>
    </row>
    <row r="4" spans="1:16" x14ac:dyDescent="0.3">
      <c r="A4" s="196">
        <f>IF(TableRBMaster[[#This Row],[Player]]&lt;&gt;0,A3+1,A3)</f>
        <v>3</v>
      </c>
      <c r="B4" s="144" t="str">
        <f>ARI!A9</f>
        <v>Eno Benjamin</v>
      </c>
      <c r="C4" s="144" t="s">
        <v>137</v>
      </c>
      <c r="D4" s="144">
        <f>ARI!C9</f>
        <v>13</v>
      </c>
      <c r="E4" s="145">
        <f>ARI!I9</f>
        <v>35.418078310415652</v>
      </c>
      <c r="F4" s="145">
        <f>ARI!J9</f>
        <v>135.29705914578778</v>
      </c>
      <c r="G4" s="145">
        <f>ARI!K9</f>
        <v>0.80753218547747685</v>
      </c>
      <c r="H4" s="145">
        <f>ARI!L9</f>
        <v>13.718972409999999</v>
      </c>
      <c r="I4" s="145">
        <f>ARI!M9</f>
        <v>9.6705036518089997</v>
      </c>
      <c r="J4" s="145">
        <f>ARI!N9</f>
        <v>77.654144324026262</v>
      </c>
      <c r="K4" s="145">
        <f>ARI!O9</f>
        <v>0.29623371760028572</v>
      </c>
      <c r="L4" s="145">
        <f t="shared" si="3"/>
        <v>27.91771576544798</v>
      </c>
      <c r="M4" s="145">
        <f t="shared" si="4"/>
        <v>32.75296759135248</v>
      </c>
      <c r="N4" s="145">
        <f t="shared" si="5"/>
        <v>37.58821941725698</v>
      </c>
      <c r="O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27.91771576544798</v>
      </c>
      <c r="P4" s="190">
        <v>0</v>
      </c>
    </row>
    <row r="5" spans="1:16" x14ac:dyDescent="0.3">
      <c r="A5" s="196">
        <f>IF(TableRBMaster[[#This Row],[Player]]&lt;&gt;0,A4+1,A4)</f>
        <v>4</v>
      </c>
      <c r="B5" s="144" t="str">
        <f>ARI!A10</f>
        <v>Keaontay Ingram</v>
      </c>
      <c r="C5" s="144" t="s">
        <v>137</v>
      </c>
      <c r="D5" s="144">
        <f>ARI!C10</f>
        <v>13</v>
      </c>
      <c r="E5" s="145">
        <f>ARI!I10</f>
        <v>22.628216698321111</v>
      </c>
      <c r="F5" s="145">
        <f>ARI!J10</f>
        <v>107.12436314520724</v>
      </c>
      <c r="G5" s="145">
        <f>ARI!K10</f>
        <v>0.50234641070272867</v>
      </c>
      <c r="H5" s="145">
        <f>ARI!L10</f>
        <v>15.589741375000003</v>
      </c>
      <c r="I5" s="145">
        <f>ARI!M10</f>
        <v>11.998254705734377</v>
      </c>
      <c r="J5" s="145">
        <f>ARI!N10</f>
        <v>96.106020192932363</v>
      </c>
      <c r="K5" s="145">
        <f>ARI!O10</f>
        <v>0.11998254705734378</v>
      </c>
      <c r="L5" s="145">
        <f t="shared" si="3"/>
        <v>24.057012080374392</v>
      </c>
      <c r="M5" s="145">
        <f t="shared" si="4"/>
        <v>30.056139433241579</v>
      </c>
      <c r="N5" s="145">
        <f t="shared" si="5"/>
        <v>36.055266786108767</v>
      </c>
      <c r="O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24.057012080374395</v>
      </c>
      <c r="P5" s="190">
        <v>0</v>
      </c>
    </row>
    <row r="6" spans="1:16" x14ac:dyDescent="0.3">
      <c r="A6" s="196">
        <f>IF(TableRBMaster[[#This Row],[Player]]&lt;&gt;0,A5+1,A5)</f>
        <v>4</v>
      </c>
      <c r="B6" s="144">
        <f>ARI!A11</f>
        <v>0</v>
      </c>
      <c r="C6" s="144" t="s">
        <v>137</v>
      </c>
      <c r="D6" s="144">
        <f>ARI!C11</f>
        <v>13</v>
      </c>
      <c r="E6" s="145">
        <f>ARI!I11</f>
        <v>0</v>
      </c>
      <c r="F6" s="145">
        <f>ARI!J11</f>
        <v>0</v>
      </c>
      <c r="G6" s="145">
        <f>ARI!K11</f>
        <v>0</v>
      </c>
      <c r="H6" s="145">
        <f>ARI!L11</f>
        <v>0</v>
      </c>
      <c r="I6" s="145">
        <f>ARI!M11</f>
        <v>0</v>
      </c>
      <c r="J6" s="145">
        <f>ARI!N11</f>
        <v>0</v>
      </c>
      <c r="K6" s="145">
        <f>ARI!O11</f>
        <v>0</v>
      </c>
      <c r="L6" s="216">
        <f>(F6/10)+(G6*6)+(J6/10)+(K6*6)</f>
        <v>0</v>
      </c>
      <c r="M6" s="216">
        <f>L6+(I6*0.5)</f>
        <v>0</v>
      </c>
      <c r="N6" s="216">
        <f>L6+I6</f>
        <v>0</v>
      </c>
      <c r="O6" s="217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" s="190">
        <v>0</v>
      </c>
    </row>
    <row r="7" spans="1:16" x14ac:dyDescent="0.3">
      <c r="A7" s="196">
        <f>IF(TableRBMaster[[#This Row],[Player]]&lt;&gt;0,A6+1,A6)</f>
        <v>5</v>
      </c>
      <c r="B7" s="144" t="str">
        <f>ATL!A$7</f>
        <v>Cordarrelle Patterson</v>
      </c>
      <c r="C7" s="144" t="s">
        <v>138</v>
      </c>
      <c r="D7" s="144">
        <f>ATL!C$7</f>
        <v>14</v>
      </c>
      <c r="E7" s="145">
        <f>ATL!I$7</f>
        <v>114.20472199534274</v>
      </c>
      <c r="F7" s="145">
        <f>ATL!J$7</f>
        <v>446.11019177669237</v>
      </c>
      <c r="G7" s="145">
        <f>ATL!K$7</f>
        <v>4.0660862757981384</v>
      </c>
      <c r="H7" s="145">
        <f>ATL!L$7</f>
        <v>67.338550612674524</v>
      </c>
      <c r="I7" s="145">
        <f>ATL!M$7</f>
        <v>50.867541132814331</v>
      </c>
      <c r="J7" s="145">
        <f>ATL!N$7</f>
        <v>473.98077882062245</v>
      </c>
      <c r="K7" s="145">
        <f>ATL!O$7</f>
        <v>3.2675368181686331</v>
      </c>
      <c r="L7" s="145">
        <f t="shared" si="3"/>
        <v>136.0108356235321</v>
      </c>
      <c r="M7" s="145">
        <f t="shared" si="4"/>
        <v>161.44460618993926</v>
      </c>
      <c r="N7" s="145">
        <f t="shared" si="5"/>
        <v>186.87837675634643</v>
      </c>
      <c r="O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136.0108356235321</v>
      </c>
      <c r="P7" s="190">
        <v>29.621674125076801</v>
      </c>
    </row>
    <row r="8" spans="1:16" x14ac:dyDescent="0.3">
      <c r="A8" s="196">
        <f>IF(TableRBMaster[[#This Row],[Player]]&lt;&gt;0,A7+1,A7)</f>
        <v>6</v>
      </c>
      <c r="B8" s="144" t="str">
        <f>ATL!A$8</f>
        <v>Damien Williams</v>
      </c>
      <c r="C8" s="144" t="s">
        <v>138</v>
      </c>
      <c r="D8" s="144">
        <f>ATL!C$9</f>
        <v>14</v>
      </c>
      <c r="E8" s="145">
        <f>ATL!I$8</f>
        <v>84.6410882873285</v>
      </c>
      <c r="F8" s="145">
        <f>ATL!J$8</f>
        <v>347.02846197804683</v>
      </c>
      <c r="G8" s="145">
        <f>ATL!K$8</f>
        <v>2.5984814104209852</v>
      </c>
      <c r="H8" s="145">
        <f>ATL!L$8</f>
        <v>34.964247433504084</v>
      </c>
      <c r="I8" s="145">
        <f>ATL!M$8</f>
        <v>27.146241707372571</v>
      </c>
      <c r="J8" s="145">
        <f>ATL!N$8</f>
        <v>184.34204883345504</v>
      </c>
      <c r="K8" s="145">
        <f>ATL!O$8</f>
        <v>1.1705125842535893</v>
      </c>
      <c r="L8" s="145">
        <f t="shared" si="3"/>
        <v>75.751015049197633</v>
      </c>
      <c r="M8" s="145">
        <f t="shared" si="4"/>
        <v>89.324135902883924</v>
      </c>
      <c r="N8" s="145">
        <f t="shared" si="5"/>
        <v>102.8972567565702</v>
      </c>
      <c r="O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75.751015049197633</v>
      </c>
      <c r="P8" s="190">
        <v>0</v>
      </c>
    </row>
    <row r="9" spans="1:16" x14ac:dyDescent="0.3">
      <c r="A9" s="196">
        <f>IF(TableRBMaster[[#This Row],[Player]]&lt;&gt;0,A8+1,A8)</f>
        <v>7</v>
      </c>
      <c r="B9" s="144" t="str">
        <f>ATL!A$9</f>
        <v>Tyler Allgeier</v>
      </c>
      <c r="C9" s="144" t="s">
        <v>138</v>
      </c>
      <c r="D9" s="144">
        <f>ATL!C$8</f>
        <v>14</v>
      </c>
      <c r="E9" s="145">
        <f>ATL!I$9</f>
        <v>135.26374874625702</v>
      </c>
      <c r="F9" s="145">
        <f>ATL!J$9</f>
        <v>539.70235749756557</v>
      </c>
      <c r="G9" s="145">
        <f>ATL!K$9</f>
        <v>4.0308597126384589</v>
      </c>
      <c r="H9" s="145">
        <f>ATL!L$9</f>
        <v>26.546928606919771</v>
      </c>
      <c r="I9" s="145">
        <f>ATL!M$9</f>
        <v>16.910393522607894</v>
      </c>
      <c r="J9" s="145">
        <f>ATL!N$9</f>
        <v>121.46152732935231</v>
      </c>
      <c r="K9" s="145">
        <f>ATL!O$9</f>
        <v>0.60732872444969388</v>
      </c>
      <c r="L9" s="145">
        <f t="shared" si="3"/>
        <v>93.945519105220697</v>
      </c>
      <c r="M9" s="145">
        <f t="shared" si="4"/>
        <v>102.40071586652465</v>
      </c>
      <c r="N9" s="145">
        <f t="shared" si="5"/>
        <v>110.85591262782859</v>
      </c>
      <c r="O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93.945519105220711</v>
      </c>
      <c r="P9" s="190">
        <v>0</v>
      </c>
    </row>
    <row r="10" spans="1:16" x14ac:dyDescent="0.3">
      <c r="A10" s="196">
        <f>IF(TableRBMaster[[#This Row],[Player]]&lt;&gt;0,A9+1,A9)</f>
        <v>8</v>
      </c>
      <c r="B10" s="144" t="str">
        <f>ATL!A$10</f>
        <v>Qadree Ollison</v>
      </c>
      <c r="C10" s="144" t="s">
        <v>138</v>
      </c>
      <c r="D10" s="144">
        <f>ATL!C$10</f>
        <v>14</v>
      </c>
      <c r="E10" s="145">
        <f>ATL!I$10</f>
        <v>14.579326212171415</v>
      </c>
      <c r="F10" s="145">
        <f>ATL!J$10</f>
        <v>55.6930261304948</v>
      </c>
      <c r="G10" s="145">
        <f>ATL!K$10</f>
        <v>0.27846513065247402</v>
      </c>
      <c r="H10" s="145">
        <f>ATL!L$10</f>
        <v>8.4173188265843155</v>
      </c>
      <c r="I10" s="145">
        <f>ATL!M$10</f>
        <v>5.7254602658426519</v>
      </c>
      <c r="J10" s="145">
        <f>ATL!N$10</f>
        <v>40.543552180190538</v>
      </c>
      <c r="K10" s="145">
        <f>ATL!O$10</f>
        <v>3.2158280531580839E-2</v>
      </c>
      <c r="L10" s="145">
        <f t="shared" si="3"/>
        <v>11.487398298172863</v>
      </c>
      <c r="M10" s="145">
        <f t="shared" si="4"/>
        <v>14.350128431094189</v>
      </c>
      <c r="N10" s="145">
        <f t="shared" si="5"/>
        <v>17.212858564015516</v>
      </c>
      <c r="O1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11.487398298172863</v>
      </c>
      <c r="P10" s="190">
        <v>0</v>
      </c>
    </row>
    <row r="11" spans="1:16" x14ac:dyDescent="0.3">
      <c r="A11" s="196">
        <f>IF(TableRBMaster[[#This Row],[Player]]&lt;&gt;0,A10+1,A10)</f>
        <v>8</v>
      </c>
      <c r="B11" s="144">
        <f>ATL!A$11</f>
        <v>0</v>
      </c>
      <c r="C11" s="144" t="s">
        <v>138</v>
      </c>
      <c r="D11" s="144">
        <f>ATL!C$11</f>
        <v>14</v>
      </c>
      <c r="E11" s="145">
        <f>ATL!I$11</f>
        <v>0</v>
      </c>
      <c r="F11" s="145">
        <f>ATL!J$11</f>
        <v>0</v>
      </c>
      <c r="G11" s="145">
        <f>ATL!K$11</f>
        <v>0</v>
      </c>
      <c r="H11" s="145">
        <f>ATL!L$11</f>
        <v>0</v>
      </c>
      <c r="I11" s="145">
        <f>ATL!M$11</f>
        <v>0</v>
      </c>
      <c r="J11" s="145">
        <f>ATL!N$11</f>
        <v>0</v>
      </c>
      <c r="K11" s="145">
        <f>ATL!O$11</f>
        <v>0</v>
      </c>
      <c r="L11" s="145">
        <f t="shared" si="3"/>
        <v>0</v>
      </c>
      <c r="M11" s="145">
        <f t="shared" si="4"/>
        <v>0</v>
      </c>
      <c r="N11" s="145">
        <f t="shared" si="5"/>
        <v>0</v>
      </c>
      <c r="O1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" s="190">
        <v>0</v>
      </c>
    </row>
    <row r="12" spans="1:16" x14ac:dyDescent="0.3">
      <c r="A12" s="196">
        <f>IF(TableRBMaster[[#This Row],[Player]]&lt;&gt;0,A11+1,A11)</f>
        <v>9</v>
      </c>
      <c r="B12" s="144" t="str">
        <f>BAL!A$7</f>
        <v>J.K. Dobbins</v>
      </c>
      <c r="C12" s="144" t="s">
        <v>139</v>
      </c>
      <c r="D12" s="144">
        <f>BAL!C$7</f>
        <v>10</v>
      </c>
      <c r="E12" s="145">
        <f>BAL!I$7</f>
        <v>212.09482470304781</v>
      </c>
      <c r="F12" s="145">
        <f>BAL!J$7</f>
        <v>1047.7484340330564</v>
      </c>
      <c r="G12" s="145">
        <f>BAL!K$7</f>
        <v>10.350227445508734</v>
      </c>
      <c r="H12" s="145">
        <f>BAL!L$7</f>
        <v>42.037810989016307</v>
      </c>
      <c r="I12" s="145">
        <f>BAL!M$7</f>
        <v>30.775881425058838</v>
      </c>
      <c r="J12" s="145">
        <f>BAL!N$7</f>
        <v>249.28463954297658</v>
      </c>
      <c r="K12" s="145">
        <f>BAL!O$7</f>
        <v>1.4156905455527065</v>
      </c>
      <c r="L12" s="145">
        <f t="shared" ref="L12:L16" si="6">(F12/10)+(G12*6)+(J12/10)+(K12*6)</f>
        <v>200.29881530397194</v>
      </c>
      <c r="M12" s="145">
        <f t="shared" ref="M12:M16" si="7">L12+(I12*0.5)</f>
        <v>215.68675601650136</v>
      </c>
      <c r="N12" s="145">
        <f t="shared" ref="N12:N16" si="8">L12+I12</f>
        <v>231.07469672903076</v>
      </c>
      <c r="O1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200.29881530397194</v>
      </c>
      <c r="P12" s="190">
        <v>31.804706892865251</v>
      </c>
    </row>
    <row r="13" spans="1:16" x14ac:dyDescent="0.3">
      <c r="A13" s="196">
        <f>IF(TableRBMaster[[#This Row],[Player]]&lt;&gt;0,A12+1,A12)</f>
        <v>10</v>
      </c>
      <c r="B13" s="144" t="str">
        <f>BAL!A$8</f>
        <v>Gus Edwards</v>
      </c>
      <c r="C13" s="144" t="s">
        <v>139</v>
      </c>
      <c r="D13" s="144">
        <f>BAL!C$9</f>
        <v>10</v>
      </c>
      <c r="E13" s="145">
        <f>BAL!I$8</f>
        <v>128.75132990103714</v>
      </c>
      <c r="F13" s="145">
        <f>BAL!J$8</f>
        <v>623.15643672101976</v>
      </c>
      <c r="G13" s="145">
        <f>BAL!K$8</f>
        <v>6.0513125053487453</v>
      </c>
      <c r="H13" s="145">
        <f>BAL!L$8</f>
        <v>19.470006810744145</v>
      </c>
      <c r="I13" s="145">
        <f>BAL!M$8</f>
        <v>14.485685067193645</v>
      </c>
      <c r="J13" s="145">
        <f>BAL!N$8</f>
        <v>118.63776070031594</v>
      </c>
      <c r="K13" s="145">
        <f>BAL!O$8</f>
        <v>0.86914110403161859</v>
      </c>
      <c r="L13" s="145">
        <f t="shared" si="6"/>
        <v>115.70214139841576</v>
      </c>
      <c r="M13" s="145">
        <f t="shared" si="7"/>
        <v>122.94498393201259</v>
      </c>
      <c r="N13" s="145">
        <f t="shared" si="8"/>
        <v>130.18782646560942</v>
      </c>
      <c r="O1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115.70214139841576</v>
      </c>
      <c r="P13" s="190">
        <v>6.63008926973718</v>
      </c>
    </row>
    <row r="14" spans="1:16" x14ac:dyDescent="0.3">
      <c r="A14" s="196">
        <f>IF(TableRBMaster[[#This Row],[Player]]&lt;&gt;0,A13+1,A13)</f>
        <v>11</v>
      </c>
      <c r="B14" s="144" t="str">
        <f>BAL!A$9</f>
        <v>Mike Davis</v>
      </c>
      <c r="C14" s="144" t="s">
        <v>139</v>
      </c>
      <c r="D14" s="144">
        <f>BAL!C$8</f>
        <v>10</v>
      </c>
      <c r="E14" s="145">
        <f>BAL!I$9</f>
        <v>16.668698960402132</v>
      </c>
      <c r="F14" s="145">
        <f>BAL!J$9</f>
        <v>86.151808213817546</v>
      </c>
      <c r="G14" s="145">
        <f>BAL!K$9</f>
        <v>0.60340690236655725</v>
      </c>
      <c r="H14" s="145">
        <f>BAL!L$9</f>
        <v>7.6497173090745232</v>
      </c>
      <c r="I14" s="145">
        <f>BAL!M$9</f>
        <v>4.8630345750545185</v>
      </c>
      <c r="J14" s="145">
        <f>BAL!N$9</f>
        <v>33.068635110370728</v>
      </c>
      <c r="K14" s="145">
        <f>BAL!O$9</f>
        <v>2.732041896098044E-2</v>
      </c>
      <c r="L14" s="145">
        <f t="shared" si="6"/>
        <v>15.706408260384052</v>
      </c>
      <c r="M14" s="145">
        <f t="shared" si="7"/>
        <v>18.137925547911312</v>
      </c>
      <c r="N14" s="145">
        <f t="shared" si="8"/>
        <v>20.569442835438572</v>
      </c>
      <c r="O1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15.706408260384052</v>
      </c>
      <c r="P14" s="190">
        <v>0</v>
      </c>
    </row>
    <row r="15" spans="1:16" x14ac:dyDescent="0.3">
      <c r="A15" s="196">
        <f>IF(TableRBMaster[[#This Row],[Player]]&lt;&gt;0,A14+1,A14)</f>
        <v>12</v>
      </c>
      <c r="B15" s="144" t="str">
        <f>BAL!A$10</f>
        <v>Tyler Badie</v>
      </c>
      <c r="C15" s="144" t="s">
        <v>139</v>
      </c>
      <c r="D15" s="144">
        <f>BAL!C$10</f>
        <v>10</v>
      </c>
      <c r="E15" s="145">
        <f>BAL!I$10</f>
        <v>10.346089009904771</v>
      </c>
      <c r="F15" s="145">
        <f>BAL!J$10</f>
        <v>44.902026302986705</v>
      </c>
      <c r="G15" s="145">
        <f>BAL!K$10</f>
        <v>0.24934074513870499</v>
      </c>
      <c r="H15" s="145">
        <f>BAL!L$10</f>
        <v>10.367788187367013</v>
      </c>
      <c r="I15" s="145">
        <f>BAL!M$10</f>
        <v>6.9671536619106336</v>
      </c>
      <c r="J15" s="145">
        <f>BAL!N$10</f>
        <v>56.294601588237917</v>
      </c>
      <c r="K15" s="145">
        <f>BAL!O$10</f>
        <v>0.16024453422394458</v>
      </c>
      <c r="L15" s="145">
        <f t="shared" si="6"/>
        <v>12.577174465298359</v>
      </c>
      <c r="M15" s="145">
        <f t="shared" si="7"/>
        <v>16.060751296253677</v>
      </c>
      <c r="N15" s="145">
        <f t="shared" si="8"/>
        <v>19.544328127208992</v>
      </c>
      <c r="O1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12.577174465298361</v>
      </c>
      <c r="P15" s="190">
        <v>0</v>
      </c>
    </row>
    <row r="16" spans="1:16" x14ac:dyDescent="0.3">
      <c r="A16" s="196">
        <f>IF(TableRBMaster[[#This Row],[Player]]&lt;&gt;0,A15+1,A15)</f>
        <v>12</v>
      </c>
      <c r="B16" s="144">
        <f>BAL!A$11</f>
        <v>0</v>
      </c>
      <c r="C16" s="144" t="s">
        <v>139</v>
      </c>
      <c r="D16" s="144">
        <f>BAL!C$11</f>
        <v>10</v>
      </c>
      <c r="E16" s="145">
        <f>BAL!I$11</f>
        <v>0</v>
      </c>
      <c r="F16" s="145">
        <f>BAL!J$11</f>
        <v>0</v>
      </c>
      <c r="G16" s="145">
        <f>BAL!K$11</f>
        <v>0</v>
      </c>
      <c r="H16" s="145">
        <f>BAL!L$11</f>
        <v>0</v>
      </c>
      <c r="I16" s="145">
        <f>BAL!M$11</f>
        <v>0</v>
      </c>
      <c r="J16" s="145">
        <f>BAL!N$11</f>
        <v>0</v>
      </c>
      <c r="K16" s="145">
        <f>BAL!O$11</f>
        <v>0</v>
      </c>
      <c r="L16" s="145">
        <f t="shared" si="6"/>
        <v>0</v>
      </c>
      <c r="M16" s="145">
        <f t="shared" si="7"/>
        <v>0</v>
      </c>
      <c r="N16" s="145">
        <f t="shared" si="8"/>
        <v>0</v>
      </c>
      <c r="O1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" s="190">
        <v>0</v>
      </c>
    </row>
    <row r="17" spans="1:16" x14ac:dyDescent="0.3">
      <c r="A17" s="196">
        <f>IF(TableRBMaster[[#This Row],[Player]]&lt;&gt;0,A16+1,A16)</f>
        <v>13</v>
      </c>
      <c r="B17" s="144" t="str">
        <f>BUF!A$7</f>
        <v>Devin Singletary</v>
      </c>
      <c r="C17" s="144" t="s">
        <v>140</v>
      </c>
      <c r="D17" s="144">
        <f>BUF!C$7</f>
        <v>7</v>
      </c>
      <c r="E17" s="145">
        <f>BUF!I$7</f>
        <v>164.07108211576426</v>
      </c>
      <c r="F17" s="145">
        <f>BUF!J$7</f>
        <v>736.67915869978151</v>
      </c>
      <c r="G17" s="145">
        <f>BUF!K$7</f>
        <v>5.7895261192420922</v>
      </c>
      <c r="H17" s="145">
        <f>BUF!L$7</f>
        <v>45.579983249220071</v>
      </c>
      <c r="I17" s="145">
        <f>BUF!M$7</f>
        <v>33.824905569246212</v>
      </c>
      <c r="J17" s="145">
        <f>BUF!N$7</f>
        <v>200.88530733828148</v>
      </c>
      <c r="K17" s="145">
        <f>BUF!O$7</f>
        <v>1.0823969782158789</v>
      </c>
      <c r="L17" s="145">
        <f t="shared" ref="L17:L21" si="9">(F17/10)+(G17*6)+(J17/10)+(K17*6)</f>
        <v>134.98798518855412</v>
      </c>
      <c r="M17" s="145">
        <f t="shared" ref="M17:M21" si="10">L17+(I17*0.5)</f>
        <v>151.90043797317722</v>
      </c>
      <c r="N17" s="145">
        <f t="shared" ref="N17:N21" si="11">L17+I17</f>
        <v>168.81289075780035</v>
      </c>
      <c r="O1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134.98798518855412</v>
      </c>
      <c r="P17" s="190">
        <v>10.879633166263982</v>
      </c>
    </row>
    <row r="18" spans="1:16" x14ac:dyDescent="0.3">
      <c r="A18" s="196">
        <f>IF(TableRBMaster[[#This Row],[Player]]&lt;&gt;0,A17+1,A17)</f>
        <v>14</v>
      </c>
      <c r="B18" s="144" t="str">
        <f>BUF!A$8</f>
        <v>James Cook</v>
      </c>
      <c r="C18" s="144" t="s">
        <v>140</v>
      </c>
      <c r="D18" s="144">
        <f>BUF!C$9</f>
        <v>7</v>
      </c>
      <c r="E18" s="145">
        <f>BUF!I$8</f>
        <v>93.061823458135095</v>
      </c>
      <c r="F18" s="145">
        <f>BUF!J$8</f>
        <v>391.05999794947365</v>
      </c>
      <c r="G18" s="145">
        <f>BUF!K$8</f>
        <v>2.7380026249973199</v>
      </c>
      <c r="H18" s="145">
        <f>BUF!L$8</f>
        <v>57.323995606519439</v>
      </c>
      <c r="I18" s="145">
        <f>BUF!M$8</f>
        <v>41.387924827907035</v>
      </c>
      <c r="J18" s="145">
        <f>BUF!N$8</f>
        <v>327.37848538874465</v>
      </c>
      <c r="K18" s="145">
        <f>BUF!O$8</f>
        <v>1.6969049179441886</v>
      </c>
      <c r="L18" s="145">
        <f t="shared" si="9"/>
        <v>98.453293591470882</v>
      </c>
      <c r="M18" s="145">
        <f t="shared" si="10"/>
        <v>119.1472560054244</v>
      </c>
      <c r="N18" s="145">
        <f t="shared" si="11"/>
        <v>139.84121841937792</v>
      </c>
      <c r="O1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98.453293591470882</v>
      </c>
      <c r="P18" s="190">
        <v>0.6085987694078856</v>
      </c>
    </row>
    <row r="19" spans="1:16" x14ac:dyDescent="0.3">
      <c r="A19" s="196">
        <f>IF(TableRBMaster[[#This Row],[Player]]&lt;&gt;0,A18+1,A18)</f>
        <v>15</v>
      </c>
      <c r="B19" s="144" t="str">
        <f>BUF!A$9</f>
        <v>Duke Johnson</v>
      </c>
      <c r="C19" s="144" t="s">
        <v>140</v>
      </c>
      <c r="D19" s="144">
        <f>BUF!C$8</f>
        <v>7</v>
      </c>
      <c r="E19" s="145">
        <f>BUF!I$9</f>
        <v>25.5809751685869</v>
      </c>
      <c r="F19" s="145">
        <f>BUF!J$9</f>
        <v>108.20752496312259</v>
      </c>
      <c r="G19" s="145">
        <f>BUF!K$9</f>
        <v>0.89673902203506295</v>
      </c>
      <c r="H19" s="145">
        <f>BUF!L$9</f>
        <v>10.607166633084187</v>
      </c>
      <c r="I19" s="145">
        <f>BUF!M$9</f>
        <v>7.7655066920809332</v>
      </c>
      <c r="J19" s="145">
        <f>BUF!N$9</f>
        <v>60.105021796706424</v>
      </c>
      <c r="K19" s="145">
        <f>BUF!O$9</f>
        <v>0.26330674186480107</v>
      </c>
      <c r="L19" s="145">
        <f t="shared" si="9"/>
        <v>23.791529259382088</v>
      </c>
      <c r="M19" s="145">
        <f t="shared" si="10"/>
        <v>27.674282605422555</v>
      </c>
      <c r="N19" s="145">
        <f t="shared" si="11"/>
        <v>31.557035951463021</v>
      </c>
      <c r="O1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23.791529259382088</v>
      </c>
      <c r="P19" s="190">
        <v>0</v>
      </c>
    </row>
    <row r="20" spans="1:16" x14ac:dyDescent="0.3">
      <c r="A20" s="196">
        <f>IF(TableRBMaster[[#This Row],[Player]]&lt;&gt;0,A19+1,A19)</f>
        <v>16</v>
      </c>
      <c r="B20" s="144" t="str">
        <f>BUF!A$10</f>
        <v>Zack Moss</v>
      </c>
      <c r="C20" s="144" t="s">
        <v>140</v>
      </c>
      <c r="D20" s="144">
        <f>BUF!C$10</f>
        <v>7</v>
      </c>
      <c r="E20" s="145">
        <f>BUF!I$10</f>
        <v>14.995744064344043</v>
      </c>
      <c r="F20" s="145">
        <f>BUF!J$10</f>
        <v>60.978808909169018</v>
      </c>
      <c r="G20" s="145">
        <f>BUF!K$10</f>
        <v>0.68389959534110401</v>
      </c>
      <c r="H20" s="145">
        <f>BUF!L$10</f>
        <v>6.4907218092617498</v>
      </c>
      <c r="I20" s="145">
        <f>BUF!M$10</f>
        <v>4.3617650558238958</v>
      </c>
      <c r="J20" s="145">
        <f>BUF!N$10</f>
        <v>32.189826111980352</v>
      </c>
      <c r="K20" s="145">
        <f>BUF!O$10</f>
        <v>0.20848876986228387</v>
      </c>
      <c r="L20" s="145">
        <f t="shared" si="9"/>
        <v>14.671193693335264</v>
      </c>
      <c r="M20" s="145">
        <f t="shared" si="10"/>
        <v>16.852076221247213</v>
      </c>
      <c r="N20" s="145">
        <f t="shared" si="11"/>
        <v>19.03295874915916</v>
      </c>
      <c r="O2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14.671193693335264</v>
      </c>
      <c r="P20" s="190">
        <v>0</v>
      </c>
    </row>
    <row r="21" spans="1:16" x14ac:dyDescent="0.3">
      <c r="A21" s="196">
        <f>IF(TableRBMaster[[#This Row],[Player]]&lt;&gt;0,A20+1,A20)</f>
        <v>16</v>
      </c>
      <c r="B21" s="144">
        <f>BUF!A$11</f>
        <v>0</v>
      </c>
      <c r="C21" s="144" t="s">
        <v>140</v>
      </c>
      <c r="D21" s="144">
        <f>BUF!C$11</f>
        <v>7</v>
      </c>
      <c r="E21" s="145">
        <f>BUF!I$11</f>
        <v>0</v>
      </c>
      <c r="F21" s="145">
        <f>BUF!J$11</f>
        <v>0</v>
      </c>
      <c r="G21" s="145">
        <f>BUF!K$11</f>
        <v>0</v>
      </c>
      <c r="H21" s="145">
        <f>BUF!L$11</f>
        <v>0</v>
      </c>
      <c r="I21" s="145">
        <f>BUF!M$11</f>
        <v>0</v>
      </c>
      <c r="J21" s="145">
        <f>BUF!N$11</f>
        <v>0</v>
      </c>
      <c r="K21" s="145">
        <f>BUF!O$11</f>
        <v>0</v>
      </c>
      <c r="L21" s="145">
        <f t="shared" si="9"/>
        <v>0</v>
      </c>
      <c r="M21" s="145">
        <f t="shared" si="10"/>
        <v>0</v>
      </c>
      <c r="N21" s="145">
        <f t="shared" si="11"/>
        <v>0</v>
      </c>
      <c r="O2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1" s="190">
        <v>0</v>
      </c>
    </row>
    <row r="22" spans="1:16" x14ac:dyDescent="0.3">
      <c r="A22" s="196">
        <f>IF(TableRBMaster[[#This Row],[Player]]&lt;&gt;0,A21+1,A21)</f>
        <v>17</v>
      </c>
      <c r="B22" s="144" t="str">
        <f>CAR!A$7</f>
        <v>Christian McCaffrey</v>
      </c>
      <c r="C22" s="144" t="s">
        <v>141</v>
      </c>
      <c r="D22" s="144">
        <f>CAR!C$7</f>
        <v>13</v>
      </c>
      <c r="E22" s="145">
        <f>CAR!I$7</f>
        <v>260.61946169948999</v>
      </c>
      <c r="F22" s="145">
        <f>CAR!J$7</f>
        <v>1158.6820075018884</v>
      </c>
      <c r="G22" s="145">
        <f>CAR!K$7</f>
        <v>10.763583768188937</v>
      </c>
      <c r="H22" s="145">
        <f>CAR!L$7</f>
        <v>110.45809452544658</v>
      </c>
      <c r="I22" s="145">
        <f>CAR!M$7</f>
        <v>87.173528199482448</v>
      </c>
      <c r="J22" s="145">
        <f>CAR!N$7</f>
        <v>697.52005654678067</v>
      </c>
      <c r="K22" s="145">
        <f>CAR!O$7</f>
        <v>2.7164661558891661</v>
      </c>
      <c r="L22" s="145">
        <f t="shared" ref="L22:L26" si="12">(F22/10)+(G22*6)+(J22/10)+(K22*6)</f>
        <v>266.50050594933555</v>
      </c>
      <c r="M22" s="145">
        <f t="shared" ref="M22:M26" si="13">L22+(I22*0.5)</f>
        <v>310.08727004907678</v>
      </c>
      <c r="N22" s="145">
        <f t="shared" ref="N22:N26" si="14">L22+I22</f>
        <v>353.67403414881801</v>
      </c>
      <c r="O2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266.50050594933555</v>
      </c>
      <c r="P22" s="190">
        <v>60</v>
      </c>
    </row>
    <row r="23" spans="1:16" x14ac:dyDescent="0.3">
      <c r="A23" s="196">
        <f>IF(TableRBMaster[[#This Row],[Player]]&lt;&gt;0,A22+1,A22)</f>
        <v>18</v>
      </c>
      <c r="B23" s="144" t="str">
        <f>CAR!A$8</f>
        <v>D'Onta Foreman</v>
      </c>
      <c r="C23" s="144" t="s">
        <v>141</v>
      </c>
      <c r="D23" s="144">
        <f>CAR!C$9</f>
        <v>13</v>
      </c>
      <c r="E23" s="145">
        <f>CAR!I$8</f>
        <v>57.528041712930914</v>
      </c>
      <c r="F23" s="145">
        <f>CAR!J$8</f>
        <v>234.71441018875814</v>
      </c>
      <c r="G23" s="145">
        <f>CAR!K$8</f>
        <v>1.7430996639018068</v>
      </c>
      <c r="H23" s="145">
        <f>CAR!L$8</f>
        <v>20.593882030168011</v>
      </c>
      <c r="I23" s="145">
        <f>CAR!M$8</f>
        <v>14.654606452667556</v>
      </c>
      <c r="J23" s="145">
        <f>CAR!N$8</f>
        <v>92.417468216432098</v>
      </c>
      <c r="K23" s="145">
        <f>CAR!O$8</f>
        <v>0.29652095442207543</v>
      </c>
      <c r="L23" s="145">
        <f t="shared" si="12"/>
        <v>44.950911550462322</v>
      </c>
      <c r="M23" s="145">
        <f t="shared" si="13"/>
        <v>52.278214776796098</v>
      </c>
      <c r="N23" s="145">
        <f t="shared" si="14"/>
        <v>59.60551800312988</v>
      </c>
      <c r="O2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44.950911550462322</v>
      </c>
      <c r="P23" s="190">
        <v>0</v>
      </c>
    </row>
    <row r="24" spans="1:16" x14ac:dyDescent="0.3">
      <c r="A24" s="196">
        <f>IF(TableRBMaster[[#This Row],[Player]]&lt;&gt;0,A23+1,A23)</f>
        <v>19</v>
      </c>
      <c r="B24" s="144" t="str">
        <f>CAR!A$9</f>
        <v>Chuba Hubbard</v>
      </c>
      <c r="C24" s="144" t="s">
        <v>141</v>
      </c>
      <c r="D24" s="144">
        <f>CAR!C$8</f>
        <v>13</v>
      </c>
      <c r="E24" s="145">
        <f>CAR!I$9</f>
        <v>44.017668280348651</v>
      </c>
      <c r="F24" s="145">
        <f>CAR!J$9</f>
        <v>165.06625605130745</v>
      </c>
      <c r="G24" s="145">
        <f>CAR!K$9</f>
        <v>1.3601459498627733</v>
      </c>
      <c r="H24" s="145">
        <f>CAR!L$9</f>
        <v>17.092330414081115</v>
      </c>
      <c r="I24" s="145">
        <f>CAR!M$9</f>
        <v>12.405613414540072</v>
      </c>
      <c r="J24" s="145">
        <f>CAR!N$9</f>
        <v>94.351414735729463</v>
      </c>
      <c r="K24" s="145">
        <f>CAR!O$9</f>
        <v>0.15205662238268444</v>
      </c>
      <c r="L24" s="145">
        <f t="shared" si="12"/>
        <v>35.014982512176431</v>
      </c>
      <c r="M24" s="145">
        <f t="shared" si="13"/>
        <v>41.217789219446466</v>
      </c>
      <c r="N24" s="145">
        <f t="shared" si="14"/>
        <v>47.420595926716501</v>
      </c>
      <c r="O2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35.014982512176438</v>
      </c>
      <c r="P24" s="190">
        <v>0</v>
      </c>
    </row>
    <row r="25" spans="1:16" x14ac:dyDescent="0.3">
      <c r="A25" s="196">
        <f>IF(TableRBMaster[[#This Row],[Player]]&lt;&gt;0,A24+1,A24)</f>
        <v>19</v>
      </c>
      <c r="B25" s="144">
        <f>CAR!A$10</f>
        <v>0</v>
      </c>
      <c r="C25" s="144" t="s">
        <v>141</v>
      </c>
      <c r="D25" s="144">
        <f>CAR!C$10</f>
        <v>13</v>
      </c>
      <c r="E25" s="145">
        <f>CAR!I$10</f>
        <v>0</v>
      </c>
      <c r="F25" s="145">
        <f>CAR!J$10</f>
        <v>0</v>
      </c>
      <c r="G25" s="145">
        <f>CAR!K$10</f>
        <v>0</v>
      </c>
      <c r="H25" s="145">
        <f>CAR!L$10</f>
        <v>0</v>
      </c>
      <c r="I25" s="145">
        <f>CAR!M$10</f>
        <v>0</v>
      </c>
      <c r="J25" s="145">
        <f>CAR!N$10</f>
        <v>0</v>
      </c>
      <c r="K25" s="145">
        <f>CAR!O$10</f>
        <v>0</v>
      </c>
      <c r="L25" s="145">
        <f t="shared" si="12"/>
        <v>0</v>
      </c>
      <c r="M25" s="145">
        <f t="shared" si="13"/>
        <v>0</v>
      </c>
      <c r="N25" s="145">
        <f t="shared" si="14"/>
        <v>0</v>
      </c>
      <c r="O2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5" s="190">
        <v>0</v>
      </c>
    </row>
    <row r="26" spans="1:16" x14ac:dyDescent="0.3">
      <c r="A26" s="196">
        <f>IF(TableRBMaster[[#This Row],[Player]]&lt;&gt;0,A25+1,A25)</f>
        <v>19</v>
      </c>
      <c r="B26" s="144">
        <f>CAR!A$11</f>
        <v>0</v>
      </c>
      <c r="C26" s="144" t="s">
        <v>141</v>
      </c>
      <c r="D26" s="144">
        <f>CAR!C$11</f>
        <v>13</v>
      </c>
      <c r="E26" s="145">
        <f>CAR!I$11</f>
        <v>0</v>
      </c>
      <c r="F26" s="145">
        <f>CAR!J$11</f>
        <v>0</v>
      </c>
      <c r="G26" s="145">
        <f>CAR!K$11</f>
        <v>0</v>
      </c>
      <c r="H26" s="145">
        <f>CAR!L$11</f>
        <v>0</v>
      </c>
      <c r="I26" s="145">
        <f>CAR!M$11</f>
        <v>0</v>
      </c>
      <c r="J26" s="145">
        <f>CAR!N$11</f>
        <v>0</v>
      </c>
      <c r="K26" s="145">
        <f>CAR!O$11</f>
        <v>0</v>
      </c>
      <c r="L26" s="145">
        <f t="shared" si="12"/>
        <v>0</v>
      </c>
      <c r="M26" s="145">
        <f t="shared" si="13"/>
        <v>0</v>
      </c>
      <c r="N26" s="145">
        <f t="shared" si="14"/>
        <v>0</v>
      </c>
      <c r="O2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6" s="190">
        <v>0</v>
      </c>
    </row>
    <row r="27" spans="1:16" x14ac:dyDescent="0.3">
      <c r="A27" s="196">
        <f>IF(TableRBMaster[[#This Row],[Player]]&lt;&gt;0,A26+1,A26)</f>
        <v>20</v>
      </c>
      <c r="B27" s="144" t="str">
        <f>CHI!A$7</f>
        <v>David Montgomery</v>
      </c>
      <c r="C27" s="144" t="s">
        <v>142</v>
      </c>
      <c r="D27" s="144">
        <f>CHI!C$7</f>
        <v>14</v>
      </c>
      <c r="E27" s="145">
        <f>CHI!I$7</f>
        <v>213.76713098971263</v>
      </c>
      <c r="F27" s="145">
        <f>CHI!J$7</f>
        <v>842.24249609946776</v>
      </c>
      <c r="G27" s="145">
        <f>CHI!K$7</f>
        <v>6.6909111999780055</v>
      </c>
      <c r="H27" s="145">
        <f>CHI!L$7</f>
        <v>60.287396727151737</v>
      </c>
      <c r="I27" s="145">
        <f>CHI!M$7</f>
        <v>43.780707503257588</v>
      </c>
      <c r="J27" s="145">
        <f>CHI!N$7</f>
        <v>310.95572235731669</v>
      </c>
      <c r="K27" s="145">
        <f>CHI!O$7</f>
        <v>0.96317556507166691</v>
      </c>
      <c r="L27" s="145">
        <f t="shared" ref="L27:L31" si="15">(F27/10)+(G27*6)+(J27/10)+(K27*6)</f>
        <v>161.24434243597648</v>
      </c>
      <c r="M27" s="145">
        <f t="shared" ref="M27:M31" si="16">L27+(I27*0.5)</f>
        <v>183.13469618760527</v>
      </c>
      <c r="N27" s="145">
        <f t="shared" ref="N27:N31" si="17">L27+I27</f>
        <v>205.02504993923407</v>
      </c>
      <c r="O2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161.24434243597648</v>
      </c>
      <c r="P27" s="190">
        <v>25.021068661451302</v>
      </c>
    </row>
    <row r="28" spans="1:16" x14ac:dyDescent="0.3">
      <c r="A28" s="196">
        <f>IF(TableRBMaster[[#This Row],[Player]]&lt;&gt;0,A27+1,A27)</f>
        <v>21</v>
      </c>
      <c r="B28" s="144" t="str">
        <f>CHI!A$8</f>
        <v>Khalil Herbert</v>
      </c>
      <c r="C28" s="144" t="s">
        <v>142</v>
      </c>
      <c r="D28" s="144">
        <f>CHI!C$9</f>
        <v>14</v>
      </c>
      <c r="E28" s="145">
        <f>CHI!I$8</f>
        <v>113.42745725984751</v>
      </c>
      <c r="F28" s="145">
        <f>CHI!J$8</f>
        <v>476.3953204913596</v>
      </c>
      <c r="G28" s="145">
        <f>CHI!K$8</f>
        <v>3.6410213780411049</v>
      </c>
      <c r="H28" s="145">
        <f>CHI!L$8</f>
        <v>45.654533443862476</v>
      </c>
      <c r="I28" s="145">
        <f>CHI!M$8</f>
        <v>34.925718084554795</v>
      </c>
      <c r="J28" s="145">
        <f>CHI!N$8</f>
        <v>266.8324861659986</v>
      </c>
      <c r="K28" s="145">
        <f>CHI!O$8</f>
        <v>1.3621030052976371</v>
      </c>
      <c r="L28" s="145">
        <f t="shared" si="15"/>
        <v>104.34152696576825</v>
      </c>
      <c r="M28" s="145">
        <f t="shared" si="16"/>
        <v>121.80438600804565</v>
      </c>
      <c r="N28" s="145">
        <f t="shared" si="17"/>
        <v>139.26724505032306</v>
      </c>
      <c r="O2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104.34152696576828</v>
      </c>
      <c r="P28" s="190">
        <v>0</v>
      </c>
    </row>
    <row r="29" spans="1:16" x14ac:dyDescent="0.3">
      <c r="A29" s="196">
        <f>IF(TableRBMaster[[#This Row],[Player]]&lt;&gt;0,A28+1,A28)</f>
        <v>22</v>
      </c>
      <c r="B29" s="144" t="str">
        <f>CHI!A$9</f>
        <v>Darrynton Evans</v>
      </c>
      <c r="C29" s="144" t="s">
        <v>142</v>
      </c>
      <c r="D29" s="144">
        <f>CHI!C$8</f>
        <v>14</v>
      </c>
      <c r="E29" s="145">
        <f>CHI!I$9</f>
        <v>15.996179869978494</v>
      </c>
      <c r="F29" s="145">
        <f>CHI!J$9</f>
        <v>64.446775784256317</v>
      </c>
      <c r="G29" s="145">
        <f>CHI!K$9</f>
        <v>0.49748119395633117</v>
      </c>
      <c r="H29" s="145">
        <f>CHI!L$9</f>
        <v>8.9217907970738572</v>
      </c>
      <c r="I29" s="145">
        <f>CHI!M$9</f>
        <v>6.7082945003198331</v>
      </c>
      <c r="J29" s="145">
        <f>CHI!N$9</f>
        <v>51.050121147433934</v>
      </c>
      <c r="K29" s="145">
        <f>CHI!O$9</f>
        <v>0.13416589000639667</v>
      </c>
      <c r="L29" s="145">
        <f t="shared" si="15"/>
        <v>15.339572196945392</v>
      </c>
      <c r="M29" s="145">
        <f t="shared" si="16"/>
        <v>18.693719447105309</v>
      </c>
      <c r="N29" s="145">
        <f t="shared" si="17"/>
        <v>22.047866697265224</v>
      </c>
      <c r="O2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15.339572196945394</v>
      </c>
      <c r="P29" s="190">
        <v>0</v>
      </c>
    </row>
    <row r="30" spans="1:16" x14ac:dyDescent="0.3">
      <c r="A30" s="196">
        <f>IF(TableRBMaster[[#This Row],[Player]]&lt;&gt;0,A29+1,A29)</f>
        <v>23</v>
      </c>
      <c r="B30" s="144" t="str">
        <f>CHI!A$10</f>
        <v>Trestan Ebner</v>
      </c>
      <c r="C30" s="144" t="s">
        <v>142</v>
      </c>
      <c r="D30" s="144">
        <f>CHI!C$10</f>
        <v>14</v>
      </c>
      <c r="E30" s="145">
        <f>CHI!I$10</f>
        <v>6.7862581266575432</v>
      </c>
      <c r="F30" s="145">
        <f>CHI!J$10</f>
        <v>26.873582181563872</v>
      </c>
      <c r="G30" s="145">
        <f>CHI!K$10</f>
        <v>0.16083431760178377</v>
      </c>
      <c r="H30" s="145">
        <f>CHI!L$10</f>
        <v>7.2231907752712221</v>
      </c>
      <c r="I30" s="145">
        <f>CHI!M$10</f>
        <v>5.4101698906781452</v>
      </c>
      <c r="J30" s="145">
        <f>CHI!N$10</f>
        <v>41.351616998813853</v>
      </c>
      <c r="K30" s="145">
        <f>CHI!O$10</f>
        <v>0.14607458704830992</v>
      </c>
      <c r="L30" s="145">
        <f t="shared" si="15"/>
        <v>8.6639733459383343</v>
      </c>
      <c r="M30" s="145">
        <f t="shared" si="16"/>
        <v>11.369058291277407</v>
      </c>
      <c r="N30" s="145">
        <f t="shared" si="17"/>
        <v>14.074143236616479</v>
      </c>
      <c r="O3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8.6639733459383361</v>
      </c>
      <c r="P30" s="190">
        <v>0</v>
      </c>
    </row>
    <row r="31" spans="1:16" x14ac:dyDescent="0.3">
      <c r="A31" s="196">
        <f>IF(TableRBMaster[[#This Row],[Player]]&lt;&gt;0,A30+1,A30)</f>
        <v>23</v>
      </c>
      <c r="B31" s="144">
        <f>CHI!A$11</f>
        <v>0</v>
      </c>
      <c r="C31" s="144" t="s">
        <v>142</v>
      </c>
      <c r="D31" s="144">
        <f>CHI!C$11</f>
        <v>14</v>
      </c>
      <c r="E31" s="145">
        <f>CHI!I$11</f>
        <v>0</v>
      </c>
      <c r="F31" s="145">
        <f>CHI!J$11</f>
        <v>0</v>
      </c>
      <c r="G31" s="145">
        <f>CHI!K$11</f>
        <v>0</v>
      </c>
      <c r="H31" s="145">
        <f>CHI!L$11</f>
        <v>0</v>
      </c>
      <c r="I31" s="145">
        <f>CHI!M$11</f>
        <v>0</v>
      </c>
      <c r="J31" s="145">
        <f>CHI!N$11</f>
        <v>0</v>
      </c>
      <c r="K31" s="145">
        <f>CHI!O$11</f>
        <v>0</v>
      </c>
      <c r="L31" s="145">
        <f t="shared" si="15"/>
        <v>0</v>
      </c>
      <c r="M31" s="145">
        <f t="shared" si="16"/>
        <v>0</v>
      </c>
      <c r="N31" s="145">
        <f t="shared" si="17"/>
        <v>0</v>
      </c>
      <c r="O3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1" s="190">
        <v>0</v>
      </c>
    </row>
    <row r="32" spans="1:16" x14ac:dyDescent="0.3">
      <c r="A32" s="196">
        <f>IF(TableRBMaster[[#This Row],[Player]]&lt;&gt;0,A31+1,A31)</f>
        <v>24</v>
      </c>
      <c r="B32" s="144" t="str">
        <f>CIN!A$7</f>
        <v>Joe Mixon</v>
      </c>
      <c r="C32" s="144" t="s">
        <v>144</v>
      </c>
      <c r="D32" s="144">
        <f>CIN!C$7</f>
        <v>10</v>
      </c>
      <c r="E32" s="145">
        <f>CIN!I$7</f>
        <v>270.05028740043531</v>
      </c>
      <c r="F32" s="145">
        <f>CIN!J$7</f>
        <v>1134.2112070818284</v>
      </c>
      <c r="G32" s="145">
        <f>CIN!K$7</f>
        <v>10.288915949956586</v>
      </c>
      <c r="H32" s="145">
        <f>CIN!L$7</f>
        <v>55.88072590833319</v>
      </c>
      <c r="I32" s="145">
        <f>CIN!M$7</f>
        <v>43.727517730194201</v>
      </c>
      <c r="J32" s="145">
        <f>CIN!N$7</f>
        <v>319.64815460771962</v>
      </c>
      <c r="K32" s="145">
        <f>CIN!O$7</f>
        <v>2.973471205653206</v>
      </c>
      <c r="L32" s="145">
        <f t="shared" ref="L32:L36" si="18">(F32/10)+(G32*6)+(J32/10)+(K32*6)</f>
        <v>224.96025910261358</v>
      </c>
      <c r="M32" s="145">
        <f t="shared" ref="M32:M36" si="19">L32+(I32*0.5)</f>
        <v>246.82401796771069</v>
      </c>
      <c r="N32" s="145">
        <f t="shared" ref="N32:N36" si="20">L32+I32</f>
        <v>268.6877768328078</v>
      </c>
      <c r="O3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224.96025910261358</v>
      </c>
      <c r="P32" s="190">
        <v>39.467218909506279</v>
      </c>
    </row>
    <row r="33" spans="1:16" x14ac:dyDescent="0.3">
      <c r="A33" s="196">
        <f>IF(TableRBMaster[[#This Row],[Player]]&lt;&gt;0,A32+1,A32)</f>
        <v>25</v>
      </c>
      <c r="B33" s="144" t="str">
        <f>CIN!A$8</f>
        <v>Chris Evans</v>
      </c>
      <c r="C33" s="144" t="s">
        <v>144</v>
      </c>
      <c r="D33" s="144">
        <f>CIN!C$9</f>
        <v>10</v>
      </c>
      <c r="E33" s="145">
        <f>CIN!I$8</f>
        <v>66.279535150341914</v>
      </c>
      <c r="F33" s="145">
        <f>CIN!J$8</f>
        <v>274.34533016958886</v>
      </c>
      <c r="G33" s="145">
        <f>CIN!K$8</f>
        <v>1.8558269842095736</v>
      </c>
      <c r="H33" s="145">
        <f>CIN!L$8</f>
        <v>33.152648419556371</v>
      </c>
      <c r="I33" s="145">
        <f>CIN!M$8</f>
        <v>22.016673815427385</v>
      </c>
      <c r="J33" s="145">
        <f>CIN!N$8</f>
        <v>170.66607267687289</v>
      </c>
      <c r="K33" s="145">
        <f>CIN!O$8</f>
        <v>1.2549504074793609</v>
      </c>
      <c r="L33" s="145">
        <f t="shared" si="18"/>
        <v>63.165804634779782</v>
      </c>
      <c r="M33" s="145">
        <f t="shared" si="19"/>
        <v>74.174141542493473</v>
      </c>
      <c r="N33" s="145">
        <f t="shared" si="20"/>
        <v>85.182478450207171</v>
      </c>
      <c r="O3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63.165804634779782</v>
      </c>
      <c r="P33" s="190">
        <v>0</v>
      </c>
    </row>
    <row r="34" spans="1:16" x14ac:dyDescent="0.3">
      <c r="A34" s="196">
        <f>IF(TableRBMaster[[#This Row],[Player]]&lt;&gt;0,A33+1,A33)</f>
        <v>26</v>
      </c>
      <c r="B34" s="144" t="str">
        <f>CIN!A$9</f>
        <v>Samaje Perine</v>
      </c>
      <c r="C34" s="144" t="s">
        <v>144</v>
      </c>
      <c r="D34" s="144">
        <f>CIN!C$8</f>
        <v>10</v>
      </c>
      <c r="E34" s="145">
        <f>CIN!I$9</f>
        <v>30.360303197898546</v>
      </c>
      <c r="F34" s="145">
        <f>CIN!J$9</f>
        <v>124.47724311138403</v>
      </c>
      <c r="G34" s="145">
        <f>CIN!K$9</f>
        <v>0.70465451689717185</v>
      </c>
      <c r="H34" s="145">
        <f>CIN!L$9</f>
        <v>30.025040078088786</v>
      </c>
      <c r="I34" s="145">
        <f>CIN!M$9</f>
        <v>20.777327734037438</v>
      </c>
      <c r="J34" s="145">
        <f>CIN!N$9</f>
        <v>147.31125363432542</v>
      </c>
      <c r="K34" s="145">
        <f>CIN!O$9</f>
        <v>0.99731173123379702</v>
      </c>
      <c r="L34" s="145">
        <f t="shared" si="18"/>
        <v>37.390647163356761</v>
      </c>
      <c r="M34" s="145">
        <f t="shared" si="19"/>
        <v>47.779311030375482</v>
      </c>
      <c r="N34" s="145">
        <f t="shared" si="20"/>
        <v>58.167974897394203</v>
      </c>
      <c r="O3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37.390647163356761</v>
      </c>
      <c r="P34" s="190">
        <v>0</v>
      </c>
    </row>
    <row r="35" spans="1:16" x14ac:dyDescent="0.3">
      <c r="A35" s="196">
        <f>IF(TableRBMaster[[#This Row],[Player]]&lt;&gt;0,A34+1,A34)</f>
        <v>26</v>
      </c>
      <c r="B35" s="144">
        <f>CIN!A$10</f>
        <v>0</v>
      </c>
      <c r="C35" s="144" t="s">
        <v>144</v>
      </c>
      <c r="D35" s="144">
        <f>CIN!C$10</f>
        <v>10</v>
      </c>
      <c r="E35" s="145">
        <f>CIN!I$10</f>
        <v>0</v>
      </c>
      <c r="F35" s="145">
        <f>CIN!J$10</f>
        <v>0</v>
      </c>
      <c r="G35" s="145">
        <f>CIN!K$10</f>
        <v>0</v>
      </c>
      <c r="H35" s="145">
        <f>CIN!L$10</f>
        <v>0</v>
      </c>
      <c r="I35" s="145">
        <f>CIN!M$10</f>
        <v>0</v>
      </c>
      <c r="J35" s="145">
        <f>CIN!N$10</f>
        <v>0</v>
      </c>
      <c r="K35" s="145">
        <f>CIN!O$10</f>
        <v>0</v>
      </c>
      <c r="L35" s="145">
        <f t="shared" si="18"/>
        <v>0</v>
      </c>
      <c r="M35" s="145">
        <f t="shared" si="19"/>
        <v>0</v>
      </c>
      <c r="N35" s="145">
        <f t="shared" si="20"/>
        <v>0</v>
      </c>
      <c r="O3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5" s="190">
        <v>0</v>
      </c>
    </row>
    <row r="36" spans="1:16" x14ac:dyDescent="0.3">
      <c r="A36" s="196">
        <f>IF(TableRBMaster[[#This Row],[Player]]&lt;&gt;0,A35+1,A35)</f>
        <v>26</v>
      </c>
      <c r="B36" s="144">
        <f>CIN!A$11</f>
        <v>0</v>
      </c>
      <c r="C36" s="144" t="s">
        <v>144</v>
      </c>
      <c r="D36" s="144">
        <f>CIN!C$11</f>
        <v>10</v>
      </c>
      <c r="E36" s="145">
        <f>CIN!I$11</f>
        <v>0</v>
      </c>
      <c r="F36" s="145">
        <f>CIN!J$11</f>
        <v>0</v>
      </c>
      <c r="G36" s="145">
        <f>CIN!K$11</f>
        <v>0</v>
      </c>
      <c r="H36" s="145">
        <f>CIN!L$11</f>
        <v>0</v>
      </c>
      <c r="I36" s="145">
        <f>CIN!M$11</f>
        <v>0</v>
      </c>
      <c r="J36" s="145">
        <f>CIN!N$11</f>
        <v>0</v>
      </c>
      <c r="K36" s="145">
        <f>CIN!O$11</f>
        <v>0</v>
      </c>
      <c r="L36" s="145">
        <f t="shared" si="18"/>
        <v>0</v>
      </c>
      <c r="M36" s="145">
        <f t="shared" si="19"/>
        <v>0</v>
      </c>
      <c r="N36" s="145">
        <f t="shared" si="20"/>
        <v>0</v>
      </c>
      <c r="O3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6" s="190">
        <v>0</v>
      </c>
    </row>
    <row r="37" spans="1:16" x14ac:dyDescent="0.3">
      <c r="A37" s="196">
        <f>IF(TableRBMaster[[#This Row],[Player]]&lt;&gt;0,A36+1,A36)</f>
        <v>27</v>
      </c>
      <c r="B37" s="144" t="str">
        <f>CLE!A$7</f>
        <v>Nick Chubb</v>
      </c>
      <c r="C37" s="144" t="s">
        <v>145</v>
      </c>
      <c r="D37" s="144">
        <f>CLE!C$7</f>
        <v>9</v>
      </c>
      <c r="E37" s="145">
        <f>CLE!I$7</f>
        <v>242.4209623448431</v>
      </c>
      <c r="F37" s="145">
        <f>CLE!J$7</f>
        <v>1293.1631883249388</v>
      </c>
      <c r="G37" s="145">
        <f>CLE!K$7</f>
        <v>9.5998701088557876</v>
      </c>
      <c r="H37" s="145">
        <f>CLE!L$7</f>
        <v>39.088068229416074</v>
      </c>
      <c r="I37" s="145">
        <f>CLE!M$7</f>
        <v>27.443732703873025</v>
      </c>
      <c r="J37" s="145">
        <f>CLE!N$7</f>
        <v>230.52735471253342</v>
      </c>
      <c r="K37" s="145">
        <f>CLE!O$7</f>
        <v>1.1562203046296531</v>
      </c>
      <c r="L37" s="145">
        <f t="shared" ref="L37:L41" si="21">(F37/10)+(G37*6)+(J37/10)+(K37*6)</f>
        <v>216.90559678465985</v>
      </c>
      <c r="M37" s="145">
        <f t="shared" ref="M37:M41" si="22">L37+(I37*0.5)</f>
        <v>230.62746313659636</v>
      </c>
      <c r="N37" s="145">
        <f t="shared" ref="N37:N41" si="23">L37+I37</f>
        <v>244.34932948853287</v>
      </c>
      <c r="O3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216.90559678465985</v>
      </c>
      <c r="P37" s="190">
        <v>33.158464281356899</v>
      </c>
    </row>
    <row r="38" spans="1:16" x14ac:dyDescent="0.3">
      <c r="A38" s="196">
        <f>IF(TableRBMaster[[#This Row],[Player]]&lt;&gt;0,A37+1,A37)</f>
        <v>28</v>
      </c>
      <c r="B38" s="144" t="str">
        <f>CLE!A$8</f>
        <v>Kareem Hunt</v>
      </c>
      <c r="C38" s="144" t="s">
        <v>145</v>
      </c>
      <c r="D38" s="144">
        <f>CLE!C$9</f>
        <v>9</v>
      </c>
      <c r="E38" s="145">
        <f>CLE!I$8</f>
        <v>104.88417146348313</v>
      </c>
      <c r="F38" s="145">
        <f>CLE!J$8</f>
        <v>502.30665648709174</v>
      </c>
      <c r="G38" s="145">
        <f>CLE!K$8</f>
        <v>4.2058552756856731</v>
      </c>
      <c r="H38" s="145">
        <f>CLE!L$8</f>
        <v>61.981024311204955</v>
      </c>
      <c r="I38" s="145">
        <f>CLE!M$8</f>
        <v>46.076693472949763</v>
      </c>
      <c r="J38" s="145">
        <f>CLE!N$8</f>
        <v>369.99584858778655</v>
      </c>
      <c r="K38" s="145">
        <f>CLE!O$8</f>
        <v>1.8430677389179906</v>
      </c>
      <c r="L38" s="145">
        <f t="shared" si="21"/>
        <v>123.52378859510981</v>
      </c>
      <c r="M38" s="145">
        <f t="shared" si="22"/>
        <v>146.5621353315847</v>
      </c>
      <c r="N38" s="145">
        <f t="shared" si="23"/>
        <v>169.60048206805956</v>
      </c>
      <c r="O3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123.52378859510981</v>
      </c>
      <c r="P38" s="190">
        <v>23.675137270027953</v>
      </c>
    </row>
    <row r="39" spans="1:16" x14ac:dyDescent="0.3">
      <c r="A39" s="196">
        <f>IF(TableRBMaster[[#This Row],[Player]]&lt;&gt;0,A38+1,A38)</f>
        <v>29</v>
      </c>
      <c r="B39" s="144" t="str">
        <f>CLE!A$9</f>
        <v>Demetric Felton</v>
      </c>
      <c r="C39" s="144" t="s">
        <v>145</v>
      </c>
      <c r="D39" s="144">
        <f>CLE!C$8</f>
        <v>9</v>
      </c>
      <c r="E39" s="145">
        <f>CLE!I$9</f>
        <v>0.39578932627729491</v>
      </c>
      <c r="F39" s="145">
        <f>CLE!J$9</f>
        <v>1.7674561516963172</v>
      </c>
      <c r="G39" s="145">
        <f>CLE!K$9</f>
        <v>1.0963364337881068E-2</v>
      </c>
      <c r="H39" s="145">
        <f>CLE!L$9</f>
        <v>20.873073927383746</v>
      </c>
      <c r="I39" s="145">
        <f>CLE!M$9</f>
        <v>15.483646239333263</v>
      </c>
      <c r="J39" s="145">
        <f>CLE!N$9</f>
        <v>127.89491793689275</v>
      </c>
      <c r="K39" s="145">
        <f>CLE!O$9</f>
        <v>1.0745635040660515</v>
      </c>
      <c r="L39" s="145">
        <f t="shared" si="21"/>
        <v>19.479398619282502</v>
      </c>
      <c r="M39" s="145">
        <f t="shared" si="22"/>
        <v>27.221221738949133</v>
      </c>
      <c r="N39" s="145">
        <f t="shared" si="23"/>
        <v>34.963044858615767</v>
      </c>
      <c r="O3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19.479398619282502</v>
      </c>
      <c r="P39" s="190">
        <v>0</v>
      </c>
    </row>
    <row r="40" spans="1:16" x14ac:dyDescent="0.3">
      <c r="A40" s="196">
        <f>IF(TableRBMaster[[#This Row],[Player]]&lt;&gt;0,A39+1,A39)</f>
        <v>30</v>
      </c>
      <c r="B40" s="144" t="str">
        <f>CLE!A$10</f>
        <v>D'Ernest Johnson</v>
      </c>
      <c r="C40" s="144" t="s">
        <v>145</v>
      </c>
      <c r="D40" s="144">
        <f>CLE!C$10</f>
        <v>9</v>
      </c>
      <c r="E40" s="145">
        <f>CLE!I$10</f>
        <v>25.726306208024166</v>
      </c>
      <c r="F40" s="145">
        <f>CLE!J$10</f>
        <v>134.610237528532</v>
      </c>
      <c r="G40" s="145">
        <f>CLE!K$10</f>
        <v>0.96730911342170867</v>
      </c>
      <c r="H40" s="145">
        <f>CLE!L$10</f>
        <v>11.620879670527763</v>
      </c>
      <c r="I40" s="145">
        <f>CLE!M$10</f>
        <v>8.1450745610729083</v>
      </c>
      <c r="J40" s="145">
        <f>CLE!N$10</f>
        <v>61.322425406843323</v>
      </c>
      <c r="K40" s="145">
        <f>CLE!O$10</f>
        <v>9.2781126754682405E-2</v>
      </c>
      <c r="L40" s="145">
        <f t="shared" si="21"/>
        <v>25.953807734595877</v>
      </c>
      <c r="M40" s="145">
        <f t="shared" si="22"/>
        <v>30.026345015132332</v>
      </c>
      <c r="N40" s="145">
        <f t="shared" si="23"/>
        <v>34.098882295668787</v>
      </c>
      <c r="O4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25.953807734595877</v>
      </c>
      <c r="P40" s="190">
        <v>0</v>
      </c>
    </row>
    <row r="41" spans="1:16" x14ac:dyDescent="0.3">
      <c r="A41" s="196">
        <f>IF(TableRBMaster[[#This Row],[Player]]&lt;&gt;0,A40+1,A40)</f>
        <v>31</v>
      </c>
      <c r="B41" s="144" t="str">
        <f>CLE!A$11</f>
        <v>Jerome Ford</v>
      </c>
      <c r="C41" s="144" t="s">
        <v>145</v>
      </c>
      <c r="D41" s="144">
        <f>CLE!C$11</f>
        <v>9</v>
      </c>
      <c r="E41" s="145">
        <f>CLE!I$11</f>
        <v>7.9157865255458972</v>
      </c>
      <c r="F41" s="145">
        <f>CLE!J$11</f>
        <v>34.61992518672573</v>
      </c>
      <c r="G41" s="145">
        <f>CLE!K$11</f>
        <v>0.16297207552594495</v>
      </c>
      <c r="H41" s="145">
        <f>CLE!L$11</f>
        <v>4.3133384778390802</v>
      </c>
      <c r="I41" s="145">
        <f>CLE!M$11</f>
        <v>2.8991124274595865</v>
      </c>
      <c r="J41" s="145">
        <f>CLE!N$11</f>
        <v>23.742731086953512</v>
      </c>
      <c r="K41" s="145">
        <f>CLE!O$11</f>
        <v>0</v>
      </c>
      <c r="L41" s="145">
        <f t="shared" si="21"/>
        <v>6.8140980805235936</v>
      </c>
      <c r="M41" s="145">
        <f t="shared" si="22"/>
        <v>8.2636542942533868</v>
      </c>
      <c r="N41" s="145">
        <f t="shared" si="23"/>
        <v>9.713210507983181</v>
      </c>
      <c r="O4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6.8140980805235944</v>
      </c>
      <c r="P41" s="190">
        <v>0</v>
      </c>
    </row>
    <row r="42" spans="1:16" x14ac:dyDescent="0.3">
      <c r="A42" s="196">
        <f>IF(TableRBMaster[[#This Row],[Player]]&lt;&gt;0,A41+1,A41)</f>
        <v>32</v>
      </c>
      <c r="B42" s="144" t="str">
        <f>DAL!A$7</f>
        <v>Ezekiel Elliott</v>
      </c>
      <c r="C42" s="144" t="s">
        <v>146</v>
      </c>
      <c r="D42" s="144">
        <f>DAL!C$7</f>
        <v>9</v>
      </c>
      <c r="E42" s="145">
        <f>DAL!I$7</f>
        <v>219.68713102982608</v>
      </c>
      <c r="F42" s="145">
        <f>DAL!J$7</f>
        <v>924.88282163556778</v>
      </c>
      <c r="G42" s="145">
        <f>DAL!K$7</f>
        <v>8.8328303299313937</v>
      </c>
      <c r="H42" s="145">
        <f>DAL!L$7</f>
        <v>60.716613683764443</v>
      </c>
      <c r="I42" s="145">
        <f>DAL!M$7</f>
        <v>43.290945556524044</v>
      </c>
      <c r="J42" s="145">
        <f>DAL!N$7</f>
        <v>267.02302116065783</v>
      </c>
      <c r="K42" s="145">
        <f>DAL!O$7</f>
        <v>1.695938448839684</v>
      </c>
      <c r="L42" s="145">
        <f t="shared" ref="L42:L46" si="24">(F42/10)+(G42*6)+(J42/10)+(K42*6)</f>
        <v>182.36319695224904</v>
      </c>
      <c r="M42" s="145">
        <f t="shared" ref="M42:M46" si="25">L42+(I42*0.5)</f>
        <v>204.00866973051106</v>
      </c>
      <c r="N42" s="145">
        <f t="shared" ref="N42:N46" si="26">L42+I42</f>
        <v>225.65414250877308</v>
      </c>
      <c r="O4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182.36319695224904</v>
      </c>
      <c r="P42" s="190">
        <v>44.776221588356584</v>
      </c>
    </row>
    <row r="43" spans="1:16" x14ac:dyDescent="0.3">
      <c r="A43" s="196">
        <f>IF(TableRBMaster[[#This Row],[Player]]&lt;&gt;0,A42+1,A42)</f>
        <v>33</v>
      </c>
      <c r="B43" s="144" t="str">
        <f>DAL!A$8</f>
        <v>Tony Pollard</v>
      </c>
      <c r="C43" s="144" t="s">
        <v>146</v>
      </c>
      <c r="D43" s="144">
        <f>DAL!C$9</f>
        <v>9</v>
      </c>
      <c r="E43" s="145">
        <f>DAL!I$8</f>
        <v>148.35615462465293</v>
      </c>
      <c r="F43" s="145">
        <f>DAL!J$8</f>
        <v>718.04378838332013</v>
      </c>
      <c r="G43" s="145">
        <f>DAL!K$8</f>
        <v>4.2726572531900047</v>
      </c>
      <c r="H43" s="145">
        <f>DAL!L$8</f>
        <v>56.85765009316021</v>
      </c>
      <c r="I43" s="145">
        <f>DAL!M$8</f>
        <v>43.899791636928995</v>
      </c>
      <c r="J43" s="145">
        <f>DAL!N$8</f>
        <v>326.73990885990042</v>
      </c>
      <c r="K43" s="145">
        <f>DAL!O$8</f>
        <v>1.2567681645092461</v>
      </c>
      <c r="L43" s="145">
        <f t="shared" si="24"/>
        <v>137.65492223051754</v>
      </c>
      <c r="M43" s="145">
        <f t="shared" si="25"/>
        <v>159.60481804898205</v>
      </c>
      <c r="N43" s="145">
        <f t="shared" si="26"/>
        <v>181.55471386744654</v>
      </c>
      <c r="O4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137.65492223051754</v>
      </c>
      <c r="P43" s="190">
        <v>0</v>
      </c>
    </row>
    <row r="44" spans="1:16" x14ac:dyDescent="0.3">
      <c r="A44" s="196">
        <f>IF(TableRBMaster[[#This Row],[Player]]&lt;&gt;0,A43+1,A43)</f>
        <v>34</v>
      </c>
      <c r="B44" s="144" t="str">
        <f>DAL!A$9</f>
        <v>Rico Dowdle</v>
      </c>
      <c r="C44" s="144" t="s">
        <v>146</v>
      </c>
      <c r="D44" s="144">
        <f>DAL!C$8</f>
        <v>9</v>
      </c>
      <c r="E44" s="145">
        <f>DAL!I$9</f>
        <v>26.374427488827191</v>
      </c>
      <c r="F44" s="145">
        <f>DAL!J$9</f>
        <v>105.90568161353106</v>
      </c>
      <c r="G44" s="145">
        <f>DAL!K$9</f>
        <v>0.72793419869163045</v>
      </c>
      <c r="H44" s="145">
        <f>DAL!L$9</f>
        <v>9.1401353932548624</v>
      </c>
      <c r="I44" s="145">
        <f>DAL!M$9</f>
        <v>6.938276777019766</v>
      </c>
      <c r="J44" s="145">
        <f>DAL!N$9</f>
        <v>44.189773483585782</v>
      </c>
      <c r="K44" s="145">
        <f>DAL!O$9</f>
        <v>0.14841233747635865</v>
      </c>
      <c r="L44" s="145">
        <f t="shared" si="24"/>
        <v>20.267624726719617</v>
      </c>
      <c r="M44" s="145">
        <f t="shared" si="25"/>
        <v>23.7367631152295</v>
      </c>
      <c r="N44" s="145">
        <f t="shared" si="26"/>
        <v>27.205901503739383</v>
      </c>
      <c r="O4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20.267624726719617</v>
      </c>
      <c r="P44" s="190">
        <v>0</v>
      </c>
    </row>
    <row r="45" spans="1:16" x14ac:dyDescent="0.3">
      <c r="A45" s="196">
        <f>IF(TableRBMaster[[#This Row],[Player]]&lt;&gt;0,A44+1,A44)</f>
        <v>34</v>
      </c>
      <c r="B45" s="144">
        <f>DAL!A$10</f>
        <v>0</v>
      </c>
      <c r="C45" s="144" t="s">
        <v>146</v>
      </c>
      <c r="D45" s="144">
        <f>DAL!C$10</f>
        <v>9</v>
      </c>
      <c r="E45" s="145">
        <f>DAL!I$10</f>
        <v>0</v>
      </c>
      <c r="F45" s="145">
        <f>DAL!J$10</f>
        <v>0</v>
      </c>
      <c r="G45" s="145">
        <f>DAL!K$10</f>
        <v>0</v>
      </c>
      <c r="H45" s="145">
        <f>DAL!L$10</f>
        <v>0</v>
      </c>
      <c r="I45" s="145">
        <f>DAL!M$10</f>
        <v>0</v>
      </c>
      <c r="J45" s="145">
        <f>DAL!N$10</f>
        <v>0</v>
      </c>
      <c r="K45" s="145">
        <f>DAL!O$10</f>
        <v>0</v>
      </c>
      <c r="L45" s="145">
        <f t="shared" si="24"/>
        <v>0</v>
      </c>
      <c r="M45" s="145">
        <f t="shared" si="25"/>
        <v>0</v>
      </c>
      <c r="N45" s="145">
        <f t="shared" si="26"/>
        <v>0</v>
      </c>
      <c r="O4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5" s="190">
        <v>0</v>
      </c>
    </row>
    <row r="46" spans="1:16" x14ac:dyDescent="0.3">
      <c r="A46" s="196">
        <f>IF(TableRBMaster[[#This Row],[Player]]&lt;&gt;0,A45+1,A45)</f>
        <v>34</v>
      </c>
      <c r="B46" s="144">
        <f>DAL!A$11</f>
        <v>0</v>
      </c>
      <c r="C46" s="144" t="s">
        <v>146</v>
      </c>
      <c r="D46" s="144">
        <f>DAL!C$11</f>
        <v>9</v>
      </c>
      <c r="E46" s="145">
        <f>DAL!I$11</f>
        <v>0</v>
      </c>
      <c r="F46" s="145">
        <f>DAL!J$11</f>
        <v>0</v>
      </c>
      <c r="G46" s="145">
        <f>DAL!K$11</f>
        <v>0</v>
      </c>
      <c r="H46" s="145">
        <f>DAL!L$11</f>
        <v>0</v>
      </c>
      <c r="I46" s="145">
        <f>DAL!M$11</f>
        <v>0</v>
      </c>
      <c r="J46" s="145">
        <f>DAL!N$11</f>
        <v>0</v>
      </c>
      <c r="K46" s="145">
        <f>DAL!O$11</f>
        <v>0</v>
      </c>
      <c r="L46" s="145">
        <f t="shared" si="24"/>
        <v>0</v>
      </c>
      <c r="M46" s="145">
        <f t="shared" si="25"/>
        <v>0</v>
      </c>
      <c r="N46" s="145">
        <f t="shared" si="26"/>
        <v>0</v>
      </c>
      <c r="O4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6" s="190">
        <v>0</v>
      </c>
    </row>
    <row r="47" spans="1:16" x14ac:dyDescent="0.3">
      <c r="A47" s="196">
        <f>IF(TableRBMaster[[#This Row],[Player]]&lt;&gt;0,A46+1,A46)</f>
        <v>35</v>
      </c>
      <c r="B47" s="144" t="str">
        <f>DEN!A$7</f>
        <v>Javonte Williams</v>
      </c>
      <c r="C47" s="144" t="s">
        <v>147</v>
      </c>
      <c r="D47" s="144">
        <f>DEN!C$7</f>
        <v>9</v>
      </c>
      <c r="E47" s="145">
        <f>DEN!I$7</f>
        <v>215.14839453470179</v>
      </c>
      <c r="F47" s="145">
        <f>DEN!J$7</f>
        <v>953.49686561483679</v>
      </c>
      <c r="G47" s="145">
        <f>DEN!K$7</f>
        <v>7.0353525012847484</v>
      </c>
      <c r="H47" s="145">
        <f>DEN!L$7</f>
        <v>66.727022380707382</v>
      </c>
      <c r="I47" s="145">
        <f>DEN!M$7</f>
        <v>52.82111091656796</v>
      </c>
      <c r="J47" s="145">
        <f>DEN!N$7</f>
        <v>364.06813087684418</v>
      </c>
      <c r="K47" s="145">
        <f>DEN!O$7</f>
        <v>3.127946973411873</v>
      </c>
      <c r="L47" s="145">
        <f t="shared" ref="L47:L51" si="27">(F47/10)+(G47*6)+(J47/10)+(K47*6)</f>
        <v>192.73629649734781</v>
      </c>
      <c r="M47" s="145">
        <f t="shared" ref="M47:M51" si="28">L47+(I47*0.5)</f>
        <v>219.1468519556318</v>
      </c>
      <c r="N47" s="145">
        <f t="shared" ref="N47:N51" si="29">L47+I47</f>
        <v>245.55740741391577</v>
      </c>
      <c r="O4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192.73629649734781</v>
      </c>
      <c r="P47" s="190">
        <v>20.028772470953456</v>
      </c>
    </row>
    <row r="48" spans="1:16" x14ac:dyDescent="0.3">
      <c r="A48" s="196">
        <f>IF(TableRBMaster[[#This Row],[Player]]&lt;&gt;0,A47+1,A47)</f>
        <v>36</v>
      </c>
      <c r="B48" s="144" t="str">
        <f>DEN!A$8</f>
        <v>Melvin Gordon</v>
      </c>
      <c r="C48" s="144" t="s">
        <v>147</v>
      </c>
      <c r="D48" s="144">
        <f>DEN!C$9</f>
        <v>9</v>
      </c>
      <c r="E48" s="145">
        <f>DEN!I$8</f>
        <v>156.70926103164786</v>
      </c>
      <c r="F48" s="145">
        <f>DEN!J$8</f>
        <v>699.74798185772386</v>
      </c>
      <c r="G48" s="145">
        <f>DEN!K$8</f>
        <v>6.1804935184044512</v>
      </c>
      <c r="H48" s="145">
        <f>DEN!L$8</f>
        <v>33.998839433115798</v>
      </c>
      <c r="I48" s="145">
        <f>DEN!M$8</f>
        <v>24.592360527838341</v>
      </c>
      <c r="J48" s="145">
        <f>DEN!N$8</f>
        <v>167.01049901556337</v>
      </c>
      <c r="K48" s="145">
        <f>DEN!O$8</f>
        <v>1.111362063116615</v>
      </c>
      <c r="L48" s="145">
        <f t="shared" si="27"/>
        <v>130.42698157645512</v>
      </c>
      <c r="M48" s="145">
        <f t="shared" si="28"/>
        <v>142.7231618403743</v>
      </c>
      <c r="N48" s="145">
        <f t="shared" si="29"/>
        <v>155.01934210429346</v>
      </c>
      <c r="O4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130.42698157645512</v>
      </c>
      <c r="P48" s="190">
        <v>10.939920184371568</v>
      </c>
    </row>
    <row r="49" spans="1:16" x14ac:dyDescent="0.3">
      <c r="A49" s="196">
        <f>IF(TableRBMaster[[#This Row],[Player]]&lt;&gt;0,A48+1,A48)</f>
        <v>37</v>
      </c>
      <c r="B49" s="144" t="str">
        <f>DEN!A$9</f>
        <v>Mike Boone</v>
      </c>
      <c r="C49" s="144" t="s">
        <v>147</v>
      </c>
      <c r="D49" s="144">
        <f>DEN!C$8</f>
        <v>9</v>
      </c>
      <c r="E49" s="145">
        <f>DEN!I$9</f>
        <v>16.053918440564701</v>
      </c>
      <c r="F49" s="145">
        <f>DEN!J$9</f>
        <v>69.513466847645148</v>
      </c>
      <c r="G49" s="145">
        <f>DEN!K$9</f>
        <v>0.37511492399599744</v>
      </c>
      <c r="H49" s="145">
        <f>DEN!L$9</f>
        <v>4.0549211071096174</v>
      </c>
      <c r="I49" s="145">
        <f>DEN!M$9</f>
        <v>2.7249069839776632</v>
      </c>
      <c r="J49" s="145">
        <f>DEN!N$9</f>
        <v>17.099416303125889</v>
      </c>
      <c r="K49" s="145">
        <f>DEN!O$9</f>
        <v>2.499914664199691E-2</v>
      </c>
      <c r="L49" s="145">
        <f t="shared" si="27"/>
        <v>11.061972738905069</v>
      </c>
      <c r="M49" s="145">
        <f t="shared" si="28"/>
        <v>12.424426230893902</v>
      </c>
      <c r="N49" s="145">
        <f t="shared" si="29"/>
        <v>13.786879722882732</v>
      </c>
      <c r="O4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11.061972738905069</v>
      </c>
      <c r="P49" s="190">
        <v>0</v>
      </c>
    </row>
    <row r="50" spans="1:16" x14ac:dyDescent="0.3">
      <c r="A50" s="196">
        <f>IF(TableRBMaster[[#This Row],[Player]]&lt;&gt;0,A49+1,A49)</f>
        <v>37</v>
      </c>
      <c r="B50" s="144">
        <f>DEN!A$10</f>
        <v>0</v>
      </c>
      <c r="C50" s="144" t="s">
        <v>147</v>
      </c>
      <c r="D50" s="144">
        <f>DEN!C$10</f>
        <v>9</v>
      </c>
      <c r="E50" s="145">
        <f>DEN!I$10</f>
        <v>0</v>
      </c>
      <c r="F50" s="145">
        <f>DEN!J$10</f>
        <v>0</v>
      </c>
      <c r="G50" s="145">
        <f>DEN!K$10</f>
        <v>0</v>
      </c>
      <c r="H50" s="145">
        <f>DEN!L$10</f>
        <v>0</v>
      </c>
      <c r="I50" s="145">
        <f>DEN!M$10</f>
        <v>0</v>
      </c>
      <c r="J50" s="145">
        <f>DEN!N$10</f>
        <v>0</v>
      </c>
      <c r="K50" s="145">
        <f>DEN!O$10</f>
        <v>0</v>
      </c>
      <c r="L50" s="145">
        <f t="shared" si="27"/>
        <v>0</v>
      </c>
      <c r="M50" s="145">
        <f t="shared" si="28"/>
        <v>0</v>
      </c>
      <c r="N50" s="145">
        <f t="shared" si="29"/>
        <v>0</v>
      </c>
      <c r="O5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0" s="190">
        <v>0</v>
      </c>
    </row>
    <row r="51" spans="1:16" x14ac:dyDescent="0.3">
      <c r="A51" s="196">
        <f>IF(TableRBMaster[[#This Row],[Player]]&lt;&gt;0,A50+1,A50)</f>
        <v>37</v>
      </c>
      <c r="B51" s="144">
        <f>DEN!A$11</f>
        <v>0</v>
      </c>
      <c r="C51" s="144" t="s">
        <v>147</v>
      </c>
      <c r="D51" s="144">
        <f>DEN!C$11</f>
        <v>9</v>
      </c>
      <c r="E51" s="145">
        <f>DEN!I$11</f>
        <v>0</v>
      </c>
      <c r="F51" s="145">
        <f>DEN!J$11</f>
        <v>0</v>
      </c>
      <c r="G51" s="145">
        <f>DEN!K$11</f>
        <v>0</v>
      </c>
      <c r="H51" s="145">
        <f>DEN!L$11</f>
        <v>0</v>
      </c>
      <c r="I51" s="145">
        <f>DEN!M$11</f>
        <v>0</v>
      </c>
      <c r="J51" s="145">
        <f>DEN!N$11</f>
        <v>0</v>
      </c>
      <c r="K51" s="145">
        <f>DEN!O$11</f>
        <v>0</v>
      </c>
      <c r="L51" s="145">
        <f t="shared" si="27"/>
        <v>0</v>
      </c>
      <c r="M51" s="145">
        <f t="shared" si="28"/>
        <v>0</v>
      </c>
      <c r="N51" s="145">
        <f t="shared" si="29"/>
        <v>0</v>
      </c>
      <c r="O5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1" s="190">
        <v>0</v>
      </c>
    </row>
    <row r="52" spans="1:16" x14ac:dyDescent="0.3">
      <c r="A52" s="196">
        <f>IF(TableRBMaster[[#This Row],[Player]]&lt;&gt;0,A51+1,A51)</f>
        <v>38</v>
      </c>
      <c r="B52" s="144" t="str">
        <f>DET!A$7</f>
        <v>D'Andre Swift</v>
      </c>
      <c r="C52" s="144" t="s">
        <v>148</v>
      </c>
      <c r="D52" s="144">
        <f>DET!C$7</f>
        <v>6</v>
      </c>
      <c r="E52" s="145">
        <f>DET!I$7</f>
        <v>198.22233644337862</v>
      </c>
      <c r="F52" s="145">
        <f>DET!J$7</f>
        <v>862.26716352869698</v>
      </c>
      <c r="G52" s="145">
        <f>DET!K$7</f>
        <v>7.0963596446729547</v>
      </c>
      <c r="H52" s="145">
        <f>DET!L$7</f>
        <v>87.902294242053841</v>
      </c>
      <c r="I52" s="145">
        <f>DET!M$7</f>
        <v>68.651691803044059</v>
      </c>
      <c r="J52" s="145">
        <f>DET!N$7</f>
        <v>505.2764516704043</v>
      </c>
      <c r="K52" s="145">
        <f>DET!O$7</f>
        <v>3.0206744393339386</v>
      </c>
      <c r="L52" s="145">
        <f t="shared" ref="L52:L56" si="30">(F52/10)+(G52*6)+(J52/10)+(K52*6)</f>
        <v>197.4565660239515</v>
      </c>
      <c r="M52" s="145">
        <f t="shared" ref="M52:M56" si="31">L52+(I52*0.5)</f>
        <v>231.78241192547353</v>
      </c>
      <c r="N52" s="145">
        <f t="shared" ref="N52:N56" si="32">L52+I52</f>
        <v>266.10825782699555</v>
      </c>
      <c r="O5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197.4565660239515</v>
      </c>
      <c r="P52" s="190">
        <v>29.543461763955655</v>
      </c>
    </row>
    <row r="53" spans="1:16" x14ac:dyDescent="0.3">
      <c r="A53" s="196">
        <f>IF(TableRBMaster[[#This Row],[Player]]&lt;&gt;0,A52+1,A52)</f>
        <v>39</v>
      </c>
      <c r="B53" s="144" t="str">
        <f>DET!A$8</f>
        <v>Jamaal Williams</v>
      </c>
      <c r="C53" s="144" t="s">
        <v>148</v>
      </c>
      <c r="D53" s="144">
        <f>DET!C$9</f>
        <v>6</v>
      </c>
      <c r="E53" s="145">
        <f>DET!I$8</f>
        <v>124.79179480544688</v>
      </c>
      <c r="F53" s="145">
        <f>DET!J$8</f>
        <v>501.66301511789641</v>
      </c>
      <c r="G53" s="145">
        <f>DET!K$8</f>
        <v>4.2803585618268274</v>
      </c>
      <c r="H53" s="145">
        <f>DET!L$8</f>
        <v>32.884311515012946</v>
      </c>
      <c r="I53" s="145">
        <f>DET!M$8</f>
        <v>24.729002259289736</v>
      </c>
      <c r="J53" s="145">
        <f>DET!N$8</f>
        <v>166.67347522761281</v>
      </c>
      <c r="K53" s="145">
        <f>DET!O$8</f>
        <v>0.66966113389752613</v>
      </c>
      <c r="L53" s="145">
        <f t="shared" si="30"/>
        <v>96.533767208897046</v>
      </c>
      <c r="M53" s="145">
        <f t="shared" si="31"/>
        <v>108.89826833854191</v>
      </c>
      <c r="N53" s="145">
        <f t="shared" si="32"/>
        <v>121.26276946818678</v>
      </c>
      <c r="O5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96.533767208897046</v>
      </c>
      <c r="P53" s="190">
        <v>8.7678044290027124</v>
      </c>
    </row>
    <row r="54" spans="1:16" x14ac:dyDescent="0.3">
      <c r="A54" s="196">
        <f>IF(TableRBMaster[[#This Row],[Player]]&lt;&gt;0,A53+1,A53)</f>
        <v>40</v>
      </c>
      <c r="B54" s="144" t="str">
        <f>DET!A$9</f>
        <v>Jermar Jefferson</v>
      </c>
      <c r="C54" s="144" t="s">
        <v>148</v>
      </c>
      <c r="D54" s="144">
        <f>DET!C$8</f>
        <v>6</v>
      </c>
      <c r="E54" s="145">
        <f>DET!I$9</f>
        <v>20.464249308931802</v>
      </c>
      <c r="F54" s="145">
        <f>DET!J$9</f>
        <v>88.880115811306368</v>
      </c>
      <c r="G54" s="145">
        <f>DET!K$9</f>
        <v>1.0273053153083764</v>
      </c>
      <c r="H54" s="145">
        <f>DET!L$9</f>
        <v>2.9987897781002069</v>
      </c>
      <c r="I54" s="145">
        <f>DET!M$9</f>
        <v>2.1192447361834161</v>
      </c>
      <c r="J54" s="145">
        <f>DET!N$9</f>
        <v>14.097584549394027</v>
      </c>
      <c r="K54" s="145">
        <f>DET!O$9</f>
        <v>0</v>
      </c>
      <c r="L54" s="145">
        <f t="shared" si="30"/>
        <v>16.461601927920299</v>
      </c>
      <c r="M54" s="145">
        <f t="shared" si="31"/>
        <v>17.521224296012008</v>
      </c>
      <c r="N54" s="145">
        <f t="shared" si="32"/>
        <v>18.580846664103714</v>
      </c>
      <c r="O5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16.461601927920299</v>
      </c>
      <c r="P54" s="190">
        <v>0</v>
      </c>
    </row>
    <row r="55" spans="1:16" x14ac:dyDescent="0.3">
      <c r="A55" s="196">
        <f>IF(TableRBMaster[[#This Row],[Player]]&lt;&gt;0,A54+1,A54)</f>
        <v>41</v>
      </c>
      <c r="B55" s="144" t="str">
        <f>DET!A$10</f>
        <v>Craig Reynolds</v>
      </c>
      <c r="C55" s="144" t="s">
        <v>148</v>
      </c>
      <c r="D55" s="144">
        <f>DET!C$10</f>
        <v>6</v>
      </c>
      <c r="E55" s="145">
        <f>DET!I$10</f>
        <v>12.439053501507566</v>
      </c>
      <c r="F55" s="145">
        <f>DET!J$10</f>
        <v>52.308398780327643</v>
      </c>
      <c r="G55" s="145">
        <f>DET!K$10</f>
        <v>0.39680580669809129</v>
      </c>
      <c r="H55" s="145">
        <f>DET!L$10</f>
        <v>6.9562966666373534</v>
      </c>
      <c r="I55" s="145">
        <f>DET!M$10</f>
        <v>4.8812333709794311</v>
      </c>
      <c r="J55" s="145">
        <f>DET!N$10</f>
        <v>31.927680970864817</v>
      </c>
      <c r="K55" s="145">
        <f>DET!O$10</f>
        <v>0.12820644154842109</v>
      </c>
      <c r="L55" s="145">
        <f t="shared" si="30"/>
        <v>11.573681464598321</v>
      </c>
      <c r="M55" s="145">
        <f t="shared" si="31"/>
        <v>14.014298150088036</v>
      </c>
      <c r="N55" s="145">
        <f t="shared" si="32"/>
        <v>16.454914835577753</v>
      </c>
      <c r="O5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11.573681464598321</v>
      </c>
      <c r="P55" s="190">
        <v>0</v>
      </c>
    </row>
    <row r="56" spans="1:16" x14ac:dyDescent="0.3">
      <c r="A56" s="196">
        <f>IF(TableRBMaster[[#This Row],[Player]]&lt;&gt;0,A55+1,A55)</f>
        <v>41</v>
      </c>
      <c r="B56" s="144">
        <f>DET!A$11</f>
        <v>0</v>
      </c>
      <c r="C56" s="144" t="s">
        <v>148</v>
      </c>
      <c r="D56" s="144">
        <f>DET!C$11</f>
        <v>6</v>
      </c>
      <c r="E56" s="145">
        <f>DET!I$11</f>
        <v>0</v>
      </c>
      <c r="F56" s="145">
        <f>DET!J$11</f>
        <v>0</v>
      </c>
      <c r="G56" s="145">
        <f>DET!K$11</f>
        <v>0</v>
      </c>
      <c r="H56" s="145">
        <f>DET!L$11</f>
        <v>0</v>
      </c>
      <c r="I56" s="145">
        <f>DET!M$11</f>
        <v>0</v>
      </c>
      <c r="J56" s="145">
        <f>DET!N$11</f>
        <v>0</v>
      </c>
      <c r="K56" s="145">
        <f>DET!O$11</f>
        <v>0</v>
      </c>
      <c r="L56" s="145">
        <f t="shared" si="30"/>
        <v>0</v>
      </c>
      <c r="M56" s="145">
        <f t="shared" si="31"/>
        <v>0</v>
      </c>
      <c r="N56" s="145">
        <f t="shared" si="32"/>
        <v>0</v>
      </c>
      <c r="O5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6" s="190">
        <v>0</v>
      </c>
    </row>
    <row r="57" spans="1:16" x14ac:dyDescent="0.3">
      <c r="A57" s="196">
        <f>IF(TableRBMaster[[#This Row],[Player]]&lt;&gt;0,A56+1,A56)</f>
        <v>42</v>
      </c>
      <c r="B57" s="144" t="str">
        <f>GB!A$7</f>
        <v>Aaron Jones</v>
      </c>
      <c r="C57" s="144" t="s">
        <v>149</v>
      </c>
      <c r="D57" s="144">
        <f>GB!C$7</f>
        <v>14</v>
      </c>
      <c r="E57" s="145">
        <f>GB!I$7</f>
        <v>192.53322090294935</v>
      </c>
      <c r="F57" s="145">
        <f>GB!J$7</f>
        <v>893.35414498968498</v>
      </c>
      <c r="G57" s="145">
        <f>GB!K$7</f>
        <v>5.9300232038108405</v>
      </c>
      <c r="H57" s="145">
        <f>GB!L$7</f>
        <v>72.285657579999977</v>
      </c>
      <c r="I57" s="145">
        <f>GB!M$7</f>
        <v>55.804527651759983</v>
      </c>
      <c r="J57" s="145">
        <f>GB!N$7</f>
        <v>474.89653031647742</v>
      </c>
      <c r="K57" s="145">
        <f>GB!O$7</f>
        <v>4.0179259909267184</v>
      </c>
      <c r="L57" s="145">
        <f t="shared" ref="L57:L61" si="33">(F57/10)+(G57*6)+(J57/10)+(K57*6)</f>
        <v>196.51276269904159</v>
      </c>
      <c r="M57" s="145">
        <f t="shared" ref="M57:M61" si="34">L57+(I57*0.5)</f>
        <v>224.41502652492159</v>
      </c>
      <c r="N57" s="145">
        <f t="shared" ref="N57:N61" si="35">L57+I57</f>
        <v>252.31729035080156</v>
      </c>
      <c r="O5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196.51276269904162</v>
      </c>
      <c r="P57" s="190">
        <v>40.289314661508477</v>
      </c>
    </row>
    <row r="58" spans="1:16" x14ac:dyDescent="0.3">
      <c r="A58" s="196">
        <f>IF(TableRBMaster[[#This Row],[Player]]&lt;&gt;0,A57+1,A57)</f>
        <v>43</v>
      </c>
      <c r="B58" s="144" t="str">
        <f>GB!A$8</f>
        <v>AJ Dillon</v>
      </c>
      <c r="C58" s="144" t="s">
        <v>149</v>
      </c>
      <c r="D58" s="144">
        <f>GB!C$9</f>
        <v>14</v>
      </c>
      <c r="E58" s="145">
        <f>GB!I$8</f>
        <v>183.10851778182595</v>
      </c>
      <c r="F58" s="145">
        <f>GB!J$8</f>
        <v>807.50856341785243</v>
      </c>
      <c r="G58" s="145">
        <f>GB!K$8</f>
        <v>6.2806221599166294</v>
      </c>
      <c r="H58" s="145">
        <f>GB!L$8</f>
        <v>43.252893469999982</v>
      </c>
      <c r="I58" s="145">
        <f>GB!M$8</f>
        <v>34.693145852286989</v>
      </c>
      <c r="J58" s="145">
        <f>GB!N$8</f>
        <v>278.23902973534166</v>
      </c>
      <c r="K58" s="145">
        <f>GB!O$8</f>
        <v>1.9428161677280713</v>
      </c>
      <c r="L58" s="145">
        <f t="shared" si="33"/>
        <v>157.91538928118763</v>
      </c>
      <c r="M58" s="145">
        <f t="shared" si="34"/>
        <v>175.26196220733112</v>
      </c>
      <c r="N58" s="145">
        <f t="shared" si="35"/>
        <v>192.60853513347462</v>
      </c>
      <c r="O5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157.91538928118763</v>
      </c>
      <c r="P58" s="190">
        <v>2.090203818393999</v>
      </c>
    </row>
    <row r="59" spans="1:16" x14ac:dyDescent="0.3">
      <c r="A59" s="196">
        <f>IF(TableRBMaster[[#This Row],[Player]]&lt;&gt;0,A58+1,A58)</f>
        <v>44</v>
      </c>
      <c r="B59" s="144" t="str">
        <f>GB!A$9</f>
        <v>Kylin Hill</v>
      </c>
      <c r="C59" s="144" t="s">
        <v>149</v>
      </c>
      <c r="D59" s="144">
        <f>GB!C$8</f>
        <v>14</v>
      </c>
      <c r="E59" s="145">
        <f>GB!I$9</f>
        <v>19.29820162896695</v>
      </c>
      <c r="F59" s="145">
        <f>GB!J$9</f>
        <v>73.912112238943422</v>
      </c>
      <c r="G59" s="145">
        <f>GB!K$9</f>
        <v>0.35682602665469892</v>
      </c>
      <c r="H59" s="145">
        <f>GB!L$9</f>
        <v>5.9250538999999973</v>
      </c>
      <c r="I59" s="145">
        <f>GB!M$9</f>
        <v>3.9816362207999982</v>
      </c>
      <c r="J59" s="145">
        <f>GB!N$9</f>
        <v>31.335477057695986</v>
      </c>
      <c r="K59" s="145">
        <f>GB!O$9</f>
        <v>2.05387198019189E-2</v>
      </c>
      <c r="L59" s="145">
        <f t="shared" si="33"/>
        <v>12.788947408403647</v>
      </c>
      <c r="M59" s="145">
        <f t="shared" si="34"/>
        <v>14.779765518803647</v>
      </c>
      <c r="N59" s="145">
        <f t="shared" si="35"/>
        <v>16.770583629203646</v>
      </c>
      <c r="O5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12.788947408403649</v>
      </c>
      <c r="P59" s="190">
        <v>0</v>
      </c>
    </row>
    <row r="60" spans="1:16" x14ac:dyDescent="0.3">
      <c r="A60" s="196">
        <f>IF(TableRBMaster[[#This Row],[Player]]&lt;&gt;0,A59+1,A59)</f>
        <v>44</v>
      </c>
      <c r="B60" s="144">
        <f>GB!A$10</f>
        <v>0</v>
      </c>
      <c r="C60" s="144" t="s">
        <v>149</v>
      </c>
      <c r="D60" s="144">
        <f>GB!C$10</f>
        <v>14</v>
      </c>
      <c r="E60" s="145">
        <f>GB!I$10</f>
        <v>0</v>
      </c>
      <c r="F60" s="145">
        <f>GB!J$10</f>
        <v>0</v>
      </c>
      <c r="G60" s="145">
        <f>GB!K$10</f>
        <v>0</v>
      </c>
      <c r="H60" s="145">
        <f>GB!L$10</f>
        <v>0</v>
      </c>
      <c r="I60" s="145">
        <f>GB!M$10</f>
        <v>0</v>
      </c>
      <c r="J60" s="145">
        <f>GB!N$10</f>
        <v>0</v>
      </c>
      <c r="K60" s="145">
        <f>GB!O$10</f>
        <v>0</v>
      </c>
      <c r="L60" s="145">
        <f t="shared" si="33"/>
        <v>0</v>
      </c>
      <c r="M60" s="145">
        <f t="shared" si="34"/>
        <v>0</v>
      </c>
      <c r="N60" s="145">
        <f t="shared" si="35"/>
        <v>0</v>
      </c>
      <c r="O6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0" s="190">
        <v>0</v>
      </c>
    </row>
    <row r="61" spans="1:16" x14ac:dyDescent="0.3">
      <c r="A61" s="196">
        <f>IF(TableRBMaster[[#This Row],[Player]]&lt;&gt;0,A60+1,A60)</f>
        <v>44</v>
      </c>
      <c r="B61" s="144">
        <f>GB!A$11</f>
        <v>0</v>
      </c>
      <c r="C61" s="144" t="s">
        <v>149</v>
      </c>
      <c r="D61" s="144">
        <f>GB!C$11</f>
        <v>14</v>
      </c>
      <c r="E61" s="145">
        <f>GB!I$11</f>
        <v>0</v>
      </c>
      <c r="F61" s="145">
        <f>GB!J$11</f>
        <v>0</v>
      </c>
      <c r="G61" s="145">
        <f>GB!K$11</f>
        <v>0</v>
      </c>
      <c r="H61" s="145">
        <f>GB!L$11</f>
        <v>0</v>
      </c>
      <c r="I61" s="145">
        <f>GB!M$11</f>
        <v>0</v>
      </c>
      <c r="J61" s="145">
        <f>GB!N$11</f>
        <v>0</v>
      </c>
      <c r="K61" s="145">
        <f>GB!O$11</f>
        <v>0</v>
      </c>
      <c r="L61" s="145">
        <f t="shared" si="33"/>
        <v>0</v>
      </c>
      <c r="M61" s="145">
        <f t="shared" si="34"/>
        <v>0</v>
      </c>
      <c r="N61" s="145">
        <f t="shared" si="35"/>
        <v>0</v>
      </c>
      <c r="O6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1" s="190">
        <v>0</v>
      </c>
    </row>
    <row r="62" spans="1:16" x14ac:dyDescent="0.3">
      <c r="A62" s="196">
        <f>IF(TableRBMaster[[#This Row],[Player]]&lt;&gt;0,A61+1,A61)</f>
        <v>45</v>
      </c>
      <c r="B62" s="144" t="str">
        <f>HOU!A$7</f>
        <v>Marlon Mack</v>
      </c>
      <c r="C62" s="144" t="s">
        <v>150</v>
      </c>
      <c r="D62" s="144">
        <f>HOU!C$7</f>
        <v>6</v>
      </c>
      <c r="E62" s="145">
        <f>HOU!I$7</f>
        <v>136.61411544976326</v>
      </c>
      <c r="F62" s="145">
        <f>HOU!J$7</f>
        <v>549.18874410804824</v>
      </c>
      <c r="G62" s="145">
        <f>HOU!K$7</f>
        <v>4.0847620519479211</v>
      </c>
      <c r="H62" s="145">
        <f>HOU!L$7</f>
        <v>23.951439105232041</v>
      </c>
      <c r="I62" s="145">
        <f>HOU!M$7</f>
        <v>17.746392550596923</v>
      </c>
      <c r="J62" s="145">
        <f>HOU!N$7</f>
        <v>121.91771682260087</v>
      </c>
      <c r="K62" s="145">
        <f>HOU!O$7</f>
        <v>0.23070310315775999</v>
      </c>
      <c r="L62" s="145">
        <f t="shared" ref="L62:L66" si="36">(F62/10)+(G62*6)+(J62/10)+(K62*6)</f>
        <v>93.003437023698993</v>
      </c>
      <c r="M62" s="145">
        <f t="shared" ref="M62:M66" si="37">L62+(I62*0.5)</f>
        <v>101.87663329899746</v>
      </c>
      <c r="N62" s="145">
        <f t="shared" ref="N62:N66" si="38">L62+I62</f>
        <v>110.74982957429592</v>
      </c>
      <c r="O6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93.003437023698993</v>
      </c>
      <c r="P62" s="190">
        <v>12.571330568704457</v>
      </c>
    </row>
    <row r="63" spans="1:16" x14ac:dyDescent="0.3">
      <c r="A63" s="196">
        <f>IF(TableRBMaster[[#This Row],[Player]]&lt;&gt;0,A62+1,A62)</f>
        <v>46</v>
      </c>
      <c r="B63" s="144" t="str">
        <f>HOU!A$8</f>
        <v>Rex Burkhead</v>
      </c>
      <c r="C63" s="144" t="s">
        <v>150</v>
      </c>
      <c r="D63" s="144">
        <f>HOU!C$9</f>
        <v>6</v>
      </c>
      <c r="E63" s="145">
        <f>HOU!I$8</f>
        <v>72.166213528547274</v>
      </c>
      <c r="F63" s="145">
        <f>HOU!J$8</f>
        <v>284.74453602331931</v>
      </c>
      <c r="G63" s="145">
        <f>HOU!K$8</f>
        <v>2.0350872215050333</v>
      </c>
      <c r="H63" s="145">
        <f>HOU!L$8</f>
        <v>49.440054905198672</v>
      </c>
      <c r="I63" s="145">
        <f>HOU!M$8</f>
        <v>35.695719641553438</v>
      </c>
      <c r="J63" s="145">
        <f>HOU!N$8</f>
        <v>267.00398291881976</v>
      </c>
      <c r="K63" s="145">
        <f>HOU!O$8</f>
        <v>1.4278287856621377</v>
      </c>
      <c r="L63" s="145">
        <f t="shared" si="36"/>
        <v>75.952347937216928</v>
      </c>
      <c r="M63" s="145">
        <f t="shared" si="37"/>
        <v>93.800207757993647</v>
      </c>
      <c r="N63" s="145">
        <f t="shared" si="38"/>
        <v>111.64806757877037</v>
      </c>
      <c r="O6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75.952347937216942</v>
      </c>
      <c r="P63" s="190">
        <v>0</v>
      </c>
    </row>
    <row r="64" spans="1:16" x14ac:dyDescent="0.3">
      <c r="A64" s="196">
        <f>IF(TableRBMaster[[#This Row],[Player]]&lt;&gt;0,A63+1,A63)</f>
        <v>47</v>
      </c>
      <c r="B64" s="144" t="str">
        <f>HOU!A$9</f>
        <v>Dameon Pierce</v>
      </c>
      <c r="C64" s="144" t="s">
        <v>150</v>
      </c>
      <c r="D64" s="144">
        <f>HOU!C$8</f>
        <v>6</v>
      </c>
      <c r="E64" s="145">
        <f>HOU!I$9</f>
        <v>125.80847919949953</v>
      </c>
      <c r="F64" s="145">
        <f>HOU!J$9</f>
        <v>508.26625596597813</v>
      </c>
      <c r="G64" s="145">
        <f>HOU!K$9</f>
        <v>3.6987692884652859</v>
      </c>
      <c r="H64" s="145">
        <f>HOU!L$9</f>
        <v>31.743193110236035</v>
      </c>
      <c r="I64" s="145">
        <f>HOU!M$9</f>
        <v>22.159923110255779</v>
      </c>
      <c r="J64" s="145">
        <f>HOU!N$9</f>
        <v>155.78425946509813</v>
      </c>
      <c r="K64" s="145">
        <f>HOU!O$9</f>
        <v>0.59831792397690597</v>
      </c>
      <c r="L64" s="145">
        <f t="shared" si="36"/>
        <v>92.187574817760776</v>
      </c>
      <c r="M64" s="145">
        <f t="shared" si="37"/>
        <v>103.26753637288867</v>
      </c>
      <c r="N64" s="145">
        <f t="shared" si="38"/>
        <v>114.34749792801655</v>
      </c>
      <c r="O6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92.187574817760776</v>
      </c>
      <c r="P64" s="190">
        <v>0</v>
      </c>
    </row>
    <row r="65" spans="1:16" x14ac:dyDescent="0.3">
      <c r="A65" s="196">
        <f>IF(TableRBMaster[[#This Row],[Player]]&lt;&gt;0,A64+1,A64)</f>
        <v>48</v>
      </c>
      <c r="B65" s="144" t="str">
        <f>HOU!A$10</f>
        <v>Dare Ogunbowale</v>
      </c>
      <c r="C65" s="144" t="s">
        <v>150</v>
      </c>
      <c r="D65" s="144">
        <f>HOU!C$10</f>
        <v>6</v>
      </c>
      <c r="E65" s="145">
        <f>HOU!I$10</f>
        <v>18.523947857595022</v>
      </c>
      <c r="F65" s="145">
        <f>HOU!J$10</f>
        <v>68.484134261068448</v>
      </c>
      <c r="G65" s="145">
        <f>HOU!K$10</f>
        <v>0.37646883863132496</v>
      </c>
      <c r="H65" s="145">
        <f>HOU!L$10</f>
        <v>11.001065181415953</v>
      </c>
      <c r="I65" s="145">
        <f>HOU!M$10</f>
        <v>8.0098755585889556</v>
      </c>
      <c r="J65" s="145">
        <f>HOU!N$10</f>
        <v>56.950215221567476</v>
      </c>
      <c r="K65" s="145">
        <f>HOU!O$10</f>
        <v>0.25763765240963082</v>
      </c>
      <c r="L65" s="145">
        <f t="shared" si="36"/>
        <v>16.348073894509326</v>
      </c>
      <c r="M65" s="145">
        <f t="shared" si="37"/>
        <v>20.353011673803806</v>
      </c>
      <c r="N65" s="145">
        <f t="shared" si="38"/>
        <v>24.357949453098282</v>
      </c>
      <c r="O6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16.348073894509326</v>
      </c>
      <c r="P65" s="190">
        <v>0</v>
      </c>
    </row>
    <row r="66" spans="1:16" x14ac:dyDescent="0.3">
      <c r="A66" s="196">
        <f>IF(TableRBMaster[[#This Row],[Player]]&lt;&gt;0,A65+1,A65)</f>
        <v>48</v>
      </c>
      <c r="B66" s="144">
        <f>HOU!A$11</f>
        <v>0</v>
      </c>
      <c r="C66" s="144" t="s">
        <v>150</v>
      </c>
      <c r="D66" s="144">
        <f>HOU!C$11</f>
        <v>6</v>
      </c>
      <c r="E66" s="145">
        <f>HOU!I$11</f>
        <v>0</v>
      </c>
      <c r="F66" s="145">
        <f>HOU!J$11</f>
        <v>0</v>
      </c>
      <c r="G66" s="145">
        <f>HOU!K$11</f>
        <v>0</v>
      </c>
      <c r="H66" s="145">
        <f>HOU!L$11</f>
        <v>0</v>
      </c>
      <c r="I66" s="145">
        <f>HOU!M$11</f>
        <v>0</v>
      </c>
      <c r="J66" s="145">
        <f>HOU!N$11</f>
        <v>0</v>
      </c>
      <c r="K66" s="145">
        <f>HOU!O$11</f>
        <v>0</v>
      </c>
      <c r="L66" s="145">
        <f t="shared" si="36"/>
        <v>0</v>
      </c>
      <c r="M66" s="145">
        <f t="shared" si="37"/>
        <v>0</v>
      </c>
      <c r="N66" s="145">
        <f t="shared" si="38"/>
        <v>0</v>
      </c>
      <c r="O6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6" s="190">
        <v>0</v>
      </c>
    </row>
    <row r="67" spans="1:16" x14ac:dyDescent="0.3">
      <c r="A67" s="196">
        <f>IF(TableRBMaster[[#This Row],[Player]]&lt;&gt;0,A66+1,A66)</f>
        <v>49</v>
      </c>
      <c r="B67" s="144" t="str">
        <f>IND!A$7</f>
        <v>Jonathan Taylor</v>
      </c>
      <c r="C67" s="144" t="s">
        <v>151</v>
      </c>
      <c r="D67" s="144">
        <f>IND!C$7</f>
        <v>14</v>
      </c>
      <c r="E67" s="145">
        <f>IND!I$7</f>
        <v>321.35008159244012</v>
      </c>
      <c r="F67" s="145">
        <f>IND!J$7</f>
        <v>1654.503091332522</v>
      </c>
      <c r="G67" s="145">
        <f>IND!K$7</f>
        <v>15.599822528090344</v>
      </c>
      <c r="H67" s="145">
        <f>IND!L$7</f>
        <v>51.885555123918586</v>
      </c>
      <c r="I67" s="145">
        <f>IND!M$7</f>
        <v>41.394295877862248</v>
      </c>
      <c r="J67" s="145">
        <f>IND!N$7</f>
        <v>343.98659874503528</v>
      </c>
      <c r="K67" s="145">
        <f>IND!O$7</f>
        <v>1.5600695532232667</v>
      </c>
      <c r="L67" s="145">
        <f t="shared" ref="L67:L71" si="39">(F67/10)+(G67*6)+(J67/10)+(K67*6)</f>
        <v>302.80832149563741</v>
      </c>
      <c r="M67" s="145">
        <f t="shared" ref="M67:M71" si="40">L67+(I67*0.5)</f>
        <v>323.50546943456857</v>
      </c>
      <c r="N67" s="145">
        <f t="shared" ref="N67:N71" si="41">L67+I67</f>
        <v>344.20261737349966</v>
      </c>
      <c r="O6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302.80832149563741</v>
      </c>
      <c r="P67" s="190">
        <v>38.399399452045216</v>
      </c>
    </row>
    <row r="68" spans="1:16" x14ac:dyDescent="0.3">
      <c r="A68" s="196">
        <f>IF(TableRBMaster[[#This Row],[Player]]&lt;&gt;0,A67+1,A67)</f>
        <v>50</v>
      </c>
      <c r="B68" s="144" t="str">
        <f>IND!A$8</f>
        <v>Nyheim Hines</v>
      </c>
      <c r="C68" s="144" t="s">
        <v>151</v>
      </c>
      <c r="D68" s="144">
        <f>IND!C$9</f>
        <v>14</v>
      </c>
      <c r="E68" s="145">
        <f>IND!I$8</f>
        <v>61.463042714216698</v>
      </c>
      <c r="F68" s="145">
        <f>IND!J$8</f>
        <v>291.67374068914313</v>
      </c>
      <c r="G68" s="145">
        <f>IND!K$8</f>
        <v>1.7762819344408625</v>
      </c>
      <c r="H68" s="145">
        <f>IND!L$8</f>
        <v>66.473389488393835</v>
      </c>
      <c r="I68" s="145">
        <f>IND!M$8</f>
        <v>55.265976020650633</v>
      </c>
      <c r="J68" s="145">
        <f>IND!N$8</f>
        <v>445.44376672644415</v>
      </c>
      <c r="K68" s="145">
        <f>IND!O$8</f>
        <v>1.9895751367434227</v>
      </c>
      <c r="L68" s="145">
        <f t="shared" si="39"/>
        <v>96.306893168664445</v>
      </c>
      <c r="M68" s="145">
        <f t="shared" si="40"/>
        <v>123.93988117898976</v>
      </c>
      <c r="N68" s="145">
        <f t="shared" si="41"/>
        <v>151.57286918931507</v>
      </c>
      <c r="O6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96.306893168664445</v>
      </c>
      <c r="P68" s="190">
        <v>3.3686105886370039</v>
      </c>
    </row>
    <row r="69" spans="1:16" x14ac:dyDescent="0.3">
      <c r="A69" s="196">
        <f>IF(TableRBMaster[[#This Row],[Player]]&lt;&gt;0,A68+1,A68)</f>
        <v>51</v>
      </c>
      <c r="B69" s="144" t="str">
        <f>IND!A$9</f>
        <v>Phillip Lindsay</v>
      </c>
      <c r="C69" s="144" t="s">
        <v>151</v>
      </c>
      <c r="D69" s="144">
        <f>IND!C$8</f>
        <v>14</v>
      </c>
      <c r="E69" s="145">
        <f>IND!I$9</f>
        <v>45.492330827845429</v>
      </c>
      <c r="F69" s="145">
        <f>IND!J$9</f>
        <v>173.78070376236954</v>
      </c>
      <c r="G69" s="145">
        <f>IND!K$9</f>
        <v>0.74876716194887472</v>
      </c>
      <c r="H69" s="145">
        <f>IND!L$9</f>
        <v>5.8983579042604939</v>
      </c>
      <c r="I69" s="145">
        <f>IND!M$9</f>
        <v>4.4621077545730632</v>
      </c>
      <c r="J69" s="145">
        <f>IND!N$9</f>
        <v>34.556773313394586</v>
      </c>
      <c r="K69" s="145">
        <f>IND!O$9</f>
        <v>9.4329307522718425E-2</v>
      </c>
      <c r="L69" s="145">
        <f t="shared" si="39"/>
        <v>25.892326524405973</v>
      </c>
      <c r="M69" s="145">
        <f t="shared" si="40"/>
        <v>28.123380401692504</v>
      </c>
      <c r="N69" s="145">
        <f t="shared" si="41"/>
        <v>30.354434278979035</v>
      </c>
      <c r="O6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25.892326524405973</v>
      </c>
      <c r="P69" s="190">
        <v>0</v>
      </c>
    </row>
    <row r="70" spans="1:16" x14ac:dyDescent="0.3">
      <c r="A70" s="196">
        <f>IF(TableRBMaster[[#This Row],[Player]]&lt;&gt;0,A69+1,A69)</f>
        <v>51</v>
      </c>
      <c r="B70" s="144">
        <f>IND!A$10</f>
        <v>0</v>
      </c>
      <c r="C70" s="144" t="s">
        <v>151</v>
      </c>
      <c r="D70" s="144">
        <f>IND!C$10</f>
        <v>14</v>
      </c>
      <c r="E70" s="145">
        <f>IND!I$10</f>
        <v>0</v>
      </c>
      <c r="F70" s="145">
        <f>IND!J$10</f>
        <v>0</v>
      </c>
      <c r="G70" s="145">
        <f>IND!K$10</f>
        <v>0</v>
      </c>
      <c r="H70" s="145">
        <f>IND!L$10</f>
        <v>0</v>
      </c>
      <c r="I70" s="145">
        <f>IND!M$10</f>
        <v>0</v>
      </c>
      <c r="J70" s="145">
        <f>IND!N$10</f>
        <v>0</v>
      </c>
      <c r="K70" s="145">
        <f>IND!O$10</f>
        <v>0</v>
      </c>
      <c r="L70" s="145">
        <f t="shared" si="39"/>
        <v>0</v>
      </c>
      <c r="M70" s="145">
        <f t="shared" si="40"/>
        <v>0</v>
      </c>
      <c r="N70" s="145">
        <f t="shared" si="41"/>
        <v>0</v>
      </c>
      <c r="O7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0" s="190">
        <v>0</v>
      </c>
    </row>
    <row r="71" spans="1:16" x14ac:dyDescent="0.3">
      <c r="A71" s="196">
        <f>IF(TableRBMaster[[#This Row],[Player]]&lt;&gt;0,A70+1,A70)</f>
        <v>51</v>
      </c>
      <c r="B71" s="144">
        <f>IND!A$11</f>
        <v>0</v>
      </c>
      <c r="C71" s="144" t="s">
        <v>151</v>
      </c>
      <c r="D71" s="144">
        <f>IND!C$11</f>
        <v>14</v>
      </c>
      <c r="E71" s="145">
        <f>IND!I$11</f>
        <v>0</v>
      </c>
      <c r="F71" s="145">
        <f>IND!J$11</f>
        <v>0</v>
      </c>
      <c r="G71" s="145">
        <f>IND!K$11</f>
        <v>0</v>
      </c>
      <c r="H71" s="145">
        <f>IND!L$11</f>
        <v>0</v>
      </c>
      <c r="I71" s="145">
        <f>IND!M$11</f>
        <v>0</v>
      </c>
      <c r="J71" s="145">
        <f>IND!N$11</f>
        <v>0</v>
      </c>
      <c r="K71" s="145">
        <f>IND!O$11</f>
        <v>0</v>
      </c>
      <c r="L71" s="145">
        <f t="shared" si="39"/>
        <v>0</v>
      </c>
      <c r="M71" s="145">
        <f t="shared" si="40"/>
        <v>0</v>
      </c>
      <c r="N71" s="145">
        <f t="shared" si="41"/>
        <v>0</v>
      </c>
      <c r="O7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1" s="190">
        <v>23.386905058570072</v>
      </c>
    </row>
    <row r="72" spans="1:16" x14ac:dyDescent="0.3">
      <c r="A72" s="196">
        <f>IF(TableRBMaster[[#This Row],[Player]]&lt;&gt;0,A71+1,A71)</f>
        <v>52</v>
      </c>
      <c r="B72" s="144" t="str">
        <f>JAX!A$7</f>
        <v>Travis Etienne</v>
      </c>
      <c r="C72" s="144" t="s">
        <v>170</v>
      </c>
      <c r="D72" s="144">
        <f>JAX!C$7</f>
        <v>11</v>
      </c>
      <c r="E72" s="145">
        <f>JAX!I$7</f>
        <v>166.71887280785086</v>
      </c>
      <c r="F72" s="145">
        <f>JAX!J$7</f>
        <v>718.55834180183717</v>
      </c>
      <c r="G72" s="145">
        <f>JAX!K$7</f>
        <v>5.5684103517822185</v>
      </c>
      <c r="H72" s="145">
        <f>JAX!L$7</f>
        <v>62.857808953422207</v>
      </c>
      <c r="I72" s="145">
        <f>JAX!M$7</f>
        <v>50.789109634365147</v>
      </c>
      <c r="J72" s="145">
        <f>JAX!N$7</f>
        <v>410.88389694201402</v>
      </c>
      <c r="K72" s="145">
        <f>JAX!O$7</f>
        <v>2.2347208239120664</v>
      </c>
      <c r="L72" s="145">
        <f t="shared" ref="L72:L76" si="42">(F72/10)+(G72*6)+(J72/10)+(K72*6)</f>
        <v>159.76301092855081</v>
      </c>
      <c r="M72" s="145">
        <f t="shared" ref="M72:M76" si="43">L72+(I72*0.5)</f>
        <v>185.15756574573339</v>
      </c>
      <c r="N72" s="145">
        <f t="shared" ref="N72:N76" si="44">L72+I72</f>
        <v>210.55212056291595</v>
      </c>
      <c r="O7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159.76301092855081</v>
      </c>
      <c r="P72" s="190">
        <v>11.255396975211928</v>
      </c>
    </row>
    <row r="73" spans="1:16" x14ac:dyDescent="0.3">
      <c r="A73" s="196">
        <f>IF(TableRBMaster[[#This Row],[Player]]&lt;&gt;0,A72+1,A72)</f>
        <v>53</v>
      </c>
      <c r="B73" s="144" t="str">
        <f>JAX!A$8</f>
        <v>James Robinson</v>
      </c>
      <c r="C73" s="144" t="s">
        <v>170</v>
      </c>
      <c r="D73" s="144">
        <f>JAX!C$9</f>
        <v>11</v>
      </c>
      <c r="E73" s="145">
        <f>JAX!I$8</f>
        <v>94.952470605795838</v>
      </c>
      <c r="F73" s="145">
        <f>JAX!J$8</f>
        <v>442.97458424559198</v>
      </c>
      <c r="G73" s="145">
        <f>JAX!K$8</f>
        <v>3.7832048989261944</v>
      </c>
      <c r="H73" s="145">
        <f>JAX!L$8</f>
        <v>41.905205968948138</v>
      </c>
      <c r="I73" s="145">
        <f>JAX!M$8</f>
        <v>29.836506649891074</v>
      </c>
      <c r="J73" s="145">
        <f>JAX!N$8</f>
        <v>220.79014920919397</v>
      </c>
      <c r="K73" s="145">
        <f>JAX!O$8</f>
        <v>1.1636237593457519</v>
      </c>
      <c r="L73" s="145">
        <f t="shared" si="42"/>
        <v>96.05744529511027</v>
      </c>
      <c r="M73" s="145">
        <f t="shared" si="43"/>
        <v>110.97569862005581</v>
      </c>
      <c r="N73" s="145">
        <f t="shared" si="44"/>
        <v>125.89395194500135</v>
      </c>
      <c r="O7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96.05744529511027</v>
      </c>
      <c r="P73" s="190">
        <v>0</v>
      </c>
    </row>
    <row r="74" spans="1:16" x14ac:dyDescent="0.3">
      <c r="A74" s="196">
        <f>IF(TableRBMaster[[#This Row],[Player]]&lt;&gt;0,A73+1,A73)</f>
        <v>54</v>
      </c>
      <c r="B74" s="144" t="str">
        <f>JAX!A$9</f>
        <v>Snoop Conner</v>
      </c>
      <c r="C74" s="144" t="s">
        <v>170</v>
      </c>
      <c r="D74" s="144">
        <f>JAX!C$8</f>
        <v>11</v>
      </c>
      <c r="E74" s="145">
        <f>JAX!I$9</f>
        <v>19.873772917492154</v>
      </c>
      <c r="F74" s="145">
        <f>JAX!J$9</f>
        <v>83.722126041279765</v>
      </c>
      <c r="G74" s="145">
        <f>JAX!K$9</f>
        <v>0.5173640363555968</v>
      </c>
      <c r="H74" s="145">
        <f>JAX!L$9</f>
        <v>11.131070335501851</v>
      </c>
      <c r="I74" s="145">
        <f>JAX!M$9</f>
        <v>7.8863633327030618</v>
      </c>
      <c r="J74" s="145">
        <f>JAX!N$9</f>
        <v>50.028555242058538</v>
      </c>
      <c r="K74" s="145">
        <f>JAX!O$9</f>
        <v>0.11482208200975097</v>
      </c>
      <c r="L74" s="145">
        <f t="shared" si="42"/>
        <v>17.168184838525917</v>
      </c>
      <c r="M74" s="145">
        <f t="shared" si="43"/>
        <v>21.111366504877449</v>
      </c>
      <c r="N74" s="145">
        <f t="shared" si="44"/>
        <v>25.05454817122898</v>
      </c>
      <c r="O7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17.168184838525917</v>
      </c>
      <c r="P74" s="190">
        <v>0</v>
      </c>
    </row>
    <row r="75" spans="1:16" x14ac:dyDescent="0.3">
      <c r="A75" s="196">
        <f>IF(TableRBMaster[[#This Row],[Player]]&lt;&gt;0,A74+1,A74)</f>
        <v>55</v>
      </c>
      <c r="B75" s="144" t="str">
        <f>JAX!A$10</f>
        <v>Ryquell Armstead</v>
      </c>
      <c r="C75" s="144" t="s">
        <v>170</v>
      </c>
      <c r="D75" s="144">
        <f>JAX!C$10</f>
        <v>11</v>
      </c>
      <c r="E75" s="145">
        <f>JAX!I$10</f>
        <v>2.9442626544432819</v>
      </c>
      <c r="F75" s="145">
        <f>JAX!J$10</f>
        <v>19.260384864483136</v>
      </c>
      <c r="G75" s="145">
        <f>JAX!K$10</f>
        <v>6.8601319848528478E-2</v>
      </c>
      <c r="H75" s="145">
        <f>JAX!L$10</f>
        <v>6.0026479947269396</v>
      </c>
      <c r="I75" s="145">
        <f>JAX!M$10</f>
        <v>3.6075914448308906</v>
      </c>
      <c r="J75" s="145">
        <f>JAX!N$10</f>
        <v>24.567697739298364</v>
      </c>
      <c r="K75" s="145">
        <f>JAX!O$10</f>
        <v>7.2151828896617809E-2</v>
      </c>
      <c r="L75" s="145">
        <f t="shared" si="42"/>
        <v>5.2273271528490284</v>
      </c>
      <c r="M75" s="145">
        <f t="shared" si="43"/>
        <v>7.0311228752644741</v>
      </c>
      <c r="N75" s="145">
        <f t="shared" si="44"/>
        <v>8.8349185976799198</v>
      </c>
      <c r="O7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5.2273271528490284</v>
      </c>
      <c r="P75" s="190">
        <v>0</v>
      </c>
    </row>
    <row r="76" spans="1:16" x14ac:dyDescent="0.3">
      <c r="A76" s="196">
        <f>IF(TableRBMaster[[#This Row],[Player]]&lt;&gt;0,A75+1,A75)</f>
        <v>55</v>
      </c>
      <c r="B76" s="144">
        <f>JAX!A$11</f>
        <v>0</v>
      </c>
      <c r="C76" s="144" t="s">
        <v>170</v>
      </c>
      <c r="D76" s="144">
        <f>JAX!C$11</f>
        <v>11</v>
      </c>
      <c r="E76" s="145">
        <f>JAX!I$11</f>
        <v>0</v>
      </c>
      <c r="F76" s="145">
        <f>JAX!J$11</f>
        <v>0</v>
      </c>
      <c r="G76" s="145">
        <f>JAX!K$11</f>
        <v>0</v>
      </c>
      <c r="H76" s="145">
        <f>JAX!L$11</f>
        <v>0</v>
      </c>
      <c r="I76" s="145">
        <f>JAX!M$11</f>
        <v>0</v>
      </c>
      <c r="J76" s="145">
        <f>JAX!N$11</f>
        <v>0</v>
      </c>
      <c r="K76" s="145">
        <f>JAX!O$11</f>
        <v>0</v>
      </c>
      <c r="L76" s="145">
        <f t="shared" si="42"/>
        <v>0</v>
      </c>
      <c r="M76" s="145">
        <f t="shared" si="43"/>
        <v>0</v>
      </c>
      <c r="N76" s="145">
        <f t="shared" si="44"/>
        <v>0</v>
      </c>
      <c r="O7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6" s="190">
        <v>0</v>
      </c>
    </row>
    <row r="77" spans="1:16" x14ac:dyDescent="0.3">
      <c r="A77" s="196">
        <f>IF(TableRBMaster[[#This Row],[Player]]&lt;&gt;0,A76+1,A76)</f>
        <v>56</v>
      </c>
      <c r="B77" s="144" t="str">
        <f>KC!A$7</f>
        <v>Clyde Edwards-Helaire</v>
      </c>
      <c r="C77" s="144" t="s">
        <v>153</v>
      </c>
      <c r="D77" s="144">
        <f>KC!C$7</f>
        <v>8</v>
      </c>
      <c r="E77" s="145">
        <f>KC!I$7</f>
        <v>156.33109410844907</v>
      </c>
      <c r="F77" s="145">
        <f>KC!J$7</f>
        <v>699.50490949402524</v>
      </c>
      <c r="G77" s="145">
        <f>KC!K$7</f>
        <v>4.6987212792087494</v>
      </c>
      <c r="H77" s="145">
        <f>KC!L$7</f>
        <v>48.181529524558577</v>
      </c>
      <c r="I77" s="145">
        <f>KC!M$7</f>
        <v>37.499684428963938</v>
      </c>
      <c r="J77" s="145">
        <f>KC!N$7</f>
        <v>265.12276891277503</v>
      </c>
      <c r="K77" s="145">
        <f>KC!O$7</f>
        <v>2.4374794878826562</v>
      </c>
      <c r="L77" s="145">
        <f t="shared" ref="L77:L140" si="45">(F77/10)+(G77*6)+(J77/10)+(K77*6)</f>
        <v>139.27997244322844</v>
      </c>
      <c r="M77" s="145">
        <f t="shared" ref="M77:M140" si="46">L77+(I77*0.5)</f>
        <v>158.0298146577104</v>
      </c>
      <c r="N77" s="145">
        <f t="shared" ref="N77:N140" si="47">L77+I77</f>
        <v>176.77965687219239</v>
      </c>
      <c r="O7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139.27997244322847</v>
      </c>
      <c r="P77" s="190">
        <v>28.211098127412054</v>
      </c>
    </row>
    <row r="78" spans="1:16" x14ac:dyDescent="0.3">
      <c r="A78" s="196">
        <f>IF(TableRBMaster[[#This Row],[Player]]&lt;&gt;0,A77+1,A77)</f>
        <v>57</v>
      </c>
      <c r="B78" s="144" t="str">
        <f>KC!A$8</f>
        <v>Ronald Jones</v>
      </c>
      <c r="C78" s="144" t="s">
        <v>153</v>
      </c>
      <c r="D78" s="144">
        <f>KC!C$9</f>
        <v>8</v>
      </c>
      <c r="E78" s="145">
        <f>KC!I$8</f>
        <v>140.7401224588194</v>
      </c>
      <c r="F78" s="145">
        <f>KC!J$8</f>
        <v>603.98690427815916</v>
      </c>
      <c r="G78" s="145">
        <f>KC!K$8</f>
        <v>5.7281229840739494</v>
      </c>
      <c r="H78" s="145">
        <f>KC!L$8</f>
        <v>26.016061206447002</v>
      </c>
      <c r="I78" s="145">
        <f>KC!M$8</f>
        <v>17.486104265795024</v>
      </c>
      <c r="J78" s="145">
        <f>KC!N$8</f>
        <v>122.05300777524927</v>
      </c>
      <c r="K78" s="145">
        <f>KC!O$8</f>
        <v>0.4447790934447316</v>
      </c>
      <c r="L78" s="145">
        <f t="shared" si="45"/>
        <v>109.64140367045293</v>
      </c>
      <c r="M78" s="145">
        <f t="shared" si="46"/>
        <v>118.38445580335045</v>
      </c>
      <c r="N78" s="145">
        <f t="shared" si="47"/>
        <v>127.12750793624795</v>
      </c>
      <c r="O7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109.64140367045293</v>
      </c>
      <c r="P78" s="190">
        <v>0</v>
      </c>
    </row>
    <row r="79" spans="1:16" x14ac:dyDescent="0.3">
      <c r="A79" s="196">
        <f>IF(TableRBMaster[[#This Row],[Player]]&lt;&gt;0,A78+1,A78)</f>
        <v>58</v>
      </c>
      <c r="B79" s="144" t="str">
        <f>KC!A$9</f>
        <v>Derrick Gore</v>
      </c>
      <c r="C79" s="144" t="s">
        <v>153</v>
      </c>
      <c r="D79" s="144">
        <f>KC!C$8</f>
        <v>8</v>
      </c>
      <c r="E79" s="145">
        <f>KC!I$9</f>
        <v>25.282656729129229</v>
      </c>
      <c r="F79" s="145">
        <f>KC!J$9</f>
        <v>112.25499587733378</v>
      </c>
      <c r="G79" s="145">
        <f>KC!K$9</f>
        <v>1.1480129724967978</v>
      </c>
      <c r="H79" s="145">
        <f>KC!L$9</f>
        <v>13.692663792866842</v>
      </c>
      <c r="I79" s="145">
        <f>KC!M$9</f>
        <v>9.1498943685200533</v>
      </c>
      <c r="J79" s="145">
        <f>KC!N$9</f>
        <v>64.483774444000687</v>
      </c>
      <c r="K79" s="145">
        <f>KC!O$9</f>
        <v>0.20881312284121936</v>
      </c>
      <c r="L79" s="145">
        <f t="shared" si="45"/>
        <v>25.814833604161549</v>
      </c>
      <c r="M79" s="145">
        <f t="shared" si="46"/>
        <v>30.389780788421575</v>
      </c>
      <c r="N79" s="145">
        <f t="shared" si="47"/>
        <v>34.964727972681601</v>
      </c>
      <c r="O7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25.814833604161549</v>
      </c>
      <c r="P79" s="190">
        <v>0</v>
      </c>
    </row>
    <row r="80" spans="1:16" x14ac:dyDescent="0.3">
      <c r="A80" s="196">
        <f>IF(TableRBMaster[[#This Row],[Player]]&lt;&gt;0,A79+1,A79)</f>
        <v>59</v>
      </c>
      <c r="B80" s="144" t="str">
        <f>KC!A$10</f>
        <v>Isaih Pacheco</v>
      </c>
      <c r="C80" s="144" t="s">
        <v>153</v>
      </c>
      <c r="D80" s="144">
        <f>KC!C$10</f>
        <v>8</v>
      </c>
      <c r="E80" s="145">
        <f>KC!I$10</f>
        <v>15.590971649629694</v>
      </c>
      <c r="F80" s="145">
        <f>KC!J$10</f>
        <v>66.105719794429902</v>
      </c>
      <c r="G80" s="145">
        <f>KC!K$10</f>
        <v>0.50702346828064038</v>
      </c>
      <c r="H80" s="145">
        <f>KC!L$10</f>
        <v>7.5309650860767627</v>
      </c>
      <c r="I80" s="145">
        <f>KC!M$10</f>
        <v>5.1575700286465107</v>
      </c>
      <c r="J80" s="145">
        <f>KC!N$10</f>
        <v>38.630199514562364</v>
      </c>
      <c r="K80" s="145">
        <f>KC!O$10</f>
        <v>6.8463318964334205E-2</v>
      </c>
      <c r="L80" s="145">
        <f t="shared" si="45"/>
        <v>13.926512654369073</v>
      </c>
      <c r="M80" s="145">
        <f t="shared" si="46"/>
        <v>16.505297668692329</v>
      </c>
      <c r="N80" s="145">
        <f t="shared" si="47"/>
        <v>19.084082683015584</v>
      </c>
      <c r="O8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13.926512654369075</v>
      </c>
      <c r="P80" s="190">
        <v>0</v>
      </c>
    </row>
    <row r="81" spans="1:16" x14ac:dyDescent="0.3">
      <c r="A81" s="196">
        <f>IF(TableRBMaster[[#This Row],[Player]]&lt;&gt;0,A80+1,A80)</f>
        <v>59</v>
      </c>
      <c r="B81" s="144">
        <f>KC!A$11</f>
        <v>0</v>
      </c>
      <c r="C81" s="144" t="s">
        <v>153</v>
      </c>
      <c r="D81" s="144">
        <f>KC!C$11</f>
        <v>8</v>
      </c>
      <c r="E81" s="145">
        <f>KC!I$11</f>
        <v>0</v>
      </c>
      <c r="F81" s="145">
        <f>KC!J$11</f>
        <v>0</v>
      </c>
      <c r="G81" s="145">
        <f>KC!K$11</f>
        <v>0</v>
      </c>
      <c r="H81" s="145">
        <f>KC!L$11</f>
        <v>0</v>
      </c>
      <c r="I81" s="145">
        <f>KC!M$11</f>
        <v>0</v>
      </c>
      <c r="J81" s="145">
        <f>KC!N$11</f>
        <v>0</v>
      </c>
      <c r="K81" s="145">
        <f>KC!O$11</f>
        <v>0</v>
      </c>
      <c r="L81" s="145">
        <f t="shared" si="45"/>
        <v>0</v>
      </c>
      <c r="M81" s="145">
        <f t="shared" si="46"/>
        <v>0</v>
      </c>
      <c r="N81" s="145">
        <f t="shared" si="47"/>
        <v>0</v>
      </c>
      <c r="O8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1" s="190">
        <v>0</v>
      </c>
    </row>
    <row r="82" spans="1:16" x14ac:dyDescent="0.3">
      <c r="A82" s="196">
        <f>IF(TableRBMaster[[#This Row],[Player]]&lt;&gt;0,A81+1,A81)</f>
        <v>60</v>
      </c>
      <c r="B82" s="144" t="str">
        <f>LAC!A$7</f>
        <v>Austin Ekeler</v>
      </c>
      <c r="C82" s="144" t="s">
        <v>154</v>
      </c>
      <c r="D82" s="144">
        <f>LAC!C$7</f>
        <v>8</v>
      </c>
      <c r="E82" s="145">
        <f>LAC!I$7</f>
        <v>191.61353913823001</v>
      </c>
      <c r="F82" s="145">
        <f>LAC!J$7</f>
        <v>845.01570759959441</v>
      </c>
      <c r="G82" s="145">
        <f>LAC!K$7</f>
        <v>7.6837029194430224</v>
      </c>
      <c r="H82" s="145">
        <f>LAC!L$7</f>
        <v>91.788707509266928</v>
      </c>
      <c r="I82" s="145">
        <f>LAC!M$7</f>
        <v>74.193267968359308</v>
      </c>
      <c r="J82" s="145">
        <f>LAC!N$7</f>
        <v>677.3845365511205</v>
      </c>
      <c r="K82" s="145">
        <f>LAC!O$7</f>
        <v>5.6665964725697329</v>
      </c>
      <c r="L82" s="145">
        <f t="shared" si="45"/>
        <v>232.34182076714802</v>
      </c>
      <c r="M82" s="145">
        <f t="shared" si="46"/>
        <v>269.4384547513277</v>
      </c>
      <c r="N82" s="145">
        <f t="shared" si="47"/>
        <v>306.53508873550732</v>
      </c>
      <c r="O8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232.34182076714802</v>
      </c>
      <c r="P82" s="190">
        <v>40.577336371080563</v>
      </c>
    </row>
    <row r="83" spans="1:16" x14ac:dyDescent="0.3">
      <c r="A83" s="196">
        <f>IF(TableRBMaster[[#This Row],[Player]]&lt;&gt;0,A82+1,A82)</f>
        <v>61</v>
      </c>
      <c r="B83" s="144" t="str">
        <f>LAC!A$8</f>
        <v>Isaiah Spiller</v>
      </c>
      <c r="C83" s="144" t="s">
        <v>154</v>
      </c>
      <c r="D83" s="144">
        <f>LAC!C$9</f>
        <v>8</v>
      </c>
      <c r="E83" s="145">
        <f>LAC!I$8</f>
        <v>135.07183906465394</v>
      </c>
      <c r="F83" s="145">
        <f>LAC!J$8</f>
        <v>571.79329848445252</v>
      </c>
      <c r="G83" s="145">
        <f>LAC!K$8</f>
        <v>4.0386479880331532</v>
      </c>
      <c r="H83" s="145">
        <f>LAC!L$8</f>
        <v>35.70639180615148</v>
      </c>
      <c r="I83" s="145">
        <f>LAC!M$8</f>
        <v>23.994695293733798</v>
      </c>
      <c r="J83" s="145">
        <f>LAC!N$8</f>
        <v>186.4387824323116</v>
      </c>
      <c r="K83" s="145">
        <f>LAC!O$8</f>
        <v>0.7738482244257211</v>
      </c>
      <c r="L83" s="145">
        <f t="shared" si="45"/>
        <v>104.69818536642964</v>
      </c>
      <c r="M83" s="145">
        <f t="shared" si="46"/>
        <v>116.69553301329654</v>
      </c>
      <c r="N83" s="145">
        <f t="shared" si="47"/>
        <v>128.69288066016344</v>
      </c>
      <c r="O8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104.69818536642967</v>
      </c>
      <c r="P83" s="190">
        <v>0</v>
      </c>
    </row>
    <row r="84" spans="1:16" x14ac:dyDescent="0.3">
      <c r="A84" s="196">
        <f>IF(TableRBMaster[[#This Row],[Player]]&lt;&gt;0,A83+1,A83)</f>
        <v>62</v>
      </c>
      <c r="B84" s="144" t="str">
        <f>LAC!A$9</f>
        <v>Joshua Kelley</v>
      </c>
      <c r="C84" s="144" t="s">
        <v>154</v>
      </c>
      <c r="D84" s="144">
        <f>LAC!C$8</f>
        <v>8</v>
      </c>
      <c r="E84" s="145">
        <f>LAC!I$9</f>
        <v>37.245723064339792</v>
      </c>
      <c r="F84" s="145">
        <f>LAC!J$9</f>
        <v>148.61043502671578</v>
      </c>
      <c r="G84" s="145">
        <f>LAC!K$9</f>
        <v>0.52080968304487962</v>
      </c>
      <c r="H84" s="145">
        <f>LAC!L$9</f>
        <v>9.5116046458928611</v>
      </c>
      <c r="I84" s="145">
        <f>LAC!M$9</f>
        <v>6.3917983220400032</v>
      </c>
      <c r="J84" s="145">
        <f>LAC!N$9</f>
        <v>46.217280153657335</v>
      </c>
      <c r="K84" s="145">
        <f>LAC!O$9</f>
        <v>5.2403265649919609E-2</v>
      </c>
      <c r="L84" s="145">
        <f t="shared" si="45"/>
        <v>22.922049210206108</v>
      </c>
      <c r="M84" s="145">
        <f t="shared" si="46"/>
        <v>26.11794837122611</v>
      </c>
      <c r="N84" s="145">
        <f t="shared" si="47"/>
        <v>29.313847532246111</v>
      </c>
      <c r="O8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22.922049210206108</v>
      </c>
      <c r="P84" s="190">
        <v>0</v>
      </c>
    </row>
    <row r="85" spans="1:16" x14ac:dyDescent="0.3">
      <c r="A85" s="196">
        <f>IF(TableRBMaster[[#This Row],[Player]]&lt;&gt;0,A84+1,A84)</f>
        <v>63</v>
      </c>
      <c r="B85" s="144" t="str">
        <f>LAC!A$10</f>
        <v>Larry Rountree</v>
      </c>
      <c r="C85" s="144" t="s">
        <v>154</v>
      </c>
      <c r="D85" s="144">
        <f>LAC!C$10</f>
        <v>8</v>
      </c>
      <c r="E85" s="145">
        <f>LAC!I$10</f>
        <v>10.769847633062108</v>
      </c>
      <c r="F85" s="145">
        <f>LAC!J$10</f>
        <v>41.356214910958492</v>
      </c>
      <c r="G85" s="145">
        <f>LAC!K$10</f>
        <v>0.28711983620664849</v>
      </c>
      <c r="H85" s="145">
        <f>LAC!L$10</f>
        <v>6.5004050901617836</v>
      </c>
      <c r="I85" s="145">
        <f>LAC!M$10</f>
        <v>3.6347265077220001</v>
      </c>
      <c r="J85" s="145">
        <f>LAC!N$10</f>
        <v>21.285326452154369</v>
      </c>
      <c r="K85" s="145">
        <f>LAC!O$10</f>
        <v>2.5001558039083781E-2</v>
      </c>
      <c r="L85" s="145">
        <f t="shared" si="45"/>
        <v>8.1368825017856796</v>
      </c>
      <c r="M85" s="145">
        <f t="shared" si="46"/>
        <v>9.9542457556466797</v>
      </c>
      <c r="N85" s="145">
        <f t="shared" si="47"/>
        <v>11.77160900950768</v>
      </c>
      <c r="O8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8.1368825017856814</v>
      </c>
      <c r="P85" s="190">
        <v>0</v>
      </c>
    </row>
    <row r="86" spans="1:16" x14ac:dyDescent="0.3">
      <c r="A86" s="196">
        <f>IF(TableRBMaster[[#This Row],[Player]]&lt;&gt;0,A85+1,A85)</f>
        <v>63</v>
      </c>
      <c r="B86" s="144">
        <f>LAC!A$11</f>
        <v>0</v>
      </c>
      <c r="C86" s="144" t="s">
        <v>154</v>
      </c>
      <c r="D86" s="144">
        <f>LAC!C$11</f>
        <v>8</v>
      </c>
      <c r="E86" s="145">
        <f>LAC!I$11</f>
        <v>0</v>
      </c>
      <c r="F86" s="145">
        <f>LAC!J$11</f>
        <v>0</v>
      </c>
      <c r="G86" s="145">
        <f>LAC!K$11</f>
        <v>0</v>
      </c>
      <c r="H86" s="145">
        <f>LAC!L$11</f>
        <v>0</v>
      </c>
      <c r="I86" s="145">
        <f>LAC!M$11</f>
        <v>0</v>
      </c>
      <c r="J86" s="145">
        <f>LAC!N$11</f>
        <v>0</v>
      </c>
      <c r="K86" s="145">
        <f>LAC!O$11</f>
        <v>0</v>
      </c>
      <c r="L86" s="145">
        <f t="shared" si="45"/>
        <v>0</v>
      </c>
      <c r="M86" s="145">
        <f t="shared" si="46"/>
        <v>0</v>
      </c>
      <c r="N86" s="145">
        <f t="shared" si="47"/>
        <v>0</v>
      </c>
      <c r="O8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6" s="190">
        <v>0</v>
      </c>
    </row>
    <row r="87" spans="1:16" x14ac:dyDescent="0.3">
      <c r="A87" s="196">
        <f>IF(TableRBMaster[[#This Row],[Player]]&lt;&gt;0,A86+1,A86)</f>
        <v>64</v>
      </c>
      <c r="B87" s="144" t="str">
        <f>LAR!A$7</f>
        <v>Cam Akers</v>
      </c>
      <c r="C87" s="144" t="s">
        <v>155</v>
      </c>
      <c r="D87" s="144">
        <f>LAR!C$7</f>
        <v>7</v>
      </c>
      <c r="E87" s="145">
        <f>LAR!I$7</f>
        <v>271.02036367192011</v>
      </c>
      <c r="F87" s="145">
        <f>LAR!J$7</f>
        <v>1140.9957310587836</v>
      </c>
      <c r="G87" s="145">
        <f>LAR!K$7</f>
        <v>9.3231005103140525</v>
      </c>
      <c r="H87" s="145">
        <f>LAR!L$7</f>
        <v>49.38389247562403</v>
      </c>
      <c r="I87" s="145">
        <f>LAR!M$7</f>
        <v>34.97014815766606</v>
      </c>
      <c r="J87" s="145">
        <f>LAR!N$7</f>
        <v>280.09888092439837</v>
      </c>
      <c r="K87" s="145">
        <f>LAR!O$7</f>
        <v>2.0632387413022975</v>
      </c>
      <c r="L87" s="145">
        <f t="shared" si="45"/>
        <v>210.42749670801629</v>
      </c>
      <c r="M87" s="145">
        <f t="shared" si="46"/>
        <v>227.91257078684933</v>
      </c>
      <c r="N87" s="145">
        <f t="shared" si="47"/>
        <v>245.39764486568237</v>
      </c>
      <c r="O8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210.42749670801629</v>
      </c>
      <c r="P87" s="190">
        <v>36.440729570389564</v>
      </c>
    </row>
    <row r="88" spans="1:16" x14ac:dyDescent="0.3">
      <c r="A88" s="196">
        <f>IF(TableRBMaster[[#This Row],[Player]]&lt;&gt;0,A87+1,A87)</f>
        <v>65</v>
      </c>
      <c r="B88" s="144" t="str">
        <f>LAR!A$8</f>
        <v>Darrell Henderson</v>
      </c>
      <c r="C88" s="144" t="s">
        <v>155</v>
      </c>
      <c r="D88" s="144">
        <f>LAR!C$9</f>
        <v>7</v>
      </c>
      <c r="E88" s="145">
        <f>LAR!I$8</f>
        <v>96.503091224277711</v>
      </c>
      <c r="F88" s="145">
        <f>LAR!J$8</f>
        <v>437.15900324597806</v>
      </c>
      <c r="G88" s="145">
        <f>LAR!K$8</f>
        <v>3.5090672805230461</v>
      </c>
      <c r="H88" s="145">
        <f>LAR!L$8</f>
        <v>32.289468157138785</v>
      </c>
      <c r="I88" s="145">
        <f>LAR!M$8</f>
        <v>23.669096894871732</v>
      </c>
      <c r="J88" s="145">
        <f>LAR!N$8</f>
        <v>157.72580132642193</v>
      </c>
      <c r="K88" s="145">
        <f>LAR!O$8</f>
        <v>1.3728076199025605</v>
      </c>
      <c r="L88" s="145">
        <f t="shared" si="45"/>
        <v>88.779729859793633</v>
      </c>
      <c r="M88" s="145">
        <f t="shared" si="46"/>
        <v>100.6142783072295</v>
      </c>
      <c r="N88" s="145">
        <f t="shared" si="47"/>
        <v>112.44882675466536</v>
      </c>
      <c r="O8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88.779729859793633</v>
      </c>
      <c r="P88" s="190">
        <v>0</v>
      </c>
    </row>
    <row r="89" spans="1:16" x14ac:dyDescent="0.3">
      <c r="A89" s="196">
        <f>IF(TableRBMaster[[#This Row],[Player]]&lt;&gt;0,A88+1,A88)</f>
        <v>66</v>
      </c>
      <c r="B89" s="144" t="str">
        <f>LAR!A$9</f>
        <v>Kyren Williams</v>
      </c>
      <c r="C89" s="144" t="s">
        <v>155</v>
      </c>
      <c r="D89" s="144">
        <f>LAR!C$8</f>
        <v>7</v>
      </c>
      <c r="E89" s="145">
        <f>LAR!I$9</f>
        <v>34.723074879763473</v>
      </c>
      <c r="F89" s="145">
        <f>LAR!J$9</f>
        <v>148.61476048538768</v>
      </c>
      <c r="G89" s="145">
        <f>LAR!K$9</f>
        <v>1.2916983855272011</v>
      </c>
      <c r="H89" s="145">
        <f>LAR!L$9</f>
        <v>7.1025634401036282</v>
      </c>
      <c r="I89" s="145">
        <f>LAR!M$9</f>
        <v>4.8017330299292134</v>
      </c>
      <c r="J89" s="145">
        <f>LAR!N$9</f>
        <v>39.814369706496393</v>
      </c>
      <c r="K89" s="145">
        <f>LAR!O$9</f>
        <v>0.30010831437057583</v>
      </c>
      <c r="L89" s="145">
        <f t="shared" si="45"/>
        <v>28.393753218575068</v>
      </c>
      <c r="M89" s="145">
        <f t="shared" si="46"/>
        <v>30.794619733539676</v>
      </c>
      <c r="N89" s="145">
        <f t="shared" si="47"/>
        <v>33.195486248504281</v>
      </c>
      <c r="O8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28.393753218575068</v>
      </c>
      <c r="P89" s="190">
        <v>0</v>
      </c>
    </row>
    <row r="90" spans="1:16" x14ac:dyDescent="0.3">
      <c r="A90" s="196">
        <f>IF(TableRBMaster[[#This Row],[Player]]&lt;&gt;0,A89+1,A89)</f>
        <v>67</v>
      </c>
      <c r="B90" s="144" t="str">
        <f>LAR!A$10</f>
        <v>Jake Funk</v>
      </c>
      <c r="C90" s="144" t="s">
        <v>155</v>
      </c>
      <c r="D90" s="144">
        <f>LAR!C$10</f>
        <v>7</v>
      </c>
      <c r="E90" s="145">
        <f>LAR!I$10</f>
        <v>8.1170824394252286</v>
      </c>
      <c r="F90" s="145">
        <f>LAR!J$10</f>
        <v>31.457597190577371</v>
      </c>
      <c r="G90" s="145">
        <f>LAR!K$10</f>
        <v>0.1760058225608834</v>
      </c>
      <c r="H90" s="145">
        <f>LAR!L$10</f>
        <v>3.1627450827369503</v>
      </c>
      <c r="I90" s="145">
        <f>LAR!M$10</f>
        <v>2.0307986176253956</v>
      </c>
      <c r="J90" s="145">
        <f>LAR!N$10</f>
        <v>13.427162624770263</v>
      </c>
      <c r="K90" s="145">
        <f>LAR!O$10</f>
        <v>2.3891748442651711E-2</v>
      </c>
      <c r="L90" s="145">
        <f t="shared" si="45"/>
        <v>5.6878614075559737</v>
      </c>
      <c r="M90" s="145">
        <f t="shared" si="46"/>
        <v>6.7032607163686713</v>
      </c>
      <c r="N90" s="145">
        <f t="shared" si="47"/>
        <v>7.7186600251813697</v>
      </c>
      <c r="O9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5.6878614075559746</v>
      </c>
      <c r="P90" s="190">
        <v>0</v>
      </c>
    </row>
    <row r="91" spans="1:16" x14ac:dyDescent="0.3">
      <c r="A91" s="196">
        <f>IF(TableRBMaster[[#This Row],[Player]]&lt;&gt;0,A90+1,A90)</f>
        <v>67</v>
      </c>
      <c r="B91" s="144">
        <f>LAR!A$11</f>
        <v>0</v>
      </c>
      <c r="C91" s="144" t="s">
        <v>155</v>
      </c>
      <c r="D91" s="144">
        <f>LAR!C$11</f>
        <v>7</v>
      </c>
      <c r="E91" s="145">
        <f>LAR!I$11</f>
        <v>0</v>
      </c>
      <c r="F91" s="145">
        <f>LAR!J$11</f>
        <v>0</v>
      </c>
      <c r="G91" s="145">
        <f>LAR!K$11</f>
        <v>0</v>
      </c>
      <c r="H91" s="145">
        <f>LAR!L$11</f>
        <v>0</v>
      </c>
      <c r="I91" s="145">
        <f>LAR!M$11</f>
        <v>0</v>
      </c>
      <c r="J91" s="145">
        <f>LAR!N$11</f>
        <v>0</v>
      </c>
      <c r="K91" s="145">
        <f>LAR!O$11</f>
        <v>0</v>
      </c>
      <c r="L91" s="145">
        <f t="shared" si="45"/>
        <v>0</v>
      </c>
      <c r="M91" s="145">
        <f t="shared" si="46"/>
        <v>0</v>
      </c>
      <c r="N91" s="145">
        <f t="shared" si="47"/>
        <v>0</v>
      </c>
      <c r="O9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1" s="190">
        <v>0</v>
      </c>
    </row>
    <row r="92" spans="1:16" x14ac:dyDescent="0.3">
      <c r="A92" s="196">
        <f>IF(TableRBMaster[[#This Row],[Player]]&lt;&gt;0,A91+1,A91)</f>
        <v>68</v>
      </c>
      <c r="B92" s="144" t="str">
        <f>LV!A$7</f>
        <v>Josh Jacobs</v>
      </c>
      <c r="C92" s="144" t="s">
        <v>239</v>
      </c>
      <c r="D92" s="144">
        <f>LV!C$7</f>
        <v>6</v>
      </c>
      <c r="E92" s="145">
        <f>LV!I$7</f>
        <v>232.0349158558592</v>
      </c>
      <c r="F92" s="145">
        <f>LV!J$7</f>
        <v>969.49231727326003</v>
      </c>
      <c r="G92" s="145">
        <f>LV!K$7</f>
        <v>9.0957687015496802</v>
      </c>
      <c r="H92" s="145">
        <f>LV!L$7</f>
        <v>60.478896959999986</v>
      </c>
      <c r="I92" s="145">
        <f>LV!M$7</f>
        <v>44.222169457151985</v>
      </c>
      <c r="J92" s="145">
        <f>LV!N$7</f>
        <v>313.53518145120756</v>
      </c>
      <c r="K92" s="145">
        <f>LV!O$7</f>
        <v>0.88444338914303966</v>
      </c>
      <c r="L92" s="145">
        <f t="shared" si="45"/>
        <v>188.18402241660306</v>
      </c>
      <c r="M92" s="145">
        <f t="shared" si="46"/>
        <v>210.29510714517906</v>
      </c>
      <c r="N92" s="145">
        <f t="shared" si="47"/>
        <v>232.40619187375503</v>
      </c>
      <c r="O9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188.18402241660306</v>
      </c>
      <c r="P92" s="190">
        <v>26.712974459123956</v>
      </c>
    </row>
    <row r="93" spans="1:16" x14ac:dyDescent="0.3">
      <c r="A93" s="196">
        <f>IF(TableRBMaster[[#This Row],[Player]]&lt;&gt;0,A92+1,A92)</f>
        <v>69</v>
      </c>
      <c r="B93" s="144" t="str">
        <f>LV!A$8</f>
        <v>Kenyan Drake</v>
      </c>
      <c r="C93" s="144" t="s">
        <v>239</v>
      </c>
      <c r="D93" s="144">
        <f>LV!C$9</f>
        <v>6</v>
      </c>
      <c r="E93" s="145">
        <f>LV!I$8</f>
        <v>53.614128284876564</v>
      </c>
      <c r="F93" s="145">
        <f>LV!J$8</f>
        <v>220.55501226205058</v>
      </c>
      <c r="G93" s="145">
        <f>LV!K$8</f>
        <v>1.8228803616858034</v>
      </c>
      <c r="H93" s="145">
        <f>LV!L$8</f>
        <v>36.53933357999999</v>
      </c>
      <c r="I93" s="145">
        <f>LV!M$8</f>
        <v>25.182908703335993</v>
      </c>
      <c r="J93" s="145">
        <f>LV!N$8</f>
        <v>216.06935667462284</v>
      </c>
      <c r="K93" s="145">
        <f>LV!O$8</f>
        <v>0.92573338564500551</v>
      </c>
      <c r="L93" s="145">
        <f t="shared" si="45"/>
        <v>60.154119377652194</v>
      </c>
      <c r="M93" s="145">
        <f t="shared" si="46"/>
        <v>72.745573729320185</v>
      </c>
      <c r="N93" s="145">
        <f t="shared" si="47"/>
        <v>85.33702808098819</v>
      </c>
      <c r="O9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60.154119377652194</v>
      </c>
      <c r="P93" s="190">
        <v>10.012353442884301</v>
      </c>
    </row>
    <row r="94" spans="1:16" x14ac:dyDescent="0.3">
      <c r="A94" s="196">
        <f>IF(TableRBMaster[[#This Row],[Player]]&lt;&gt;0,A93+1,A93)</f>
        <v>70</v>
      </c>
      <c r="B94" s="144" t="str">
        <f>LV!A$9</f>
        <v>Brandon Bolden</v>
      </c>
      <c r="C94" s="144" t="s">
        <v>239</v>
      </c>
      <c r="D94" s="144">
        <f>LV!C$8</f>
        <v>6</v>
      </c>
      <c r="E94" s="145">
        <f>LV!I$9</f>
        <v>40.430326247611831</v>
      </c>
      <c r="F94" s="145">
        <f>LV!J$9</f>
        <v>171.02028002739806</v>
      </c>
      <c r="G94" s="145">
        <f>LV!K$9</f>
        <v>0.98649996044172872</v>
      </c>
      <c r="H94" s="145">
        <f>LV!L$9</f>
        <v>28.349482949999992</v>
      </c>
      <c r="I94" s="145">
        <f>LV!M$9</f>
        <v>19.361029238205873</v>
      </c>
      <c r="J94" s="145">
        <f>LV!N$9</f>
        <v>167.86012349524492</v>
      </c>
      <c r="K94" s="145">
        <f>LV!O$9</f>
        <v>0.59304616906433805</v>
      </c>
      <c r="L94" s="145">
        <f t="shared" si="45"/>
        <v>43.365317129300699</v>
      </c>
      <c r="M94" s="145">
        <f t="shared" si="46"/>
        <v>53.045831748403636</v>
      </c>
      <c r="N94" s="145">
        <f t="shared" si="47"/>
        <v>62.726346367506572</v>
      </c>
      <c r="O9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43.365317129300699</v>
      </c>
      <c r="P94" s="190">
        <v>0</v>
      </c>
    </row>
    <row r="95" spans="1:16" x14ac:dyDescent="0.3">
      <c r="A95" s="196">
        <f>IF(TableRBMaster[[#This Row],[Player]]&lt;&gt;0,A94+1,A94)</f>
        <v>71</v>
      </c>
      <c r="B95" s="144" t="str">
        <f>LV!A$10</f>
        <v>Zamir White</v>
      </c>
      <c r="C95" s="144" t="s">
        <v>239</v>
      </c>
      <c r="D95" s="144">
        <f>LV!C$10</f>
        <v>6</v>
      </c>
      <c r="E95" s="145">
        <f>LV!I$10</f>
        <v>71.631991069138351</v>
      </c>
      <c r="F95" s="145">
        <f>LV!J$10</f>
        <v>306.58492177591216</v>
      </c>
      <c r="G95" s="145">
        <f>LV!K$10</f>
        <v>2.6288940722373777</v>
      </c>
      <c r="H95" s="145">
        <f>LV!L$10</f>
        <v>13.859747219999996</v>
      </c>
      <c r="I95" s="145">
        <f>LV!M$10</f>
        <v>9.3155140996679968</v>
      </c>
      <c r="J95" s="145">
        <f>LV!N$10</f>
        <v>71.506942238747072</v>
      </c>
      <c r="K95" s="145">
        <f>LV!O$10</f>
        <v>0.2422033665913679</v>
      </c>
      <c r="L95" s="145">
        <f t="shared" si="45"/>
        <v>55.035771034438397</v>
      </c>
      <c r="M95" s="145">
        <f t="shared" si="46"/>
        <v>59.693528084272394</v>
      </c>
      <c r="N95" s="145">
        <f t="shared" si="47"/>
        <v>64.351285134106391</v>
      </c>
      <c r="O9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55.035771034438397</v>
      </c>
      <c r="P95" s="190">
        <v>0</v>
      </c>
    </row>
    <row r="96" spans="1:16" x14ac:dyDescent="0.3">
      <c r="A96" s="196">
        <f>IF(TableRBMaster[[#This Row],[Player]]&lt;&gt;0,A95+1,A95)</f>
        <v>71</v>
      </c>
      <c r="B96" s="144">
        <f>LV!A$11</f>
        <v>0</v>
      </c>
      <c r="C96" s="144" t="s">
        <v>239</v>
      </c>
      <c r="D96" s="144">
        <f>LV!C$11</f>
        <v>6</v>
      </c>
      <c r="E96" s="145">
        <f>LV!I$11</f>
        <v>0</v>
      </c>
      <c r="F96" s="145">
        <f>LV!J$11</f>
        <v>0</v>
      </c>
      <c r="G96" s="145">
        <f>LV!K$11</f>
        <v>0</v>
      </c>
      <c r="H96" s="145">
        <f>LV!L$11</f>
        <v>0</v>
      </c>
      <c r="I96" s="145">
        <f>LV!M$11</f>
        <v>0</v>
      </c>
      <c r="J96" s="145">
        <f>LV!N$11</f>
        <v>0</v>
      </c>
      <c r="K96" s="145">
        <f>LV!O$11</f>
        <v>0</v>
      </c>
      <c r="L96" s="145">
        <f t="shared" si="45"/>
        <v>0</v>
      </c>
      <c r="M96" s="145">
        <f t="shared" si="46"/>
        <v>0</v>
      </c>
      <c r="N96" s="145">
        <f t="shared" si="47"/>
        <v>0</v>
      </c>
      <c r="O9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6" s="190">
        <v>0</v>
      </c>
    </row>
    <row r="97" spans="1:16" x14ac:dyDescent="0.3">
      <c r="A97" s="196">
        <f>IF(TableRBMaster[[#This Row],[Player]]&lt;&gt;0,A96+1,A96)</f>
        <v>72</v>
      </c>
      <c r="B97" s="144" t="str">
        <f>MIA!A$7</f>
        <v>Chase Edmonds</v>
      </c>
      <c r="C97" s="144" t="s">
        <v>156</v>
      </c>
      <c r="D97" s="144">
        <f>MIA!C$7</f>
        <v>11</v>
      </c>
      <c r="E97" s="145">
        <f>MIA!I$7</f>
        <v>133.25061131395191</v>
      </c>
      <c r="F97" s="145">
        <f>MIA!J$7</f>
        <v>562.31757974487698</v>
      </c>
      <c r="G97" s="145">
        <f>MIA!K$7</f>
        <v>3.4778409552941452</v>
      </c>
      <c r="H97" s="145">
        <f>MIA!L$7</f>
        <v>64.888816529999971</v>
      </c>
      <c r="I97" s="145">
        <f>MIA!M$7</f>
        <v>46.337103884072974</v>
      </c>
      <c r="J97" s="145">
        <f>MIA!N$7</f>
        <v>325.28646926619228</v>
      </c>
      <c r="K97" s="145">
        <f>MIA!O$7</f>
        <v>1.2641449059534762</v>
      </c>
      <c r="L97" s="145">
        <f t="shared" si="45"/>
        <v>117.21232006859266</v>
      </c>
      <c r="M97" s="145">
        <f t="shared" si="46"/>
        <v>140.38087201062916</v>
      </c>
      <c r="N97" s="145">
        <f t="shared" si="47"/>
        <v>163.54942395266562</v>
      </c>
      <c r="O9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117.21232006859266</v>
      </c>
      <c r="P97" s="190">
        <v>21.962355357853792</v>
      </c>
    </row>
    <row r="98" spans="1:16" x14ac:dyDescent="0.3">
      <c r="A98" s="196">
        <f>IF(TableRBMaster[[#This Row],[Player]]&lt;&gt;0,A97+1,A97)</f>
        <v>73</v>
      </c>
      <c r="B98" s="144" t="str">
        <f>MIA!A$8</f>
        <v>Raheem Mostert</v>
      </c>
      <c r="C98" s="144" t="s">
        <v>156</v>
      </c>
      <c r="D98" s="144">
        <f>MIA!C$9</f>
        <v>11</v>
      </c>
      <c r="E98" s="145">
        <f>MIA!I$8</f>
        <v>114.34045855322607</v>
      </c>
      <c r="F98" s="145">
        <f>MIA!J$8</f>
        <v>485.94694885121078</v>
      </c>
      <c r="G98" s="145">
        <f>MIA!K$8</f>
        <v>3.7503670405458154</v>
      </c>
      <c r="H98" s="145">
        <f>MIA!L$8</f>
        <v>27.719494439999991</v>
      </c>
      <c r="I98" s="145">
        <f>MIA!M$8</f>
        <v>19.461857046323992</v>
      </c>
      <c r="J98" s="145">
        <f>MIA!N$8</f>
        <v>154.13790780688601</v>
      </c>
      <c r="K98" s="145">
        <f>MIA!O$8</f>
        <v>1.0493952054211653</v>
      </c>
      <c r="L98" s="145">
        <f t="shared" si="45"/>
        <v>92.80705914161156</v>
      </c>
      <c r="M98" s="145">
        <f t="shared" si="46"/>
        <v>102.53798766477355</v>
      </c>
      <c r="N98" s="145">
        <f t="shared" si="47"/>
        <v>112.26891618793556</v>
      </c>
      <c r="O9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92.80705914161156</v>
      </c>
      <c r="P98" s="190">
        <v>0</v>
      </c>
    </row>
    <row r="99" spans="1:16" x14ac:dyDescent="0.3">
      <c r="A99" s="196">
        <f>IF(TableRBMaster[[#This Row],[Player]]&lt;&gt;0,A98+1,A98)</f>
        <v>74</v>
      </c>
      <c r="B99" s="144" t="str">
        <f>MIA!A$9</f>
        <v>Sony Michel</v>
      </c>
      <c r="C99" s="144" t="s">
        <v>156</v>
      </c>
      <c r="D99" s="144">
        <f>MIA!C$8</f>
        <v>11</v>
      </c>
      <c r="E99" s="145">
        <f>MIA!I$9</f>
        <v>78.719008003951799</v>
      </c>
      <c r="F99" s="145">
        <f>MIA!J$9</f>
        <v>291.35665647320633</v>
      </c>
      <c r="G99" s="145">
        <f>MIA!K$9</f>
        <v>2.4166735457213204</v>
      </c>
      <c r="H99" s="145">
        <f>MIA!L$9</f>
        <v>7.5598621199999982</v>
      </c>
      <c r="I99" s="145">
        <f>MIA!M$9</f>
        <v>5.0053847096519988</v>
      </c>
      <c r="J99" s="145">
        <f>MIA!N$9</f>
        <v>35.788500674011793</v>
      </c>
      <c r="K99" s="145">
        <f>MIA!O$9</f>
        <v>0.14673179803487968</v>
      </c>
      <c r="L99" s="145">
        <f t="shared" si="45"/>
        <v>48.094947777259009</v>
      </c>
      <c r="M99" s="145">
        <f t="shared" si="46"/>
        <v>50.597640132085004</v>
      </c>
      <c r="N99" s="145">
        <f t="shared" si="47"/>
        <v>53.100332486911007</v>
      </c>
      <c r="O9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48.094947777259016</v>
      </c>
      <c r="P99" s="190">
        <v>0</v>
      </c>
    </row>
    <row r="100" spans="1:16" x14ac:dyDescent="0.3">
      <c r="A100" s="196">
        <f>IF(TableRBMaster[[#This Row],[Player]]&lt;&gt;0,A99+1,A99)</f>
        <v>75</v>
      </c>
      <c r="B100" s="144" t="str">
        <f>MIA!A$10</f>
        <v>ZaQuandre White</v>
      </c>
      <c r="C100" s="144" t="s">
        <v>156</v>
      </c>
      <c r="D100" s="144">
        <f>MIA!C$10</f>
        <v>11</v>
      </c>
      <c r="E100" s="145">
        <f>MIA!I$10</f>
        <v>28.585114638306518</v>
      </c>
      <c r="F100" s="145">
        <f>MIA!J$10</f>
        <v>116.62726772429059</v>
      </c>
      <c r="G100" s="145">
        <f>MIA!K$10</f>
        <v>0.69933002173226955</v>
      </c>
      <c r="H100" s="145">
        <f>MIA!L$10</f>
        <v>10.709804669999999</v>
      </c>
      <c r="I100" s="145">
        <f>MIA!M$10</f>
        <v>7.2291181522499981</v>
      </c>
      <c r="J100" s="145">
        <f>MIA!N$10</f>
        <v>49.158003435299989</v>
      </c>
      <c r="K100" s="145">
        <f>MIA!O$10</f>
        <v>0.24579001717649995</v>
      </c>
      <c r="L100" s="145">
        <f t="shared" si="45"/>
        <v>22.249247349411672</v>
      </c>
      <c r="M100" s="145">
        <f t="shared" si="46"/>
        <v>25.863806425536669</v>
      </c>
      <c r="N100" s="145">
        <f t="shared" si="47"/>
        <v>29.478365501661671</v>
      </c>
      <c r="O10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22.249247349411675</v>
      </c>
      <c r="P100" s="190">
        <v>0</v>
      </c>
    </row>
    <row r="101" spans="1:16" x14ac:dyDescent="0.3">
      <c r="A101" s="196">
        <f>IF(TableRBMaster[[#This Row],[Player]]&lt;&gt;0,A100+1,A100)</f>
        <v>75</v>
      </c>
      <c r="B101" s="144">
        <f>MIA!A$11</f>
        <v>0</v>
      </c>
      <c r="C101" s="144" t="s">
        <v>156</v>
      </c>
      <c r="D101" s="144">
        <f>MIA!C$11</f>
        <v>11</v>
      </c>
      <c r="E101" s="145">
        <f>MIA!I$11</f>
        <v>0</v>
      </c>
      <c r="F101" s="145">
        <f>MIA!J$11</f>
        <v>0</v>
      </c>
      <c r="G101" s="145">
        <f>MIA!K$11</f>
        <v>0</v>
      </c>
      <c r="H101" s="145">
        <f>MIA!L$11</f>
        <v>0</v>
      </c>
      <c r="I101" s="145">
        <f>MIA!M$11</f>
        <v>0</v>
      </c>
      <c r="J101" s="145">
        <f>MIA!N$11</f>
        <v>0</v>
      </c>
      <c r="K101" s="145">
        <f>MIA!O$11</f>
        <v>0</v>
      </c>
      <c r="L101" s="145">
        <f t="shared" si="45"/>
        <v>0</v>
      </c>
      <c r="M101" s="145">
        <f t="shared" si="46"/>
        <v>0</v>
      </c>
      <c r="N101" s="145">
        <f t="shared" si="47"/>
        <v>0</v>
      </c>
      <c r="O10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1" s="190">
        <v>0</v>
      </c>
    </row>
    <row r="102" spans="1:16" x14ac:dyDescent="0.3">
      <c r="A102" s="196">
        <f>IF(TableRBMaster[[#This Row],[Player]]&lt;&gt;0,A101+1,A101)</f>
        <v>76</v>
      </c>
      <c r="B102" s="144" t="str">
        <f>MIN!A$7</f>
        <v>Dalvin Cook</v>
      </c>
      <c r="C102" s="144" t="s">
        <v>157</v>
      </c>
      <c r="D102" s="144">
        <f>MIN!C$7</f>
        <v>7</v>
      </c>
      <c r="E102" s="145">
        <f>MIN!I$7</f>
        <v>268.77751984863761</v>
      </c>
      <c r="F102" s="145">
        <f>MIN!J$7</f>
        <v>1239.0643665022194</v>
      </c>
      <c r="G102" s="145">
        <f>MIN!K$7</f>
        <v>9.4878464506569067</v>
      </c>
      <c r="H102" s="145">
        <f>MIN!L$7</f>
        <v>60.679089794621468</v>
      </c>
      <c r="I102" s="145">
        <f>MIN!M$7</f>
        <v>43.252055205606183</v>
      </c>
      <c r="J102" s="145">
        <f>MIN!N$7</f>
        <v>306.45791580986298</v>
      </c>
      <c r="K102" s="145">
        <f>MIN!O$7</f>
        <v>0.86504110411212365</v>
      </c>
      <c r="L102" s="145">
        <f t="shared" si="45"/>
        <v>216.66955355982242</v>
      </c>
      <c r="M102" s="145">
        <f t="shared" si="46"/>
        <v>238.29558116262552</v>
      </c>
      <c r="N102" s="145">
        <f t="shared" si="47"/>
        <v>259.92160876542857</v>
      </c>
      <c r="O10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216.66955355982242</v>
      </c>
      <c r="P102" s="190">
        <v>52.319014609527478</v>
      </c>
    </row>
    <row r="103" spans="1:16" x14ac:dyDescent="0.3">
      <c r="A103" s="196">
        <f>IF(TableRBMaster[[#This Row],[Player]]&lt;&gt;0,A102+1,A102)</f>
        <v>77</v>
      </c>
      <c r="B103" s="144" t="str">
        <f>MIN!A$8</f>
        <v>Alexander Mattison</v>
      </c>
      <c r="C103" s="144" t="s">
        <v>157</v>
      </c>
      <c r="D103" s="144">
        <f>MIN!C$9</f>
        <v>7</v>
      </c>
      <c r="E103" s="145">
        <f>MIN!I$8</f>
        <v>124.4426038541885</v>
      </c>
      <c r="F103" s="145">
        <f>MIN!J$8</f>
        <v>501.50369353237971</v>
      </c>
      <c r="G103" s="145">
        <f>MIN!K$8</f>
        <v>3.6710568136985606</v>
      </c>
      <c r="H103" s="145">
        <f>MIN!L$8</f>
        <v>39.866009605204383</v>
      </c>
      <c r="I103" s="145">
        <f>MIN!M$8</f>
        <v>30.768586213296743</v>
      </c>
      <c r="J103" s="145">
        <f>MIN!N$8</f>
        <v>210.84012971241074</v>
      </c>
      <c r="K103" s="145">
        <f>MIN!O$8</f>
        <v>1.1076691036786828</v>
      </c>
      <c r="L103" s="145">
        <f t="shared" si="45"/>
        <v>99.906737828742507</v>
      </c>
      <c r="M103" s="145">
        <f t="shared" si="46"/>
        <v>115.29103093539088</v>
      </c>
      <c r="N103" s="145">
        <f t="shared" si="47"/>
        <v>130.67532404203925</v>
      </c>
      <c r="O10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99.906737828742521</v>
      </c>
      <c r="P103" s="190">
        <v>0</v>
      </c>
    </row>
    <row r="104" spans="1:16" x14ac:dyDescent="0.3">
      <c r="A104" s="196">
        <f>IF(TableRBMaster[[#This Row],[Player]]&lt;&gt;0,A103+1,A103)</f>
        <v>78</v>
      </c>
      <c r="B104" s="144" t="str">
        <f>MIN!A$9</f>
        <v>Kene Nwangwu</v>
      </c>
      <c r="C104" s="144" t="s">
        <v>157</v>
      </c>
      <c r="D104" s="144">
        <f>MIN!C$8</f>
        <v>7</v>
      </c>
      <c r="E104" s="145">
        <f>MIN!I$9</f>
        <v>11.565297755965476</v>
      </c>
      <c r="F104" s="145">
        <f>MIN!J$9</f>
        <v>50.193392260890164</v>
      </c>
      <c r="G104" s="145">
        <f>MIN!K$9</f>
        <v>0.39322012370282622</v>
      </c>
      <c r="H104" s="145">
        <f>MIN!L$9</f>
        <v>4.8990917284059661</v>
      </c>
      <c r="I104" s="145">
        <f>MIN!M$9</f>
        <v>3.4612083061188152</v>
      </c>
      <c r="J104" s="145">
        <f>MIN!N$9</f>
        <v>22.220102705947951</v>
      </c>
      <c r="K104" s="145">
        <f>MIN!O$9</f>
        <v>6.4096450113311401E-2</v>
      </c>
      <c r="L104" s="145">
        <f t="shared" si="45"/>
        <v>9.9852489395806376</v>
      </c>
      <c r="M104" s="145">
        <f t="shared" si="46"/>
        <v>11.715853092640046</v>
      </c>
      <c r="N104" s="145">
        <f t="shared" si="47"/>
        <v>13.446457245699452</v>
      </c>
      <c r="O10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9.9852489395806376</v>
      </c>
      <c r="P104" s="190">
        <v>0</v>
      </c>
    </row>
    <row r="105" spans="1:16" x14ac:dyDescent="0.3">
      <c r="A105" s="196">
        <f>IF(TableRBMaster[[#This Row],[Player]]&lt;&gt;0,A104+1,A104)</f>
        <v>79</v>
      </c>
      <c r="B105" s="144" t="str">
        <f>MIN!A$10</f>
        <v>Ty Chandler</v>
      </c>
      <c r="C105" s="144" t="s">
        <v>157</v>
      </c>
      <c r="D105" s="144">
        <f>MIN!C$10</f>
        <v>7</v>
      </c>
      <c r="E105" s="145">
        <f>MIN!I$10</f>
        <v>17.579252589067522</v>
      </c>
      <c r="F105" s="145">
        <f>MIN!J$10</f>
        <v>78.520661564501594</v>
      </c>
      <c r="G105" s="145">
        <f>MIN!K$10</f>
        <v>0.61878969113517679</v>
      </c>
      <c r="H105" s="145">
        <f>MIN!L$10</f>
        <v>2.578398631182373</v>
      </c>
      <c r="I105" s="145">
        <f>MIN!M$10</f>
        <v>1.8102936789531439</v>
      </c>
      <c r="J105" s="145">
        <f>MIN!N$10</f>
        <v>15.561562971001065</v>
      </c>
      <c r="K105" s="145">
        <f>MIN!O$10</f>
        <v>0</v>
      </c>
      <c r="L105" s="145">
        <f t="shared" si="45"/>
        <v>13.120960600361325</v>
      </c>
      <c r="M105" s="145">
        <f t="shared" si="46"/>
        <v>14.026107439837897</v>
      </c>
      <c r="N105" s="145">
        <f t="shared" si="47"/>
        <v>14.931254279314469</v>
      </c>
      <c r="O10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13.120960600361327</v>
      </c>
      <c r="P105" s="190">
        <v>0</v>
      </c>
    </row>
    <row r="106" spans="1:16" x14ac:dyDescent="0.3">
      <c r="A106" s="196">
        <f>IF(TableRBMaster[[#This Row],[Player]]&lt;&gt;0,A105+1,A105)</f>
        <v>79</v>
      </c>
      <c r="B106" s="144">
        <f>MIN!A$11</f>
        <v>0</v>
      </c>
      <c r="C106" s="144" t="s">
        <v>157</v>
      </c>
      <c r="D106" s="144">
        <f>MIN!C$11</f>
        <v>7</v>
      </c>
      <c r="E106" s="145">
        <f>MIN!I$11</f>
        <v>0</v>
      </c>
      <c r="F106" s="145">
        <f>MIN!J$11</f>
        <v>0</v>
      </c>
      <c r="G106" s="145">
        <f>MIN!K$11</f>
        <v>0</v>
      </c>
      <c r="H106" s="145">
        <f>MIN!L$11</f>
        <v>0</v>
      </c>
      <c r="I106" s="145">
        <f>MIN!M$11</f>
        <v>0</v>
      </c>
      <c r="J106" s="145">
        <f>MIN!N$11</f>
        <v>0</v>
      </c>
      <c r="K106" s="145">
        <f>MIN!O$11</f>
        <v>0</v>
      </c>
      <c r="L106" s="145">
        <f t="shared" si="45"/>
        <v>0</v>
      </c>
      <c r="M106" s="145">
        <f t="shared" si="46"/>
        <v>0</v>
      </c>
      <c r="N106" s="145">
        <f t="shared" si="47"/>
        <v>0</v>
      </c>
      <c r="O10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6" s="190">
        <v>0</v>
      </c>
    </row>
    <row r="107" spans="1:16" x14ac:dyDescent="0.3">
      <c r="A107" s="196">
        <f>IF(TableRBMaster[[#This Row],[Player]]&lt;&gt;0,A106+1,A106)</f>
        <v>80</v>
      </c>
      <c r="B107" s="144" t="str">
        <f>NE!A$7</f>
        <v>Damien Harris</v>
      </c>
      <c r="C107" s="144" t="s">
        <v>158</v>
      </c>
      <c r="D107" s="144">
        <f>NE!C$7</f>
        <v>10</v>
      </c>
      <c r="E107" s="145">
        <f>NE!I$7</f>
        <v>203.79760002807143</v>
      </c>
      <c r="F107" s="145">
        <f>NE!J$7</f>
        <v>933.3930081285672</v>
      </c>
      <c r="G107" s="145">
        <f>NE!K$7</f>
        <v>10.760513281482172</v>
      </c>
      <c r="H107" s="145">
        <f>NE!L$7</f>
        <v>23.097701657041245</v>
      </c>
      <c r="I107" s="145">
        <f>NE!M$7</f>
        <v>17.833735449401544</v>
      </c>
      <c r="J107" s="145">
        <f>NE!N$7</f>
        <v>128.93790729917316</v>
      </c>
      <c r="K107" s="145">
        <f>NE!O$7</f>
        <v>0.31514254234365502</v>
      </c>
      <c r="L107" s="145">
        <f t="shared" si="45"/>
        <v>172.68702648572901</v>
      </c>
      <c r="M107" s="145">
        <f t="shared" si="46"/>
        <v>181.60389421042979</v>
      </c>
      <c r="N107" s="145">
        <f t="shared" si="47"/>
        <v>190.52076193513057</v>
      </c>
      <c r="O10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172.68702648572901</v>
      </c>
      <c r="P107" s="190">
        <v>16.241836919688957</v>
      </c>
    </row>
    <row r="108" spans="1:16" x14ac:dyDescent="0.3">
      <c r="A108" s="196">
        <f>IF(TableRBMaster[[#This Row],[Player]]&lt;&gt;0,A107+1,A107)</f>
        <v>81</v>
      </c>
      <c r="B108" s="144" t="str">
        <f>NE!A$8</f>
        <v>Rhamondre Stevenson</v>
      </c>
      <c r="C108" s="144" t="s">
        <v>158</v>
      </c>
      <c r="D108" s="144">
        <f>NE!C$9</f>
        <v>10</v>
      </c>
      <c r="E108" s="145">
        <f>NE!I$8</f>
        <v>154.69260919259062</v>
      </c>
      <c r="F108" s="145">
        <f>NE!J$8</f>
        <v>696.11674136665783</v>
      </c>
      <c r="G108" s="145">
        <f>NE!K$8</f>
        <v>5.5689339309332624</v>
      </c>
      <c r="H108" s="145">
        <f>NE!L$8</f>
        <v>16.273380712915422</v>
      </c>
      <c r="I108" s="145">
        <f>NE!M$8</f>
        <v>11.925133386424422</v>
      </c>
      <c r="J108" s="145">
        <f>NE!N$8</f>
        <v>92.062029743196533</v>
      </c>
      <c r="K108" s="145">
        <f>NE!O$8</f>
        <v>0.38160426836558153</v>
      </c>
      <c r="L108" s="145">
        <f t="shared" si="45"/>
        <v>114.52110630677849</v>
      </c>
      <c r="M108" s="145">
        <f t="shared" si="46"/>
        <v>120.4836729999907</v>
      </c>
      <c r="N108" s="145">
        <f t="shared" si="47"/>
        <v>126.44623969320291</v>
      </c>
      <c r="O10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114.52110630677849</v>
      </c>
      <c r="P108" s="190">
        <v>0.42055879671300284</v>
      </c>
    </row>
    <row r="109" spans="1:16" x14ac:dyDescent="0.3">
      <c r="A109" s="196">
        <f>IF(TableRBMaster[[#This Row],[Player]]&lt;&gt;0,A108+1,A108)</f>
        <v>82</v>
      </c>
      <c r="B109" s="144" t="str">
        <f>NE!A$9</f>
        <v>James White</v>
      </c>
      <c r="C109" s="144" t="s">
        <v>158</v>
      </c>
      <c r="D109" s="144">
        <f>NE!C$8</f>
        <v>10</v>
      </c>
      <c r="E109" s="145">
        <f>NE!I$9</f>
        <v>38.039071892760639</v>
      </c>
      <c r="F109" s="145">
        <f>NE!J$9</f>
        <v>151.39550613318735</v>
      </c>
      <c r="G109" s="145">
        <f>NE!K$9</f>
        <v>1.3865858465498844</v>
      </c>
      <c r="H109" s="145">
        <f>NE!L$9</f>
        <v>61.943836262065162</v>
      </c>
      <c r="I109" s="145">
        <f>NE!M$9</f>
        <v>48.749799138245287</v>
      </c>
      <c r="J109" s="145">
        <f>NE!N$9</f>
        <v>392.92338105425705</v>
      </c>
      <c r="K109" s="145">
        <f>NE!O$9</f>
        <v>2.3881553119191361</v>
      </c>
      <c r="L109" s="145">
        <f t="shared" si="45"/>
        <v>77.080335669558565</v>
      </c>
      <c r="M109" s="145">
        <f t="shared" si="46"/>
        <v>101.45523523868121</v>
      </c>
      <c r="N109" s="145">
        <f t="shared" si="47"/>
        <v>125.83013480780386</v>
      </c>
      <c r="O10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77.080335669558565</v>
      </c>
      <c r="P109" s="190">
        <v>0</v>
      </c>
    </row>
    <row r="110" spans="1:16" x14ac:dyDescent="0.3">
      <c r="A110" s="196">
        <f>IF(TableRBMaster[[#This Row],[Player]]&lt;&gt;0,A109+1,A109)</f>
        <v>83</v>
      </c>
      <c r="B110" s="144" t="str">
        <f>NE!A$10</f>
        <v>Pierre Strong</v>
      </c>
      <c r="C110" s="144" t="s">
        <v>158</v>
      </c>
      <c r="D110" s="144">
        <f>NE!C$10</f>
        <v>10</v>
      </c>
      <c r="E110" s="145">
        <f>NE!I$10</f>
        <v>26.038022608009125</v>
      </c>
      <c r="F110" s="145">
        <f>NE!J$10</f>
        <v>106.34747756778995</v>
      </c>
      <c r="G110" s="145">
        <f>NE!K$10</f>
        <v>0.55460988155059432</v>
      </c>
      <c r="H110" s="145">
        <f>NE!L$10</f>
        <v>5.8978923321850925</v>
      </c>
      <c r="I110" s="145">
        <f>NE!M$10</f>
        <v>4.3234549723221223</v>
      </c>
      <c r="J110" s="145">
        <f>NE!N$10</f>
        <v>30.714024051929989</v>
      </c>
      <c r="K110" s="145">
        <f>NE!O$10</f>
        <v>0.14994641522504468</v>
      </c>
      <c r="L110" s="145">
        <f t="shared" si="45"/>
        <v>17.933487942625828</v>
      </c>
      <c r="M110" s="145">
        <f t="shared" si="46"/>
        <v>20.09521542878689</v>
      </c>
      <c r="N110" s="145">
        <f t="shared" si="47"/>
        <v>22.256942914947949</v>
      </c>
      <c r="O11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17.933487942625828</v>
      </c>
      <c r="P110" s="190">
        <v>0</v>
      </c>
    </row>
    <row r="111" spans="1:16" x14ac:dyDescent="0.3">
      <c r="A111" s="196">
        <f>IF(TableRBMaster[[#This Row],[Player]]&lt;&gt;0,A110+1,A110)</f>
        <v>84</v>
      </c>
      <c r="B111" s="144" t="str">
        <f>NE!A$11</f>
        <v>Kevin Harris</v>
      </c>
      <c r="C111" s="144" t="s">
        <v>158</v>
      </c>
      <c r="D111" s="144">
        <f>NE!C$11</f>
        <v>10</v>
      </c>
      <c r="E111" s="145">
        <f>NE!I$11</f>
        <v>19.027785752006672</v>
      </c>
      <c r="F111" s="145">
        <f>NE!J$11</f>
        <v>83.722257308829356</v>
      </c>
      <c r="G111" s="145">
        <f>NE!K$11</f>
        <v>0.76879942432350179</v>
      </c>
      <c r="H111" s="145">
        <f>NE!L$11</f>
        <v>0.47245298843948003</v>
      </c>
      <c r="I111" s="145">
        <f>NE!M$11</f>
        <v>0.30940946212901549</v>
      </c>
      <c r="J111" s="145">
        <f>NE!N$11</f>
        <v>2.1528840197088837</v>
      </c>
      <c r="K111" s="145">
        <f>NE!O$11</f>
        <v>0</v>
      </c>
      <c r="L111" s="145">
        <f t="shared" si="45"/>
        <v>13.200310678794834</v>
      </c>
      <c r="M111" s="145">
        <f t="shared" si="46"/>
        <v>13.355015409859341</v>
      </c>
      <c r="N111" s="145">
        <f t="shared" si="47"/>
        <v>13.509720140923848</v>
      </c>
      <c r="O11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13.200310678794835</v>
      </c>
      <c r="P111" s="190">
        <v>0</v>
      </c>
    </row>
    <row r="112" spans="1:16" x14ac:dyDescent="0.3">
      <c r="A112" s="196">
        <f>IF(TableRBMaster[[#This Row],[Player]]&lt;&gt;0,A111+1,A111)</f>
        <v>85</v>
      </c>
      <c r="B112" s="144" t="str">
        <f>NO!A$7</f>
        <v>Alvin Kamara</v>
      </c>
      <c r="C112" s="144" t="s">
        <v>159</v>
      </c>
      <c r="D112" s="144">
        <f>NO!C$7</f>
        <v>14</v>
      </c>
      <c r="E112" s="145">
        <f>NO!I$7</f>
        <v>203.26700376832514</v>
      </c>
      <c r="F112" s="145">
        <f>NO!J$7</f>
        <v>835.42738548781642</v>
      </c>
      <c r="G112" s="145">
        <f>NO!K$7</f>
        <v>7.0533650307608831</v>
      </c>
      <c r="H112" s="145">
        <f>NO!L$7</f>
        <v>74.422920901695932</v>
      </c>
      <c r="I112" s="145">
        <f>NO!M$7</f>
        <v>52.282101933441396</v>
      </c>
      <c r="J112" s="145">
        <f>NO!N$7</f>
        <v>430.80451993155714</v>
      </c>
      <c r="K112" s="145">
        <f>NO!O$7</f>
        <v>3.5428003283845166</v>
      </c>
      <c r="L112" s="145">
        <f t="shared" si="45"/>
        <v>190.20018269680975</v>
      </c>
      <c r="M112" s="145">
        <f t="shared" si="46"/>
        <v>216.34123366353043</v>
      </c>
      <c r="N112" s="145">
        <f t="shared" si="47"/>
        <v>242.48228463025114</v>
      </c>
      <c r="O11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190.20018269680975</v>
      </c>
      <c r="P112" s="190">
        <v>46.235196286398271</v>
      </c>
    </row>
    <row r="113" spans="1:16" x14ac:dyDescent="0.3">
      <c r="A113" s="196">
        <f>IF(TableRBMaster[[#This Row],[Player]]&lt;&gt;0,A112+1,A112)</f>
        <v>86</v>
      </c>
      <c r="B113" s="144" t="str">
        <f>NO!A$8</f>
        <v>Mark Ingram</v>
      </c>
      <c r="C113" s="144" t="s">
        <v>159</v>
      </c>
      <c r="D113" s="144">
        <f>NO!C$9</f>
        <v>14</v>
      </c>
      <c r="E113" s="145">
        <f>NO!I$8</f>
        <v>147.50797530319852</v>
      </c>
      <c r="F113" s="145">
        <f>NO!J$8</f>
        <v>573.80602392944229</v>
      </c>
      <c r="G113" s="145">
        <f>NO!K$8</f>
        <v>4.2187280936714782</v>
      </c>
      <c r="H113" s="145">
        <f>NO!L$8</f>
        <v>26.491005123188867</v>
      </c>
      <c r="I113" s="145">
        <f>NO!M$8</f>
        <v>19.627185695770631</v>
      </c>
      <c r="J113" s="145">
        <f>NO!N$8</f>
        <v>137.97911544126754</v>
      </c>
      <c r="K113" s="145">
        <f>NO!O$8</f>
        <v>0.8047146135265959</v>
      </c>
      <c r="L113" s="145">
        <f t="shared" si="45"/>
        <v>101.31917018025942</v>
      </c>
      <c r="M113" s="145">
        <f t="shared" si="46"/>
        <v>111.13276302814474</v>
      </c>
      <c r="N113" s="145">
        <f t="shared" si="47"/>
        <v>120.94635587603005</v>
      </c>
      <c r="O11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101.31917018025943</v>
      </c>
      <c r="P113" s="190">
        <v>5.4452613993322192</v>
      </c>
    </row>
    <row r="114" spans="1:16" x14ac:dyDescent="0.3">
      <c r="A114" s="196">
        <f>IF(TableRBMaster[[#This Row],[Player]]&lt;&gt;0,A113+1,A113)</f>
        <v>87</v>
      </c>
      <c r="B114" s="144" t="str">
        <f>NO!A$9</f>
        <v>Tony Jones</v>
      </c>
      <c r="C114" s="144" t="s">
        <v>159</v>
      </c>
      <c r="D114" s="144">
        <f>NO!C$8</f>
        <v>14</v>
      </c>
      <c r="E114" s="145">
        <f>NO!I$9</f>
        <v>47.648624324744546</v>
      </c>
      <c r="F114" s="145">
        <f>NO!J$9</f>
        <v>180.21373655147852</v>
      </c>
      <c r="G114" s="145">
        <f>NO!K$9</f>
        <v>1.8415998981854456</v>
      </c>
      <c r="H114" s="145">
        <f>NO!L$9</f>
        <v>11.562294323898557</v>
      </c>
      <c r="I114" s="145">
        <f>NO!M$9</f>
        <v>7.422992955942874</v>
      </c>
      <c r="J114" s="145">
        <f>NO!N$9</f>
        <v>50.327892241292687</v>
      </c>
      <c r="K114" s="145">
        <f>NO!O$9</f>
        <v>0.21535991142684049</v>
      </c>
      <c r="L114" s="145">
        <f t="shared" si="45"/>
        <v>35.395921736950839</v>
      </c>
      <c r="M114" s="145">
        <f t="shared" si="46"/>
        <v>39.107418214922276</v>
      </c>
      <c r="N114" s="145">
        <f t="shared" si="47"/>
        <v>42.818914692893713</v>
      </c>
      <c r="O11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35.395921736950839</v>
      </c>
      <c r="P114" s="190">
        <v>0</v>
      </c>
    </row>
    <row r="115" spans="1:16" x14ac:dyDescent="0.3">
      <c r="A115" s="196">
        <f>IF(TableRBMaster[[#This Row],[Player]]&lt;&gt;0,A114+1,A114)</f>
        <v>88</v>
      </c>
      <c r="B115" s="144" t="str">
        <f>NO!A$10</f>
        <v>Abram Smith</v>
      </c>
      <c r="C115" s="144" t="s">
        <v>159</v>
      </c>
      <c r="D115" s="144">
        <f>NO!C$10</f>
        <v>14</v>
      </c>
      <c r="E115" s="145">
        <f>NO!I$10</f>
        <v>23.317411903598394</v>
      </c>
      <c r="F115" s="145">
        <f>NO!J$10</f>
        <v>103.76009877756668</v>
      </c>
      <c r="G115" s="145">
        <f>NO!K$10</f>
        <v>0.84875379329098155</v>
      </c>
      <c r="H115" s="145">
        <f>NO!L$10</f>
        <v>4.8983367963632247</v>
      </c>
      <c r="I115" s="145">
        <f>NO!M$10</f>
        <v>3.4616546139898907</v>
      </c>
      <c r="J115" s="145">
        <f>NO!N$10</f>
        <v>26.585507435442359</v>
      </c>
      <c r="K115" s="145">
        <f>NO!O$10</f>
        <v>0.16886120068243368</v>
      </c>
      <c r="L115" s="145">
        <f t="shared" si="45"/>
        <v>19.140250585141398</v>
      </c>
      <c r="M115" s="145">
        <f t="shared" si="46"/>
        <v>20.871077892136345</v>
      </c>
      <c r="N115" s="145">
        <f t="shared" si="47"/>
        <v>22.601905199131288</v>
      </c>
      <c r="O11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19.140250585141398</v>
      </c>
      <c r="P115" s="190">
        <v>0</v>
      </c>
    </row>
    <row r="116" spans="1:16" x14ac:dyDescent="0.3">
      <c r="A116" s="196">
        <f>IF(TableRBMaster[[#This Row],[Player]]&lt;&gt;0,A115+1,A115)</f>
        <v>88</v>
      </c>
      <c r="B116" s="144">
        <f>NO!A$11</f>
        <v>0</v>
      </c>
      <c r="C116" s="144" t="s">
        <v>159</v>
      </c>
      <c r="D116" s="144">
        <f>NO!C$11</f>
        <v>14</v>
      </c>
      <c r="E116" s="145">
        <f>NO!I$11</f>
        <v>0</v>
      </c>
      <c r="F116" s="145">
        <f>NO!J$11</f>
        <v>0</v>
      </c>
      <c r="G116" s="145">
        <f>NO!K$11</f>
        <v>0</v>
      </c>
      <c r="H116" s="145">
        <f>NO!L$11</f>
        <v>0</v>
      </c>
      <c r="I116" s="145">
        <f>NO!M$11</f>
        <v>0</v>
      </c>
      <c r="J116" s="145">
        <f>NO!N$11</f>
        <v>0</v>
      </c>
      <c r="K116" s="145">
        <f>NO!O$11</f>
        <v>0</v>
      </c>
      <c r="L116" s="145">
        <f t="shared" si="45"/>
        <v>0</v>
      </c>
      <c r="M116" s="145">
        <f t="shared" si="46"/>
        <v>0</v>
      </c>
      <c r="N116" s="145">
        <f t="shared" si="47"/>
        <v>0</v>
      </c>
      <c r="O11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6" s="190">
        <v>0</v>
      </c>
    </row>
    <row r="117" spans="1:16" x14ac:dyDescent="0.3">
      <c r="A117" s="196">
        <f>IF(TableRBMaster[[#This Row],[Player]]&lt;&gt;0,A116+1,A116)</f>
        <v>89</v>
      </c>
      <c r="B117" s="144" t="str">
        <f>NYG!A$7</f>
        <v>Saquon Barkley</v>
      </c>
      <c r="C117" s="144" t="s">
        <v>160</v>
      </c>
      <c r="D117" s="144">
        <f>NYG!C$7</f>
        <v>9</v>
      </c>
      <c r="E117" s="145">
        <f>NYG!I$7</f>
        <v>224.14426125972329</v>
      </c>
      <c r="F117" s="145">
        <f>NYG!J$7</f>
        <v>990.71763476797696</v>
      </c>
      <c r="G117" s="145">
        <f>NYG!K$7</f>
        <v>6.2760393152722527</v>
      </c>
      <c r="H117" s="145">
        <f>NYG!L$7</f>
        <v>89.515427445765965</v>
      </c>
      <c r="I117" s="145">
        <f>NYG!M$7</f>
        <v>61.944675792470044</v>
      </c>
      <c r="J117" s="145">
        <f>NYG!N$7</f>
        <v>498.03519337145912</v>
      </c>
      <c r="K117" s="145">
        <f>NYG!O$7</f>
        <v>3.7166805475482025</v>
      </c>
      <c r="L117" s="145">
        <f t="shared" si="45"/>
        <v>208.83160199086635</v>
      </c>
      <c r="M117" s="145">
        <f t="shared" si="46"/>
        <v>239.80393988710136</v>
      </c>
      <c r="N117" s="145">
        <f t="shared" si="47"/>
        <v>270.77627778333641</v>
      </c>
      <c r="O11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208.83160199086635</v>
      </c>
      <c r="P117" s="190">
        <v>43.954818451247363</v>
      </c>
    </row>
    <row r="118" spans="1:16" x14ac:dyDescent="0.3">
      <c r="A118" s="196">
        <f>IF(TableRBMaster[[#This Row],[Player]]&lt;&gt;0,A117+1,A117)</f>
        <v>90</v>
      </c>
      <c r="B118" s="144" t="str">
        <f>NYG!A$8</f>
        <v>Matt Breida</v>
      </c>
      <c r="C118" s="144" t="s">
        <v>160</v>
      </c>
      <c r="D118" s="144">
        <f>NYG!C$9</f>
        <v>9</v>
      </c>
      <c r="E118" s="145">
        <f>NYG!I$8</f>
        <v>64.513846414237705</v>
      </c>
      <c r="F118" s="145">
        <f>NYG!J$8</f>
        <v>274.82898572465263</v>
      </c>
      <c r="G118" s="145">
        <f>NYG!K$8</f>
        <v>1.5160753907345861</v>
      </c>
      <c r="H118" s="145">
        <f>NYG!L$8</f>
        <v>29.032030522951128</v>
      </c>
      <c r="I118" s="145">
        <f>NYG!M$8</f>
        <v>19.773715989182016</v>
      </c>
      <c r="J118" s="145">
        <f>NYG!N$8</f>
        <v>142.96396660178598</v>
      </c>
      <c r="K118" s="145">
        <f>NYG!O$8</f>
        <v>0.9446366336704477</v>
      </c>
      <c r="L118" s="145">
        <f t="shared" si="45"/>
        <v>56.543567379074069</v>
      </c>
      <c r="M118" s="145">
        <f t="shared" si="46"/>
        <v>66.430425373665074</v>
      </c>
      <c r="N118" s="145">
        <f t="shared" si="47"/>
        <v>76.317283368256085</v>
      </c>
      <c r="O11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56.543567379074069</v>
      </c>
      <c r="P118" s="190">
        <v>0</v>
      </c>
    </row>
    <row r="119" spans="1:16" x14ac:dyDescent="0.3">
      <c r="A119" s="196">
        <f>IF(TableRBMaster[[#This Row],[Player]]&lt;&gt;0,A118+1,A118)</f>
        <v>91</v>
      </c>
      <c r="B119" s="144" t="str">
        <f>NYG!A$9</f>
        <v>Gary Brightwell</v>
      </c>
      <c r="C119" s="144" t="s">
        <v>160</v>
      </c>
      <c r="D119" s="144">
        <f>NYG!C$8</f>
        <v>9</v>
      </c>
      <c r="E119" s="145">
        <f>NYG!I$9</f>
        <v>7.0303550579618008</v>
      </c>
      <c r="F119" s="145">
        <f>NYG!J$9</f>
        <v>28.262027333006436</v>
      </c>
      <c r="G119" s="145">
        <f>NYG!K$9</f>
        <v>0.15537084678095581</v>
      </c>
      <c r="H119" s="145">
        <f>NYG!L$9</f>
        <v>4.7461115102395839</v>
      </c>
      <c r="I119" s="145">
        <f>NYG!M$9</f>
        <v>2.8619052406744689</v>
      </c>
      <c r="J119" s="145">
        <f>NYG!N$9</f>
        <v>17.510472483011732</v>
      </c>
      <c r="K119" s="145">
        <f>NYG!O$9</f>
        <v>3.9887181054696429E-2</v>
      </c>
      <c r="L119" s="145">
        <f t="shared" si="45"/>
        <v>5.7487981486157302</v>
      </c>
      <c r="M119" s="145">
        <f t="shared" si="46"/>
        <v>7.1797507689529647</v>
      </c>
      <c r="N119" s="145">
        <f t="shared" si="47"/>
        <v>8.6107033892901992</v>
      </c>
      <c r="O11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5.7487981486157302</v>
      </c>
      <c r="P119" s="190">
        <v>0</v>
      </c>
    </row>
    <row r="120" spans="1:16" x14ac:dyDescent="0.3">
      <c r="A120" s="196">
        <f>IF(TableRBMaster[[#This Row],[Player]]&lt;&gt;0,A119+1,A119)</f>
        <v>92</v>
      </c>
      <c r="B120" s="144" t="str">
        <f>NYG!A$10</f>
        <v>Jashaun Corbin</v>
      </c>
      <c r="C120" s="144" t="s">
        <v>160</v>
      </c>
      <c r="D120" s="144">
        <f>NYG!C$10</f>
        <v>9</v>
      </c>
      <c r="E120" s="145">
        <f>NYG!I$10</f>
        <v>25.22656814915705</v>
      </c>
      <c r="F120" s="145">
        <f>NYG!J$10</f>
        <v>104.94252350049334</v>
      </c>
      <c r="G120" s="145">
        <f>NYG!K$10</f>
        <v>0.68550456927057202</v>
      </c>
      <c r="H120" s="145">
        <f>NYG!L$10</f>
        <v>12.09667938456297</v>
      </c>
      <c r="I120" s="145">
        <f>NYG!M$10</f>
        <v>7.60518232907474</v>
      </c>
      <c r="J120" s="145">
        <f>NYG!N$10</f>
        <v>53.298613863597566</v>
      </c>
      <c r="K120" s="145">
        <f>NYG!O$10</f>
        <v>0.18701268022314937</v>
      </c>
      <c r="L120" s="145">
        <f t="shared" si="45"/>
        <v>21.059217233371417</v>
      </c>
      <c r="M120" s="145">
        <f t="shared" si="46"/>
        <v>24.861808397908788</v>
      </c>
      <c r="N120" s="145">
        <f t="shared" si="47"/>
        <v>28.664399562446157</v>
      </c>
      <c r="O12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21.05921723337142</v>
      </c>
      <c r="P120" s="190">
        <v>0</v>
      </c>
    </row>
    <row r="121" spans="1:16" x14ac:dyDescent="0.3">
      <c r="A121" s="196">
        <f>IF(TableRBMaster[[#This Row],[Player]]&lt;&gt;0,A120+1,A120)</f>
        <v>92</v>
      </c>
      <c r="B121" s="144">
        <f>NYG!A$11</f>
        <v>0</v>
      </c>
      <c r="C121" s="144" t="s">
        <v>160</v>
      </c>
      <c r="D121" s="144">
        <f>NYG!C$11</f>
        <v>9</v>
      </c>
      <c r="E121" s="145">
        <f>NYG!I$11</f>
        <v>0</v>
      </c>
      <c r="F121" s="145">
        <f>NYG!J$11</f>
        <v>0</v>
      </c>
      <c r="G121" s="145">
        <f>NYG!K$11</f>
        <v>0</v>
      </c>
      <c r="H121" s="145">
        <f>NYG!L$11</f>
        <v>0</v>
      </c>
      <c r="I121" s="145">
        <f>NYG!M$11</f>
        <v>0</v>
      </c>
      <c r="J121" s="145">
        <f>NYG!N$11</f>
        <v>0</v>
      </c>
      <c r="K121" s="145">
        <f>NYG!O$11</f>
        <v>0</v>
      </c>
      <c r="L121" s="145">
        <f t="shared" si="45"/>
        <v>0</v>
      </c>
      <c r="M121" s="145">
        <f t="shared" si="46"/>
        <v>0</v>
      </c>
      <c r="N121" s="145">
        <f t="shared" si="47"/>
        <v>0</v>
      </c>
      <c r="O12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1" s="190">
        <v>0</v>
      </c>
    </row>
    <row r="122" spans="1:16" x14ac:dyDescent="0.3">
      <c r="A122" s="196">
        <f>IF(TableRBMaster[[#This Row],[Player]]&lt;&gt;0,A121+1,A121)</f>
        <v>93</v>
      </c>
      <c r="B122" s="144" t="str">
        <f>NYJ!A$7</f>
        <v>Breece Hall</v>
      </c>
      <c r="C122" s="144" t="s">
        <v>161</v>
      </c>
      <c r="D122" s="144">
        <f>NYJ!C$7</f>
        <v>10</v>
      </c>
      <c r="E122" s="145">
        <f>NYJ!I$7</f>
        <v>203.9689600937854</v>
      </c>
      <c r="F122" s="145">
        <f>NYJ!J$7</f>
        <v>883.18559720609073</v>
      </c>
      <c r="G122" s="145">
        <f>NYJ!K$7</f>
        <v>5.7700016970295254</v>
      </c>
      <c r="H122" s="145">
        <f>NYJ!L$7</f>
        <v>54.895446352006935</v>
      </c>
      <c r="I122" s="145">
        <f>NYJ!M$7</f>
        <v>38.542092883744068</v>
      </c>
      <c r="J122" s="145">
        <f>NYJ!N$7</f>
        <v>297.12666365516208</v>
      </c>
      <c r="K122" s="145">
        <f>NYJ!O$7</f>
        <v>1.2296354960036333</v>
      </c>
      <c r="L122" s="145">
        <f t="shared" si="45"/>
        <v>160.02904924432423</v>
      </c>
      <c r="M122" s="145">
        <f t="shared" si="46"/>
        <v>179.30009568619627</v>
      </c>
      <c r="N122" s="145">
        <f t="shared" si="47"/>
        <v>198.57114212806829</v>
      </c>
      <c r="O12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160.02904924432423</v>
      </c>
      <c r="P122" s="190">
        <v>18.18702898521515</v>
      </c>
    </row>
    <row r="123" spans="1:16" x14ac:dyDescent="0.3">
      <c r="A123" s="196">
        <f>IF(TableRBMaster[[#This Row],[Player]]&lt;&gt;0,A122+1,A122)</f>
        <v>94</v>
      </c>
      <c r="B123" s="144" t="str">
        <f>NYJ!A$8</f>
        <v>Michael Carter</v>
      </c>
      <c r="C123" s="144" t="s">
        <v>161</v>
      </c>
      <c r="D123" s="144">
        <f>NYJ!C$9</f>
        <v>10</v>
      </c>
      <c r="E123" s="145">
        <f>NYJ!I$8</f>
        <v>98.016212340787916</v>
      </c>
      <c r="F123" s="145">
        <f>NYJ!J$8</f>
        <v>416.56890244834864</v>
      </c>
      <c r="G123" s="145">
        <f>NYJ!K$8</f>
        <v>2.5952665485568218</v>
      </c>
      <c r="H123" s="145">
        <f>NYJ!L$8</f>
        <v>54.350622278824204</v>
      </c>
      <c r="I123" s="145">
        <f>NYJ!M$8</f>
        <v>36.431222113495863</v>
      </c>
      <c r="J123" s="145">
        <f>NYJ!N$8</f>
        <v>277.34583630304451</v>
      </c>
      <c r="K123" s="145">
        <f>NYJ!O$8</f>
        <v>0.82454911824810306</v>
      </c>
      <c r="L123" s="145">
        <f t="shared" si="45"/>
        <v>89.910367875968859</v>
      </c>
      <c r="M123" s="145">
        <f t="shared" si="46"/>
        <v>108.12597893271679</v>
      </c>
      <c r="N123" s="145">
        <f t="shared" si="47"/>
        <v>126.34158998946472</v>
      </c>
      <c r="O12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89.910367875968873</v>
      </c>
      <c r="P123" s="190">
        <v>0</v>
      </c>
    </row>
    <row r="124" spans="1:16" x14ac:dyDescent="0.3">
      <c r="A124" s="196">
        <f>IF(TableRBMaster[[#This Row],[Player]]&lt;&gt;0,A123+1,A123)</f>
        <v>95</v>
      </c>
      <c r="B124" s="144" t="str">
        <f>NYJ!A$9</f>
        <v>Tevin Coleman</v>
      </c>
      <c r="C124" s="144" t="s">
        <v>161</v>
      </c>
      <c r="D124" s="144">
        <f>NYJ!C$8</f>
        <v>10</v>
      </c>
      <c r="E124" s="145">
        <f>NYJ!I$9</f>
        <v>18.650858218692438</v>
      </c>
      <c r="F124" s="145">
        <f>NYJ!J$9</f>
        <v>75.722484367891298</v>
      </c>
      <c r="G124" s="145">
        <f>NYJ!K$9</f>
        <v>0.20940073597913192</v>
      </c>
      <c r="H124" s="145">
        <f>NYJ!L$9</f>
        <v>10.169557793874406</v>
      </c>
      <c r="I124" s="145">
        <f>NYJ!M$9</f>
        <v>6.315295389996006</v>
      </c>
      <c r="J124" s="145">
        <f>NYJ!N$9</f>
        <v>39.826355748326257</v>
      </c>
      <c r="K124" s="145">
        <f>NYJ!O$9</f>
        <v>9.7272138411016687E-2</v>
      </c>
      <c r="L124" s="145">
        <f t="shared" si="45"/>
        <v>13.394921257962649</v>
      </c>
      <c r="M124" s="145">
        <f t="shared" si="46"/>
        <v>16.552568952960652</v>
      </c>
      <c r="N124" s="145">
        <f t="shared" si="47"/>
        <v>19.710216647958653</v>
      </c>
      <c r="O12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13.394921257962649</v>
      </c>
      <c r="P124" s="190">
        <v>0</v>
      </c>
    </row>
    <row r="125" spans="1:16" x14ac:dyDescent="0.3">
      <c r="A125" s="196">
        <f>IF(TableRBMaster[[#This Row],[Player]]&lt;&gt;0,A124+1,A124)</f>
        <v>96</v>
      </c>
      <c r="B125" s="144" t="str">
        <f>NYJ!A$10</f>
        <v>Ty Johnson</v>
      </c>
      <c r="C125" s="144" t="s">
        <v>161</v>
      </c>
      <c r="D125" s="144">
        <f>NYJ!C$10</f>
        <v>10</v>
      </c>
      <c r="E125" s="145">
        <f>NYJ!I$10</f>
        <v>9.5238424946514577</v>
      </c>
      <c r="F125" s="145">
        <f>NYJ!J$10</f>
        <v>37.9048931287128</v>
      </c>
      <c r="G125" s="145">
        <f>NYJ!K$10</f>
        <v>0.20571499788447151</v>
      </c>
      <c r="H125" s="145">
        <f>NYJ!L$10</f>
        <v>11.106651552418228</v>
      </c>
      <c r="I125" s="145">
        <f>NYJ!M$10</f>
        <v>7.079379699511378</v>
      </c>
      <c r="J125" s="145">
        <f>NYJ!N$10</f>
        <v>56.635037596091024</v>
      </c>
      <c r="K125" s="145">
        <f>NYJ!O$10</f>
        <v>0.1274288345912048</v>
      </c>
      <c r="L125" s="145">
        <f t="shared" si="45"/>
        <v>11.452856067334439</v>
      </c>
      <c r="M125" s="145">
        <f t="shared" si="46"/>
        <v>14.992545917090128</v>
      </c>
      <c r="N125" s="145">
        <f t="shared" si="47"/>
        <v>18.532235766845815</v>
      </c>
      <c r="O12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11.452856067334441</v>
      </c>
      <c r="P125" s="190">
        <v>0</v>
      </c>
    </row>
    <row r="126" spans="1:16" x14ac:dyDescent="0.3">
      <c r="A126" s="196">
        <f>IF(TableRBMaster[[#This Row],[Player]]&lt;&gt;0,A125+1,A125)</f>
        <v>96</v>
      </c>
      <c r="B126" s="144">
        <f>NYJ!A$11</f>
        <v>0</v>
      </c>
      <c r="C126" s="144" t="s">
        <v>161</v>
      </c>
      <c r="D126" s="144">
        <f>NYJ!C$11</f>
        <v>10</v>
      </c>
      <c r="E126" s="145">
        <f>NYJ!I$11</f>
        <v>0</v>
      </c>
      <c r="F126" s="145">
        <f>NYJ!J$11</f>
        <v>0</v>
      </c>
      <c r="G126" s="145">
        <f>NYJ!K$11</f>
        <v>0</v>
      </c>
      <c r="H126" s="145">
        <f>NYJ!L$11</f>
        <v>0</v>
      </c>
      <c r="I126" s="145">
        <f>NYJ!M$11</f>
        <v>0</v>
      </c>
      <c r="J126" s="145">
        <f>NYJ!N$11</f>
        <v>0</v>
      </c>
      <c r="K126" s="145">
        <f>NYJ!O$11</f>
        <v>0</v>
      </c>
      <c r="L126" s="145">
        <f t="shared" si="45"/>
        <v>0</v>
      </c>
      <c r="M126" s="145">
        <f t="shared" si="46"/>
        <v>0</v>
      </c>
      <c r="N126" s="145">
        <f t="shared" si="47"/>
        <v>0</v>
      </c>
      <c r="O12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6" s="190">
        <v>0</v>
      </c>
    </row>
    <row r="127" spans="1:16" x14ac:dyDescent="0.3">
      <c r="A127" s="196">
        <f>IF(TableRBMaster[[#This Row],[Player]]&lt;&gt;0,A126+1,A126)</f>
        <v>97</v>
      </c>
      <c r="B127" s="144" t="str">
        <f>PHI!A$7</f>
        <v>Miles Sanders</v>
      </c>
      <c r="C127" s="144" t="s">
        <v>163</v>
      </c>
      <c r="D127" s="144">
        <f>PHI!C$7</f>
        <v>7</v>
      </c>
      <c r="E127" s="145">
        <f>PHI!I$7</f>
        <v>172.90609589361964</v>
      </c>
      <c r="F127" s="145">
        <f>PHI!J$7</f>
        <v>858.41901799898108</v>
      </c>
      <c r="G127" s="145">
        <f>PHI!K$7</f>
        <v>3.4927031370511163</v>
      </c>
      <c r="H127" s="145">
        <f>PHI!L$7</f>
        <v>34.34376450627196</v>
      </c>
      <c r="I127" s="145">
        <f>PHI!M$7</f>
        <v>25.641054580382647</v>
      </c>
      <c r="J127" s="145">
        <f>PHI!N$7</f>
        <v>174.61558169240581</v>
      </c>
      <c r="K127" s="145">
        <f>PHI!O$7</f>
        <v>0.66666741908994875</v>
      </c>
      <c r="L127" s="145">
        <f t="shared" si="45"/>
        <v>128.25968330598508</v>
      </c>
      <c r="M127" s="145">
        <f t="shared" si="46"/>
        <v>141.08021059617641</v>
      </c>
      <c r="N127" s="145">
        <f t="shared" si="47"/>
        <v>153.90073788636772</v>
      </c>
      <c r="O12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128.25968330598508</v>
      </c>
      <c r="P127" s="190">
        <v>22.128522326878127</v>
      </c>
    </row>
    <row r="128" spans="1:16" x14ac:dyDescent="0.3">
      <c r="A128" s="196">
        <f>IF(TableRBMaster[[#This Row],[Player]]&lt;&gt;0,A127+1,A127)</f>
        <v>98</v>
      </c>
      <c r="B128" s="144" t="str">
        <f>PHI!A$8</f>
        <v>Kenneth Gainwell</v>
      </c>
      <c r="C128" s="144" t="s">
        <v>163</v>
      </c>
      <c r="D128" s="144">
        <f>PHI!C$9</f>
        <v>7</v>
      </c>
      <c r="E128" s="145">
        <f>PHI!I$8</f>
        <v>72.323602437497414</v>
      </c>
      <c r="F128" s="145">
        <f>PHI!J$8</f>
        <v>311.71472650561384</v>
      </c>
      <c r="G128" s="145">
        <f>PHI!K$8</f>
        <v>3.2750936022534609</v>
      </c>
      <c r="H128" s="145">
        <f>PHI!L$8</f>
        <v>65.674918090941105</v>
      </c>
      <c r="I128" s="145">
        <f>PHI!M$8</f>
        <v>46.182602401549786</v>
      </c>
      <c r="J128" s="145">
        <f>PHI!N$8</f>
        <v>355.60603849193336</v>
      </c>
      <c r="K128" s="145">
        <f>PHI!O$8</f>
        <v>1.8473040960619915</v>
      </c>
      <c r="L128" s="145">
        <f t="shared" si="45"/>
        <v>97.466462689647429</v>
      </c>
      <c r="M128" s="145">
        <f t="shared" si="46"/>
        <v>120.55776389042232</v>
      </c>
      <c r="N128" s="145">
        <f t="shared" si="47"/>
        <v>143.6490650911972</v>
      </c>
      <c r="O12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97.466462689647429</v>
      </c>
      <c r="P128" s="190">
        <v>0</v>
      </c>
    </row>
    <row r="129" spans="1:16" x14ac:dyDescent="0.3">
      <c r="A129" s="196">
        <f>IF(TableRBMaster[[#This Row],[Player]]&lt;&gt;0,A128+1,A128)</f>
        <v>99</v>
      </c>
      <c r="B129" s="144" t="str">
        <f>PHI!A$9</f>
        <v>Boston Scott</v>
      </c>
      <c r="C129" s="144" t="s">
        <v>163</v>
      </c>
      <c r="D129" s="144">
        <f>PHI!C$8</f>
        <v>7</v>
      </c>
      <c r="E129" s="145">
        <f>PHI!I$9</f>
        <v>63.702245855544078</v>
      </c>
      <c r="F129" s="145">
        <f>PHI!J$9</f>
        <v>271.37156734461774</v>
      </c>
      <c r="G129" s="145">
        <f>PHI!K$9</f>
        <v>3.5179622512685285</v>
      </c>
      <c r="H129" s="145">
        <f>PHI!L$9</f>
        <v>20.485754266899061</v>
      </c>
      <c r="I129" s="145">
        <f>PHI!M$9</f>
        <v>13.745941113089271</v>
      </c>
      <c r="J129" s="145">
        <f>PHI!N$9</f>
        <v>93.060021335614366</v>
      </c>
      <c r="K129" s="145">
        <f>PHI!O$9</f>
        <v>0.28866476337487473</v>
      </c>
      <c r="L129" s="145">
        <f t="shared" si="45"/>
        <v>59.282920955883633</v>
      </c>
      <c r="M129" s="145">
        <f t="shared" si="46"/>
        <v>66.155891512428269</v>
      </c>
      <c r="N129" s="145">
        <f t="shared" si="47"/>
        <v>73.028862068972899</v>
      </c>
      <c r="O12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59.282920955883633</v>
      </c>
      <c r="P129" s="190">
        <v>0</v>
      </c>
    </row>
    <row r="130" spans="1:16" x14ac:dyDescent="0.3">
      <c r="A130" s="196">
        <f>IF(TableRBMaster[[#This Row],[Player]]&lt;&gt;0,A129+1,A129)</f>
        <v>100</v>
      </c>
      <c r="B130" s="144" t="str">
        <f>PHI!A$10</f>
        <v>Kennedy Brooks</v>
      </c>
      <c r="C130" s="144" t="s">
        <v>163</v>
      </c>
      <c r="D130" s="144">
        <f>PHI!C$10</f>
        <v>7</v>
      </c>
      <c r="E130" s="145">
        <f>PHI!I$10</f>
        <v>10.058249345612223</v>
      </c>
      <c r="F130" s="145">
        <f>PHI!J$10</f>
        <v>42.144064758115221</v>
      </c>
      <c r="G130" s="145">
        <f>PHI!K$10</f>
        <v>0.11783328661682548</v>
      </c>
      <c r="H130" s="145">
        <f>PHI!L$10</f>
        <v>3.8467833595511887</v>
      </c>
      <c r="I130" s="145">
        <f>PHI!M$10</f>
        <v>2.4507856783700621</v>
      </c>
      <c r="J130" s="145">
        <f>PHI!N$10</f>
        <v>16.420264045079417</v>
      </c>
      <c r="K130" s="145">
        <f>PHI!O$10</f>
        <v>2.3794035712330703E-2</v>
      </c>
      <c r="L130" s="145">
        <f t="shared" si="45"/>
        <v>6.7061968142944002</v>
      </c>
      <c r="M130" s="145">
        <f t="shared" si="46"/>
        <v>7.9315896534794312</v>
      </c>
      <c r="N130" s="145">
        <f t="shared" si="47"/>
        <v>9.1569824926644614</v>
      </c>
      <c r="O13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6.7061968142944002</v>
      </c>
      <c r="P130" s="190">
        <v>0</v>
      </c>
    </row>
    <row r="131" spans="1:16" x14ac:dyDescent="0.3">
      <c r="A131" s="196">
        <f>IF(TableRBMaster[[#This Row],[Player]]&lt;&gt;0,A130+1,A130)</f>
        <v>100</v>
      </c>
      <c r="B131" s="144">
        <f>PHI!A$11</f>
        <v>0</v>
      </c>
      <c r="C131" s="144" t="s">
        <v>163</v>
      </c>
      <c r="D131" s="144">
        <f>PHI!C$11</f>
        <v>7</v>
      </c>
      <c r="E131" s="145">
        <f>PHI!I$11</f>
        <v>0</v>
      </c>
      <c r="F131" s="145">
        <f>PHI!J$11</f>
        <v>0</v>
      </c>
      <c r="G131" s="145">
        <f>PHI!K$11</f>
        <v>0</v>
      </c>
      <c r="H131" s="145">
        <f>PHI!L$11</f>
        <v>0</v>
      </c>
      <c r="I131" s="145">
        <f>PHI!M$11</f>
        <v>0</v>
      </c>
      <c r="J131" s="145">
        <f>PHI!N$11</f>
        <v>0</v>
      </c>
      <c r="K131" s="145">
        <f>PHI!O$11</f>
        <v>0</v>
      </c>
      <c r="L131" s="145">
        <f t="shared" si="45"/>
        <v>0</v>
      </c>
      <c r="M131" s="145">
        <f t="shared" si="46"/>
        <v>0</v>
      </c>
      <c r="N131" s="145">
        <f t="shared" si="47"/>
        <v>0</v>
      </c>
      <c r="O13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1" s="190">
        <v>0</v>
      </c>
    </row>
    <row r="132" spans="1:16" x14ac:dyDescent="0.3">
      <c r="A132" s="196">
        <f>IF(TableRBMaster[[#This Row],[Player]]&lt;&gt;0,A131+1,A131)</f>
        <v>101</v>
      </c>
      <c r="B132" s="144" t="str">
        <f>PIT!A$7</f>
        <v>Najee Harris</v>
      </c>
      <c r="C132" s="144" t="s">
        <v>164</v>
      </c>
      <c r="D132" s="144">
        <f>PIT!C$7</f>
        <v>9</v>
      </c>
      <c r="E132" s="145">
        <f>PIT!I$7</f>
        <v>314.37639603141486</v>
      </c>
      <c r="F132" s="145">
        <f>PIT!J$7</f>
        <v>1260.2493763707737</v>
      </c>
      <c r="G132" s="145">
        <f>PIT!K$7</f>
        <v>9.745668276973861</v>
      </c>
      <c r="H132" s="145">
        <f>PIT!L$7</f>
        <v>90.392597467948804</v>
      </c>
      <c r="I132" s="145">
        <f>PIT!M$7</f>
        <v>68.273528867541728</v>
      </c>
      <c r="J132" s="145">
        <f>PIT!N$7</f>
        <v>426.02682013346038</v>
      </c>
      <c r="K132" s="145">
        <f>PIT!O$7</f>
        <v>2.5092974256541307</v>
      </c>
      <c r="L132" s="145">
        <f t="shared" si="45"/>
        <v>242.15741386619138</v>
      </c>
      <c r="M132" s="145">
        <f t="shared" si="46"/>
        <v>276.29417829996225</v>
      </c>
      <c r="N132" s="145">
        <f t="shared" si="47"/>
        <v>310.4309427337331</v>
      </c>
      <c r="O13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242.15741386619138</v>
      </c>
      <c r="P132" s="190">
        <v>37.568835049776624</v>
      </c>
    </row>
    <row r="133" spans="1:16" x14ac:dyDescent="0.3">
      <c r="A133" s="196">
        <f>IF(TableRBMaster[[#This Row],[Player]]&lt;&gt;0,A132+1,A132)</f>
        <v>102</v>
      </c>
      <c r="B133" s="144" t="str">
        <f>PIT!A$8</f>
        <v>Benny Snell</v>
      </c>
      <c r="C133" s="144" t="s">
        <v>164</v>
      </c>
      <c r="D133" s="144">
        <f>PIT!C$9</f>
        <v>9</v>
      </c>
      <c r="E133" s="145">
        <f>PIT!I$8</f>
        <v>27.02007223735216</v>
      </c>
      <c r="F133" s="145">
        <f>PIT!J$8</f>
        <v>101.27457104372917</v>
      </c>
      <c r="G133" s="145">
        <f>PIT!K$8</f>
        <v>0.88027026790056295</v>
      </c>
      <c r="H133" s="145">
        <f>PIT!L$8</f>
        <v>4.6185998706251219</v>
      </c>
      <c r="I133" s="145">
        <f>PIT!M$8</f>
        <v>2.6589279455188826</v>
      </c>
      <c r="J133" s="145">
        <f>PIT!N$8</f>
        <v>16.059924790934051</v>
      </c>
      <c r="K133" s="145">
        <f>PIT!O$8</f>
        <v>7.9767838365566474E-2</v>
      </c>
      <c r="L133" s="145">
        <f t="shared" si="45"/>
        <v>17.493678221063099</v>
      </c>
      <c r="M133" s="145">
        <f t="shared" si="46"/>
        <v>18.823142193822541</v>
      </c>
      <c r="N133" s="145">
        <f t="shared" si="47"/>
        <v>20.152606166581982</v>
      </c>
      <c r="O13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17.493678221063099</v>
      </c>
      <c r="P133" s="190">
        <v>0</v>
      </c>
    </row>
    <row r="134" spans="1:16" x14ac:dyDescent="0.3">
      <c r="A134" s="196">
        <f>IF(TableRBMaster[[#This Row],[Player]]&lt;&gt;0,A133+1,A133)</f>
        <v>103</v>
      </c>
      <c r="B134" s="144" t="str">
        <f>PIT!A$9</f>
        <v>Anthony McFarland</v>
      </c>
      <c r="C134" s="144" t="s">
        <v>164</v>
      </c>
      <c r="D134" s="144">
        <f>PIT!C$8</f>
        <v>9</v>
      </c>
      <c r="E134" s="145">
        <f>PIT!I$9</f>
        <v>4.7177903906487897</v>
      </c>
      <c r="F134" s="145">
        <f>PIT!J$9</f>
        <v>20.177526773745228</v>
      </c>
      <c r="G134" s="145">
        <f>PIT!K$9</f>
        <v>0.19239412543376044</v>
      </c>
      <c r="H134" s="145">
        <f>PIT!L$9</f>
        <v>5.9381998336608692</v>
      </c>
      <c r="I134" s="145">
        <f>PIT!M$9</f>
        <v>3.5706395599802803</v>
      </c>
      <c r="J134" s="145">
        <f>PIT!N$9</f>
        <v>25.666146934556107</v>
      </c>
      <c r="K134" s="145">
        <f>PIT!O$9</f>
        <v>9.6407268119467565E-2</v>
      </c>
      <c r="L134" s="145">
        <f t="shared" si="45"/>
        <v>6.3171757321495008</v>
      </c>
      <c r="M134" s="145">
        <f t="shared" si="46"/>
        <v>8.1024955121396403</v>
      </c>
      <c r="N134" s="145">
        <f t="shared" si="47"/>
        <v>9.8878152921297815</v>
      </c>
      <c r="O13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6.3171757321495008</v>
      </c>
      <c r="P134" s="190">
        <v>0</v>
      </c>
    </row>
    <row r="135" spans="1:16" x14ac:dyDescent="0.3">
      <c r="A135" s="196">
        <f>IF(TableRBMaster[[#This Row],[Player]]&lt;&gt;0,A134+1,A134)</f>
        <v>104</v>
      </c>
      <c r="B135" s="144" t="str">
        <f>PIT!A$10</f>
        <v>Mateo Durant</v>
      </c>
      <c r="C135" s="144" t="s">
        <v>164</v>
      </c>
      <c r="D135" s="144">
        <f>PIT!C$10</f>
        <v>9</v>
      </c>
      <c r="E135" s="145">
        <f>PIT!I$10</f>
        <v>7.720020639243474</v>
      </c>
      <c r="F135" s="145">
        <f>PIT!J$10</f>
        <v>30.648481937796593</v>
      </c>
      <c r="G135" s="145">
        <f>PIT!K$10</f>
        <v>0.26325270379820243</v>
      </c>
      <c r="H135" s="145">
        <f>PIT!L$10</f>
        <v>7.9175997782144929</v>
      </c>
      <c r="I135" s="145">
        <f>PIT!M$10</f>
        <v>4.7062213081706945</v>
      </c>
      <c r="J135" s="145">
        <f>PIT!N$10</f>
        <v>30.684562929272925</v>
      </c>
      <c r="K135" s="145">
        <f>PIT!O$10</f>
        <v>0.14589286055329154</v>
      </c>
      <c r="L135" s="145">
        <f t="shared" si="45"/>
        <v>8.5881778728159155</v>
      </c>
      <c r="M135" s="145">
        <f t="shared" si="46"/>
        <v>10.941288526901262</v>
      </c>
      <c r="N135" s="145">
        <f t="shared" si="47"/>
        <v>13.294399180986609</v>
      </c>
      <c r="O13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8.5881778728159155</v>
      </c>
      <c r="P135" s="190">
        <v>0</v>
      </c>
    </row>
    <row r="136" spans="1:16" x14ac:dyDescent="0.3">
      <c r="A136" s="196">
        <f>IF(TableRBMaster[[#This Row],[Player]]&lt;&gt;0,A135+1,A135)</f>
        <v>104</v>
      </c>
      <c r="B136" s="144">
        <f>PIT!A$11</f>
        <v>0</v>
      </c>
      <c r="C136" s="144" t="s">
        <v>164</v>
      </c>
      <c r="D136" s="144">
        <f>PIT!C$11</f>
        <v>9</v>
      </c>
      <c r="E136" s="145">
        <f>PIT!I$11</f>
        <v>0</v>
      </c>
      <c r="F136" s="145">
        <f>PIT!J$11</f>
        <v>0</v>
      </c>
      <c r="G136" s="145">
        <f>PIT!K$11</f>
        <v>0</v>
      </c>
      <c r="H136" s="145">
        <f>PIT!L$11</f>
        <v>0</v>
      </c>
      <c r="I136" s="145">
        <f>PIT!M$11</f>
        <v>0</v>
      </c>
      <c r="J136" s="145">
        <f>PIT!N$11</f>
        <v>0</v>
      </c>
      <c r="K136" s="145">
        <f>PIT!O$11</f>
        <v>0</v>
      </c>
      <c r="L136" s="145">
        <f t="shared" si="45"/>
        <v>0</v>
      </c>
      <c r="M136" s="145">
        <f t="shared" si="46"/>
        <v>0</v>
      </c>
      <c r="N136" s="145">
        <f t="shared" si="47"/>
        <v>0</v>
      </c>
      <c r="O13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6" s="190">
        <v>0</v>
      </c>
    </row>
    <row r="137" spans="1:16" x14ac:dyDescent="0.3">
      <c r="A137" s="196">
        <f>IF(TableRBMaster[[#This Row],[Player]]&lt;&gt;0,A136+1,A136)</f>
        <v>105</v>
      </c>
      <c r="B137" s="144" t="str">
        <f>SEA!A$7</f>
        <v>Ken Walker</v>
      </c>
      <c r="C137" s="144" t="s">
        <v>165</v>
      </c>
      <c r="D137" s="144">
        <f>SEA!C$7</f>
        <v>11</v>
      </c>
      <c r="E137" s="145">
        <f>SEA!I$7</f>
        <v>191.1002574649799</v>
      </c>
      <c r="F137" s="145">
        <f>SEA!J$7</f>
        <v>842.75213542056144</v>
      </c>
      <c r="G137" s="145">
        <f>SEA!K$7</f>
        <v>7.4146899896412206</v>
      </c>
      <c r="H137" s="145">
        <f>SEA!L$7</f>
        <v>24.440468065243742</v>
      </c>
      <c r="I137" s="145">
        <f>SEA!M$7</f>
        <v>15.5221412682363</v>
      </c>
      <c r="J137" s="145">
        <f>SEA!N$7</f>
        <v>113.73513786493783</v>
      </c>
      <c r="K137" s="145">
        <f>SEA!O$7</f>
        <v>0.35700924916943488</v>
      </c>
      <c r="L137" s="145">
        <f t="shared" si="45"/>
        <v>142.27892276141387</v>
      </c>
      <c r="M137" s="145">
        <f t="shared" si="46"/>
        <v>150.03999339553201</v>
      </c>
      <c r="N137" s="145">
        <f t="shared" si="47"/>
        <v>157.80106402965018</v>
      </c>
      <c r="O13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142.27892276141387</v>
      </c>
      <c r="P137" s="190">
        <v>30.121228835514525</v>
      </c>
    </row>
    <row r="138" spans="1:16" x14ac:dyDescent="0.3">
      <c r="A138" s="196">
        <f>IF(TableRBMaster[[#This Row],[Player]]&lt;&gt;0,A137+1,A137)</f>
        <v>106</v>
      </c>
      <c r="B138" s="144" t="str">
        <f>SEA!A$8</f>
        <v>Rashaad Penny</v>
      </c>
      <c r="C138" s="144" t="s">
        <v>165</v>
      </c>
      <c r="D138" s="144">
        <f>SEA!C$9</f>
        <v>11</v>
      </c>
      <c r="E138" s="145">
        <f>SEA!I$8</f>
        <v>135.7269802474585</v>
      </c>
      <c r="F138" s="145">
        <f>SEA!J$8</f>
        <v>652.84677499027532</v>
      </c>
      <c r="G138" s="145">
        <f>SEA!K$8</f>
        <v>5.2911679040614379</v>
      </c>
      <c r="H138" s="145">
        <f>SEA!L$8</f>
        <v>39.570281629442256</v>
      </c>
      <c r="I138" s="145">
        <f>SEA!M$8</f>
        <v>29.428418447816206</v>
      </c>
      <c r="J138" s="145">
        <f>SEA!N$8</f>
        <v>204.34758155676522</v>
      </c>
      <c r="K138" s="145">
        <f>SEA!O$8</f>
        <v>1.0888514825691995</v>
      </c>
      <c r="L138" s="145">
        <f t="shared" si="45"/>
        <v>123.99955197448789</v>
      </c>
      <c r="M138" s="145">
        <f t="shared" si="46"/>
        <v>138.71376119839599</v>
      </c>
      <c r="N138" s="145">
        <f t="shared" si="47"/>
        <v>153.4279704223041</v>
      </c>
      <c r="O13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123.99955197448789</v>
      </c>
      <c r="P138" s="190">
        <v>1.3563751124543861</v>
      </c>
    </row>
    <row r="139" spans="1:16" x14ac:dyDescent="0.3">
      <c r="A139" s="196">
        <f>IF(TableRBMaster[[#This Row],[Player]]&lt;&gt;0,A138+1,A138)</f>
        <v>107</v>
      </c>
      <c r="B139" s="144" t="str">
        <f>SEA!A$9</f>
        <v>DeeJay Dallas</v>
      </c>
      <c r="C139" s="144" t="s">
        <v>165</v>
      </c>
      <c r="D139" s="144">
        <f>SEA!C$8</f>
        <v>11</v>
      </c>
      <c r="E139" s="145">
        <f>SEA!I$9</f>
        <v>14.194986569342563</v>
      </c>
      <c r="F139" s="145">
        <f>SEA!J$9</f>
        <v>57.986263330641059</v>
      </c>
      <c r="G139" s="145">
        <f>SEA!K$9</f>
        <v>0.12506743018428321</v>
      </c>
      <c r="H139" s="145">
        <f>SEA!L$9</f>
        <v>9.3106545010452351</v>
      </c>
      <c r="I139" s="145">
        <f>SEA!M$9</f>
        <v>7.4531789280867109</v>
      </c>
      <c r="J139" s="145">
        <f>SEA!N$9</f>
        <v>45.669734146082341</v>
      </c>
      <c r="K139" s="145">
        <f>SEA!O$9</f>
        <v>3.8026423102483213E-2</v>
      </c>
      <c r="L139" s="145">
        <f t="shared" si="45"/>
        <v>11.344162867392939</v>
      </c>
      <c r="M139" s="145">
        <f t="shared" si="46"/>
        <v>15.070752331436294</v>
      </c>
      <c r="N139" s="145">
        <f t="shared" si="47"/>
        <v>18.79734179547965</v>
      </c>
      <c r="O13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11.344162867392939</v>
      </c>
      <c r="P139" s="190">
        <v>0</v>
      </c>
    </row>
    <row r="140" spans="1:16" x14ac:dyDescent="0.3">
      <c r="A140" s="196">
        <f>IF(TableRBMaster[[#This Row],[Player]]&lt;&gt;0,A139+1,A139)</f>
        <v>108</v>
      </c>
      <c r="B140" s="144" t="str">
        <f>SEA!A$10</f>
        <v>Travis Homer</v>
      </c>
      <c r="C140" s="144" t="s">
        <v>165</v>
      </c>
      <c r="D140" s="144">
        <f>SEA!C$10</f>
        <v>11</v>
      </c>
      <c r="E140" s="145">
        <f>SEA!I$10</f>
        <v>12.686840117893686</v>
      </c>
      <c r="F140" s="145">
        <f>SEA!J$10</f>
        <v>71.934383468457199</v>
      </c>
      <c r="G140" s="145">
        <f>SEA!K$10</f>
        <v>0.20010788829485313</v>
      </c>
      <c r="H140" s="145">
        <f>SEA!L$10</f>
        <v>5.8411922251206239</v>
      </c>
      <c r="I140" s="145">
        <f>SEA!M$10</f>
        <v>4.0993487035896541</v>
      </c>
      <c r="J140" s="145">
        <f>SEA!N$10</f>
        <v>31.22815955091227</v>
      </c>
      <c r="K140" s="145">
        <f>SEA!O$10</f>
        <v>0</v>
      </c>
      <c r="L140" s="145">
        <f t="shared" si="45"/>
        <v>11.516901631706066</v>
      </c>
      <c r="M140" s="145">
        <f t="shared" si="46"/>
        <v>13.566575983500893</v>
      </c>
      <c r="N140" s="145">
        <f t="shared" si="47"/>
        <v>15.616250335295721</v>
      </c>
      <c r="O14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11.516901631706066</v>
      </c>
      <c r="P140" s="190">
        <v>0</v>
      </c>
    </row>
    <row r="141" spans="1:16" x14ac:dyDescent="0.3">
      <c r="A141" s="196">
        <f>IF(TableRBMaster[[#This Row],[Player]]&lt;&gt;0,A140+1,A140)</f>
        <v>108</v>
      </c>
      <c r="B141" s="144">
        <f>SEA!A$11</f>
        <v>0</v>
      </c>
      <c r="C141" s="144" t="s">
        <v>165</v>
      </c>
      <c r="D141" s="144">
        <f>SEA!C$11</f>
        <v>11</v>
      </c>
      <c r="E141" s="145">
        <f>SEA!I$11</f>
        <v>0</v>
      </c>
      <c r="F141" s="145">
        <f>SEA!J$11</f>
        <v>0</v>
      </c>
      <c r="G141" s="145">
        <f>SEA!K$11</f>
        <v>0</v>
      </c>
      <c r="H141" s="145">
        <f>SEA!L$11</f>
        <v>0</v>
      </c>
      <c r="I141" s="145">
        <f>SEA!M$11</f>
        <v>0</v>
      </c>
      <c r="J141" s="145">
        <f>SEA!N$11</f>
        <v>0</v>
      </c>
      <c r="K141" s="145">
        <f>SEA!O$11</f>
        <v>0</v>
      </c>
      <c r="L141" s="145">
        <f t="shared" ref="L141:L161" si="48">(F141/10)+(G141*6)+(J141/10)+(K141*6)</f>
        <v>0</v>
      </c>
      <c r="M141" s="145">
        <f t="shared" ref="M141:M161" si="49">L141+(I141*0.5)</f>
        <v>0</v>
      </c>
      <c r="N141" s="145">
        <f t="shared" ref="N141:N161" si="50">L141+I141</f>
        <v>0</v>
      </c>
      <c r="O14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1" s="190">
        <v>0</v>
      </c>
    </row>
    <row r="142" spans="1:16" x14ac:dyDescent="0.3">
      <c r="A142" s="196">
        <f>IF(TableRBMaster[[#This Row],[Player]]&lt;&gt;0,A141+1,A141)</f>
        <v>109</v>
      </c>
      <c r="B142" s="144" t="str">
        <f>SF!A$7</f>
        <v>Elijah Mitchell</v>
      </c>
      <c r="C142" s="144" t="s">
        <v>166</v>
      </c>
      <c r="D142" s="144">
        <f>SF!C$7</f>
        <v>9</v>
      </c>
      <c r="E142" s="145">
        <f>SF!I$7</f>
        <v>243.90509682302084</v>
      </c>
      <c r="F142" s="145">
        <f>SF!J$7</f>
        <v>1047.6730162378904</v>
      </c>
      <c r="G142" s="145">
        <f>SF!K$7</f>
        <v>7.6098390208782503</v>
      </c>
      <c r="H142" s="145">
        <f>SF!L$7</f>
        <v>23.020022009540362</v>
      </c>
      <c r="I142" s="145">
        <f>SF!M$7</f>
        <v>15.913741215195254</v>
      </c>
      <c r="J142" s="145">
        <f>SF!N$7</f>
        <v>108.53171508763164</v>
      </c>
      <c r="K142" s="145">
        <f>SF!O$7</f>
        <v>0.66235787645763544</v>
      </c>
      <c r="L142" s="145">
        <f t="shared" si="48"/>
        <v>165.25365451656748</v>
      </c>
      <c r="M142" s="145">
        <f t="shared" si="49"/>
        <v>173.21052512416512</v>
      </c>
      <c r="N142" s="145">
        <f t="shared" si="50"/>
        <v>181.16739573176272</v>
      </c>
      <c r="O14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165.25365451656748</v>
      </c>
      <c r="P142" s="190">
        <v>21.533108930351833</v>
      </c>
    </row>
    <row r="143" spans="1:16" x14ac:dyDescent="0.3">
      <c r="A143" s="196">
        <f>IF(TableRBMaster[[#This Row],[Player]]&lt;&gt;0,A142+1,A142)</f>
        <v>110</v>
      </c>
      <c r="B143" s="144" t="str">
        <f>SF!A$8</f>
        <v>Jeff Wilson</v>
      </c>
      <c r="C143" s="144" t="s">
        <v>166</v>
      </c>
      <c r="D143" s="144">
        <f>SF!C$9</f>
        <v>9</v>
      </c>
      <c r="E143" s="145">
        <f>SF!I$8</f>
        <v>28.963730247733729</v>
      </c>
      <c r="F143" s="145">
        <f>SF!J$8</f>
        <v>114.40673447854823</v>
      </c>
      <c r="G143" s="145">
        <f>SF!K$8</f>
        <v>1.1937025940378592</v>
      </c>
      <c r="H143" s="145">
        <f>SF!L$8</f>
        <v>7.1252449077148734</v>
      </c>
      <c r="I143" s="145">
        <f>SF!M$8</f>
        <v>4.930669476138692</v>
      </c>
      <c r="J143" s="145">
        <f>SF!N$8</f>
        <v>31.049879091805149</v>
      </c>
      <c r="K143" s="145">
        <f>SF!O$8</f>
        <v>7.8154703543900139E-2</v>
      </c>
      <c r="L143" s="145">
        <f t="shared" si="48"/>
        <v>22.176805142525897</v>
      </c>
      <c r="M143" s="145">
        <f t="shared" si="49"/>
        <v>24.642139880595241</v>
      </c>
      <c r="N143" s="145">
        <f t="shared" si="50"/>
        <v>27.10747461866459</v>
      </c>
      <c r="O14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22.176805142525897</v>
      </c>
      <c r="P143" s="190">
        <v>6.803798802020828</v>
      </c>
    </row>
    <row r="144" spans="1:16" x14ac:dyDescent="0.3">
      <c r="A144" s="196">
        <f>IF(TableRBMaster[[#This Row],[Player]]&lt;&gt;0,A143+1,A143)</f>
        <v>111</v>
      </c>
      <c r="B144" s="144" t="str">
        <f>SF!A$9</f>
        <v>Trey Sermon</v>
      </c>
      <c r="C144" s="144" t="s">
        <v>166</v>
      </c>
      <c r="D144" s="144">
        <f>SF!C$8</f>
        <v>9</v>
      </c>
      <c r="E144" s="145">
        <f>SF!I$9</f>
        <v>10.670847986007162</v>
      </c>
      <c r="F144" s="145">
        <f>SF!J$9</f>
        <v>43.323642823189076</v>
      </c>
      <c r="G144" s="145">
        <f>SF!K$9</f>
        <v>0.24961047920484589</v>
      </c>
      <c r="H144" s="145">
        <f>SF!L$9</f>
        <v>4.0341004690152866</v>
      </c>
      <c r="I144" s="145">
        <f>SF!M$9</f>
        <v>2.42530120197199</v>
      </c>
      <c r="J144" s="145">
        <f>SF!N$9</f>
        <v>17.410197914156072</v>
      </c>
      <c r="K144" s="145">
        <f>SF!O$9</f>
        <v>6.5829604053525462E-2</v>
      </c>
      <c r="L144" s="145">
        <f t="shared" si="48"/>
        <v>7.9660245732847432</v>
      </c>
      <c r="M144" s="145">
        <f t="shared" si="49"/>
        <v>9.1786751742707384</v>
      </c>
      <c r="N144" s="145">
        <f t="shared" si="50"/>
        <v>10.391325775256734</v>
      </c>
      <c r="O14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7.9660245732847432</v>
      </c>
      <c r="P144" s="190">
        <v>0</v>
      </c>
    </row>
    <row r="145" spans="1:16" x14ac:dyDescent="0.3">
      <c r="A145" s="196">
        <f>IF(TableRBMaster[[#This Row],[Player]]&lt;&gt;0,A144+1,A144)</f>
        <v>112</v>
      </c>
      <c r="B145" s="144" t="str">
        <f>SF!A$10</f>
        <v>Tyrion Davis-Price</v>
      </c>
      <c r="C145" s="144" t="s">
        <v>166</v>
      </c>
      <c r="D145" s="144">
        <f>SF!C$10</f>
        <v>9</v>
      </c>
      <c r="E145" s="145">
        <f>SF!I$10</f>
        <v>31.504408339640197</v>
      </c>
      <c r="F145" s="145">
        <f>SF!J$10</f>
        <v>133.89373544347083</v>
      </c>
      <c r="G145" s="145">
        <f>SF!K$10</f>
        <v>0.96403489519299002</v>
      </c>
      <c r="H145" s="145">
        <f>SF!L$10</f>
        <v>29.597171155123323</v>
      </c>
      <c r="I145" s="145">
        <f>SF!M$10</f>
        <v>18.708371887153454</v>
      </c>
      <c r="J145" s="145">
        <f>SF!N$10</f>
        <v>132.76640617766881</v>
      </c>
      <c r="K145" s="145">
        <f>SF!O$10</f>
        <v>0.61647160020276648</v>
      </c>
      <c r="L145" s="145">
        <f t="shared" si="48"/>
        <v>36.149053134488504</v>
      </c>
      <c r="M145" s="145">
        <f t="shared" si="49"/>
        <v>45.503239078065235</v>
      </c>
      <c r="N145" s="145">
        <f t="shared" si="50"/>
        <v>54.857425021641959</v>
      </c>
      <c r="O14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36.149053134488504</v>
      </c>
      <c r="P145" s="190">
        <v>0</v>
      </c>
    </row>
    <row r="146" spans="1:16" x14ac:dyDescent="0.3">
      <c r="A146" s="196">
        <f>IF(TableRBMaster[[#This Row],[Player]]&lt;&gt;0,A145+1,A145)</f>
        <v>113</v>
      </c>
      <c r="B146" s="144" t="str">
        <f>SF!A$11</f>
        <v>Kyle Juszczyk</v>
      </c>
      <c r="C146" s="144" t="s">
        <v>166</v>
      </c>
      <c r="D146" s="144">
        <f>SF!C$11</f>
        <v>9</v>
      </c>
      <c r="E146" s="145">
        <f>SF!I$11</f>
        <v>5.5894918021942273</v>
      </c>
      <c r="F146" s="145">
        <f>SF!J$11</f>
        <v>19.340550496047669</v>
      </c>
      <c r="G146" s="145">
        <f>SF!K$11</f>
        <v>0.18177209112826753</v>
      </c>
      <c r="H146" s="145">
        <f>SF!L$11</f>
        <v>34.436535011435417</v>
      </c>
      <c r="I146" s="145">
        <f>SF!M$11</f>
        <v>22.796986177570247</v>
      </c>
      <c r="J146" s="145">
        <f>SF!N$11</f>
        <v>180.25022449319394</v>
      </c>
      <c r="K146" s="145">
        <f>SF!O$11</f>
        <v>1.2322695231119052</v>
      </c>
      <c r="L146" s="145">
        <f t="shared" si="48"/>
        <v>28.443327184365195</v>
      </c>
      <c r="M146" s="145">
        <f t="shared" si="49"/>
        <v>39.841820273150319</v>
      </c>
      <c r="N146" s="145">
        <f t="shared" si="50"/>
        <v>51.240313361935442</v>
      </c>
      <c r="O14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28.443327184365195</v>
      </c>
      <c r="P146" s="190">
        <v>0</v>
      </c>
    </row>
    <row r="147" spans="1:16" x14ac:dyDescent="0.3">
      <c r="A147" s="196">
        <f>IF(TableRBMaster[[#This Row],[Player]]&lt;&gt;0,A146+1,A146)</f>
        <v>114</v>
      </c>
      <c r="B147" s="144" t="str">
        <f>TB!A$7</f>
        <v>Leonard Fournette</v>
      </c>
      <c r="C147" s="144" t="s">
        <v>167</v>
      </c>
      <c r="D147" s="144">
        <f>TB!C$7</f>
        <v>11</v>
      </c>
      <c r="E147" s="145">
        <f>TB!I$7</f>
        <v>206.54928352033068</v>
      </c>
      <c r="F147" s="145">
        <f>TB!J$7</f>
        <v>917.07881883026823</v>
      </c>
      <c r="G147" s="145">
        <f>TB!K$7</f>
        <v>9.5219219702872451</v>
      </c>
      <c r="H147" s="145">
        <f>TB!L$7</f>
        <v>73.866945697740135</v>
      </c>
      <c r="I147" s="145">
        <f>TB!M$7</f>
        <v>58.871955721098892</v>
      </c>
      <c r="J147" s="145">
        <f>TB!N$7</f>
        <v>386.78874908761975</v>
      </c>
      <c r="K147" s="145">
        <f>TB!O$7</f>
        <v>2.1193904059595599</v>
      </c>
      <c r="L147" s="145">
        <f t="shared" si="48"/>
        <v>200.23463104926964</v>
      </c>
      <c r="M147" s="145">
        <f t="shared" si="49"/>
        <v>229.67060890981909</v>
      </c>
      <c r="N147" s="145">
        <f t="shared" si="50"/>
        <v>259.10658677036855</v>
      </c>
      <c r="O14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200.23463104926964</v>
      </c>
      <c r="P147" s="190">
        <v>14.38777229796065</v>
      </c>
    </row>
    <row r="148" spans="1:16" x14ac:dyDescent="0.3">
      <c r="A148" s="196">
        <f>IF(TableRBMaster[[#This Row],[Player]]&lt;&gt;0,A147+1,A147)</f>
        <v>115</v>
      </c>
      <c r="B148" s="144" t="str">
        <f>TB!A$8</f>
        <v>Rachaad White</v>
      </c>
      <c r="C148" s="144" t="s">
        <v>167</v>
      </c>
      <c r="D148" s="144">
        <f>TB!C$9</f>
        <v>11</v>
      </c>
      <c r="E148" s="145">
        <f>TB!I$8</f>
        <v>81.55266913902355</v>
      </c>
      <c r="F148" s="145">
        <f>TB!J$8</f>
        <v>350.67647729780123</v>
      </c>
      <c r="G148" s="145">
        <f>TB!K$8</f>
        <v>3.0990014272828947</v>
      </c>
      <c r="H148" s="145">
        <f>TB!L$8</f>
        <v>45.272989045876542</v>
      </c>
      <c r="I148" s="145">
        <f>TB!M$8</f>
        <v>32.343023374374205</v>
      </c>
      <c r="J148" s="145">
        <f>TB!N$8</f>
        <v>236.42750086667542</v>
      </c>
      <c r="K148" s="145">
        <f>TB!O$8</f>
        <v>1.2937209349749683</v>
      </c>
      <c r="L148" s="145">
        <f t="shared" si="48"/>
        <v>85.066731989994835</v>
      </c>
      <c r="M148" s="145">
        <f t="shared" si="49"/>
        <v>101.23824367718194</v>
      </c>
      <c r="N148" s="145">
        <f t="shared" si="50"/>
        <v>117.40975536436903</v>
      </c>
      <c r="O14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85.06673198999485</v>
      </c>
      <c r="P148" s="190">
        <v>8.5722927714506358</v>
      </c>
    </row>
    <row r="149" spans="1:16" x14ac:dyDescent="0.3">
      <c r="A149" s="196">
        <f>IF(TableRBMaster[[#This Row],[Player]]&lt;&gt;0,A148+1,A148)</f>
        <v>116</v>
      </c>
      <c r="B149" s="144" t="str">
        <f>TB!A$9</f>
        <v>Giovani Bernard</v>
      </c>
      <c r="C149" s="144" t="s">
        <v>167</v>
      </c>
      <c r="D149" s="144">
        <f>TB!C$8</f>
        <v>11</v>
      </c>
      <c r="E149" s="145">
        <f>TB!I$9</f>
        <v>37.727636657772578</v>
      </c>
      <c r="F149" s="145">
        <f>TB!J$9</f>
        <v>159.68557101766075</v>
      </c>
      <c r="G149" s="145">
        <f>TB!K$9</f>
        <v>1.0393697459218001</v>
      </c>
      <c r="H149" s="145">
        <f>TB!L$9</f>
        <v>29.986581474048769</v>
      </c>
      <c r="I149" s="145">
        <f>TB!M$9</f>
        <v>19.497475184969673</v>
      </c>
      <c r="J149" s="145">
        <f>TB!N$9</f>
        <v>139.40694757253317</v>
      </c>
      <c r="K149" s="145">
        <f>TB!O$9</f>
        <v>0.93558134199032195</v>
      </c>
      <c r="L149" s="145">
        <f t="shared" si="48"/>
        <v>41.758958386492125</v>
      </c>
      <c r="M149" s="145">
        <f t="shared" si="49"/>
        <v>51.507695978976962</v>
      </c>
      <c r="N149" s="145">
        <f t="shared" si="50"/>
        <v>61.256433571461798</v>
      </c>
      <c r="O14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41.758958386492125</v>
      </c>
      <c r="P149" s="190">
        <v>0</v>
      </c>
    </row>
    <row r="150" spans="1:16" x14ac:dyDescent="0.3">
      <c r="A150" s="196">
        <f>IF(TableRBMaster[[#This Row],[Player]]&lt;&gt;0,A149+1,A149)</f>
        <v>117</v>
      </c>
      <c r="B150" s="144" t="str">
        <f>TB!A$10</f>
        <v>Ke'Shawn Vaughn</v>
      </c>
      <c r="C150" s="144" t="s">
        <v>167</v>
      </c>
      <c r="D150" s="144">
        <f>TB!C$10</f>
        <v>11</v>
      </c>
      <c r="E150" s="145">
        <f>TB!I$10</f>
        <v>21.340885382174388</v>
      </c>
      <c r="F150" s="145">
        <f>TB!J$10</f>
        <v>93.899895681567315</v>
      </c>
      <c r="G150" s="145">
        <f>TB!K$10</f>
        <v>0.94326713389210803</v>
      </c>
      <c r="H150" s="145">
        <f>TB!L$10</f>
        <v>12.826651325733659</v>
      </c>
      <c r="I150" s="145">
        <f>TB!M$10</f>
        <v>7.7229267632242351</v>
      </c>
      <c r="J150" s="145">
        <f>TB!N$10</f>
        <v>53.056506863350499</v>
      </c>
      <c r="K150" s="145">
        <f>TB!O$10</f>
        <v>0.23168780289672705</v>
      </c>
      <c r="L150" s="145">
        <f t="shared" si="48"/>
        <v>21.745369875224792</v>
      </c>
      <c r="M150" s="145">
        <f t="shared" si="49"/>
        <v>25.606833256836911</v>
      </c>
      <c r="N150" s="145">
        <f t="shared" si="50"/>
        <v>29.468296638449026</v>
      </c>
      <c r="O15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21.745369875224792</v>
      </c>
      <c r="P150" s="190">
        <v>0</v>
      </c>
    </row>
    <row r="151" spans="1:16" x14ac:dyDescent="0.3">
      <c r="A151" s="196">
        <f>IF(TableRBMaster[[#This Row],[Player]]&lt;&gt;0,A150+1,A150)</f>
        <v>117</v>
      </c>
      <c r="B151" s="144">
        <f>TB!A$11</f>
        <v>0</v>
      </c>
      <c r="C151" s="144" t="s">
        <v>167</v>
      </c>
      <c r="D151" s="144">
        <f>TB!C$11</f>
        <v>11</v>
      </c>
      <c r="E151" s="145">
        <f>TB!I$11</f>
        <v>0</v>
      </c>
      <c r="F151" s="145">
        <f>TB!J$11</f>
        <v>0</v>
      </c>
      <c r="G151" s="145">
        <f>TB!K$11</f>
        <v>0</v>
      </c>
      <c r="H151" s="145">
        <f>TB!L$11</f>
        <v>0</v>
      </c>
      <c r="I151" s="145">
        <f>TB!M$11</f>
        <v>0</v>
      </c>
      <c r="J151" s="145">
        <f>TB!N$11</f>
        <v>0</v>
      </c>
      <c r="K151" s="145">
        <f>TB!O$11</f>
        <v>0</v>
      </c>
      <c r="L151" s="145">
        <f t="shared" si="48"/>
        <v>0</v>
      </c>
      <c r="M151" s="145">
        <f t="shared" si="49"/>
        <v>0</v>
      </c>
      <c r="N151" s="145">
        <f t="shared" si="50"/>
        <v>0</v>
      </c>
      <c r="O15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1" s="190">
        <v>0</v>
      </c>
    </row>
    <row r="152" spans="1:16" x14ac:dyDescent="0.3">
      <c r="A152" s="196">
        <f>IF(TableRBMaster[[#This Row],[Player]]&lt;&gt;0,A151+1,A151)</f>
        <v>118</v>
      </c>
      <c r="B152" s="144" t="str">
        <f>TEN!A$7</f>
        <v>Derrick Henry</v>
      </c>
      <c r="C152" s="144" t="s">
        <v>168</v>
      </c>
      <c r="D152" s="144">
        <f>TEN!C$7</f>
        <v>6</v>
      </c>
      <c r="E152" s="145">
        <f>TEN!I$7</f>
        <v>379.73627374053865</v>
      </c>
      <c r="F152" s="145">
        <f>TEN!J$7</f>
        <v>1701.2185063576133</v>
      </c>
      <c r="G152" s="145">
        <f>TEN!K$7</f>
        <v>15.341345459117761</v>
      </c>
      <c r="H152" s="145">
        <f>TEN!L$7</f>
        <v>35.81076020525925</v>
      </c>
      <c r="I152" s="145">
        <f>TEN!M$7</f>
        <v>29.597593309646772</v>
      </c>
      <c r="J152" s="145">
        <f>TEN!N$7</f>
        <v>232.46296780081911</v>
      </c>
      <c r="K152" s="145">
        <f>TEN!O$7</f>
        <v>0.67170110667653082</v>
      </c>
      <c r="L152" s="145">
        <f t="shared" si="48"/>
        <v>289.44642681060901</v>
      </c>
      <c r="M152" s="145">
        <f t="shared" si="49"/>
        <v>304.24522346543239</v>
      </c>
      <c r="N152" s="145">
        <f t="shared" si="50"/>
        <v>319.04402012025577</v>
      </c>
      <c r="O152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289.44642681060907</v>
      </c>
      <c r="P152" s="190">
        <v>49.098734107865603</v>
      </c>
    </row>
    <row r="153" spans="1:16" x14ac:dyDescent="0.3">
      <c r="A153" s="196">
        <f>IF(TableRBMaster[[#This Row],[Player]]&lt;&gt;0,A152+1,A152)</f>
        <v>119</v>
      </c>
      <c r="B153" s="144" t="str">
        <f>TEN!A$8</f>
        <v>Hassan Haskins</v>
      </c>
      <c r="C153" s="144" t="s">
        <v>168</v>
      </c>
      <c r="D153" s="144">
        <f>TEN!C$9</f>
        <v>6</v>
      </c>
      <c r="E153" s="145">
        <f>TEN!I$8</f>
        <v>54.634421150704284</v>
      </c>
      <c r="F153" s="145">
        <f>TEN!J$8</f>
        <v>227.27919198692982</v>
      </c>
      <c r="G153" s="145">
        <f>TEN!K$8</f>
        <v>1.671813287211551</v>
      </c>
      <c r="H153" s="145">
        <f>TEN!L$8</f>
        <v>14.262321172131504</v>
      </c>
      <c r="I153" s="145">
        <f>TEN!M$8</f>
        <v>9.8167556627781138</v>
      </c>
      <c r="J153" s="145">
        <f>TEN!N$8</f>
        <v>69.468499822921956</v>
      </c>
      <c r="K153" s="145">
        <f>TEN!O$8</f>
        <v>0.18933939157966428</v>
      </c>
      <c r="L153" s="145">
        <f t="shared" si="48"/>
        <v>40.841685253732464</v>
      </c>
      <c r="M153" s="145">
        <f t="shared" si="49"/>
        <v>45.750063085121525</v>
      </c>
      <c r="N153" s="145">
        <f t="shared" si="50"/>
        <v>50.658440916510578</v>
      </c>
      <c r="O153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40.841685253732471</v>
      </c>
      <c r="P153" s="190">
        <v>0</v>
      </c>
    </row>
    <row r="154" spans="1:16" x14ac:dyDescent="0.3">
      <c r="A154" s="196">
        <f>IF(TableRBMaster[[#This Row],[Player]]&lt;&gt;0,A153+1,A153)</f>
        <v>120</v>
      </c>
      <c r="B154" s="144" t="str">
        <f>TEN!A$9</f>
        <v>Dontrell Hilliard</v>
      </c>
      <c r="C154" s="144" t="s">
        <v>168</v>
      </c>
      <c r="D154" s="144">
        <f>TEN!C$8</f>
        <v>6</v>
      </c>
      <c r="E154" s="145">
        <f>TEN!I$9</f>
        <v>27.587678006791272</v>
      </c>
      <c r="F154" s="145">
        <f>TEN!J$9</f>
        <v>147.68563851371997</v>
      </c>
      <c r="G154" s="145">
        <f>TEN!K$9</f>
        <v>0.74463552311786929</v>
      </c>
      <c r="H154" s="145">
        <f>TEN!L$9</f>
        <v>39.746878106667999</v>
      </c>
      <c r="I154" s="145">
        <f>TEN!M$9</f>
        <v>29.889652336214336</v>
      </c>
      <c r="J154" s="145">
        <f>TEN!N$9</f>
        <v>178.17193969571079</v>
      </c>
      <c r="K154" s="145">
        <f>TEN!O$9</f>
        <v>0.64737936757585801</v>
      </c>
      <c r="L154" s="145">
        <f t="shared" si="48"/>
        <v>40.937847165105438</v>
      </c>
      <c r="M154" s="145">
        <f t="shared" si="49"/>
        <v>55.882673333212608</v>
      </c>
      <c r="N154" s="145">
        <f t="shared" si="50"/>
        <v>70.827499501319778</v>
      </c>
      <c r="O154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40.937847165105438</v>
      </c>
      <c r="P154" s="190">
        <v>0</v>
      </c>
    </row>
    <row r="155" spans="1:16" x14ac:dyDescent="0.3">
      <c r="A155" s="196">
        <f>IF(TableRBMaster[[#This Row],[Player]]&lt;&gt;0,A154+1,A154)</f>
        <v>120</v>
      </c>
      <c r="B155" s="144">
        <f>TEN!A$10</f>
        <v>0</v>
      </c>
      <c r="C155" s="144" t="s">
        <v>168</v>
      </c>
      <c r="D155" s="144">
        <f>TEN!C$10</f>
        <v>6</v>
      </c>
      <c r="E155" s="145">
        <f>TEN!I$10</f>
        <v>0</v>
      </c>
      <c r="F155" s="145">
        <f>TEN!J$10</f>
        <v>0</v>
      </c>
      <c r="G155" s="145">
        <f>TEN!K$10</f>
        <v>0</v>
      </c>
      <c r="H155" s="145">
        <f>TEN!L$10</f>
        <v>0</v>
      </c>
      <c r="I155" s="145">
        <f>TEN!M$10</f>
        <v>0</v>
      </c>
      <c r="J155" s="145">
        <f>TEN!N$10</f>
        <v>0</v>
      </c>
      <c r="K155" s="145">
        <f>TEN!O$10</f>
        <v>0</v>
      </c>
      <c r="L155" s="145">
        <f t="shared" si="48"/>
        <v>0</v>
      </c>
      <c r="M155" s="145">
        <f t="shared" si="49"/>
        <v>0</v>
      </c>
      <c r="N155" s="145">
        <f t="shared" si="50"/>
        <v>0</v>
      </c>
      <c r="O155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5" s="190">
        <v>0</v>
      </c>
    </row>
    <row r="156" spans="1:16" x14ac:dyDescent="0.3">
      <c r="A156" s="196">
        <f>IF(TableRBMaster[[#This Row],[Player]]&lt;&gt;0,A155+1,A155)</f>
        <v>120</v>
      </c>
      <c r="B156" s="144">
        <f>TEN!A$11</f>
        <v>0</v>
      </c>
      <c r="C156" s="144" t="s">
        <v>168</v>
      </c>
      <c r="D156" s="144">
        <f>TEN!C$11</f>
        <v>6</v>
      </c>
      <c r="E156" s="145">
        <f>TEN!I$11</f>
        <v>0</v>
      </c>
      <c r="F156" s="145">
        <f>TEN!J$11</f>
        <v>0</v>
      </c>
      <c r="G156" s="145">
        <f>TEN!K$11</f>
        <v>0</v>
      </c>
      <c r="H156" s="145">
        <f>TEN!L$11</f>
        <v>0</v>
      </c>
      <c r="I156" s="145">
        <f>TEN!M$11</f>
        <v>0</v>
      </c>
      <c r="J156" s="145">
        <f>TEN!N$11</f>
        <v>0</v>
      </c>
      <c r="K156" s="145">
        <f>TEN!O$11</f>
        <v>0</v>
      </c>
      <c r="L156" s="145">
        <f t="shared" si="48"/>
        <v>0</v>
      </c>
      <c r="M156" s="145">
        <f t="shared" si="49"/>
        <v>0</v>
      </c>
      <c r="N156" s="145">
        <f t="shared" si="50"/>
        <v>0</v>
      </c>
      <c r="O156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6" s="190">
        <v>0</v>
      </c>
    </row>
    <row r="157" spans="1:16" x14ac:dyDescent="0.3">
      <c r="A157" s="196">
        <f>IF(TableRBMaster[[#This Row],[Player]]&lt;&gt;0,A156+1,A156)</f>
        <v>121</v>
      </c>
      <c r="B157" s="144" t="str">
        <f>WSH!A$7</f>
        <v>Antonio Gibson</v>
      </c>
      <c r="C157" s="144" t="s">
        <v>171</v>
      </c>
      <c r="D157" s="144">
        <f>WSH!C$7</f>
        <v>14</v>
      </c>
      <c r="E157" s="145">
        <f>WSH!I$7</f>
        <v>252.49364514068449</v>
      </c>
      <c r="F157" s="145">
        <f>WSH!J$7</f>
        <v>1081.3173132491916</v>
      </c>
      <c r="G157" s="145">
        <f>WSH!K$7</f>
        <v>9.5190104218038041</v>
      </c>
      <c r="H157" s="145">
        <f>WSH!L$7</f>
        <v>44.527982942900287</v>
      </c>
      <c r="I157" s="145">
        <f>WSH!M$7</f>
        <v>34.237566084796029</v>
      </c>
      <c r="J157" s="145">
        <f>WSH!N$7</f>
        <v>254.38511601003449</v>
      </c>
      <c r="K157" s="145">
        <f>WSH!O$7</f>
        <v>1.5601303716845818</v>
      </c>
      <c r="L157" s="145">
        <f t="shared" si="48"/>
        <v>200.04508768685292</v>
      </c>
      <c r="M157" s="145">
        <f t="shared" si="49"/>
        <v>217.16387072925093</v>
      </c>
      <c r="N157" s="145">
        <f t="shared" si="50"/>
        <v>234.28265377164894</v>
      </c>
      <c r="O157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200.04508768685292</v>
      </c>
      <c r="P157" s="190">
        <v>33.598856158456854</v>
      </c>
    </row>
    <row r="158" spans="1:16" x14ac:dyDescent="0.3">
      <c r="A158" s="196">
        <f>IF(TableRBMaster[[#This Row],[Player]]&lt;&gt;0,A157+1,A157)</f>
        <v>122</v>
      </c>
      <c r="B158" s="144" t="str">
        <f>WSH!A$8</f>
        <v>J.D. McKissic</v>
      </c>
      <c r="C158" s="144" t="s">
        <v>171</v>
      </c>
      <c r="D158" s="144">
        <f>WSH!C$9</f>
        <v>14</v>
      </c>
      <c r="E158" s="145">
        <f>WSH!I$8</f>
        <v>40.239792833278976</v>
      </c>
      <c r="F158" s="145">
        <f>WSH!J$8</f>
        <v>176.10117439498976</v>
      </c>
      <c r="G158" s="145">
        <f>WSH!K$8</f>
        <v>1.5731518492636607</v>
      </c>
      <c r="H158" s="145">
        <f>WSH!L$8</f>
        <v>70.299489129730276</v>
      </c>
      <c r="I158" s="145">
        <f>WSH!M$8</f>
        <v>52.162220934259864</v>
      </c>
      <c r="J158" s="145">
        <f>WSH!N$8</f>
        <v>462.67889968688496</v>
      </c>
      <c r="K158" s="145">
        <f>WSH!O$8</f>
        <v>2.3472999420416936</v>
      </c>
      <c r="L158" s="145">
        <f t="shared" si="48"/>
        <v>87.400718156019593</v>
      </c>
      <c r="M158" s="145">
        <f t="shared" si="49"/>
        <v>113.48182862314953</v>
      </c>
      <c r="N158" s="145">
        <f t="shared" si="50"/>
        <v>139.56293909027946</v>
      </c>
      <c r="O158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87.400718156019607</v>
      </c>
      <c r="P158" s="190">
        <v>0</v>
      </c>
    </row>
    <row r="159" spans="1:16" x14ac:dyDescent="0.3">
      <c r="A159" s="196">
        <f>IF(TableRBMaster[[#This Row],[Player]]&lt;&gt;0,A158+1,A158)</f>
        <v>123</v>
      </c>
      <c r="B159" s="144" t="str">
        <f>WSH!A$9</f>
        <v>Brian Robinson</v>
      </c>
      <c r="C159" s="144" t="s">
        <v>171</v>
      </c>
      <c r="D159" s="144">
        <f>WSH!C$8</f>
        <v>14</v>
      </c>
      <c r="E159" s="145">
        <f>WSH!I$9</f>
        <v>61.022982538379111</v>
      </c>
      <c r="F159" s="145">
        <f>WSH!J$9</f>
        <v>261.22973819067295</v>
      </c>
      <c r="G159" s="145">
        <f>WSH!K$9</f>
        <v>2.2200930731297781</v>
      </c>
      <c r="H159" s="145">
        <f>WSH!L$9</f>
        <v>19.116527745803847</v>
      </c>
      <c r="I159" s="145">
        <f>WSH!M$9</f>
        <v>14.031531365420022</v>
      </c>
      <c r="J159" s="145">
        <f>WSH!N$9</f>
        <v>103.83333210410817</v>
      </c>
      <c r="K159" s="145">
        <f>WSH!O$9</f>
        <v>0.4349774723280207</v>
      </c>
      <c r="L159" s="145">
        <f t="shared" si="48"/>
        <v>52.436730302224902</v>
      </c>
      <c r="M159" s="145">
        <f t="shared" si="49"/>
        <v>59.452495984934913</v>
      </c>
      <c r="N159" s="145">
        <f t="shared" si="50"/>
        <v>66.468261667644924</v>
      </c>
      <c r="O159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52.436730302224909</v>
      </c>
      <c r="P159" s="190">
        <v>0</v>
      </c>
    </row>
    <row r="160" spans="1:16" x14ac:dyDescent="0.3">
      <c r="A160" s="196">
        <f>IF(TableRBMaster[[#This Row],[Player]]&lt;&gt;0,A159+1,A159)</f>
        <v>124</v>
      </c>
      <c r="B160" s="144" t="str">
        <f>WSH!A$10</f>
        <v>Jaret Patterson</v>
      </c>
      <c r="C160" s="144" t="s">
        <v>171</v>
      </c>
      <c r="D160" s="144">
        <f>WSH!C$10</f>
        <v>14</v>
      </c>
      <c r="E160" s="145">
        <f>WSH!I$10</f>
        <v>5.30634630768514</v>
      </c>
      <c r="F160" s="145">
        <f>WSH!J$10</f>
        <v>21.384575619971116</v>
      </c>
      <c r="G160" s="145">
        <f>WSH!K$10</f>
        <v>0.12317153707564812</v>
      </c>
      <c r="H160" s="145">
        <f>WSH!L$10</f>
        <v>8.633270594879157</v>
      </c>
      <c r="I160" s="145">
        <f>WSH!M$10</f>
        <v>5.6694687996571416</v>
      </c>
      <c r="J160" s="145">
        <f>WSH!N$10</f>
        <v>37.701967517719993</v>
      </c>
      <c r="K160" s="145">
        <f>WSH!O$10</f>
        <v>5.7293164363167566E-2</v>
      </c>
      <c r="L160" s="145">
        <f t="shared" si="48"/>
        <v>6.9914425224020045</v>
      </c>
      <c r="M160" s="145">
        <f t="shared" si="49"/>
        <v>9.8261769222305748</v>
      </c>
      <c r="N160" s="145">
        <f t="shared" si="50"/>
        <v>12.660911322059146</v>
      </c>
      <c r="O160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6.9914425224020054</v>
      </c>
      <c r="P160" s="190">
        <v>0</v>
      </c>
    </row>
    <row r="161" spans="1:16" x14ac:dyDescent="0.3">
      <c r="A161" s="196">
        <f>IF(TableRBMaster[[#This Row],[Player]]&lt;&gt;0,A160+1,A160)</f>
        <v>124</v>
      </c>
      <c r="B161" s="144">
        <f>WSH!A$11</f>
        <v>0</v>
      </c>
      <c r="C161" s="144" t="s">
        <v>171</v>
      </c>
      <c r="D161" s="144">
        <f>WSH!C$11</f>
        <v>14</v>
      </c>
      <c r="E161" s="145">
        <f>WSH!I$11</f>
        <v>0</v>
      </c>
      <c r="F161" s="145">
        <f>WSH!J$11</f>
        <v>0</v>
      </c>
      <c r="G161" s="145">
        <f>WSH!K$11</f>
        <v>0</v>
      </c>
      <c r="H161" s="145">
        <f>WSH!L$11</f>
        <v>0</v>
      </c>
      <c r="I161" s="145">
        <f>WSH!M$11</f>
        <v>0</v>
      </c>
      <c r="J161" s="145">
        <f>WSH!N$11</f>
        <v>0</v>
      </c>
      <c r="K161" s="145">
        <f>WSH!O$11</f>
        <v>0</v>
      </c>
      <c r="L161" s="145">
        <f t="shared" si="48"/>
        <v>0</v>
      </c>
      <c r="M161" s="145">
        <f t="shared" si="49"/>
        <v>0</v>
      </c>
      <c r="N161" s="145">
        <f t="shared" si="50"/>
        <v>0</v>
      </c>
      <c r="O161" s="188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1" s="190">
        <v>0</v>
      </c>
    </row>
  </sheetData>
  <sortState xmlns:xlrd2="http://schemas.microsoft.com/office/spreadsheetml/2017/richdata2" ref="B2:N120">
    <sortCondition ref="C2:C120"/>
  </sortState>
  <phoneticPr fontId="16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"/>
  <dimension ref="A1:O202"/>
  <sheetViews>
    <sheetView showGridLines="0" zoomScale="85" zoomScaleNormal="85" workbookViewId="0">
      <selection activeCell="A3" sqref="A3"/>
    </sheetView>
  </sheetViews>
  <sheetFormatPr defaultColWidth="9.109375" defaultRowHeight="14.4" x14ac:dyDescent="0.3"/>
  <cols>
    <col min="1" max="1" width="9.6640625" style="189" bestFit="1" customWidth="1"/>
    <col min="2" max="2" width="25.5546875" style="189" bestFit="1" customWidth="1"/>
    <col min="3" max="3" width="6.5546875" style="189" bestFit="1" customWidth="1"/>
    <col min="4" max="4" width="7" style="189" bestFit="1" customWidth="1"/>
    <col min="5" max="6" width="8.6640625" style="189" bestFit="1" customWidth="1"/>
    <col min="7" max="7" width="7.109375" style="189" bestFit="1" customWidth="1"/>
    <col min="8" max="8" width="7" style="189" bestFit="1" customWidth="1"/>
    <col min="9" max="10" width="8.44140625" style="189" bestFit="1" customWidth="1"/>
    <col min="11" max="11" width="6.88671875" style="189" bestFit="1" customWidth="1"/>
    <col min="12" max="12" width="8.109375" style="189" bestFit="1" customWidth="1"/>
    <col min="13" max="13" width="7" style="189" bestFit="1" customWidth="1"/>
    <col min="14" max="14" width="10" style="189" bestFit="1" customWidth="1"/>
    <col min="15" max="15" width="8.44140625" style="189" bestFit="1" customWidth="1"/>
    <col min="16" max="16384" width="9.109375" style="189"/>
  </cols>
  <sheetData>
    <row r="1" spans="1:15" x14ac:dyDescent="0.3">
      <c r="A1" s="192" t="s">
        <v>544</v>
      </c>
      <c r="B1" s="192" t="s">
        <v>507</v>
      </c>
      <c r="C1" s="192" t="s">
        <v>136</v>
      </c>
      <c r="D1" s="192" t="s">
        <v>174</v>
      </c>
      <c r="E1" s="193" t="s">
        <v>182</v>
      </c>
      <c r="F1" s="193" t="s">
        <v>183</v>
      </c>
      <c r="G1" s="193" t="s">
        <v>3</v>
      </c>
      <c r="H1" s="193" t="s">
        <v>4</v>
      </c>
      <c r="I1" s="193" t="s">
        <v>193</v>
      </c>
      <c r="J1" s="193" t="s">
        <v>194</v>
      </c>
      <c r="K1" s="194" t="s">
        <v>169</v>
      </c>
      <c r="L1" s="194" t="s">
        <v>172</v>
      </c>
      <c r="M1" s="194" t="s">
        <v>173</v>
      </c>
      <c r="N1" s="194" t="s">
        <v>503</v>
      </c>
      <c r="O1" s="194" t="s">
        <v>477</v>
      </c>
    </row>
    <row r="2" spans="1:15" x14ac:dyDescent="0.3">
      <c r="A2" s="196">
        <v>1</v>
      </c>
      <c r="B2" s="144" t="str">
        <f>ARI!A$15</f>
        <v>DeAndre Hopkins</v>
      </c>
      <c r="C2" s="144" t="s">
        <v>137</v>
      </c>
      <c r="D2" s="144">
        <f>ARI!C$15</f>
        <v>13</v>
      </c>
      <c r="E2" s="145">
        <f>ARI!J$15</f>
        <v>0</v>
      </c>
      <c r="F2" s="145">
        <f>ARI!K$15</f>
        <v>0</v>
      </c>
      <c r="G2" s="145">
        <f>ARI!L$15</f>
        <v>83.561013770000017</v>
      </c>
      <c r="H2" s="145">
        <f>ARI!M$15</f>
        <v>56.955186985632011</v>
      </c>
      <c r="I2" s="145">
        <f>ARI!N$15</f>
        <v>738.13922333379094</v>
      </c>
      <c r="J2" s="145">
        <f>ARI!O$15</f>
        <v>4.6133701458361926</v>
      </c>
      <c r="K2" s="145">
        <f t="shared" ref="K2:K65" si="0">(E2/10)+(F2*6)+(I2/10)+(J2*6)</f>
        <v>101.49414320839625</v>
      </c>
      <c r="L2" s="145">
        <f t="shared" ref="L2:L33" si="1">K2+(H2*0.5)</f>
        <v>129.97173670121225</v>
      </c>
      <c r="M2" s="145">
        <f t="shared" ref="M2:M33" si="2">K2+H2</f>
        <v>158.44933019402828</v>
      </c>
      <c r="N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101.49414320839625</v>
      </c>
      <c r="O2" s="190">
        <v>36.388473674194124</v>
      </c>
    </row>
    <row r="3" spans="1:15" x14ac:dyDescent="0.3">
      <c r="A3" s="196">
        <f>IF(TableWRMaster[[#This Row],[Player]]&lt;&gt;0,A2+1,A2)</f>
        <v>2</v>
      </c>
      <c r="B3" s="144" t="str">
        <f>ARI!A$16</f>
        <v>Marquise Brown</v>
      </c>
      <c r="C3" s="144" t="s">
        <v>137</v>
      </c>
      <c r="D3" s="144">
        <f>ARI!C$16</f>
        <v>13</v>
      </c>
      <c r="E3" s="145">
        <f>ARI!J$16</f>
        <v>1.8748567297988012</v>
      </c>
      <c r="F3" s="145">
        <f>ARI!K$16</f>
        <v>0</v>
      </c>
      <c r="G3" s="145">
        <f>ARI!L$16</f>
        <v>112.24613789999999</v>
      </c>
      <c r="H3" s="145">
        <f>ARI!M$16</f>
        <v>72.163042055909997</v>
      </c>
      <c r="I3" s="145">
        <f>ARI!N$16</f>
        <v>950.38726387633471</v>
      </c>
      <c r="J3" s="145">
        <f>ARI!O$16</f>
        <v>6.0616955326964401</v>
      </c>
      <c r="K3" s="145">
        <f t="shared" si="0"/>
        <v>131.59638525679199</v>
      </c>
      <c r="L3" s="145">
        <f t="shared" si="1"/>
        <v>167.677906284747</v>
      </c>
      <c r="M3" s="145">
        <f t="shared" si="2"/>
        <v>203.75942731270197</v>
      </c>
      <c r="N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131.59638525679199</v>
      </c>
      <c r="O3" s="190">
        <v>0</v>
      </c>
    </row>
    <row r="4" spans="1:15" x14ac:dyDescent="0.3">
      <c r="A4" s="196">
        <f>IF(TableWRMaster[[#This Row],[Player]]&lt;&gt;0,A3+1,A3)</f>
        <v>3</v>
      </c>
      <c r="B4" s="144" t="str">
        <f>ARI!A$17</f>
        <v>Rondale Moore</v>
      </c>
      <c r="C4" s="144" t="s">
        <v>137</v>
      </c>
      <c r="D4" s="144">
        <f>ARI!C$17</f>
        <v>13</v>
      </c>
      <c r="E4" s="145">
        <f>ARI!J$17</f>
        <v>86.113240615590598</v>
      </c>
      <c r="F4" s="145">
        <f>ARI!K$17</f>
        <v>0.42601817124974628</v>
      </c>
      <c r="G4" s="145">
        <f>ARI!L$17</f>
        <v>77.32511722000001</v>
      </c>
      <c r="H4" s="145">
        <f>ARI!M$17</f>
        <v>55.909214886669737</v>
      </c>
      <c r="I4" s="145">
        <f>ARI!N$17</f>
        <v>616.11954805110042</v>
      </c>
      <c r="J4" s="145">
        <f>ARI!O$17</f>
        <v>3.3007582994099187</v>
      </c>
      <c r="K4" s="145">
        <f t="shared" si="0"/>
        <v>92.583937690627096</v>
      </c>
      <c r="L4" s="145">
        <f t="shared" si="1"/>
        <v>120.53854513396196</v>
      </c>
      <c r="M4" s="145">
        <f t="shared" si="2"/>
        <v>148.49315257729683</v>
      </c>
      <c r="N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92.583937690627096</v>
      </c>
      <c r="O4" s="190">
        <v>0</v>
      </c>
    </row>
    <row r="5" spans="1:15" x14ac:dyDescent="0.3">
      <c r="A5" s="196">
        <f>IF(TableWRMaster[[#This Row],[Player]]&lt;&gt;0,A4+1,A4)</f>
        <v>4</v>
      </c>
      <c r="B5" s="144" t="str">
        <f>ARI!A$18</f>
        <v>A.J. Green</v>
      </c>
      <c r="C5" s="144" t="s">
        <v>137</v>
      </c>
      <c r="D5" s="144">
        <f>ARI!C$18</f>
        <v>13</v>
      </c>
      <c r="E5" s="145">
        <f>ARI!J$18</f>
        <v>0</v>
      </c>
      <c r="F5" s="145">
        <f>ARI!K$18</f>
        <v>0</v>
      </c>
      <c r="G5" s="145">
        <f>ARI!L$18</f>
        <v>56.123068949999997</v>
      </c>
      <c r="H5" s="145">
        <f>ARI!M$18</f>
        <v>30.502887974324999</v>
      </c>
      <c r="I5" s="145">
        <f>ARI!N$18</f>
        <v>400.19789022314399</v>
      </c>
      <c r="J5" s="145">
        <f>ARI!O$18</f>
        <v>2.4402310379459999</v>
      </c>
      <c r="K5" s="145">
        <f t="shared" si="0"/>
        <v>54.6611752499904</v>
      </c>
      <c r="L5" s="145">
        <f t="shared" si="1"/>
        <v>69.912619237152896</v>
      </c>
      <c r="M5" s="145">
        <f t="shared" si="2"/>
        <v>85.164063224315399</v>
      </c>
      <c r="N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54.6611752499904</v>
      </c>
      <c r="O5" s="190">
        <v>0</v>
      </c>
    </row>
    <row r="6" spans="1:15" x14ac:dyDescent="0.3">
      <c r="A6" s="196">
        <f>IF(TableWRMaster[[#This Row],[Player]]&lt;&gt;0,A5+1,A5)</f>
        <v>5</v>
      </c>
      <c r="B6" s="144" t="str">
        <f>ARI!A$19</f>
        <v>Andy Isabella</v>
      </c>
      <c r="C6" s="144" t="s">
        <v>137</v>
      </c>
      <c r="D6" s="144">
        <f>ARI!C$19</f>
        <v>13</v>
      </c>
      <c r="E6" s="145">
        <f>ARI!J$19</f>
        <v>0</v>
      </c>
      <c r="F6" s="145">
        <f>ARI!K$19</f>
        <v>0</v>
      </c>
      <c r="G6" s="145">
        <f>ARI!L$19</f>
        <v>16.213331029999999</v>
      </c>
      <c r="H6" s="145">
        <f>ARI!M$19</f>
        <v>10.342058331428571</v>
      </c>
      <c r="I6" s="145">
        <f>ARI!N$19</f>
        <v>132.17150547565714</v>
      </c>
      <c r="J6" s="145">
        <f>ARI!O$19</f>
        <v>0.21545954857142852</v>
      </c>
      <c r="K6" s="145">
        <f t="shared" si="0"/>
        <v>14.509907838994284</v>
      </c>
      <c r="L6" s="145">
        <f t="shared" si="1"/>
        <v>19.680937004708568</v>
      </c>
      <c r="M6" s="145">
        <f t="shared" si="2"/>
        <v>24.851966170422855</v>
      </c>
      <c r="N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14.509907838994287</v>
      </c>
      <c r="O6" s="190">
        <v>0</v>
      </c>
    </row>
    <row r="7" spans="1:15" x14ac:dyDescent="0.3">
      <c r="A7" s="196">
        <f>IF(TableWRMaster[[#This Row],[Player]]&lt;&gt;0,A6+1,A6)</f>
        <v>6</v>
      </c>
      <c r="B7" s="144" t="str">
        <f>ARI!A$20</f>
        <v>Antoine Wesley</v>
      </c>
      <c r="C7" s="144" t="s">
        <v>137</v>
      </c>
      <c r="D7" s="144">
        <f>ARI!C$20</f>
        <v>13</v>
      </c>
      <c r="E7" s="145">
        <f>ARI!J$20</f>
        <v>0</v>
      </c>
      <c r="F7" s="145">
        <f>ARI!K$20</f>
        <v>0</v>
      </c>
      <c r="G7" s="145">
        <f>ARI!L$20</f>
        <v>12.471793100000001</v>
      </c>
      <c r="H7" s="145">
        <f>ARI!M$20</f>
        <v>7.4018092198294481</v>
      </c>
      <c r="I7" s="145">
        <f>ARI!N$20</f>
        <v>93.33681426204933</v>
      </c>
      <c r="J7" s="145">
        <f>ARI!O$20</f>
        <v>0.52552845460789077</v>
      </c>
      <c r="K7" s="145">
        <f t="shared" si="0"/>
        <v>12.486852153852277</v>
      </c>
      <c r="L7" s="145">
        <f t="shared" si="1"/>
        <v>16.187756763767002</v>
      </c>
      <c r="M7" s="145">
        <f t="shared" si="2"/>
        <v>19.888661373681725</v>
      </c>
      <c r="N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12.486852153852277</v>
      </c>
      <c r="O7" s="190">
        <v>0</v>
      </c>
    </row>
    <row r="8" spans="1:15" x14ac:dyDescent="0.3">
      <c r="A8" s="196">
        <f>IF(TableWRMaster[[#This Row],[Player]]&lt;&gt;0,A7+1,A7)</f>
        <v>7</v>
      </c>
      <c r="B8" s="144" t="str">
        <f>ATL!A$15</f>
        <v>Drake London</v>
      </c>
      <c r="C8" s="144" t="s">
        <v>138</v>
      </c>
      <c r="D8" s="144">
        <f>ATL!C$15</f>
        <v>14</v>
      </c>
      <c r="E8" s="145">
        <f>ATL!J$15</f>
        <v>1.1244435376285671</v>
      </c>
      <c r="F8" s="145">
        <f>ATL!K$15</f>
        <v>0</v>
      </c>
      <c r="G8" s="145">
        <f>ATL!L$15</f>
        <v>119.39568732054308</v>
      </c>
      <c r="H8" s="145">
        <f>ATL!M$15</f>
        <v>71.219527486703953</v>
      </c>
      <c r="I8" s="145">
        <f>ATL!N$15</f>
        <v>962.17581634537044</v>
      </c>
      <c r="J8" s="145">
        <f>ATL!O$15</f>
        <v>6.2673184188299471</v>
      </c>
      <c r="K8" s="145">
        <f t="shared" si="0"/>
        <v>133.93393650127956</v>
      </c>
      <c r="L8" s="145">
        <f t="shared" si="1"/>
        <v>169.54370024463154</v>
      </c>
      <c r="M8" s="145">
        <f t="shared" si="2"/>
        <v>205.15346398798351</v>
      </c>
      <c r="N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133.93393650127959</v>
      </c>
      <c r="O8" s="190">
        <v>36.61908422611036</v>
      </c>
    </row>
    <row r="9" spans="1:15" x14ac:dyDescent="0.3">
      <c r="A9" s="196">
        <f>IF(TableWRMaster[[#This Row],[Player]]&lt;&gt;0,A8+1,A8)</f>
        <v>8</v>
      </c>
      <c r="B9" s="144" t="str">
        <f>ATL!A$16</f>
        <v>Bryan Edwards</v>
      </c>
      <c r="C9" s="144" t="s">
        <v>138</v>
      </c>
      <c r="D9" s="144">
        <f>ATL!C$16</f>
        <v>14</v>
      </c>
      <c r="E9" s="145">
        <f>ATL!J$16</f>
        <v>0</v>
      </c>
      <c r="F9" s="145">
        <f>ATL!K$16</f>
        <v>0</v>
      </c>
      <c r="G9" s="145">
        <f>ATL!L$16</f>
        <v>50.503912959505897</v>
      </c>
      <c r="H9" s="145">
        <f>ATL!M$16</f>
        <v>27.105450085366812</v>
      </c>
      <c r="I9" s="145">
        <f>ATL!N$16</f>
        <v>359.41826813196394</v>
      </c>
      <c r="J9" s="145">
        <f>ATL!O$16</f>
        <v>1.9786978562317772</v>
      </c>
      <c r="K9" s="145">
        <f t="shared" si="0"/>
        <v>47.814013950587054</v>
      </c>
      <c r="L9" s="145">
        <f t="shared" si="1"/>
        <v>61.366738993270459</v>
      </c>
      <c r="M9" s="145">
        <f t="shared" si="2"/>
        <v>74.919464035953865</v>
      </c>
      <c r="N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47.814013950587054</v>
      </c>
      <c r="O9" s="190">
        <v>0.86653756075019195</v>
      </c>
    </row>
    <row r="10" spans="1:15" x14ac:dyDescent="0.3">
      <c r="A10" s="196">
        <f>IF(TableWRMaster[[#This Row],[Player]]&lt;&gt;0,A9+1,A9)</f>
        <v>9</v>
      </c>
      <c r="B10" s="144" t="str">
        <f>ATL!A$17</f>
        <v>Olamide Zaccheaus</v>
      </c>
      <c r="C10" s="144" t="s">
        <v>138</v>
      </c>
      <c r="D10" s="144">
        <f>ATL!C$17</f>
        <v>14</v>
      </c>
      <c r="E10" s="145">
        <f>ATL!J$17</f>
        <v>0.74962902508571139</v>
      </c>
      <c r="F10" s="145">
        <f>ATL!K$17</f>
        <v>0</v>
      </c>
      <c r="G10" s="145">
        <f>ATL!L$17</f>
        <v>60.216203913257033</v>
      </c>
      <c r="H10" s="145">
        <f>ATL!M$17</f>
        <v>36.012762874678984</v>
      </c>
      <c r="I10" s="145">
        <f>ATL!N$17</f>
        <v>405.14358234013855</v>
      </c>
      <c r="J10" s="145">
        <f>ATL!O$17</f>
        <v>1.7646253808592702</v>
      </c>
      <c r="K10" s="145">
        <f t="shared" si="0"/>
        <v>51.177073421678053</v>
      </c>
      <c r="L10" s="145">
        <f t="shared" si="1"/>
        <v>69.183454859017544</v>
      </c>
      <c r="M10" s="145">
        <f t="shared" si="2"/>
        <v>87.189836296357043</v>
      </c>
      <c r="N1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51.177073421678053</v>
      </c>
      <c r="O10" s="190">
        <v>0</v>
      </c>
    </row>
    <row r="11" spans="1:15" x14ac:dyDescent="0.3">
      <c r="A11" s="196">
        <f>IF(TableWRMaster[[#This Row],[Player]]&lt;&gt;0,A10+1,A10)</f>
        <v>10</v>
      </c>
      <c r="B11" s="144" t="str">
        <f>ATL!A$18</f>
        <v>KhaDarel Hodge</v>
      </c>
      <c r="C11" s="144" t="s">
        <v>138</v>
      </c>
      <c r="D11" s="144">
        <f>ATL!C$18</f>
        <v>14</v>
      </c>
      <c r="E11" s="145">
        <f>ATL!J$18</f>
        <v>0</v>
      </c>
      <c r="F11" s="145">
        <f>ATL!K$18</f>
        <v>0</v>
      </c>
      <c r="G11" s="145">
        <f>ATL!L$18</f>
        <v>27.841900734086583</v>
      </c>
      <c r="H11" s="145">
        <f>ATL!M$18</f>
        <v>14.830679606064409</v>
      </c>
      <c r="I11" s="145">
        <f>ATL!N$18</f>
        <v>189.18620223463469</v>
      </c>
      <c r="J11" s="145">
        <f>ATL!O$18</f>
        <v>0.55781150771439203</v>
      </c>
      <c r="K11" s="145">
        <f t="shared" si="0"/>
        <v>22.265489269749821</v>
      </c>
      <c r="L11" s="145">
        <f t="shared" si="1"/>
        <v>29.680829072782025</v>
      </c>
      <c r="M11" s="145">
        <f t="shared" si="2"/>
        <v>37.096168875814229</v>
      </c>
      <c r="N1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22.265489269749821</v>
      </c>
      <c r="O11" s="190">
        <v>0</v>
      </c>
    </row>
    <row r="12" spans="1:15" x14ac:dyDescent="0.3">
      <c r="A12" s="196">
        <f>IF(TableWRMaster[[#This Row],[Player]]&lt;&gt;0,A11+1,A11)</f>
        <v>11</v>
      </c>
      <c r="B12" s="144" t="str">
        <f>ATL!A$19</f>
        <v>Auden Tate</v>
      </c>
      <c r="C12" s="144" t="s">
        <v>138</v>
      </c>
      <c r="D12" s="144">
        <f>ATL!C$19</f>
        <v>14</v>
      </c>
      <c r="E12" s="145">
        <f>ATL!J$19</f>
        <v>0</v>
      </c>
      <c r="F12" s="145">
        <f>ATL!K$19</f>
        <v>0</v>
      </c>
      <c r="G12" s="145">
        <f>ATL!L$19</f>
        <v>30.43184498842022</v>
      </c>
      <c r="H12" s="145">
        <f>ATL!M$19</f>
        <v>16.4207920091049</v>
      </c>
      <c r="I12" s="145">
        <f>ATL!N$19</f>
        <v>193.61558464419318</v>
      </c>
      <c r="J12" s="145">
        <f>ATL!O$19</f>
        <v>0.55830692830956663</v>
      </c>
      <c r="K12" s="145">
        <f t="shared" si="0"/>
        <v>22.711400034276718</v>
      </c>
      <c r="L12" s="145">
        <f t="shared" si="1"/>
        <v>30.921796038829168</v>
      </c>
      <c r="M12" s="145">
        <f t="shared" si="2"/>
        <v>39.132192043381622</v>
      </c>
      <c r="N1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22.711400034276718</v>
      </c>
      <c r="O12" s="190">
        <v>0</v>
      </c>
    </row>
    <row r="13" spans="1:15" x14ac:dyDescent="0.3">
      <c r="A13" s="196">
        <f>IF(TableWRMaster[[#This Row],[Player]]&lt;&gt;0,A12+1,A12)</f>
        <v>12</v>
      </c>
      <c r="B13" s="144" t="str">
        <f>ATL!A$20</f>
        <v>Damiere Byrd</v>
      </c>
      <c r="C13" s="144" t="s">
        <v>138</v>
      </c>
      <c r="D13" s="144">
        <f>ATL!C$20</f>
        <v>14</v>
      </c>
      <c r="E13" s="145">
        <f>ATL!J$20</f>
        <v>0</v>
      </c>
      <c r="F13" s="145">
        <f>ATL!K$20</f>
        <v>0</v>
      </c>
      <c r="G13" s="145">
        <f>ATL!L$20</f>
        <v>34.463187500567322</v>
      </c>
      <c r="H13" s="145">
        <f>ATL!M$20</f>
        <v>19.916276056577853</v>
      </c>
      <c r="I13" s="145">
        <f>ATL!N$20</f>
        <v>221.99221619159692</v>
      </c>
      <c r="J13" s="145">
        <f>ATL!O$20</f>
        <v>0.69706966198022491</v>
      </c>
      <c r="K13" s="145">
        <f t="shared" si="0"/>
        <v>26.381639591041044</v>
      </c>
      <c r="L13" s="145">
        <f t="shared" si="1"/>
        <v>36.339777619329972</v>
      </c>
      <c r="M13" s="145">
        <f t="shared" si="2"/>
        <v>46.297915647618893</v>
      </c>
      <c r="N1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26.381639591041044</v>
      </c>
      <c r="O13" s="190">
        <v>0</v>
      </c>
    </row>
    <row r="14" spans="1:15" x14ac:dyDescent="0.3">
      <c r="A14" s="196">
        <f>IF(TableWRMaster[[#This Row],[Player]]&lt;&gt;0,A13+1,A13)</f>
        <v>13</v>
      </c>
      <c r="B14" s="144" t="str">
        <f>BAL!A$15</f>
        <v>Rashod Bateman</v>
      </c>
      <c r="C14" s="144" t="s">
        <v>139</v>
      </c>
      <c r="D14" s="144">
        <f>BAL!C$15</f>
        <v>10</v>
      </c>
      <c r="E14" s="145">
        <f>BAL!J$15</f>
        <v>14.020492848613818</v>
      </c>
      <c r="F14" s="145">
        <f>BAL!K$15</f>
        <v>0</v>
      </c>
      <c r="G14" s="145">
        <f>BAL!L$15</f>
        <v>119.33559002156258</v>
      </c>
      <c r="H14" s="145">
        <f>BAL!M$15</f>
        <v>77.00725624091433</v>
      </c>
      <c r="I14" s="145">
        <f>BAL!N$15</f>
        <v>959.51041276179262</v>
      </c>
      <c r="J14" s="145">
        <f>BAL!O$15</f>
        <v>8.54780544274149</v>
      </c>
      <c r="K14" s="145">
        <f t="shared" si="0"/>
        <v>148.63992321748958</v>
      </c>
      <c r="L14" s="145">
        <f t="shared" si="1"/>
        <v>187.14355133794675</v>
      </c>
      <c r="M14" s="145">
        <f t="shared" si="2"/>
        <v>225.64717945840391</v>
      </c>
      <c r="N1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148.63992321748958</v>
      </c>
      <c r="O14" s="190">
        <v>0.97004667829305213</v>
      </c>
    </row>
    <row r="15" spans="1:15" x14ac:dyDescent="0.3">
      <c r="A15" s="196">
        <f>IF(TableWRMaster[[#This Row],[Player]]&lt;&gt;0,A14+1,A14)</f>
        <v>14</v>
      </c>
      <c r="B15" s="144" t="str">
        <f>BAL!A$16</f>
        <v>Devin Duvernay</v>
      </c>
      <c r="C15" s="144" t="s">
        <v>139</v>
      </c>
      <c r="D15" s="144">
        <f>BAL!C$16</f>
        <v>10</v>
      </c>
      <c r="E15" s="145">
        <f>BAL!J$16</f>
        <v>76.468076022318996</v>
      </c>
      <c r="F15" s="145">
        <f>BAL!K$16</f>
        <v>0.14162113988498803</v>
      </c>
      <c r="G15" s="145">
        <f>BAL!L$16</f>
        <v>65.442565619081975</v>
      </c>
      <c r="H15" s="145">
        <f>BAL!M$16</f>
        <v>39.409293961198216</v>
      </c>
      <c r="I15" s="145">
        <f>BAL!N$16</f>
        <v>431.13767593550847</v>
      </c>
      <c r="J15" s="145">
        <f>BAL!O$16</f>
        <v>3.8621108081974254</v>
      </c>
      <c r="K15" s="145">
        <f t="shared" si="0"/>
        <v>74.782966884277229</v>
      </c>
      <c r="L15" s="145">
        <f t="shared" si="1"/>
        <v>94.487613864876337</v>
      </c>
      <c r="M15" s="145">
        <f t="shared" si="2"/>
        <v>114.19226084547545</v>
      </c>
      <c r="N1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74.782966884277229</v>
      </c>
      <c r="O15" s="190">
        <v>0</v>
      </c>
    </row>
    <row r="16" spans="1:15" x14ac:dyDescent="0.3">
      <c r="A16" s="196">
        <f>IF(TableWRMaster[[#This Row],[Player]]&lt;&gt;0,A15+1,A15)</f>
        <v>15</v>
      </c>
      <c r="B16" s="144" t="str">
        <f>BAL!A$17</f>
        <v>James Proche</v>
      </c>
      <c r="C16" s="144" t="s">
        <v>139</v>
      </c>
      <c r="D16" s="144">
        <f>BAL!C$17</f>
        <v>10</v>
      </c>
      <c r="E16" s="145">
        <f>BAL!J$17</f>
        <v>0</v>
      </c>
      <c r="F16" s="145">
        <f>BAL!K$17</f>
        <v>0</v>
      </c>
      <c r="G16" s="145">
        <f>BAL!L$17</f>
        <v>43.582740701689886</v>
      </c>
      <c r="H16" s="145">
        <f>BAL!M$17</f>
        <v>27.306526595660884</v>
      </c>
      <c r="I16" s="145">
        <f>BAL!N$17</f>
        <v>332.09363869022224</v>
      </c>
      <c r="J16" s="145">
        <f>BAL!O$17</f>
        <v>2.1572156010572097</v>
      </c>
      <c r="K16" s="145">
        <f t="shared" si="0"/>
        <v>46.152657475365487</v>
      </c>
      <c r="L16" s="145">
        <f t="shared" si="1"/>
        <v>59.805920773195929</v>
      </c>
      <c r="M16" s="145">
        <f t="shared" si="2"/>
        <v>73.459184071026371</v>
      </c>
      <c r="N1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46.152657475365487</v>
      </c>
      <c r="O16" s="190">
        <v>0</v>
      </c>
    </row>
    <row r="17" spans="1:15" x14ac:dyDescent="0.3">
      <c r="A17" s="196">
        <f>IF(TableWRMaster[[#This Row],[Player]]&lt;&gt;0,A16+1,A16)</f>
        <v>16</v>
      </c>
      <c r="B17" s="144" t="str">
        <f>BAL!A$18</f>
        <v>Tylan Wallace</v>
      </c>
      <c r="C17" s="144" t="s">
        <v>139</v>
      </c>
      <c r="D17" s="144">
        <f>BAL!C$19</f>
        <v>10</v>
      </c>
      <c r="E17" s="145">
        <f>BAL!J$19</f>
        <v>0</v>
      </c>
      <c r="F17" s="145">
        <f>BAL!K$19</f>
        <v>0</v>
      </c>
      <c r="G17" s="145">
        <f>BAL!L$19</f>
        <v>6.6297550011979203</v>
      </c>
      <c r="H17" s="145">
        <f>BAL!M$19</f>
        <v>4.0189574817261793</v>
      </c>
      <c r="I17" s="145">
        <f>BAL!N$19</f>
        <v>54.391905767722726</v>
      </c>
      <c r="J17" s="145">
        <f>BAL!O$19</f>
        <v>0.28936493868428487</v>
      </c>
      <c r="K17" s="145">
        <f t="shared" si="0"/>
        <v>7.1753802088779821</v>
      </c>
      <c r="L17" s="145">
        <f t="shared" si="1"/>
        <v>9.1848589497410718</v>
      </c>
      <c r="M17" s="145">
        <f t="shared" si="2"/>
        <v>11.194337690604161</v>
      </c>
      <c r="N1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7.1753802088779821</v>
      </c>
      <c r="O17" s="190">
        <v>0</v>
      </c>
    </row>
    <row r="18" spans="1:15" x14ac:dyDescent="0.3">
      <c r="A18" s="196">
        <f>IF(TableWRMaster[[#This Row],[Player]]&lt;&gt;0,A17+1,A17)</f>
        <v>17</v>
      </c>
      <c r="B18" s="144" t="str">
        <f>BAL!A$19</f>
        <v>Makai Polk</v>
      </c>
      <c r="C18" s="144" t="s">
        <v>139</v>
      </c>
      <c r="D18" s="144">
        <f>BAL!C$20</f>
        <v>10</v>
      </c>
      <c r="E18" s="145">
        <f>BAL!J$20</f>
        <v>0</v>
      </c>
      <c r="F18" s="145">
        <f>BAL!K$20</f>
        <v>0</v>
      </c>
      <c r="G18" s="145">
        <f>BAL!L$20</f>
        <v>1.6839823370600591</v>
      </c>
      <c r="H18" s="145">
        <f>BAL!M$20</f>
        <v>1.0065162428607972</v>
      </c>
      <c r="I18" s="145">
        <f>BAL!N$20</f>
        <v>12.444812359515288</v>
      </c>
      <c r="J18" s="145">
        <f>BAL!O$20</f>
        <v>7.0456137000255811E-2</v>
      </c>
      <c r="K18" s="145">
        <f t="shared" si="0"/>
        <v>1.6672180579530635</v>
      </c>
      <c r="L18" s="145">
        <f t="shared" si="1"/>
        <v>2.1704761793834622</v>
      </c>
      <c r="M18" s="145">
        <f t="shared" si="2"/>
        <v>2.6737343008138605</v>
      </c>
      <c r="N1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1.6672180579530638</v>
      </c>
      <c r="O18" s="190">
        <v>0</v>
      </c>
    </row>
    <row r="19" spans="1:15" x14ac:dyDescent="0.3">
      <c r="A19" s="196">
        <f>IF(TableWRMaster[[#This Row],[Player]]&lt;&gt;0,A18+1,A18)</f>
        <v>18</v>
      </c>
      <c r="B19" s="144" t="str">
        <f>BAL!A$20</f>
        <v>Jaylon Moore</v>
      </c>
      <c r="C19" s="144" t="s">
        <v>139</v>
      </c>
      <c r="D19" s="144">
        <f>BAL!C$18</f>
        <v>10</v>
      </c>
      <c r="E19" s="145">
        <f>BAL!J$18</f>
        <v>0</v>
      </c>
      <c r="F19" s="145">
        <f>BAL!K$18</f>
        <v>0</v>
      </c>
      <c r="G19" s="145">
        <f>BAL!L$18</f>
        <v>21.929189619346964</v>
      </c>
      <c r="H19" s="145">
        <f>BAL!M$18</f>
        <v>13.569782536451902</v>
      </c>
      <c r="I19" s="145">
        <f>BAL!N$18</f>
        <v>164.33006651643251</v>
      </c>
      <c r="J19" s="145">
        <f>BAL!O$18</f>
        <v>1.2212804282806711</v>
      </c>
      <c r="K19" s="145">
        <f t="shared" si="0"/>
        <v>23.760689221327276</v>
      </c>
      <c r="L19" s="145">
        <f t="shared" si="1"/>
        <v>30.545580489553227</v>
      </c>
      <c r="M19" s="145">
        <f t="shared" si="2"/>
        <v>37.330471757779179</v>
      </c>
      <c r="N1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23.760689221327276</v>
      </c>
      <c r="O19" s="190">
        <v>0</v>
      </c>
    </row>
    <row r="20" spans="1:15" x14ac:dyDescent="0.3">
      <c r="A20" s="196">
        <f>IF(TableWRMaster[[#This Row],[Player]]&lt;&gt;0,A19+1,A19)</f>
        <v>19</v>
      </c>
      <c r="B20" s="144" t="str">
        <f>BUF!A$15</f>
        <v>Stefon Diggs</v>
      </c>
      <c r="C20" s="144" t="s">
        <v>140</v>
      </c>
      <c r="D20" s="144">
        <f>BUF!C$15</f>
        <v>7</v>
      </c>
      <c r="E20" s="145">
        <f>BUF!J$15</f>
        <v>1.0004489270511532</v>
      </c>
      <c r="F20" s="145">
        <f>BUF!K$15</f>
        <v>0</v>
      </c>
      <c r="G20" s="145">
        <f>BUF!L$15</f>
        <v>157.38057876306368</v>
      </c>
      <c r="H20" s="145">
        <f>BUF!M$15</f>
        <v>103.18940848040141</v>
      </c>
      <c r="I20" s="145">
        <f>BUF!N$15</f>
        <v>1270.1682810512925</v>
      </c>
      <c r="J20" s="145">
        <f>BUF!O$15</f>
        <v>10.112562031079339</v>
      </c>
      <c r="K20" s="145">
        <f t="shared" si="0"/>
        <v>187.79224518431039</v>
      </c>
      <c r="L20" s="145">
        <f t="shared" si="1"/>
        <v>239.3869494245111</v>
      </c>
      <c r="M20" s="145">
        <f t="shared" si="2"/>
        <v>290.98165366471181</v>
      </c>
      <c r="N2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187.79224518431042</v>
      </c>
      <c r="O20" s="190">
        <v>40.616501915999407</v>
      </c>
    </row>
    <row r="21" spans="1:15" x14ac:dyDescent="0.3">
      <c r="A21" s="196">
        <f>IF(TableWRMaster[[#This Row],[Player]]&lt;&gt;0,A20+1,A20)</f>
        <v>20</v>
      </c>
      <c r="B21" s="144" t="str">
        <f>BUF!A$16</f>
        <v>Gabriel Davis</v>
      </c>
      <c r="C21" s="144" t="s">
        <v>140</v>
      </c>
      <c r="D21" s="144">
        <f>BUF!C$16</f>
        <v>7</v>
      </c>
      <c r="E21" s="145">
        <f>BUF!J$16</f>
        <v>0</v>
      </c>
      <c r="F21" s="145">
        <f>BUF!K$16</f>
        <v>0</v>
      </c>
      <c r="G21" s="145">
        <f>BUF!L$16</f>
        <v>113.91983316322182</v>
      </c>
      <c r="H21" s="145">
        <f>BUF!M$16</f>
        <v>65.4241601856383</v>
      </c>
      <c r="I21" s="145">
        <f>BUF!N$16</f>
        <v>1000.0308328399603</v>
      </c>
      <c r="J21" s="145">
        <f>BUF!O$16</f>
        <v>8.308868343576064</v>
      </c>
      <c r="K21" s="145">
        <f t="shared" si="0"/>
        <v>149.8562933454524</v>
      </c>
      <c r="L21" s="145">
        <f t="shared" si="1"/>
        <v>182.56837343827155</v>
      </c>
      <c r="M21" s="145">
        <f t="shared" si="2"/>
        <v>215.2804535310907</v>
      </c>
      <c r="N2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149.8562933454524</v>
      </c>
      <c r="O21" s="190">
        <v>6.1881734118932492</v>
      </c>
    </row>
    <row r="22" spans="1:15" x14ac:dyDescent="0.3">
      <c r="A22" s="196">
        <f>IF(TableWRMaster[[#This Row],[Player]]&lt;&gt;0,A21+1,A21)</f>
        <v>21</v>
      </c>
      <c r="B22" s="144" t="str">
        <f>BUF!A$18</f>
        <v>Marquez Stevenson</v>
      </c>
      <c r="C22" s="144" t="s">
        <v>140</v>
      </c>
      <c r="D22" s="144">
        <f>BUF!C$18</f>
        <v>7</v>
      </c>
      <c r="E22" s="145">
        <f>BUF!J$18</f>
        <v>0</v>
      </c>
      <c r="F22" s="145">
        <f>BUF!K$18</f>
        <v>0</v>
      </c>
      <c r="G22" s="145">
        <f>BUF!L$18</f>
        <v>7.2434575999736426</v>
      </c>
      <c r="H22" s="145">
        <f>BUF!M$18</f>
        <v>4.828971733315762</v>
      </c>
      <c r="I22" s="145">
        <f>BUF!N$18</f>
        <v>62.486894229105957</v>
      </c>
      <c r="J22" s="145">
        <f>BUF!O$18</f>
        <v>0.38631773866526098</v>
      </c>
      <c r="K22" s="145">
        <f t="shared" si="0"/>
        <v>8.566595854902161</v>
      </c>
      <c r="L22" s="145">
        <f t="shared" si="1"/>
        <v>10.981081721560042</v>
      </c>
      <c r="M22" s="145">
        <f t="shared" si="2"/>
        <v>13.395567588217922</v>
      </c>
      <c r="N2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8.566595854902161</v>
      </c>
      <c r="O22" s="190">
        <v>4.1471716410938786</v>
      </c>
    </row>
    <row r="23" spans="1:15" x14ac:dyDescent="0.3">
      <c r="A23" s="196">
        <f>IF(TableWRMaster[[#This Row],[Player]]&lt;&gt;0,A22+1,A22)</f>
        <v>22</v>
      </c>
      <c r="B23" s="144" t="str">
        <f>BUF!A$17</f>
        <v>Jamison Crowder</v>
      </c>
      <c r="C23" s="144" t="s">
        <v>140</v>
      </c>
      <c r="D23" s="144">
        <f>BUF!C$17</f>
        <v>7</v>
      </c>
      <c r="E23" s="145">
        <f>BUF!J$17</f>
        <v>0.62528057940697068</v>
      </c>
      <c r="F23" s="145">
        <f>BUF!K$17</f>
        <v>0</v>
      </c>
      <c r="G23" s="145">
        <f>BUF!L$17</f>
        <v>75.068560581545029</v>
      </c>
      <c r="H23" s="145">
        <f>BUF!M$17</f>
        <v>49.417633430831096</v>
      </c>
      <c r="I23" s="145">
        <f>BUF!N$17</f>
        <v>533.71044105297585</v>
      </c>
      <c r="J23" s="145">
        <f>BUF!O$17</f>
        <v>3.5086519735890076</v>
      </c>
      <c r="K23" s="145">
        <f t="shared" si="0"/>
        <v>74.485484004772331</v>
      </c>
      <c r="L23" s="145">
        <f t="shared" si="1"/>
        <v>99.194300720187883</v>
      </c>
      <c r="M23" s="145">
        <f t="shared" si="2"/>
        <v>123.90311743560343</v>
      </c>
      <c r="N2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74.485484004772331</v>
      </c>
      <c r="O23" s="190">
        <v>0</v>
      </c>
    </row>
    <row r="24" spans="1:15" x14ac:dyDescent="0.3">
      <c r="A24" s="196">
        <f>IF(TableWRMaster[[#This Row],[Player]]&lt;&gt;0,A23+1,A23)</f>
        <v>23</v>
      </c>
      <c r="B24" s="144" t="str">
        <f>BUF!A$19</f>
        <v>Isaiah McKenzie</v>
      </c>
      <c r="C24" s="144" t="s">
        <v>140</v>
      </c>
      <c r="D24" s="144">
        <f>BUF!C$19</f>
        <v>7</v>
      </c>
      <c r="E24" s="145">
        <f>BUF!J$19</f>
        <v>62.198576760721551</v>
      </c>
      <c r="F24" s="145">
        <f>BUF!K$19</f>
        <v>0.80502790330049445</v>
      </c>
      <c r="G24" s="145">
        <f>BUF!L$19</f>
        <v>40.697807834028566</v>
      </c>
      <c r="H24" s="145">
        <f>BUF!M$19</f>
        <v>24.015776402860254</v>
      </c>
      <c r="I24" s="145">
        <f>BUF!N$19</f>
        <v>267.23803556649437</v>
      </c>
      <c r="J24" s="145">
        <f>BUF!O$19</f>
        <v>1.4649623605744755</v>
      </c>
      <c r="K24" s="145">
        <f t="shared" si="0"/>
        <v>46.563602815971407</v>
      </c>
      <c r="L24" s="145">
        <f t="shared" si="1"/>
        <v>58.571491017401534</v>
      </c>
      <c r="M24" s="145">
        <f t="shared" si="2"/>
        <v>70.579379218831662</v>
      </c>
      <c r="N2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46.563602815971421</v>
      </c>
      <c r="O24" s="190">
        <v>0</v>
      </c>
    </row>
    <row r="25" spans="1:15" x14ac:dyDescent="0.3">
      <c r="A25" s="196">
        <f>IF(TableWRMaster[[#This Row],[Player]]&lt;&gt;0,A24+1,A24)</f>
        <v>24</v>
      </c>
      <c r="B25" s="144" t="str">
        <f>BUF!A$20</f>
        <v>Khalil Shakir</v>
      </c>
      <c r="C25" s="144" t="s">
        <v>140</v>
      </c>
      <c r="D25" s="144">
        <f>BUF!C$20</f>
        <v>7</v>
      </c>
      <c r="E25" s="145">
        <f>BUF!J$20</f>
        <v>8.0369397139775973</v>
      </c>
      <c r="F25" s="145">
        <f>BUF!K$20</f>
        <v>3.3348297568371772E-2</v>
      </c>
      <c r="G25" s="145">
        <f>BUF!L$20</f>
        <v>15.499165145637411</v>
      </c>
      <c r="H25" s="145">
        <f>BUF!M$20</f>
        <v>11.142349823198735</v>
      </c>
      <c r="I25" s="145">
        <f>BUF!N$20</f>
        <v>110.47376941416765</v>
      </c>
      <c r="J25" s="145">
        <f>BUF!O$20</f>
        <v>0.77826689296363449</v>
      </c>
      <c r="K25" s="145">
        <f t="shared" si="0"/>
        <v>16.720762056006564</v>
      </c>
      <c r="L25" s="145">
        <f t="shared" si="1"/>
        <v>22.291936967605931</v>
      </c>
      <c r="M25" s="145">
        <f t="shared" si="2"/>
        <v>27.863111879205299</v>
      </c>
      <c r="N2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16.720762056006564</v>
      </c>
      <c r="O25" s="190">
        <v>0</v>
      </c>
    </row>
    <row r="26" spans="1:15" x14ac:dyDescent="0.3">
      <c r="A26" s="196">
        <f>IF(TableWRMaster[[#This Row],[Player]]&lt;&gt;0,A25+1,A25)</f>
        <v>24</v>
      </c>
      <c r="B26" s="144">
        <f>BUF!A$21</f>
        <v>0</v>
      </c>
      <c r="C26" s="144" t="s">
        <v>140</v>
      </c>
      <c r="D26" s="144">
        <f>BUF!C$21</f>
        <v>7</v>
      </c>
      <c r="E26" s="145">
        <f>BUF!J$21</f>
        <v>0</v>
      </c>
      <c r="F26" s="145">
        <f>BUF!K$21</f>
        <v>0</v>
      </c>
      <c r="G26" s="145">
        <f>BUF!L$21</f>
        <v>0</v>
      </c>
      <c r="H26" s="145">
        <f>BUF!M$21</f>
        <v>0</v>
      </c>
      <c r="I26" s="145">
        <f>BUF!N$21</f>
        <v>0</v>
      </c>
      <c r="J26" s="145">
        <f>BUF!O$21</f>
        <v>0</v>
      </c>
      <c r="K26" s="145">
        <f t="shared" si="0"/>
        <v>0</v>
      </c>
      <c r="L26" s="145">
        <f t="shared" si="1"/>
        <v>0</v>
      </c>
      <c r="M26" s="145">
        <f t="shared" si="2"/>
        <v>0</v>
      </c>
      <c r="N2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6" s="190">
        <v>0</v>
      </c>
    </row>
    <row r="27" spans="1:15" x14ac:dyDescent="0.3">
      <c r="A27" s="196">
        <f>IF(TableWRMaster[[#This Row],[Player]]&lt;&gt;0,A26+1,A26)</f>
        <v>25</v>
      </c>
      <c r="B27" s="144" t="str">
        <f>CAR!A$15</f>
        <v>DJ Moore</v>
      </c>
      <c r="C27" s="144" t="s">
        <v>141</v>
      </c>
      <c r="D27" s="144">
        <f>CAR!C$15</f>
        <v>13</v>
      </c>
      <c r="E27" s="145">
        <f>CAR!J$15</f>
        <v>47.838873543612245</v>
      </c>
      <c r="F27" s="145">
        <f>CAR!K$15</f>
        <v>0</v>
      </c>
      <c r="G27" s="145">
        <f>CAR!L$15</f>
        <v>139.43743232539856</v>
      </c>
      <c r="H27" s="145">
        <f>CAR!M$15</f>
        <v>85.865570825980441</v>
      </c>
      <c r="I27" s="145">
        <f>CAR!N$15</f>
        <v>1137.2537381854802</v>
      </c>
      <c r="J27" s="145">
        <f>CAR!O$15</f>
        <v>4.5194476345675323</v>
      </c>
      <c r="K27" s="145">
        <f t="shared" si="0"/>
        <v>145.62594698031444</v>
      </c>
      <c r="L27" s="145">
        <f t="shared" si="1"/>
        <v>188.55873239330467</v>
      </c>
      <c r="M27" s="145">
        <f t="shared" si="2"/>
        <v>231.49151780629489</v>
      </c>
      <c r="N2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145.62594698031444</v>
      </c>
      <c r="O27" s="190">
        <v>17.941744686042725</v>
      </c>
    </row>
    <row r="28" spans="1:15" x14ac:dyDescent="0.3">
      <c r="A28" s="196">
        <f>IF(TableWRMaster[[#This Row],[Player]]&lt;&gt;0,A27+1,A27)</f>
        <v>26</v>
      </c>
      <c r="B28" s="144" t="str">
        <f>CAR!A$16</f>
        <v>Robbie Anderson</v>
      </c>
      <c r="C28" s="144" t="s">
        <v>141</v>
      </c>
      <c r="D28" s="144">
        <f>CAR!C$16</f>
        <v>13</v>
      </c>
      <c r="E28" s="145">
        <f>CAR!J$16</f>
        <v>27.87726981289369</v>
      </c>
      <c r="F28" s="145">
        <f>CAR!K$16</f>
        <v>2.5009213238681677E-2</v>
      </c>
      <c r="G28" s="145">
        <f>CAR!L$16</f>
        <v>106.71375233814331</v>
      </c>
      <c r="H28" s="145">
        <f>CAR!M$16</f>
        <v>55.490055592093888</v>
      </c>
      <c r="I28" s="145">
        <f>CAR!N$16</f>
        <v>692.05183139774715</v>
      </c>
      <c r="J28" s="145">
        <f>CAR!O$16</f>
        <v>4.4800054754688707</v>
      </c>
      <c r="K28" s="145">
        <f t="shared" si="0"/>
        <v>99.022998253309396</v>
      </c>
      <c r="L28" s="145">
        <f t="shared" si="1"/>
        <v>126.76802604935634</v>
      </c>
      <c r="M28" s="145">
        <f t="shared" si="2"/>
        <v>154.51305384540328</v>
      </c>
      <c r="N2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99.022998253309396</v>
      </c>
      <c r="O28" s="190">
        <v>14.406806585771708</v>
      </c>
    </row>
    <row r="29" spans="1:15" x14ac:dyDescent="0.3">
      <c r="A29" s="196">
        <f>IF(TableWRMaster[[#This Row],[Player]]&lt;&gt;0,A28+1,A28)</f>
        <v>27</v>
      </c>
      <c r="B29" s="144" t="str">
        <f>CAR!A$17</f>
        <v>Terrace Marshall</v>
      </c>
      <c r="C29" s="144" t="s">
        <v>141</v>
      </c>
      <c r="D29" s="144">
        <f>CAR!C$17</f>
        <v>13</v>
      </c>
      <c r="E29" s="145">
        <f>CAR!J$17</f>
        <v>0</v>
      </c>
      <c r="F29" s="145">
        <f>CAR!K$17</f>
        <v>0</v>
      </c>
      <c r="G29" s="145">
        <f>CAR!L$17</f>
        <v>81.127414058237591</v>
      </c>
      <c r="H29" s="145">
        <f>CAR!M$17</f>
        <v>46.851081618632207</v>
      </c>
      <c r="I29" s="145">
        <f>CAR!N$17</f>
        <v>492.57094924292869</v>
      </c>
      <c r="J29" s="145">
        <f>CAR!O$17</f>
        <v>1.7587838340402027</v>
      </c>
      <c r="K29" s="145">
        <f t="shared" si="0"/>
        <v>59.809797928534088</v>
      </c>
      <c r="L29" s="145">
        <f t="shared" si="1"/>
        <v>83.235338737850185</v>
      </c>
      <c r="M29" s="145">
        <f t="shared" si="2"/>
        <v>106.6608795471663</v>
      </c>
      <c r="N2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59.809797928534088</v>
      </c>
      <c r="O29" s="190">
        <v>0</v>
      </c>
    </row>
    <row r="30" spans="1:15" x14ac:dyDescent="0.3">
      <c r="A30" s="196">
        <f>IF(TableWRMaster[[#This Row],[Player]]&lt;&gt;0,A29+1,A29)</f>
        <v>28</v>
      </c>
      <c r="B30" s="144" t="str">
        <f>CAR!A$18</f>
        <v>Rashard Higgins</v>
      </c>
      <c r="C30" s="144" t="s">
        <v>141</v>
      </c>
      <c r="D30" s="144">
        <f>CAR!C$18</f>
        <v>13</v>
      </c>
      <c r="E30" s="145">
        <f>CAR!J$18</f>
        <v>0</v>
      </c>
      <c r="F30" s="145">
        <f>CAR!K$18</f>
        <v>0</v>
      </c>
      <c r="G30" s="145">
        <f>CAR!L$18</f>
        <v>29.330680467208982</v>
      </c>
      <c r="H30" s="145">
        <f>CAR!M$18</f>
        <v>17.586676008138507</v>
      </c>
      <c r="I30" s="145">
        <f>CAR!N$18</f>
        <v>208.76556866727617</v>
      </c>
      <c r="J30" s="145">
        <f>CAR!O$18</f>
        <v>0.41873038114615491</v>
      </c>
      <c r="K30" s="145">
        <f t="shared" si="0"/>
        <v>23.388939153604547</v>
      </c>
      <c r="L30" s="145">
        <f t="shared" si="1"/>
        <v>32.182277157673802</v>
      </c>
      <c r="M30" s="145">
        <f t="shared" si="2"/>
        <v>40.97561516174305</v>
      </c>
      <c r="N3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23.388939153604547</v>
      </c>
      <c r="O30" s="190">
        <v>0</v>
      </c>
    </row>
    <row r="31" spans="1:15" x14ac:dyDescent="0.3">
      <c r="A31" s="196">
        <f>IF(TableWRMaster[[#This Row],[Player]]&lt;&gt;0,A30+1,A30)</f>
        <v>29</v>
      </c>
      <c r="B31" s="144" t="str">
        <f>CAR!A$19</f>
        <v>Brandon Zylstra</v>
      </c>
      <c r="C31" s="144" t="s">
        <v>141</v>
      </c>
      <c r="D31" s="144">
        <f>CAR!C$19</f>
        <v>13</v>
      </c>
      <c r="E31" s="145">
        <f>CAR!J$19</f>
        <v>0</v>
      </c>
      <c r="F31" s="145">
        <f>CAR!K$19</f>
        <v>0</v>
      </c>
      <c r="G31" s="145">
        <f>CAR!L$19</f>
        <v>14.977368749213095</v>
      </c>
      <c r="H31" s="145">
        <f>CAR!M$19</f>
        <v>8.9594619857792726</v>
      </c>
      <c r="I31" s="145">
        <f>CAR!N$19</f>
        <v>108.01507764067911</v>
      </c>
      <c r="J31" s="145">
        <f>CAR!O$19</f>
        <v>0.48999157670396126</v>
      </c>
      <c r="K31" s="145">
        <f t="shared" si="0"/>
        <v>13.741457224291677</v>
      </c>
      <c r="L31" s="145">
        <f t="shared" si="1"/>
        <v>18.221188217181314</v>
      </c>
      <c r="M31" s="145">
        <f t="shared" si="2"/>
        <v>22.70091921007095</v>
      </c>
      <c r="N3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13.741457224291679</v>
      </c>
      <c r="O31" s="190">
        <v>0</v>
      </c>
    </row>
    <row r="32" spans="1:15" x14ac:dyDescent="0.3">
      <c r="A32" s="196">
        <f>IF(TableWRMaster[[#This Row],[Player]]&lt;&gt;0,A31+1,A31)</f>
        <v>29</v>
      </c>
      <c r="B32" s="144">
        <f>CAR!A$20</f>
        <v>0</v>
      </c>
      <c r="C32" s="144" t="s">
        <v>141</v>
      </c>
      <c r="D32" s="144">
        <f>CAR!C$20</f>
        <v>13</v>
      </c>
      <c r="E32" s="145">
        <f>CAR!J$20</f>
        <v>0</v>
      </c>
      <c r="F32" s="145">
        <f>CAR!K$20</f>
        <v>0</v>
      </c>
      <c r="G32" s="145">
        <f>CAR!L$20</f>
        <v>0</v>
      </c>
      <c r="H32" s="145">
        <f>CAR!M$20</f>
        <v>0</v>
      </c>
      <c r="I32" s="145">
        <f>CAR!N$20</f>
        <v>0</v>
      </c>
      <c r="J32" s="145">
        <f>CAR!O$20</f>
        <v>0</v>
      </c>
      <c r="K32" s="145">
        <f t="shared" si="0"/>
        <v>0</v>
      </c>
      <c r="L32" s="145">
        <f t="shared" si="1"/>
        <v>0</v>
      </c>
      <c r="M32" s="145">
        <f t="shared" si="2"/>
        <v>0</v>
      </c>
      <c r="N3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2" s="190">
        <v>0</v>
      </c>
    </row>
    <row r="33" spans="1:15" x14ac:dyDescent="0.3">
      <c r="A33" s="196">
        <f>IF(TableWRMaster[[#This Row],[Player]]&lt;&gt;0,A32+1,A32)</f>
        <v>29</v>
      </c>
      <c r="B33" s="144">
        <f>CAR!A$21</f>
        <v>0</v>
      </c>
      <c r="C33" s="144" t="s">
        <v>141</v>
      </c>
      <c r="D33" s="144">
        <f>CAR!C$21</f>
        <v>13</v>
      </c>
      <c r="E33" s="145">
        <f>CAR!J$21</f>
        <v>0</v>
      </c>
      <c r="F33" s="145">
        <f>CAR!K$21</f>
        <v>0</v>
      </c>
      <c r="G33" s="145">
        <f>CAR!L$21</f>
        <v>0</v>
      </c>
      <c r="H33" s="145">
        <f>CAR!M$21</f>
        <v>0</v>
      </c>
      <c r="I33" s="145">
        <f>CAR!N$21</f>
        <v>0</v>
      </c>
      <c r="J33" s="145">
        <f>CAR!O$21</f>
        <v>0</v>
      </c>
      <c r="K33" s="145">
        <f t="shared" si="0"/>
        <v>0</v>
      </c>
      <c r="L33" s="145">
        <f t="shared" si="1"/>
        <v>0</v>
      </c>
      <c r="M33" s="145">
        <f t="shared" si="2"/>
        <v>0</v>
      </c>
      <c r="N3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3" s="190">
        <v>0</v>
      </c>
    </row>
    <row r="34" spans="1:15" x14ac:dyDescent="0.3">
      <c r="A34" s="196">
        <f>IF(TableWRMaster[[#This Row],[Player]]&lt;&gt;0,A33+1,A33)</f>
        <v>30</v>
      </c>
      <c r="B34" s="144" t="str">
        <f>CHI!A$15</f>
        <v>Darnell Mooney</v>
      </c>
      <c r="C34" s="144" t="s">
        <v>142</v>
      </c>
      <c r="D34" s="144">
        <f>CHI!C$15</f>
        <v>14</v>
      </c>
      <c r="E34" s="145">
        <f>CHI!J$15</f>
        <v>30.171173521760245</v>
      </c>
      <c r="F34" s="145">
        <f>CHI!K$15</f>
        <v>0</v>
      </c>
      <c r="G34" s="145">
        <f>CHI!L$15</f>
        <v>124.67199517362447</v>
      </c>
      <c r="H34" s="145">
        <f>CHI!M$15</f>
        <v>73.436299602231898</v>
      </c>
      <c r="I34" s="145">
        <f>CHI!N$15</f>
        <v>1053.8108992920277</v>
      </c>
      <c r="J34" s="145">
        <f>CHI!O$15</f>
        <v>4.3091956701704817</v>
      </c>
      <c r="K34" s="145">
        <f t="shared" si="0"/>
        <v>134.25338130240169</v>
      </c>
      <c r="L34" s="145">
        <f t="shared" ref="L34:L65" si="3">K34+(H34*0.5)</f>
        <v>170.97153110351763</v>
      </c>
      <c r="M34" s="145">
        <f t="shared" ref="M34:M65" si="4">K34+H34</f>
        <v>207.68968090463358</v>
      </c>
      <c r="N3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134.25338130240169</v>
      </c>
      <c r="O34" s="190">
        <v>26.619108615592406</v>
      </c>
    </row>
    <row r="35" spans="1:15" x14ac:dyDescent="0.3">
      <c r="A35" s="196">
        <f>IF(TableWRMaster[[#This Row],[Player]]&lt;&gt;0,A34+1,A34)</f>
        <v>31</v>
      </c>
      <c r="B35" s="144" t="str">
        <f>CHI!A$16</f>
        <v>Byron Pringle</v>
      </c>
      <c r="C35" s="144" t="s">
        <v>142</v>
      </c>
      <c r="D35" s="144">
        <f>CHI!C$16</f>
        <v>14</v>
      </c>
      <c r="E35" s="145">
        <f>CHI!J$16</f>
        <v>0</v>
      </c>
      <c r="F35" s="145">
        <f>CHI!K$16</f>
        <v>0</v>
      </c>
      <c r="G35" s="145">
        <f>CHI!L$16</f>
        <v>84.285292511746107</v>
      </c>
      <c r="H35" s="145">
        <f>CHI!M$16</f>
        <v>52.998591931385953</v>
      </c>
      <c r="I35" s="145">
        <f>CHI!N$16</f>
        <v>623.26344111309879</v>
      </c>
      <c r="J35" s="145">
        <f>CHI!O$16</f>
        <v>4.1064797127260952</v>
      </c>
      <c r="K35" s="145">
        <f t="shared" si="0"/>
        <v>86.965222387666444</v>
      </c>
      <c r="L35" s="145">
        <f t="shared" si="3"/>
        <v>113.46451835335942</v>
      </c>
      <c r="M35" s="145">
        <f t="shared" si="4"/>
        <v>139.9638143190524</v>
      </c>
      <c r="N3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86.965222387666444</v>
      </c>
      <c r="O35" s="190">
        <v>3.2302874195346365</v>
      </c>
    </row>
    <row r="36" spans="1:15" x14ac:dyDescent="0.3">
      <c r="A36" s="196">
        <f>IF(TableWRMaster[[#This Row],[Player]]&lt;&gt;0,A35+1,A35)</f>
        <v>32</v>
      </c>
      <c r="B36" s="144" t="str">
        <f>CHI!A$17</f>
        <v>Equanimeous St. Brown</v>
      </c>
      <c r="C36" s="144" t="s">
        <v>142</v>
      </c>
      <c r="D36" s="144">
        <f>CHI!C$17</f>
        <v>14</v>
      </c>
      <c r="E36" s="145">
        <f>CHI!J$17</f>
        <v>0</v>
      </c>
      <c r="F36" s="145">
        <f>CHI!K$17</f>
        <v>0</v>
      </c>
      <c r="G36" s="145">
        <f>CHI!L$17</f>
        <v>22.241952190599669</v>
      </c>
      <c r="H36" s="145">
        <f>CHI!M$17</f>
        <v>12.268660828334777</v>
      </c>
      <c r="I36" s="145">
        <f>CHI!N$17</f>
        <v>154.70781304530155</v>
      </c>
      <c r="J36" s="145">
        <f>CHI!O$17</f>
        <v>0.93469932443815062</v>
      </c>
      <c r="K36" s="145">
        <f t="shared" si="0"/>
        <v>21.07897725115906</v>
      </c>
      <c r="L36" s="145">
        <f t="shared" si="3"/>
        <v>27.213307665326447</v>
      </c>
      <c r="M36" s="145">
        <f t="shared" si="4"/>
        <v>33.347638079493834</v>
      </c>
      <c r="N3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21.07897725115906</v>
      </c>
      <c r="O36" s="190">
        <v>0</v>
      </c>
    </row>
    <row r="37" spans="1:15" x14ac:dyDescent="0.3">
      <c r="A37" s="196">
        <f>IF(TableWRMaster[[#This Row],[Player]]&lt;&gt;0,A36+1,A36)</f>
        <v>33</v>
      </c>
      <c r="B37" s="144" t="str">
        <f>CHI!A$18</f>
        <v>Velus Jones</v>
      </c>
      <c r="C37" s="144" t="s">
        <v>142</v>
      </c>
      <c r="D37" s="144">
        <f>CHI!C$18</f>
        <v>14</v>
      </c>
      <c r="E37" s="145">
        <f>CHI!J$18</f>
        <v>9.2849684960079895</v>
      </c>
      <c r="F37" s="145">
        <f>CHI!K$18</f>
        <v>7.3690226158793573E-2</v>
      </c>
      <c r="G37" s="145">
        <f>CHI!L$18</f>
        <v>55.604880476499176</v>
      </c>
      <c r="H37" s="145">
        <f>CHI!M$18</f>
        <v>33.640952688281999</v>
      </c>
      <c r="I37" s="145">
        <f>CHI!N$18</f>
        <v>407.39193705509501</v>
      </c>
      <c r="J37" s="145">
        <f>CHI!O$18</f>
        <v>2.3328501620833366</v>
      </c>
      <c r="K37" s="145">
        <f t="shared" si="0"/>
        <v>56.106932884563079</v>
      </c>
      <c r="L37" s="145">
        <f t="shared" si="3"/>
        <v>72.927409228704079</v>
      </c>
      <c r="M37" s="145">
        <f t="shared" si="4"/>
        <v>89.747885572845078</v>
      </c>
      <c r="N3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56.106932884563086</v>
      </c>
      <c r="O37" s="190">
        <v>0</v>
      </c>
    </row>
    <row r="38" spans="1:15" x14ac:dyDescent="0.3">
      <c r="A38" s="196">
        <f>IF(TableWRMaster[[#This Row],[Player]]&lt;&gt;0,A37+1,A37)</f>
        <v>34</v>
      </c>
      <c r="B38" s="144" t="str">
        <f>CHI!A$19</f>
        <v>Dante Pettis</v>
      </c>
      <c r="C38" s="144" t="s">
        <v>142</v>
      </c>
      <c r="D38" s="144">
        <f>CHI!C$19</f>
        <v>14</v>
      </c>
      <c r="E38" s="145">
        <f>CHI!J$19</f>
        <v>0</v>
      </c>
      <c r="F38" s="145">
        <f>CHI!K$19</f>
        <v>0</v>
      </c>
      <c r="G38" s="145">
        <f>CHI!L$19</f>
        <v>20.486008596604961</v>
      </c>
      <c r="H38" s="145">
        <f>CHI!M$19</f>
        <v>10.48678780060208</v>
      </c>
      <c r="I38" s="145">
        <f>CHI!N$19</f>
        <v>123.74409604710455</v>
      </c>
      <c r="J38" s="145">
        <f>CHI!O$19</f>
        <v>0.22921940547764114</v>
      </c>
      <c r="K38" s="145">
        <f t="shared" si="0"/>
        <v>13.749726037576302</v>
      </c>
      <c r="L38" s="145">
        <f t="shared" si="3"/>
        <v>18.993119937877342</v>
      </c>
      <c r="M38" s="145">
        <f t="shared" si="4"/>
        <v>24.236513838178382</v>
      </c>
      <c r="N3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13.749726037576302</v>
      </c>
      <c r="O38" s="190">
        <v>0</v>
      </c>
    </row>
    <row r="39" spans="1:15" x14ac:dyDescent="0.3">
      <c r="A39" s="196">
        <f>IF(TableWRMaster[[#This Row],[Player]]&lt;&gt;0,A38+1,A38)</f>
        <v>35</v>
      </c>
      <c r="B39" s="144" t="str">
        <f>CHI!A$20</f>
        <v>Dazz Newsome</v>
      </c>
      <c r="C39" s="144" t="s">
        <v>142</v>
      </c>
      <c r="D39" s="144">
        <f>CHI!C$20</f>
        <v>14</v>
      </c>
      <c r="E39" s="145">
        <f>CHI!J$20</f>
        <v>0</v>
      </c>
      <c r="F39" s="145">
        <f>CHI!K$20</f>
        <v>0</v>
      </c>
      <c r="G39" s="145">
        <f>CHI!L$20</f>
        <v>13.462234220626115</v>
      </c>
      <c r="H39" s="145">
        <f>CHI!M$20</f>
        <v>7.7677091453012679</v>
      </c>
      <c r="I39" s="145">
        <f>CHI!N$20</f>
        <v>96.483124120584165</v>
      </c>
      <c r="J39" s="145">
        <f>CHI!O$20</f>
        <v>0.42109160103475296</v>
      </c>
      <c r="K39" s="145">
        <f t="shared" si="0"/>
        <v>12.174862018266934</v>
      </c>
      <c r="L39" s="145">
        <f t="shared" si="3"/>
        <v>16.05871659091757</v>
      </c>
      <c r="M39" s="145">
        <f t="shared" si="4"/>
        <v>19.942571163568203</v>
      </c>
      <c r="N3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12.174862018266934</v>
      </c>
      <c r="O39" s="190">
        <v>0</v>
      </c>
    </row>
    <row r="40" spans="1:15" x14ac:dyDescent="0.3">
      <c r="A40" s="196">
        <f>IF(TableWRMaster[[#This Row],[Player]]&lt;&gt;0,A39+1,A39)</f>
        <v>35</v>
      </c>
      <c r="B40" s="144">
        <f>CHI!A$21</f>
        <v>0</v>
      </c>
      <c r="C40" s="144" t="s">
        <v>142</v>
      </c>
      <c r="D40" s="144">
        <f>CHI!C$21</f>
        <v>14</v>
      </c>
      <c r="E40" s="145">
        <f>CHI!J$21</f>
        <v>0</v>
      </c>
      <c r="F40" s="145">
        <f>CHI!K$21</f>
        <v>0</v>
      </c>
      <c r="G40" s="145">
        <f>CHI!L$21</f>
        <v>0</v>
      </c>
      <c r="H40" s="145">
        <f>CHI!M$21</f>
        <v>0</v>
      </c>
      <c r="I40" s="145">
        <f>CHI!N$21</f>
        <v>0</v>
      </c>
      <c r="J40" s="145">
        <f>CHI!O$21</f>
        <v>0</v>
      </c>
      <c r="K40" s="145">
        <f t="shared" si="0"/>
        <v>0</v>
      </c>
      <c r="L40" s="145">
        <f t="shared" si="3"/>
        <v>0</v>
      </c>
      <c r="M40" s="145">
        <f t="shared" si="4"/>
        <v>0</v>
      </c>
      <c r="N4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40" s="190">
        <v>0</v>
      </c>
    </row>
    <row r="41" spans="1:15" x14ac:dyDescent="0.3">
      <c r="A41" s="196">
        <f>IF(TableWRMaster[[#This Row],[Player]]&lt;&gt;0,A40+1,A40)</f>
        <v>36</v>
      </c>
      <c r="B41" s="144" t="str">
        <f>CIN!A$15</f>
        <v>Ja'Marr Chase</v>
      </c>
      <c r="C41" s="144" t="s">
        <v>144</v>
      </c>
      <c r="D41" s="144">
        <f>CIN!C$15</f>
        <v>10</v>
      </c>
      <c r="E41" s="145">
        <f>CIN!J$15</f>
        <v>46.033349728575963</v>
      </c>
      <c r="F41" s="145">
        <f>CIN!K$15</f>
        <v>0</v>
      </c>
      <c r="G41" s="145">
        <f>CIN!L$15</f>
        <v>141.99341870262825</v>
      </c>
      <c r="H41" s="145">
        <f>CIN!M$15</f>
        <v>91.642552430676261</v>
      </c>
      <c r="I41" s="145">
        <f>CIN!N$15</f>
        <v>1573.5026252347116</v>
      </c>
      <c r="J41" s="145">
        <f>CIN!O$15</f>
        <v>12.00517436841859</v>
      </c>
      <c r="K41" s="145">
        <f t="shared" si="0"/>
        <v>233.98464370684027</v>
      </c>
      <c r="L41" s="145">
        <f t="shared" si="3"/>
        <v>279.80591992217842</v>
      </c>
      <c r="M41" s="145">
        <f t="shared" si="4"/>
        <v>325.62719613751653</v>
      </c>
      <c r="N4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233.9846437068403</v>
      </c>
      <c r="O41" s="190">
        <v>20.933498198048646</v>
      </c>
    </row>
    <row r="42" spans="1:15" x14ac:dyDescent="0.3">
      <c r="A42" s="196">
        <f>IF(TableWRMaster[[#This Row],[Player]]&lt;&gt;0,A41+1,A41)</f>
        <v>37</v>
      </c>
      <c r="B42" s="144" t="str">
        <f>CIN!A$16</f>
        <v>Tee Higgins</v>
      </c>
      <c r="C42" s="144" t="s">
        <v>144</v>
      </c>
      <c r="D42" s="144">
        <f>CIN!C$16</f>
        <v>10</v>
      </c>
      <c r="E42" s="145">
        <f>CIN!J$16</f>
        <v>0.69986468537057145</v>
      </c>
      <c r="F42" s="145">
        <f>CIN!K$16</f>
        <v>0</v>
      </c>
      <c r="G42" s="145">
        <f>CIN!L$16</f>
        <v>131.98507200993194</v>
      </c>
      <c r="H42" s="145">
        <f>CIN!M$16</f>
        <v>86.96496394734416</v>
      </c>
      <c r="I42" s="145">
        <f>CIN!N$16</f>
        <v>1250.5561815628091</v>
      </c>
      <c r="J42" s="145">
        <f>CIN!O$16</f>
        <v>8.0007766831556619</v>
      </c>
      <c r="K42" s="145">
        <f t="shared" si="0"/>
        <v>173.13026472375194</v>
      </c>
      <c r="L42" s="145">
        <f t="shared" si="3"/>
        <v>216.61274669742403</v>
      </c>
      <c r="M42" s="145">
        <f t="shared" si="4"/>
        <v>260.09522867109609</v>
      </c>
      <c r="N4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173.13026472375194</v>
      </c>
      <c r="O42" s="190">
        <v>18.616559514554787</v>
      </c>
    </row>
    <row r="43" spans="1:15" x14ac:dyDescent="0.3">
      <c r="A43" s="196">
        <f>IF(TableWRMaster[[#This Row],[Player]]&lt;&gt;0,A42+1,A42)</f>
        <v>38</v>
      </c>
      <c r="B43" s="144" t="str">
        <f>CIN!A$17</f>
        <v>Tyler Boyd</v>
      </c>
      <c r="C43" s="144" t="s">
        <v>144</v>
      </c>
      <c r="D43" s="144">
        <f>CIN!C$17</f>
        <v>10</v>
      </c>
      <c r="E43" s="145">
        <f>CIN!J$17</f>
        <v>15.553242873994213</v>
      </c>
      <c r="F43" s="145">
        <f>CIN!K$17</f>
        <v>0</v>
      </c>
      <c r="G43" s="145">
        <f>CIN!L$17</f>
        <v>100.70898859525614</v>
      </c>
      <c r="H43" s="145">
        <f>CIN!M$17</f>
        <v>71.634303587805704</v>
      </c>
      <c r="I43" s="145">
        <f>CIN!N$17</f>
        <v>850.29918358725365</v>
      </c>
      <c r="J43" s="145">
        <f>CIN!O$17</f>
        <v>4.8910741951336316</v>
      </c>
      <c r="K43" s="145">
        <f t="shared" si="0"/>
        <v>115.93168781692657</v>
      </c>
      <c r="L43" s="145">
        <f t="shared" si="3"/>
        <v>151.74883961082941</v>
      </c>
      <c r="M43" s="145">
        <f t="shared" si="4"/>
        <v>187.56599140473227</v>
      </c>
      <c r="N4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115.93168781692657</v>
      </c>
      <c r="O43" s="190">
        <v>11.308631676443813</v>
      </c>
    </row>
    <row r="44" spans="1:15" x14ac:dyDescent="0.3">
      <c r="A44" s="196">
        <f>IF(TableWRMaster[[#This Row],[Player]]&lt;&gt;0,A43+1,A43)</f>
        <v>39</v>
      </c>
      <c r="B44" s="144" t="str">
        <f>CIN!A$18</f>
        <v>Stanley Morgan</v>
      </c>
      <c r="C44" s="144" t="s">
        <v>144</v>
      </c>
      <c r="D44" s="144">
        <f>CIN!C$18</f>
        <v>10</v>
      </c>
      <c r="E44" s="145">
        <f>CIN!J$18</f>
        <v>0</v>
      </c>
      <c r="F44" s="145">
        <f>CIN!K$18</f>
        <v>0</v>
      </c>
      <c r="G44" s="145">
        <f>CIN!L$18</f>
        <v>6.9975864285927072</v>
      </c>
      <c r="H44" s="145">
        <f>CIN!M$18</f>
        <v>4.4952495217279553</v>
      </c>
      <c r="I44" s="145">
        <f>CIN!N$18</f>
        <v>56.202852273385595</v>
      </c>
      <c r="J44" s="145">
        <f>CIN!O$18</f>
        <v>0.30118171795577303</v>
      </c>
      <c r="K44" s="145">
        <f t="shared" si="0"/>
        <v>7.4273755350731978</v>
      </c>
      <c r="L44" s="145">
        <f t="shared" si="3"/>
        <v>9.6750002959371759</v>
      </c>
      <c r="M44" s="145">
        <f t="shared" si="4"/>
        <v>11.922625056801152</v>
      </c>
      <c r="N4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7.4273755350731978</v>
      </c>
      <c r="O44" s="190">
        <v>0</v>
      </c>
    </row>
    <row r="45" spans="1:15" x14ac:dyDescent="0.3">
      <c r="A45" s="196">
        <f>IF(TableWRMaster[[#This Row],[Player]]&lt;&gt;0,A44+1,A44)</f>
        <v>40</v>
      </c>
      <c r="B45" s="144" t="str">
        <f>CIN!A$19</f>
        <v>Mike Thomas</v>
      </c>
      <c r="C45" s="144" t="s">
        <v>144</v>
      </c>
      <c r="D45" s="144">
        <f>CIN!C$19</f>
        <v>10</v>
      </c>
      <c r="E45" s="145">
        <f>CIN!J$19</f>
        <v>0</v>
      </c>
      <c r="F45" s="145">
        <f>CIN!K$19</f>
        <v>0</v>
      </c>
      <c r="G45" s="145">
        <f>CIN!L$19</f>
        <v>12.395724530649938</v>
      </c>
      <c r="H45" s="145">
        <f>CIN!M$19</f>
        <v>7.847733200354476</v>
      </c>
      <c r="I45" s="145">
        <f>CIN!N$19</f>
        <v>93.781712183469239</v>
      </c>
      <c r="J45" s="145">
        <f>CIN!O$19</f>
        <v>0.54934132402481339</v>
      </c>
      <c r="K45" s="145">
        <f t="shared" si="0"/>
        <v>12.674219162495806</v>
      </c>
      <c r="L45" s="145">
        <f t="shared" si="3"/>
        <v>16.598085762673044</v>
      </c>
      <c r="M45" s="145">
        <f t="shared" si="4"/>
        <v>20.521952362850282</v>
      </c>
      <c r="N4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12.674219162495806</v>
      </c>
      <c r="O45" s="190">
        <v>0</v>
      </c>
    </row>
    <row r="46" spans="1:15" x14ac:dyDescent="0.3">
      <c r="A46" s="196">
        <f>IF(TableWRMaster[[#This Row],[Player]]&lt;&gt;0,A45+1,A45)</f>
        <v>41</v>
      </c>
      <c r="B46" s="144" t="str">
        <f>CLE!A$15</f>
        <v>Amari Cooper</v>
      </c>
      <c r="C46" s="144" t="s">
        <v>145</v>
      </c>
      <c r="D46" s="144">
        <f>CLE!C$15</f>
        <v>9</v>
      </c>
      <c r="E46" s="145">
        <f>CLE!J$15</f>
        <v>0.99980053536719471</v>
      </c>
      <c r="F46" s="145">
        <f>CLE!K$15</f>
        <v>0</v>
      </c>
      <c r="G46" s="145">
        <f>CLE!L$15</f>
        <v>124.11200271348541</v>
      </c>
      <c r="H46" s="145">
        <f>CLE!M$15</f>
        <v>78.525664116822227</v>
      </c>
      <c r="I46" s="145">
        <f>CLE!N$15</f>
        <v>1068.7342886299505</v>
      </c>
      <c r="J46" s="145">
        <f>CLE!O$15</f>
        <v>8.3237203963831554</v>
      </c>
      <c r="K46" s="145">
        <f t="shared" si="0"/>
        <v>156.91573129483069</v>
      </c>
      <c r="L46" s="145">
        <f t="shared" si="3"/>
        <v>196.1785633532418</v>
      </c>
      <c r="M46" s="145">
        <f t="shared" si="4"/>
        <v>235.44139541165293</v>
      </c>
      <c r="N4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156.91573129483072</v>
      </c>
      <c r="O46" s="190">
        <v>14.220208165902186</v>
      </c>
    </row>
    <row r="47" spans="1:15" x14ac:dyDescent="0.3">
      <c r="A47" s="196">
        <f>IF(TableWRMaster[[#This Row],[Player]]&lt;&gt;0,A46+1,A46)</f>
        <v>42</v>
      </c>
      <c r="B47" s="144" t="str">
        <f>CLE!A$16</f>
        <v>David Bell</v>
      </c>
      <c r="C47" s="144" t="s">
        <v>145</v>
      </c>
      <c r="D47" s="144">
        <f>CLE!C$16</f>
        <v>9</v>
      </c>
      <c r="E47" s="145">
        <f>CLE!J$16</f>
        <v>0</v>
      </c>
      <c r="F47" s="145">
        <f>CLE!K$16</f>
        <v>0</v>
      </c>
      <c r="G47" s="145">
        <f>CLE!L$16</f>
        <v>49.18494187276265</v>
      </c>
      <c r="H47" s="145">
        <f>CLE!M$16</f>
        <v>32.088256077790355</v>
      </c>
      <c r="I47" s="145">
        <f>CLE!N$16</f>
        <v>419.39350693671997</v>
      </c>
      <c r="J47" s="145">
        <f>CLE!O$16</f>
        <v>2.6312369983788093</v>
      </c>
      <c r="K47" s="145">
        <f t="shared" si="0"/>
        <v>57.726772683944851</v>
      </c>
      <c r="L47" s="145">
        <f t="shared" si="3"/>
        <v>73.770900722840025</v>
      </c>
      <c r="M47" s="145">
        <f t="shared" si="4"/>
        <v>89.815028761735206</v>
      </c>
      <c r="N4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57.726772683944851</v>
      </c>
      <c r="O47" s="190">
        <v>5.0997417510922762</v>
      </c>
    </row>
    <row r="48" spans="1:15" x14ac:dyDescent="0.3">
      <c r="A48" s="196">
        <f>IF(TableWRMaster[[#This Row],[Player]]&lt;&gt;0,A47+1,A47)</f>
        <v>43</v>
      </c>
      <c r="B48" s="144" t="str">
        <f>CLE!A$17</f>
        <v>Donovan Peoples-Jones</v>
      </c>
      <c r="C48" s="144" t="s">
        <v>145</v>
      </c>
      <c r="D48" s="144">
        <f>CLE!C$17</f>
        <v>9</v>
      </c>
      <c r="E48" s="145">
        <f>CLE!J$17</f>
        <v>0</v>
      </c>
      <c r="F48" s="145">
        <f>CLE!K$17</f>
        <v>0</v>
      </c>
      <c r="G48" s="145">
        <f>CLE!L$17</f>
        <v>65.729876588092353</v>
      </c>
      <c r="H48" s="145">
        <f>CLE!M$17</f>
        <v>39.589104669008023</v>
      </c>
      <c r="I48" s="145">
        <f>CLE!N$17</f>
        <v>626.29963586370695</v>
      </c>
      <c r="J48" s="145">
        <f>CLE!O$17</f>
        <v>3.8401431528937784</v>
      </c>
      <c r="K48" s="145">
        <f t="shared" si="0"/>
        <v>85.670822503733362</v>
      </c>
      <c r="L48" s="145">
        <f t="shared" si="3"/>
        <v>105.46537483823738</v>
      </c>
      <c r="M48" s="145">
        <f t="shared" si="4"/>
        <v>125.25992717274138</v>
      </c>
      <c r="N4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85.670822503733376</v>
      </c>
      <c r="O48" s="190">
        <v>0</v>
      </c>
    </row>
    <row r="49" spans="1:15" x14ac:dyDescent="0.3">
      <c r="A49" s="196">
        <f>IF(TableWRMaster[[#This Row],[Player]]&lt;&gt;0,A48+1,A48)</f>
        <v>44</v>
      </c>
      <c r="B49" s="144" t="str">
        <f>CLE!A$18</f>
        <v>Jakeem Grant</v>
      </c>
      <c r="C49" s="144" t="s">
        <v>145</v>
      </c>
      <c r="D49" s="144">
        <f>CLE!C$18</f>
        <v>9</v>
      </c>
      <c r="E49" s="145">
        <f>CLE!J$18</f>
        <v>8.5649579196456358</v>
      </c>
      <c r="F49" s="145">
        <f>CLE!K$18</f>
        <v>3.3326684512239829E-2</v>
      </c>
      <c r="G49" s="145">
        <f>CLE!L$18</f>
        <v>13.945730470021115</v>
      </c>
      <c r="H49" s="145">
        <f>CLE!M$18</f>
        <v>8.9461860965185451</v>
      </c>
      <c r="I49" s="145">
        <f>CLE!N$18</f>
        <v>89.909170270011387</v>
      </c>
      <c r="J49" s="145">
        <f>CLE!O$18</f>
        <v>0.47468687005643201</v>
      </c>
      <c r="K49" s="145">
        <f t="shared" si="0"/>
        <v>12.895494146377734</v>
      </c>
      <c r="L49" s="145">
        <f t="shared" si="3"/>
        <v>17.368587194637009</v>
      </c>
      <c r="M49" s="145">
        <f t="shared" si="4"/>
        <v>21.841680242896281</v>
      </c>
      <c r="N4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12.895494146377734</v>
      </c>
      <c r="O49" s="190">
        <v>0</v>
      </c>
    </row>
    <row r="50" spans="1:15" x14ac:dyDescent="0.3">
      <c r="A50" s="196">
        <f>IF(TableWRMaster[[#This Row],[Player]]&lt;&gt;0,A49+1,A49)</f>
        <v>45</v>
      </c>
      <c r="B50" s="144" t="str">
        <f>CLE!A$19</f>
        <v>Anthony Schwartz</v>
      </c>
      <c r="C50" s="144" t="s">
        <v>145</v>
      </c>
      <c r="D50" s="144">
        <f>CLE!C$19</f>
        <v>9</v>
      </c>
      <c r="E50" s="145">
        <f>CLE!J$19</f>
        <v>17.429855999901427</v>
      </c>
      <c r="F50" s="145">
        <f>CLE!K$19</f>
        <v>6.6653369024479658E-2</v>
      </c>
      <c r="G50" s="145">
        <f>CLE!L$19</f>
        <v>40.396391235644117</v>
      </c>
      <c r="H50" s="145">
        <f>CLE!M$19</f>
        <v>24.197438350150826</v>
      </c>
      <c r="I50" s="145">
        <f>CLE!N$19</f>
        <v>286.49767006578577</v>
      </c>
      <c r="J50" s="145">
        <f>CLE!O$19</f>
        <v>1.9357950680120661</v>
      </c>
      <c r="K50" s="145">
        <f t="shared" si="0"/>
        <v>42.407443228787997</v>
      </c>
      <c r="L50" s="145">
        <f t="shared" si="3"/>
        <v>54.506162403863414</v>
      </c>
      <c r="M50" s="145">
        <f t="shared" si="4"/>
        <v>66.60488157893883</v>
      </c>
      <c r="N5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42.407443228787997</v>
      </c>
      <c r="O50" s="190">
        <v>0</v>
      </c>
    </row>
    <row r="51" spans="1:15" x14ac:dyDescent="0.3">
      <c r="A51" s="196">
        <f>IF(TableWRMaster[[#This Row],[Player]]&lt;&gt;0,A50+1,A50)</f>
        <v>45</v>
      </c>
      <c r="B51" s="144">
        <f>CLE!A$20</f>
        <v>0</v>
      </c>
      <c r="C51" s="144" t="s">
        <v>145</v>
      </c>
      <c r="D51" s="144">
        <f>CLE!C$20</f>
        <v>9</v>
      </c>
      <c r="E51" s="145">
        <f>CLE!J$20</f>
        <v>0</v>
      </c>
      <c r="F51" s="145">
        <f>CLE!K$20</f>
        <v>0</v>
      </c>
      <c r="G51" s="145">
        <f>CLE!L$20</f>
        <v>0</v>
      </c>
      <c r="H51" s="145">
        <f>CLE!M$20</f>
        <v>0</v>
      </c>
      <c r="I51" s="145">
        <f>CLE!N$20</f>
        <v>0</v>
      </c>
      <c r="J51" s="145">
        <f>CLE!O$20</f>
        <v>0</v>
      </c>
      <c r="K51" s="145">
        <f t="shared" si="0"/>
        <v>0</v>
      </c>
      <c r="L51" s="145">
        <f t="shared" si="3"/>
        <v>0</v>
      </c>
      <c r="M51" s="145">
        <f t="shared" si="4"/>
        <v>0</v>
      </c>
      <c r="N5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51" s="190">
        <v>0</v>
      </c>
    </row>
    <row r="52" spans="1:15" x14ac:dyDescent="0.3">
      <c r="A52" s="196">
        <f>IF(TableWRMaster[[#This Row],[Player]]&lt;&gt;0,A51+1,A51)</f>
        <v>46</v>
      </c>
      <c r="B52" s="144" t="str">
        <f>DAL!A$15</f>
        <v>CeeDee Lamb</v>
      </c>
      <c r="C52" s="144" t="s">
        <v>146</v>
      </c>
      <c r="D52" s="144">
        <f>DAL!C$15</f>
        <v>9</v>
      </c>
      <c r="E52" s="145">
        <f>DAL!J$15</f>
        <v>72.741122938416865</v>
      </c>
      <c r="F52" s="145">
        <f>DAL!K$15</f>
        <v>0</v>
      </c>
      <c r="G52" s="145">
        <f>DAL!L$15</f>
        <v>137.75489771262687</v>
      </c>
      <c r="H52" s="145">
        <f>DAL!M$15</f>
        <v>94.401862586935451</v>
      </c>
      <c r="I52" s="145">
        <f>DAL!N$15</f>
        <v>1268.1640666241594</v>
      </c>
      <c r="J52" s="145">
        <f>DAL!O$15</f>
        <v>8.2129620450633833</v>
      </c>
      <c r="K52" s="145">
        <f t="shared" si="0"/>
        <v>183.36829122663792</v>
      </c>
      <c r="L52" s="145">
        <f t="shared" si="3"/>
        <v>230.56922252010565</v>
      </c>
      <c r="M52" s="145">
        <f t="shared" si="4"/>
        <v>277.77015381357336</v>
      </c>
      <c r="N5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183.36829122663792</v>
      </c>
      <c r="O52" s="190">
        <v>24.447212469858798</v>
      </c>
    </row>
    <row r="53" spans="1:15" x14ac:dyDescent="0.3">
      <c r="A53" s="196">
        <f>IF(TableWRMaster[[#This Row],[Player]]&lt;&gt;0,A52+1,A52)</f>
        <v>47</v>
      </c>
      <c r="B53" s="144" t="str">
        <f>DAL!A$16</f>
        <v>Michael Gallup</v>
      </c>
      <c r="C53" s="144" t="s">
        <v>146</v>
      </c>
      <c r="D53" s="144">
        <f>DAL!C$16</f>
        <v>9</v>
      </c>
      <c r="E53" s="145">
        <f>DAL!J$16</f>
        <v>0</v>
      </c>
      <c r="F53" s="145">
        <f>DAL!K$16</f>
        <v>0</v>
      </c>
      <c r="G53" s="145">
        <f>DAL!L$16</f>
        <v>107.07015746384266</v>
      </c>
      <c r="H53" s="145">
        <f>DAL!M$16</f>
        <v>61.421880526807001</v>
      </c>
      <c r="I53" s="145">
        <f>DAL!N$16</f>
        <v>816.29679220126502</v>
      </c>
      <c r="J53" s="145">
        <f>DAL!O$16</f>
        <v>6.9406724995291915</v>
      </c>
      <c r="K53" s="145">
        <f t="shared" si="0"/>
        <v>123.27371421730166</v>
      </c>
      <c r="L53" s="145">
        <f t="shared" si="3"/>
        <v>153.98465448070516</v>
      </c>
      <c r="M53" s="145">
        <f t="shared" si="4"/>
        <v>184.69559474410866</v>
      </c>
      <c r="N5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123.27371421730166</v>
      </c>
      <c r="O53" s="190">
        <v>23.90004724831903</v>
      </c>
    </row>
    <row r="54" spans="1:15" x14ac:dyDescent="0.3">
      <c r="A54" s="196">
        <f>IF(TableWRMaster[[#This Row],[Player]]&lt;&gt;0,A53+1,A53)</f>
        <v>48</v>
      </c>
      <c r="B54" s="144" t="str">
        <f>DAL!A$17</f>
        <v>Jalen Tolbert</v>
      </c>
      <c r="C54" s="144" t="s">
        <v>146</v>
      </c>
      <c r="D54" s="144">
        <f>DAL!C$17</f>
        <v>9</v>
      </c>
      <c r="E54" s="145">
        <f>DAL!J$17</f>
        <v>1.421881345843363</v>
      </c>
      <c r="F54" s="145">
        <f>DAL!K$17</f>
        <v>0</v>
      </c>
      <c r="G54" s="145">
        <f>DAL!L$17</f>
        <v>69.203882263215391</v>
      </c>
      <c r="H54" s="145">
        <f>DAL!M$17</f>
        <v>42.673952937129918</v>
      </c>
      <c r="I54" s="145">
        <f>DAL!N$17</f>
        <v>547.27707703884823</v>
      </c>
      <c r="J54" s="145">
        <f>DAL!O$17</f>
        <v>3.8406557643416925</v>
      </c>
      <c r="K54" s="145">
        <f t="shared" si="0"/>
        <v>77.913830424519318</v>
      </c>
      <c r="L54" s="145">
        <f t="shared" si="3"/>
        <v>99.250806893084274</v>
      </c>
      <c r="M54" s="145">
        <f t="shared" si="4"/>
        <v>120.58778336164923</v>
      </c>
      <c r="N5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77.913830424519318</v>
      </c>
      <c r="O54" s="190">
        <v>7.0024089687553328</v>
      </c>
    </row>
    <row r="55" spans="1:15" x14ac:dyDescent="0.3">
      <c r="A55" s="196">
        <f>IF(TableWRMaster[[#This Row],[Player]]&lt;&gt;0,A54+1,A54)</f>
        <v>49</v>
      </c>
      <c r="B55" s="144" t="str">
        <f>DAL!A$18</f>
        <v>James Washington</v>
      </c>
      <c r="C55" s="144" t="s">
        <v>146</v>
      </c>
      <c r="D55" s="144">
        <f>DAL!C$18</f>
        <v>9</v>
      </c>
      <c r="E55" s="145">
        <f>DAL!J$18</f>
        <v>2.0681910484994361</v>
      </c>
      <c r="F55" s="145">
        <f>DAL!K$18</f>
        <v>0</v>
      </c>
      <c r="G55" s="145">
        <f>DAL!L$18</f>
        <v>43.089209711058643</v>
      </c>
      <c r="H55" s="145">
        <f>DAL!M$18</f>
        <v>26.68945649502972</v>
      </c>
      <c r="I55" s="145">
        <f>DAL!N$18</f>
        <v>373.9696692134857</v>
      </c>
      <c r="J55" s="145">
        <f>DAL!O$18</f>
        <v>2.2952932585725558</v>
      </c>
      <c r="K55" s="145">
        <f t="shared" si="0"/>
        <v>51.375545577633844</v>
      </c>
      <c r="L55" s="145">
        <f t="shared" si="3"/>
        <v>64.720273825148709</v>
      </c>
      <c r="M55" s="145">
        <f t="shared" si="4"/>
        <v>78.06500207266356</v>
      </c>
      <c r="N5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51.375545577633844</v>
      </c>
      <c r="O55" s="190">
        <v>0</v>
      </c>
    </row>
    <row r="56" spans="1:15" x14ac:dyDescent="0.3">
      <c r="A56" s="196">
        <f>IF(TableWRMaster[[#This Row],[Player]]&lt;&gt;0,A55+1,A55)</f>
        <v>50</v>
      </c>
      <c r="B56" s="144" t="str">
        <f>DAL!A$19</f>
        <v>Noah Brown</v>
      </c>
      <c r="C56" s="144" t="s">
        <v>146</v>
      </c>
      <c r="D56" s="144">
        <f>DAL!C$19</f>
        <v>9</v>
      </c>
      <c r="E56" s="145">
        <f>DAL!J$19</f>
        <v>0</v>
      </c>
      <c r="F56" s="145">
        <f>DAL!K$19</f>
        <v>0</v>
      </c>
      <c r="G56" s="145">
        <f>DAL!L$19</f>
        <v>22.850338483137158</v>
      </c>
      <c r="H56" s="145">
        <f>DAL!M$19</f>
        <v>14.226620739601195</v>
      </c>
      <c r="I56" s="145">
        <f>DAL!N$19</f>
        <v>163.51879011356093</v>
      </c>
      <c r="J56" s="145">
        <f>DAL!O$19</f>
        <v>0.9958634517720838</v>
      </c>
      <c r="K56" s="145">
        <f t="shared" si="0"/>
        <v>22.327059721988597</v>
      </c>
      <c r="L56" s="145">
        <f t="shared" si="3"/>
        <v>29.440370091789195</v>
      </c>
      <c r="M56" s="145">
        <f t="shared" si="4"/>
        <v>36.553680461589792</v>
      </c>
      <c r="N5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22.327059721988597</v>
      </c>
      <c r="O56" s="190">
        <v>0</v>
      </c>
    </row>
    <row r="57" spans="1:15" x14ac:dyDescent="0.3">
      <c r="A57" s="196">
        <f>IF(TableWRMaster[[#This Row],[Player]]&lt;&gt;0,A56+1,A56)</f>
        <v>51</v>
      </c>
      <c r="B57" s="144" t="str">
        <f>DAL!A$20</f>
        <v>Simi Fehoko</v>
      </c>
      <c r="C57" s="144" t="s">
        <v>146</v>
      </c>
      <c r="D57" s="144">
        <f>DAL!C$20</f>
        <v>9</v>
      </c>
      <c r="E57" s="145">
        <f>DAL!J$20</f>
        <v>0</v>
      </c>
      <c r="F57" s="145">
        <f>DAL!K$20</f>
        <v>0</v>
      </c>
      <c r="G57" s="145">
        <f>DAL!L$20</f>
        <v>11.65686937498282</v>
      </c>
      <c r="H57" s="145">
        <f>DAL!M$20</f>
        <v>6.9428313997397684</v>
      </c>
      <c r="I57" s="145">
        <f>DAL!N$20</f>
        <v>80.335641975494383</v>
      </c>
      <c r="J57" s="145">
        <f>DAL!O$20</f>
        <v>0.49294102938152351</v>
      </c>
      <c r="K57" s="145">
        <f t="shared" si="0"/>
        <v>10.99121037383858</v>
      </c>
      <c r="L57" s="145">
        <f t="shared" si="3"/>
        <v>14.462626073708464</v>
      </c>
      <c r="M57" s="145">
        <f t="shared" si="4"/>
        <v>17.93404177357835</v>
      </c>
      <c r="N5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10.99121037383858</v>
      </c>
      <c r="O57" s="190">
        <v>0</v>
      </c>
    </row>
    <row r="58" spans="1:15" x14ac:dyDescent="0.3">
      <c r="A58" s="196">
        <f>IF(TableWRMaster[[#This Row],[Player]]&lt;&gt;0,A57+1,A57)</f>
        <v>52</v>
      </c>
      <c r="B58" s="144" t="str">
        <f>DEN!A$15</f>
        <v>Courtland Sutton</v>
      </c>
      <c r="C58" s="144" t="s">
        <v>147</v>
      </c>
      <c r="D58" s="144">
        <f>DEN!C$15</f>
        <v>9</v>
      </c>
      <c r="E58" s="145">
        <f>DEN!J$15</f>
        <v>1.0003064639893262</v>
      </c>
      <c r="F58" s="145">
        <f>DEN!K$15</f>
        <v>0</v>
      </c>
      <c r="G58" s="145">
        <f>DEN!L$15</f>
        <v>111.79618378301021</v>
      </c>
      <c r="H58" s="145">
        <f>DEN!M$15</f>
        <v>67.893822411422093</v>
      </c>
      <c r="I58" s="145">
        <f>DEN!N$15</f>
        <v>983.78148674150611</v>
      </c>
      <c r="J58" s="145">
        <f>DEN!O$15</f>
        <v>6.6535945963193655</v>
      </c>
      <c r="K58" s="145">
        <f t="shared" si="0"/>
        <v>138.39974689846574</v>
      </c>
      <c r="L58" s="145">
        <f t="shared" si="3"/>
        <v>172.34665810417678</v>
      </c>
      <c r="M58" s="145">
        <f t="shared" si="4"/>
        <v>206.29356930988783</v>
      </c>
      <c r="N5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138.39974689846576</v>
      </c>
      <c r="O58" s="190">
        <v>14.156941054184479</v>
      </c>
    </row>
    <row r="59" spans="1:15" x14ac:dyDescent="0.3">
      <c r="A59" s="196">
        <f>IF(TableWRMaster[[#This Row],[Player]]&lt;&gt;0,A58+1,A58)</f>
        <v>53</v>
      </c>
      <c r="B59" s="144" t="str">
        <f>DEN!A$16</f>
        <v>Jerry Jeudy</v>
      </c>
      <c r="C59" s="144" t="s">
        <v>147</v>
      </c>
      <c r="D59" s="144">
        <f>DEN!C$16</f>
        <v>9</v>
      </c>
      <c r="E59" s="145">
        <f>DEN!J$16</f>
        <v>12.133467331574533</v>
      </c>
      <c r="F59" s="145">
        <f>DEN!K$16</f>
        <v>2.5007661599733163E-2</v>
      </c>
      <c r="G59" s="145">
        <f>DEN!L$16</f>
        <v>113.96739220775687</v>
      </c>
      <c r="H59" s="145">
        <f>DEN!M$16</f>
        <v>69.611283160497905</v>
      </c>
      <c r="I59" s="145">
        <f>DEN!N$16</f>
        <v>980.82297973141544</v>
      </c>
      <c r="J59" s="145">
        <f>DEN!O$16</f>
        <v>5.9865703518028193</v>
      </c>
      <c r="K59" s="145">
        <f t="shared" si="0"/>
        <v>135.36511278671432</v>
      </c>
      <c r="L59" s="145">
        <f t="shared" si="3"/>
        <v>170.17075436696328</v>
      </c>
      <c r="M59" s="145">
        <f t="shared" si="4"/>
        <v>204.97639594721221</v>
      </c>
      <c r="N5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135.36511278671432</v>
      </c>
      <c r="O59" s="190">
        <v>5.499602009943378</v>
      </c>
    </row>
    <row r="60" spans="1:15" x14ac:dyDescent="0.3">
      <c r="A60" s="196">
        <f>IF(TableWRMaster[[#This Row],[Player]]&lt;&gt;0,A59+1,A59)</f>
        <v>54</v>
      </c>
      <c r="B60" s="144" t="str">
        <f>DEN!A$18</f>
        <v>KJ Hamler</v>
      </c>
      <c r="C60" s="144" t="s">
        <v>147</v>
      </c>
      <c r="D60" s="144">
        <f>DEN!C$18</f>
        <v>9</v>
      </c>
      <c r="E60" s="145">
        <f>DEN!J$18</f>
        <v>9.7529880238959326</v>
      </c>
      <c r="F60" s="145">
        <f>DEN!K$18</f>
        <v>0</v>
      </c>
      <c r="G60" s="145">
        <f>DEN!L$18</f>
        <v>42.516332844344518</v>
      </c>
      <c r="H60" s="145">
        <f>DEN!M$18</f>
        <v>25.233443543118472</v>
      </c>
      <c r="I60" s="145">
        <f>DEN!N$18</f>
        <v>340.04058452581864</v>
      </c>
      <c r="J60" s="145">
        <f>DEN!O$18</f>
        <v>2.1579465627823899</v>
      </c>
      <c r="K60" s="145">
        <f t="shared" si="0"/>
        <v>47.9270366316658</v>
      </c>
      <c r="L60" s="145">
        <f t="shared" si="3"/>
        <v>60.543758403225034</v>
      </c>
      <c r="M60" s="145">
        <f t="shared" si="4"/>
        <v>73.160480174784269</v>
      </c>
      <c r="N6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47.9270366316658</v>
      </c>
      <c r="O60" s="190">
        <v>0</v>
      </c>
    </row>
    <row r="61" spans="1:15" x14ac:dyDescent="0.3">
      <c r="A61" s="196">
        <f>IF(TableWRMaster[[#This Row],[Player]]&lt;&gt;0,A60+1,A60)</f>
        <v>55</v>
      </c>
      <c r="B61" s="144" t="str">
        <f>DEN!A$17</f>
        <v>Tim Patrick</v>
      </c>
      <c r="C61" s="144" t="s">
        <v>147</v>
      </c>
      <c r="D61" s="144">
        <f>DEN!C$17</f>
        <v>9</v>
      </c>
      <c r="E61" s="145">
        <f>DEN!J$17</f>
        <v>0</v>
      </c>
      <c r="F61" s="145">
        <f>DEN!K$17</f>
        <v>0</v>
      </c>
      <c r="G61" s="145">
        <f>DEN!L$17</f>
        <v>87.394684180041523</v>
      </c>
      <c r="H61" s="145">
        <f>DEN!M$17</f>
        <v>54.237141002133775</v>
      </c>
      <c r="I61" s="145">
        <f>DEN!N$17</f>
        <v>735.55425273387016</v>
      </c>
      <c r="J61" s="145">
        <f>DEN!O$17</f>
        <v>6.0745597922389827</v>
      </c>
      <c r="K61" s="145">
        <f t="shared" si="0"/>
        <v>110.0027840268209</v>
      </c>
      <c r="L61" s="145">
        <f t="shared" si="3"/>
        <v>137.1213545278878</v>
      </c>
      <c r="M61" s="145">
        <f t="shared" si="4"/>
        <v>164.23992502895467</v>
      </c>
      <c r="N6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110.0027840268209</v>
      </c>
      <c r="O61" s="190">
        <v>0</v>
      </c>
    </row>
    <row r="62" spans="1:15" x14ac:dyDescent="0.3">
      <c r="A62" s="196">
        <f>IF(TableWRMaster[[#This Row],[Player]]&lt;&gt;0,A61+1,A61)</f>
        <v>56</v>
      </c>
      <c r="B62" s="144" t="str">
        <f>DEN!A$19</f>
        <v>Kendall Hinton</v>
      </c>
      <c r="C62" s="144" t="s">
        <v>147</v>
      </c>
      <c r="D62" s="144">
        <f>DEN!C$19</f>
        <v>9</v>
      </c>
      <c r="E62" s="145">
        <f>DEN!J$19</f>
        <v>0</v>
      </c>
      <c r="F62" s="145">
        <f>DEN!K$19</f>
        <v>0</v>
      </c>
      <c r="G62" s="145">
        <f>DEN!L$19</f>
        <v>10.399645003070717</v>
      </c>
      <c r="H62" s="145">
        <f>DEN!M$19</f>
        <v>6.408261250892175</v>
      </c>
      <c r="I62" s="145">
        <f>DEN!N$19</f>
        <v>72.901411038207087</v>
      </c>
      <c r="J62" s="145">
        <f>DEN!O$19</f>
        <v>0.47390410919781817</v>
      </c>
      <c r="K62" s="145">
        <f t="shared" si="0"/>
        <v>10.133565759007617</v>
      </c>
      <c r="L62" s="145">
        <f t="shared" si="3"/>
        <v>13.337696384453704</v>
      </c>
      <c r="M62" s="145">
        <f t="shared" si="4"/>
        <v>16.541827009899791</v>
      </c>
      <c r="N6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10.133565759007617</v>
      </c>
      <c r="O62" s="190">
        <v>0</v>
      </c>
    </row>
    <row r="63" spans="1:15" x14ac:dyDescent="0.3">
      <c r="A63" s="196">
        <f>IF(TableWRMaster[[#This Row],[Player]]&lt;&gt;0,A62+1,A62)</f>
        <v>57</v>
      </c>
      <c r="B63" s="144" t="str">
        <f>DEN!A$20</f>
        <v>Montrell Washington</v>
      </c>
      <c r="C63" s="144" t="s">
        <v>147</v>
      </c>
      <c r="D63" s="144">
        <f>DEN!C$20</f>
        <v>9</v>
      </c>
      <c r="E63" s="145">
        <f>DEN!J$20</f>
        <v>0</v>
      </c>
      <c r="F63" s="145">
        <f>DEN!K$20</f>
        <v>0</v>
      </c>
      <c r="G63" s="145">
        <f>DEN!L$20</f>
        <v>4.9998293283993815</v>
      </c>
      <c r="H63" s="145">
        <f>DEN!M$20</f>
        <v>3.0288966071443455</v>
      </c>
      <c r="I63" s="145">
        <f>DEN!N$20</f>
        <v>33.998864204211088</v>
      </c>
      <c r="J63" s="145">
        <f>DEN!O$20</f>
        <v>0.22700050854109477</v>
      </c>
      <c r="K63" s="145">
        <f t="shared" si="0"/>
        <v>4.7618894716676774</v>
      </c>
      <c r="L63" s="145">
        <f t="shared" si="3"/>
        <v>6.2763377752398499</v>
      </c>
      <c r="M63" s="145">
        <f t="shared" si="4"/>
        <v>7.7907860788120225</v>
      </c>
      <c r="N6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4.7618894716676774</v>
      </c>
      <c r="O63" s="190">
        <v>0</v>
      </c>
    </row>
    <row r="64" spans="1:15" x14ac:dyDescent="0.3">
      <c r="A64" s="196">
        <f>IF(TableWRMaster[[#This Row],[Player]]&lt;&gt;0,A63+1,A63)</f>
        <v>58</v>
      </c>
      <c r="B64" s="144" t="str">
        <f>DET!A$16</f>
        <v>Amon-Ra St. Brown</v>
      </c>
      <c r="C64" s="144" t="s">
        <v>148</v>
      </c>
      <c r="D64" s="144">
        <f>DET!C$16</f>
        <v>6</v>
      </c>
      <c r="E64" s="145">
        <f>DET!J$16</f>
        <v>67.814583866748478</v>
      </c>
      <c r="F64" s="145">
        <f>DET!K$16</f>
        <v>0.67528712317935868</v>
      </c>
      <c r="G64" s="145">
        <f>DET!L$16</f>
        <v>120.78660575706679</v>
      </c>
      <c r="H64" s="145">
        <f>DET!M$16</f>
        <v>82.69056180943538</v>
      </c>
      <c r="I64" s="145">
        <f>DET!N$16</f>
        <v>895.53878439618518</v>
      </c>
      <c r="J64" s="145">
        <f>DET!O$16</f>
        <v>5.355817171266442</v>
      </c>
      <c r="K64" s="145">
        <f t="shared" si="0"/>
        <v>132.52196259296818</v>
      </c>
      <c r="L64" s="145">
        <f t="shared" si="3"/>
        <v>173.86724349768588</v>
      </c>
      <c r="M64" s="145">
        <f t="shared" si="4"/>
        <v>215.21252440240357</v>
      </c>
      <c r="N6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132.52196259296818</v>
      </c>
      <c r="O64" s="190">
        <v>0</v>
      </c>
    </row>
    <row r="65" spans="1:15" x14ac:dyDescent="0.3">
      <c r="A65" s="196">
        <f>IF(TableWRMaster[[#This Row],[Player]]&lt;&gt;0,A64+1,A64)</f>
        <v>59</v>
      </c>
      <c r="B65" s="144" t="str">
        <f>DET!A$15</f>
        <v>DJ Chark</v>
      </c>
      <c r="C65" s="144" t="s">
        <v>148</v>
      </c>
      <c r="D65" s="144">
        <f>DET!C$15</f>
        <v>6</v>
      </c>
      <c r="E65" s="145">
        <f>DET!J$15</f>
        <v>0.90038283090581173</v>
      </c>
      <c r="F65" s="145">
        <f>DET!K$15</f>
        <v>0</v>
      </c>
      <c r="G65" s="145">
        <f>DET!L$15</f>
        <v>83.475559999648254</v>
      </c>
      <c r="H65" s="145">
        <f>DET!M$15</f>
        <v>42.19689557982219</v>
      </c>
      <c r="I65" s="145">
        <f>DET!N$15</f>
        <v>576.40959362037108</v>
      </c>
      <c r="J65" s="145">
        <f>DET!O$15</f>
        <v>3.2069640640664865</v>
      </c>
      <c r="K65" s="145">
        <f t="shared" si="0"/>
        <v>76.972782029526599</v>
      </c>
      <c r="L65" s="145">
        <f t="shared" si="3"/>
        <v>98.07122981943769</v>
      </c>
      <c r="M65" s="145">
        <f t="shared" si="4"/>
        <v>119.16967760934878</v>
      </c>
      <c r="N6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76.972782029526599</v>
      </c>
      <c r="O65" s="190">
        <v>0</v>
      </c>
    </row>
    <row r="66" spans="1:15" x14ac:dyDescent="0.3">
      <c r="A66" s="196">
        <f>IF(TableWRMaster[[#This Row],[Player]]&lt;&gt;0,A65+1,A65)</f>
        <v>60</v>
      </c>
      <c r="B66" s="144" t="str">
        <f>DET!A$17</f>
        <v>Jameson Williams</v>
      </c>
      <c r="C66" s="144" t="s">
        <v>148</v>
      </c>
      <c r="D66" s="144">
        <f>DET!C$17</f>
        <v>6</v>
      </c>
      <c r="E66" s="145">
        <f>DET!J$17</f>
        <v>1.250531709591405</v>
      </c>
      <c r="F66" s="145">
        <f>DET!K$17</f>
        <v>0</v>
      </c>
      <c r="G66" s="145">
        <f>DET!L$17</f>
        <v>97.38815333292294</v>
      </c>
      <c r="H66" s="145">
        <f>DET!M$17</f>
        <v>56.91363680776017</v>
      </c>
      <c r="I66" s="145">
        <f>DET!N$17</f>
        <v>821.83291550405681</v>
      </c>
      <c r="J66" s="145">
        <f>DET!O$17</f>
        <v>4.6100045814285737</v>
      </c>
      <c r="K66" s="145">
        <f t="shared" ref="K66:K129" si="5">(E66/10)+(F66*6)+(I66/10)+(J66*6)</f>
        <v>109.96837220993626</v>
      </c>
      <c r="L66" s="145">
        <f t="shared" ref="L66:L97" si="6">K66+(H66*0.5)</f>
        <v>138.42519061381634</v>
      </c>
      <c r="M66" s="145">
        <f t="shared" ref="M66:M97" si="7">K66+H66</f>
        <v>166.88200901769642</v>
      </c>
      <c r="N6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109.96837220993626</v>
      </c>
      <c r="O66" s="190">
        <v>0</v>
      </c>
    </row>
    <row r="67" spans="1:15" x14ac:dyDescent="0.3">
      <c r="A67" s="196">
        <f>IF(TableWRMaster[[#This Row],[Player]]&lt;&gt;0,A66+1,A66)</f>
        <v>61</v>
      </c>
      <c r="B67" s="144" t="str">
        <f>DET!A$18</f>
        <v>Josh Reynolds</v>
      </c>
      <c r="C67" s="144" t="s">
        <v>148</v>
      </c>
      <c r="D67" s="144">
        <f>DET!C$18</f>
        <v>6</v>
      </c>
      <c r="E67" s="145">
        <f>DET!J$18</f>
        <v>1.8007656618116235</v>
      </c>
      <c r="F67" s="145">
        <f>DET!K$18</f>
        <v>0</v>
      </c>
      <c r="G67" s="145">
        <f>DET!L$18</f>
        <v>31.619530302897065</v>
      </c>
      <c r="H67" s="145">
        <f>DET!M$18</f>
        <v>18.282412421135085</v>
      </c>
      <c r="I67" s="145">
        <f>DET!N$18</f>
        <v>222.49695916521398</v>
      </c>
      <c r="J67" s="145">
        <f>DET!O$18</f>
        <v>1.2066392197949156</v>
      </c>
      <c r="K67" s="145">
        <f t="shared" si="5"/>
        <v>29.669607801472054</v>
      </c>
      <c r="L67" s="145">
        <f t="shared" si="6"/>
        <v>38.8108140120396</v>
      </c>
      <c r="M67" s="145">
        <f t="shared" si="7"/>
        <v>47.952020222607139</v>
      </c>
      <c r="N6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29.669607801472058</v>
      </c>
      <c r="O67" s="190">
        <v>0</v>
      </c>
    </row>
    <row r="68" spans="1:15" x14ac:dyDescent="0.3">
      <c r="A68" s="196">
        <f>IF(TableWRMaster[[#This Row],[Player]]&lt;&gt;0,A67+1,A67)</f>
        <v>62</v>
      </c>
      <c r="B68" s="144" t="str">
        <f>DET!A$20</f>
        <v>Kalif Raymond</v>
      </c>
      <c r="C68" s="144" t="s">
        <v>148</v>
      </c>
      <c r="D68" s="144">
        <f>DET!C$20</f>
        <v>6</v>
      </c>
      <c r="E68" s="145">
        <f>DET!J$20</f>
        <v>17.985313784904868</v>
      </c>
      <c r="F68" s="145">
        <f>DET!K$20</f>
        <v>3.3347512255770803E-2</v>
      </c>
      <c r="G68" s="145">
        <f>DET!L$20</f>
        <v>9.485859090869118</v>
      </c>
      <c r="H68" s="145">
        <f>DET!M$20</f>
        <v>5.0995978472512373</v>
      </c>
      <c r="I68" s="145">
        <f>DET!N$20</f>
        <v>55.457823346213388</v>
      </c>
      <c r="J68" s="145">
        <f>DET!O$20</f>
        <v>0.32637426222407917</v>
      </c>
      <c r="K68" s="145">
        <f t="shared" si="5"/>
        <v>9.502644359990926</v>
      </c>
      <c r="L68" s="145">
        <f t="shared" si="6"/>
        <v>12.052443283616544</v>
      </c>
      <c r="M68" s="145">
        <f t="shared" si="7"/>
        <v>14.602242207242163</v>
      </c>
      <c r="N6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9.502644359990926</v>
      </c>
      <c r="O68" s="190">
        <v>0</v>
      </c>
    </row>
    <row r="69" spans="1:15" x14ac:dyDescent="0.3">
      <c r="A69" s="196">
        <f>IF(TableWRMaster[[#This Row],[Player]]&lt;&gt;0,A68+1,A68)</f>
        <v>63</v>
      </c>
      <c r="B69" s="144" t="str">
        <f>DET!A$19</f>
        <v>Quintez Cephus</v>
      </c>
      <c r="C69" s="144" t="s">
        <v>148</v>
      </c>
      <c r="D69" s="144">
        <f>DET!C$19</f>
        <v>6</v>
      </c>
      <c r="E69" s="145">
        <f>DET!J$19</f>
        <v>0</v>
      </c>
      <c r="F69" s="145">
        <f>DET!K$19</f>
        <v>0</v>
      </c>
      <c r="G69" s="145">
        <f>DET!L$19</f>
        <v>13.912593333274707</v>
      </c>
      <c r="H69" s="145">
        <f>DET!M$19</f>
        <v>8.8762345466292629</v>
      </c>
      <c r="I69" s="145">
        <f>DET!N$19</f>
        <v>106.78110159595003</v>
      </c>
      <c r="J69" s="145">
        <f>DET!O$19</f>
        <v>0.55032654189101426</v>
      </c>
      <c r="K69" s="145">
        <f t="shared" si="5"/>
        <v>13.980069410941089</v>
      </c>
      <c r="L69" s="145">
        <f t="shared" si="6"/>
        <v>18.418186684255723</v>
      </c>
      <c r="M69" s="145">
        <f t="shared" si="7"/>
        <v>22.856303957570354</v>
      </c>
      <c r="N6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13.980069410941089</v>
      </c>
      <c r="O69" s="190">
        <v>0</v>
      </c>
    </row>
    <row r="70" spans="1:15" x14ac:dyDescent="0.3">
      <c r="A70" s="196">
        <f>IF(TableWRMaster[[#This Row],[Player]]&lt;&gt;0,A69+1,A69)</f>
        <v>64</v>
      </c>
      <c r="B70" s="144" t="str">
        <f>GB!A$15</f>
        <v>Sammy Watkins</v>
      </c>
      <c r="C70" s="144" t="s">
        <v>149</v>
      </c>
      <c r="D70" s="144">
        <f>GB!C$15</f>
        <v>14</v>
      </c>
      <c r="E70" s="145">
        <f>GB!J$15</f>
        <v>5.4748874845400657</v>
      </c>
      <c r="F70" s="145">
        <f>GB!K$15</f>
        <v>0</v>
      </c>
      <c r="G70" s="145">
        <f>GB!L$15</f>
        <v>61.028055169999973</v>
      </c>
      <c r="H70" s="145">
        <f>GB!M$15</f>
        <v>39.637721832914984</v>
      </c>
      <c r="I70" s="145">
        <f>GB!N$15</f>
        <v>514.4976293912365</v>
      </c>
      <c r="J70" s="145">
        <f>GB!O$15</f>
        <v>3.4484817994636034</v>
      </c>
      <c r="K70" s="145">
        <f t="shared" si="5"/>
        <v>72.688142484359275</v>
      </c>
      <c r="L70" s="145">
        <f t="shared" si="6"/>
        <v>92.507003400816771</v>
      </c>
      <c r="M70" s="145">
        <f t="shared" si="7"/>
        <v>112.32586431727427</v>
      </c>
      <c r="N7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72.688142484359275</v>
      </c>
      <c r="O70" s="190">
        <v>48</v>
      </c>
    </row>
    <row r="71" spans="1:15" x14ac:dyDescent="0.3">
      <c r="A71" s="196">
        <f>IF(TableWRMaster[[#This Row],[Player]]&lt;&gt;0,A70+1,A70)</f>
        <v>65</v>
      </c>
      <c r="B71" s="144" t="str">
        <f>GB!A$17</f>
        <v>Allen Lazard</v>
      </c>
      <c r="C71" s="144" t="s">
        <v>149</v>
      </c>
      <c r="D71" s="144">
        <f>GB!C$17</f>
        <v>14</v>
      </c>
      <c r="E71" s="145">
        <f>GB!J$17</f>
        <v>31.515852311690772</v>
      </c>
      <c r="F71" s="145">
        <f>GB!K$17</f>
        <v>2.4999486230776555E-2</v>
      </c>
      <c r="G71" s="145">
        <f>GB!L$17</f>
        <v>98.355894739999982</v>
      </c>
      <c r="H71" s="145">
        <f>GB!M$17</f>
        <v>64.698507559972001</v>
      </c>
      <c r="I71" s="145">
        <f>GB!N$17</f>
        <v>843.02155350643511</v>
      </c>
      <c r="J71" s="145">
        <f>GB!O$17</f>
        <v>7.8932179223165839</v>
      </c>
      <c r="K71" s="145">
        <f t="shared" si="5"/>
        <v>134.96304503309676</v>
      </c>
      <c r="L71" s="145">
        <f t="shared" si="6"/>
        <v>167.31229881308275</v>
      </c>
      <c r="M71" s="145">
        <f t="shared" si="7"/>
        <v>199.66155259306876</v>
      </c>
      <c r="N7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134.96304503309676</v>
      </c>
      <c r="O71" s="190">
        <v>0</v>
      </c>
    </row>
    <row r="72" spans="1:15" x14ac:dyDescent="0.3">
      <c r="A72" s="196">
        <f>IF(TableWRMaster[[#This Row],[Player]]&lt;&gt;0,A71+1,A71)</f>
        <v>66</v>
      </c>
      <c r="B72" s="144" t="str">
        <f>GB!A$16</f>
        <v>Randall Cobb</v>
      </c>
      <c r="C72" s="144" t="s">
        <v>149</v>
      </c>
      <c r="D72" s="144">
        <f>GB!C$16</f>
        <v>14</v>
      </c>
      <c r="E72" s="145">
        <f>GB!J$16</f>
        <v>6.466533771694202</v>
      </c>
      <c r="F72" s="145">
        <f>GB!K$16</f>
        <v>0</v>
      </c>
      <c r="G72" s="145">
        <f>GB!L$16</f>
        <v>58.065528219999976</v>
      </c>
      <c r="H72" s="145">
        <f>GB!M$16</f>
        <v>38.950356329975982</v>
      </c>
      <c r="I72" s="145">
        <f>GB!N$16</f>
        <v>462.93970934702071</v>
      </c>
      <c r="J72" s="145">
        <f>GB!O$16</f>
        <v>4.5961420469371657</v>
      </c>
      <c r="K72" s="145">
        <f t="shared" si="5"/>
        <v>74.517476593494493</v>
      </c>
      <c r="L72" s="145">
        <f t="shared" si="6"/>
        <v>93.992654758482487</v>
      </c>
      <c r="M72" s="145">
        <f t="shared" si="7"/>
        <v>113.46783292347047</v>
      </c>
      <c r="N7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74.517476593494493</v>
      </c>
      <c r="O72" s="190">
        <v>0</v>
      </c>
    </row>
    <row r="73" spans="1:15" x14ac:dyDescent="0.3">
      <c r="A73" s="196">
        <f>IF(TableWRMaster[[#This Row],[Player]]&lt;&gt;0,A72+1,A72)</f>
        <v>67</v>
      </c>
      <c r="B73" s="144" t="str">
        <f>GB!A$18</f>
        <v>Christian Watson</v>
      </c>
      <c r="C73" s="144" t="s">
        <v>149</v>
      </c>
      <c r="D73" s="144">
        <f>GB!C$18</f>
        <v>14</v>
      </c>
      <c r="E73" s="145">
        <f>GB!J$18</f>
        <v>10.449785244464598</v>
      </c>
      <c r="F73" s="145">
        <f>GB!K$18</f>
        <v>2.4999486230776559E-2</v>
      </c>
      <c r="G73" s="145">
        <f>GB!L$18</f>
        <v>81.765743819999983</v>
      </c>
      <c r="H73" s="145">
        <f>GB!M$18</f>
        <v>49.917986602109991</v>
      </c>
      <c r="I73" s="145">
        <f>GB!N$18</f>
        <v>679.882977520738</v>
      </c>
      <c r="J73" s="145">
        <f>GB!O$18</f>
        <v>4.492618794189899</v>
      </c>
      <c r="K73" s="145">
        <f t="shared" si="5"/>
        <v>96.138985959044319</v>
      </c>
      <c r="L73" s="145">
        <f t="shared" si="6"/>
        <v>121.09797926009932</v>
      </c>
      <c r="M73" s="145">
        <f t="shared" si="7"/>
        <v>146.05697256115431</v>
      </c>
      <c r="N7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96.138985959044319</v>
      </c>
      <c r="O73" s="190">
        <v>0</v>
      </c>
    </row>
    <row r="74" spans="1:15" x14ac:dyDescent="0.3">
      <c r="A74" s="196">
        <f>IF(TableWRMaster[[#This Row],[Player]]&lt;&gt;0,A73+1,A73)</f>
        <v>68</v>
      </c>
      <c r="B74" s="144" t="str">
        <f>GB!A$19</f>
        <v>Juwann Winfree</v>
      </c>
      <c r="C74" s="144" t="s">
        <v>149</v>
      </c>
      <c r="D74" s="144">
        <f>GB!C$19</f>
        <v>14</v>
      </c>
      <c r="E74" s="145">
        <f>GB!J$19</f>
        <v>0</v>
      </c>
      <c r="F74" s="145">
        <f>GB!K$19</f>
        <v>0</v>
      </c>
      <c r="G74" s="145">
        <f>GB!L$19</f>
        <v>10.072591629999998</v>
      </c>
      <c r="H74" s="145">
        <f>GB!M$19</f>
        <v>6.115070378572999</v>
      </c>
      <c r="I74" s="145">
        <f>GB!N$19</f>
        <v>66.715417830231416</v>
      </c>
      <c r="J74" s="145">
        <f>GB!O$19</f>
        <v>0.52589605255727789</v>
      </c>
      <c r="K74" s="145">
        <f t="shared" si="5"/>
        <v>9.826918098366809</v>
      </c>
      <c r="L74" s="145">
        <f t="shared" si="6"/>
        <v>12.884453287653308</v>
      </c>
      <c r="M74" s="145">
        <f t="shared" si="7"/>
        <v>15.941988476939809</v>
      </c>
      <c r="N7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9.826918098366809</v>
      </c>
      <c r="O74" s="190">
        <v>0</v>
      </c>
    </row>
    <row r="75" spans="1:15" x14ac:dyDescent="0.3">
      <c r="A75" s="196">
        <f>IF(TableWRMaster[[#This Row],[Player]]&lt;&gt;0,A74+1,A74)</f>
        <v>69</v>
      </c>
      <c r="B75" s="144" t="str">
        <f>GB!A$20</f>
        <v>Amari Rodgers</v>
      </c>
      <c r="C75" s="144" t="s">
        <v>149</v>
      </c>
      <c r="D75" s="144">
        <f>GB!C$20</f>
        <v>14</v>
      </c>
      <c r="E75" s="145">
        <f>GB!J$20</f>
        <v>11.899755445849639</v>
      </c>
      <c r="F75" s="145">
        <f>GB!K$20</f>
        <v>0</v>
      </c>
      <c r="G75" s="145">
        <f>GB!L$20</f>
        <v>28.440258719999989</v>
      </c>
      <c r="H75" s="145">
        <f>GB!M$20</f>
        <v>17.439566647103991</v>
      </c>
      <c r="I75" s="145">
        <f>GB!N$20</f>
        <v>217.65382616895465</v>
      </c>
      <c r="J75" s="145">
        <f>GB!O$20</f>
        <v>1.5521214315922551</v>
      </c>
      <c r="K75" s="145">
        <f t="shared" si="5"/>
        <v>32.268086751033962</v>
      </c>
      <c r="L75" s="145">
        <f t="shared" si="6"/>
        <v>40.987870074585956</v>
      </c>
      <c r="M75" s="145">
        <f t="shared" si="7"/>
        <v>49.70765339813795</v>
      </c>
      <c r="N7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32.268086751033962</v>
      </c>
      <c r="O75" s="190">
        <v>0</v>
      </c>
    </row>
    <row r="76" spans="1:15" x14ac:dyDescent="0.3">
      <c r="A76" s="196">
        <f>IF(TableWRMaster[[#This Row],[Player]]&lt;&gt;0,A75+1,A75)</f>
        <v>70</v>
      </c>
      <c r="B76" s="144" t="str">
        <f>GB!A$21</f>
        <v>Romeo Doubs</v>
      </c>
      <c r="C76" s="144" t="s">
        <v>149</v>
      </c>
      <c r="D76" s="144">
        <f>GB!C$21</f>
        <v>14</v>
      </c>
      <c r="E76" s="145">
        <f>GB!J$21</f>
        <v>0</v>
      </c>
      <c r="F76" s="145">
        <f>GB!K$21</f>
        <v>0</v>
      </c>
      <c r="G76" s="145">
        <f>GB!L$21</f>
        <v>17.775161699999991</v>
      </c>
      <c r="H76" s="145">
        <f>GB!M$21</f>
        <v>11.481073301038057</v>
      </c>
      <c r="I76" s="145">
        <f>GB!N$21</f>
        <v>147.41698118532864</v>
      </c>
      <c r="J76" s="145">
        <f>GB!O$21</f>
        <v>0.61505749826989586</v>
      </c>
      <c r="K76" s="145">
        <f t="shared" si="5"/>
        <v>18.432043108152239</v>
      </c>
      <c r="L76" s="145">
        <f t="shared" si="6"/>
        <v>24.172579758671269</v>
      </c>
      <c r="M76" s="145">
        <f t="shared" si="7"/>
        <v>29.913116409190295</v>
      </c>
      <c r="N7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18.432043108152239</v>
      </c>
      <c r="O76" s="190">
        <v>0</v>
      </c>
    </row>
    <row r="77" spans="1:15" x14ac:dyDescent="0.3">
      <c r="A77" s="196">
        <f>IF(TableWRMaster[[#This Row],[Player]]&lt;&gt;0,A76+1,A76)</f>
        <v>71</v>
      </c>
      <c r="B77" s="144" t="str">
        <f>HOU!A$15</f>
        <v>Brandin Cooks</v>
      </c>
      <c r="C77" s="144" t="s">
        <v>150</v>
      </c>
      <c r="D77" s="144">
        <f>HOU!C$15</f>
        <v>6</v>
      </c>
      <c r="E77" s="145">
        <f>HOU!J$15</f>
        <v>24.210573720233942</v>
      </c>
      <c r="F77" s="145">
        <f>HOU!K$15</f>
        <v>0</v>
      </c>
      <c r="G77" s="145">
        <f>HOU!L$15</f>
        <v>134.1629903715409</v>
      </c>
      <c r="H77" s="145">
        <f>HOU!M$15</f>
        <v>90.648377056133569</v>
      </c>
      <c r="I77" s="145">
        <f>HOU!N$15</f>
        <v>1079.6221707385507</v>
      </c>
      <c r="J77" s="145">
        <f>HOU!O$15</f>
        <v>5.4389026233680138</v>
      </c>
      <c r="K77" s="145">
        <f t="shared" si="5"/>
        <v>143.01669018608655</v>
      </c>
      <c r="L77" s="145">
        <f t="shared" si="6"/>
        <v>188.34087871415335</v>
      </c>
      <c r="M77" s="145">
        <f t="shared" si="7"/>
        <v>233.66506724222012</v>
      </c>
      <c r="N7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143.01669018608655</v>
      </c>
      <c r="O77" s="190">
        <v>15.101987749916791</v>
      </c>
    </row>
    <row r="78" spans="1:15" x14ac:dyDescent="0.3">
      <c r="A78" s="196">
        <f>IF(TableWRMaster[[#This Row],[Player]]&lt;&gt;0,A77+1,A77)</f>
        <v>72</v>
      </c>
      <c r="B78" s="144" t="str">
        <f>HOU!A$16</f>
        <v>Nico Collins</v>
      </c>
      <c r="C78" s="144" t="s">
        <v>150</v>
      </c>
      <c r="D78" s="144">
        <f>HOU!C$16</f>
        <v>6</v>
      </c>
      <c r="E78" s="145">
        <f>HOU!J$16</f>
        <v>0</v>
      </c>
      <c r="F78" s="145">
        <f>HOU!K$16</f>
        <v>0</v>
      </c>
      <c r="G78" s="145">
        <f>HOU!L$16</f>
        <v>76.644605136742513</v>
      </c>
      <c r="H78" s="145">
        <f>HOU!M$16</f>
        <v>43.524997690465561</v>
      </c>
      <c r="I78" s="145">
        <f>HOU!N$16</f>
        <v>573.65946956033611</v>
      </c>
      <c r="J78" s="145">
        <f>HOU!O$16</f>
        <v>2.5244498660470027</v>
      </c>
      <c r="K78" s="145">
        <f t="shared" si="5"/>
        <v>72.512646152315625</v>
      </c>
      <c r="L78" s="145">
        <f t="shared" si="6"/>
        <v>94.275144997548409</v>
      </c>
      <c r="M78" s="145">
        <f t="shared" si="7"/>
        <v>116.03764384278119</v>
      </c>
      <c r="N7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72.512646152315625</v>
      </c>
      <c r="O78" s="190">
        <v>0</v>
      </c>
    </row>
    <row r="79" spans="1:15" x14ac:dyDescent="0.3">
      <c r="A79" s="196">
        <f>IF(TableWRMaster[[#This Row],[Player]]&lt;&gt;0,A78+1,A78)</f>
        <v>73</v>
      </c>
      <c r="B79" s="144" t="str">
        <f>HOU!A$18</f>
        <v>Chris Conley</v>
      </c>
      <c r="C79" s="144" t="s">
        <v>150</v>
      </c>
      <c r="D79" s="144">
        <f>HOU!C$18</f>
        <v>6</v>
      </c>
      <c r="E79" s="145">
        <f>HOU!J$18</f>
        <v>0</v>
      </c>
      <c r="F79" s="145">
        <f>HOU!K$18</f>
        <v>0</v>
      </c>
      <c r="G79" s="145">
        <f>HOU!L$18</f>
        <v>31.136870836801645</v>
      </c>
      <c r="H79" s="145">
        <f>HOU!M$18</f>
        <v>18.93744484294276</v>
      </c>
      <c r="I79" s="145">
        <f>HOU!N$18</f>
        <v>249.18964118012795</v>
      </c>
      <c r="J79" s="145">
        <f>HOU!O$18</f>
        <v>1.2596805081103646</v>
      </c>
      <c r="K79" s="145">
        <f t="shared" si="5"/>
        <v>32.477047166674978</v>
      </c>
      <c r="L79" s="145">
        <f t="shared" si="6"/>
        <v>41.945769588146362</v>
      </c>
      <c r="M79" s="145">
        <f t="shared" si="7"/>
        <v>51.414492009617739</v>
      </c>
      <c r="N7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32.477047166674978</v>
      </c>
      <c r="O79" s="190">
        <v>0</v>
      </c>
    </row>
    <row r="80" spans="1:15" x14ac:dyDescent="0.3">
      <c r="A80" s="196">
        <f>IF(TableWRMaster[[#This Row],[Player]]&lt;&gt;0,A79+1,A79)</f>
        <v>74</v>
      </c>
      <c r="B80" s="144" t="str">
        <f>HOU!A$17</f>
        <v>John Metchie</v>
      </c>
      <c r="C80" s="144" t="s">
        <v>150</v>
      </c>
      <c r="D80" s="144">
        <f>HOU!C$17</f>
        <v>6</v>
      </c>
      <c r="E80" s="145">
        <f>HOU!J$17</f>
        <v>0</v>
      </c>
      <c r="F80" s="145">
        <f>HOU!K$17</f>
        <v>0</v>
      </c>
      <c r="G80" s="145">
        <f>HOU!L$17</f>
        <v>87.9585166095939</v>
      </c>
      <c r="H80" s="145">
        <f>HOU!M$17</f>
        <v>57.648011785927842</v>
      </c>
      <c r="I80" s="145">
        <f>HOU!N$17</f>
        <v>680.82301919180782</v>
      </c>
      <c r="J80" s="145">
        <f>HOU!O$17</f>
        <v>3.6318247425134542</v>
      </c>
      <c r="K80" s="145">
        <f t="shared" si="5"/>
        <v>89.873250374261502</v>
      </c>
      <c r="L80" s="145">
        <f t="shared" si="6"/>
        <v>118.69725626722543</v>
      </c>
      <c r="M80" s="145">
        <f t="shared" si="7"/>
        <v>147.52126216018934</v>
      </c>
      <c r="N8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89.873250374261502</v>
      </c>
      <c r="O80" s="190">
        <v>0</v>
      </c>
    </row>
    <row r="81" spans="1:15" x14ac:dyDescent="0.3">
      <c r="A81" s="196">
        <f>IF(TableWRMaster[[#This Row],[Player]]&lt;&gt;0,A80+1,A80)</f>
        <v>75</v>
      </c>
      <c r="B81" s="144" t="str">
        <f>HOU!A$20</f>
        <v>Phillip Dorsett</v>
      </c>
      <c r="C81" s="144" t="s">
        <v>150</v>
      </c>
      <c r="D81" s="144">
        <f>HOU!C$20</f>
        <v>6</v>
      </c>
      <c r="E81" s="145">
        <f>HOU!J$20</f>
        <v>0</v>
      </c>
      <c r="F81" s="145">
        <f>HOU!K$20</f>
        <v>0</v>
      </c>
      <c r="G81" s="145">
        <f>HOU!L$20</f>
        <v>11.376933574985218</v>
      </c>
      <c r="H81" s="145">
        <f>HOU!M$20</f>
        <v>7.2004612596081445</v>
      </c>
      <c r="I81" s="145">
        <f>HOU!N$20</f>
        <v>98.376253491024869</v>
      </c>
      <c r="J81" s="145">
        <f>HOU!O$20</f>
        <v>0.50645041928535772</v>
      </c>
      <c r="K81" s="145">
        <f t="shared" si="5"/>
        <v>12.876327864814634</v>
      </c>
      <c r="L81" s="145">
        <f t="shared" si="6"/>
        <v>16.476558494618708</v>
      </c>
      <c r="M81" s="145">
        <f t="shared" si="7"/>
        <v>20.076789124422778</v>
      </c>
      <c r="N8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12.876327864814634</v>
      </c>
      <c r="O81" s="190">
        <v>0</v>
      </c>
    </row>
    <row r="82" spans="1:15" x14ac:dyDescent="0.3">
      <c r="A82" s="196">
        <f>IF(TableWRMaster[[#This Row],[Player]]&lt;&gt;0,A81+1,A81)</f>
        <v>76</v>
      </c>
      <c r="B82" s="144" t="str">
        <f>HOU!A$19</f>
        <v>Chris Moore</v>
      </c>
      <c r="C82" s="144" t="s">
        <v>150</v>
      </c>
      <c r="D82" s="144">
        <f>HOU!C$19</f>
        <v>6</v>
      </c>
      <c r="E82" s="145">
        <f>HOU!J$19</f>
        <v>0</v>
      </c>
      <c r="F82" s="145">
        <f>HOU!K$19</f>
        <v>0</v>
      </c>
      <c r="G82" s="145">
        <f>HOU!L$19</f>
        <v>8.3830036868312128</v>
      </c>
      <c r="H82" s="145">
        <f>HOU!M$19</f>
        <v>6.0173200464074448</v>
      </c>
      <c r="I82" s="145">
        <f>HOU!N$19</f>
        <v>62.46551286270585</v>
      </c>
      <c r="J82" s="145">
        <f>HOU!O$19</f>
        <v>0.39073506794853535</v>
      </c>
      <c r="K82" s="145">
        <f t="shared" si="5"/>
        <v>8.5909616939617983</v>
      </c>
      <c r="L82" s="145">
        <f t="shared" si="6"/>
        <v>11.599621717165521</v>
      </c>
      <c r="M82" s="145">
        <f t="shared" si="7"/>
        <v>14.608281740369243</v>
      </c>
      <c r="N8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8.5909616939617983</v>
      </c>
      <c r="O82" s="190">
        <v>0</v>
      </c>
    </row>
    <row r="83" spans="1:15" x14ac:dyDescent="0.3">
      <c r="A83" s="196">
        <f>IF(TableWRMaster[[#This Row],[Player]]&lt;&gt;0,A82+1,A82)</f>
        <v>76</v>
      </c>
      <c r="B83" s="144">
        <f>HOU!A$21</f>
        <v>0</v>
      </c>
      <c r="C83" s="144" t="s">
        <v>150</v>
      </c>
      <c r="D83" s="144">
        <f>HOU!C$21</f>
        <v>6</v>
      </c>
      <c r="E83" s="145">
        <f>HOU!J$21</f>
        <v>0</v>
      </c>
      <c r="F83" s="145">
        <f>HOU!K$21</f>
        <v>0</v>
      </c>
      <c r="G83" s="145">
        <f>HOU!L$21</f>
        <v>0</v>
      </c>
      <c r="H83" s="145">
        <f>HOU!M$21</f>
        <v>0</v>
      </c>
      <c r="I83" s="145">
        <f>HOU!N$21</f>
        <v>0</v>
      </c>
      <c r="J83" s="145">
        <f>HOU!O$21</f>
        <v>0</v>
      </c>
      <c r="K83" s="145">
        <f t="shared" si="5"/>
        <v>0</v>
      </c>
      <c r="L83" s="145">
        <f t="shared" si="6"/>
        <v>0</v>
      </c>
      <c r="M83" s="145">
        <f t="shared" si="7"/>
        <v>0</v>
      </c>
      <c r="N8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83" s="190">
        <v>0</v>
      </c>
    </row>
    <row r="84" spans="1:15" x14ac:dyDescent="0.3">
      <c r="A84" s="196">
        <f>IF(TableWRMaster[[#This Row],[Player]]&lt;&gt;0,A83+1,A83)</f>
        <v>77</v>
      </c>
      <c r="B84" s="144" t="str">
        <f>IND!A$16</f>
        <v>Parris Campbell</v>
      </c>
      <c r="C84" s="144" t="s">
        <v>151</v>
      </c>
      <c r="D84" s="144">
        <f>IND!C$16</f>
        <v>14</v>
      </c>
      <c r="E84" s="145">
        <f>IND!J$16</f>
        <v>0</v>
      </c>
      <c r="F84" s="145">
        <f>IND!K$16</f>
        <v>0</v>
      </c>
      <c r="G84" s="145">
        <f>IND!L$16</f>
        <v>55.110416926275235</v>
      </c>
      <c r="H84" s="145">
        <f>IND!M$16</f>
        <v>33.981083076741314</v>
      </c>
      <c r="I84" s="145">
        <f>IND!N$16</f>
        <v>409.13224024396538</v>
      </c>
      <c r="J84" s="145">
        <f>IND!O$16</f>
        <v>2.0728460676812199</v>
      </c>
      <c r="K84" s="145">
        <f t="shared" si="5"/>
        <v>53.350300430483863</v>
      </c>
      <c r="L84" s="145">
        <f t="shared" si="6"/>
        <v>70.340841968854519</v>
      </c>
      <c r="M84" s="145">
        <f t="shared" si="7"/>
        <v>87.331383507225183</v>
      </c>
      <c r="N8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53.350300430483863</v>
      </c>
      <c r="O84" s="190">
        <v>3.1584315476577665</v>
      </c>
    </row>
    <row r="85" spans="1:15" x14ac:dyDescent="0.3">
      <c r="A85" s="196">
        <f>IF(TableWRMaster[[#This Row],[Player]]&lt;&gt;0,A84+1,A84)</f>
        <v>78</v>
      </c>
      <c r="B85" s="144" t="str">
        <f>IND!A$15</f>
        <v>Michael Pittman</v>
      </c>
      <c r="C85" s="144" t="s">
        <v>151</v>
      </c>
      <c r="D85" s="144">
        <f>IND!C$15</f>
        <v>14</v>
      </c>
      <c r="E85" s="145">
        <f>IND!J$15</f>
        <v>35.855971220908906</v>
      </c>
      <c r="F85" s="145">
        <f>IND!K$15</f>
        <v>0</v>
      </c>
      <c r="G85" s="145">
        <f>IND!L$15</f>
        <v>127.11461144520709</v>
      </c>
      <c r="H85" s="145">
        <f>IND!M$15</f>
        <v>84.149872776727094</v>
      </c>
      <c r="I85" s="145">
        <f>IND!N$15</f>
        <v>1113.3028168360995</v>
      </c>
      <c r="J85" s="145">
        <f>IND!O$15</f>
        <v>7.0685893132450763</v>
      </c>
      <c r="K85" s="145">
        <f t="shared" si="5"/>
        <v>157.32741468517131</v>
      </c>
      <c r="L85" s="145">
        <f t="shared" si="6"/>
        <v>199.40235107353485</v>
      </c>
      <c r="M85" s="145">
        <f t="shared" si="7"/>
        <v>241.47728746189841</v>
      </c>
      <c r="N8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157.32741468517131</v>
      </c>
      <c r="O85" s="190">
        <v>0.64776135372820753</v>
      </c>
    </row>
    <row r="86" spans="1:15" x14ac:dyDescent="0.3">
      <c r="A86" s="196">
        <f>IF(TableWRMaster[[#This Row],[Player]]&lt;&gt;0,A85+1,A85)</f>
        <v>79</v>
      </c>
      <c r="B86" s="144" t="str">
        <f>IND!A$17</f>
        <v>Alec Pierce</v>
      </c>
      <c r="C86" s="144" t="s">
        <v>151</v>
      </c>
      <c r="D86" s="144">
        <f>IND!C$17</f>
        <v>14</v>
      </c>
      <c r="E86" s="145">
        <f>IND!J$17</f>
        <v>3.8731150143991542</v>
      </c>
      <c r="F86" s="145">
        <f>IND!K$17</f>
        <v>0</v>
      </c>
      <c r="G86" s="145">
        <f>IND!L$17</f>
        <v>93.176375009372563</v>
      </c>
      <c r="H86" s="145">
        <f>IND!M$17</f>
        <v>57.815940693315682</v>
      </c>
      <c r="I86" s="145">
        <f>IND!N$17</f>
        <v>755.65434486163599</v>
      </c>
      <c r="J86" s="145">
        <f>IND!O$17</f>
        <v>4.2444085740126756</v>
      </c>
      <c r="K86" s="145">
        <f t="shared" si="5"/>
        <v>101.41919743167956</v>
      </c>
      <c r="L86" s="145">
        <f t="shared" si="6"/>
        <v>130.32716777833741</v>
      </c>
      <c r="M86" s="145">
        <f t="shared" si="7"/>
        <v>159.23513812499525</v>
      </c>
      <c r="N8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101.41919743167956</v>
      </c>
      <c r="O86" s="190">
        <v>0</v>
      </c>
    </row>
    <row r="87" spans="1:15" x14ac:dyDescent="0.3">
      <c r="A87" s="196">
        <f>IF(TableWRMaster[[#This Row],[Player]]&lt;&gt;0,A86+1,A86)</f>
        <v>80</v>
      </c>
      <c r="B87" s="144" t="str">
        <f>IND!A$18</f>
        <v>Ashton Dulin</v>
      </c>
      <c r="C87" s="144" t="s">
        <v>151</v>
      </c>
      <c r="D87" s="144">
        <f>IND!C$18</f>
        <v>14</v>
      </c>
      <c r="E87" s="145">
        <f>IND!J$18</f>
        <v>27.873232254532546</v>
      </c>
      <c r="F87" s="145">
        <f>IND!K$18</f>
        <v>6.6645702734219311E-2</v>
      </c>
      <c r="G87" s="145">
        <f>IND!L$18</f>
        <v>22.157796496131279</v>
      </c>
      <c r="H87" s="145">
        <f>IND!M$18</f>
        <v>12.540800766891273</v>
      </c>
      <c r="I87" s="145">
        <f>IND!N$18</f>
        <v>150.39371621785912</v>
      </c>
      <c r="J87" s="145">
        <f>IND!O$18</f>
        <v>1.088106077935018</v>
      </c>
      <c r="K87" s="145">
        <f t="shared" si="5"/>
        <v>24.755205531254589</v>
      </c>
      <c r="L87" s="145">
        <f t="shared" si="6"/>
        <v>31.025605914700225</v>
      </c>
      <c r="M87" s="145">
        <f t="shared" si="7"/>
        <v>37.296006298145862</v>
      </c>
      <c r="N8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24.755205531254589</v>
      </c>
      <c r="O87" s="190">
        <v>0</v>
      </c>
    </row>
    <row r="88" spans="1:15" x14ac:dyDescent="0.3">
      <c r="A88" s="196">
        <f>IF(TableWRMaster[[#This Row],[Player]]&lt;&gt;0,A87+1,A87)</f>
        <v>81</v>
      </c>
      <c r="B88" s="144" t="str">
        <f>IND!A$19</f>
        <v>Mike Strachan</v>
      </c>
      <c r="C88" s="144" t="s">
        <v>151</v>
      </c>
      <c r="D88" s="144">
        <f>IND!C$19</f>
        <v>14</v>
      </c>
      <c r="E88" s="145">
        <f>IND!J$19</f>
        <v>0</v>
      </c>
      <c r="F88" s="145">
        <f>IND!K$19</f>
        <v>0</v>
      </c>
      <c r="G88" s="145">
        <f>IND!L$19</f>
        <v>11.931121190224536</v>
      </c>
      <c r="H88" s="145">
        <f>IND!M$19</f>
        <v>6.9606161023769948</v>
      </c>
      <c r="I88" s="145">
        <f>IND!N$19</f>
        <v>76.962746335551572</v>
      </c>
      <c r="J88" s="145">
        <f>IND!O$19</f>
        <v>0.29805369061785075</v>
      </c>
      <c r="K88" s="145">
        <f t="shared" si="5"/>
        <v>9.4845967772622615</v>
      </c>
      <c r="L88" s="145">
        <f t="shared" si="6"/>
        <v>12.964904828450759</v>
      </c>
      <c r="M88" s="145">
        <f t="shared" si="7"/>
        <v>16.445212879639257</v>
      </c>
      <c r="N8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9.4845967772622615</v>
      </c>
      <c r="O88" s="190">
        <v>0</v>
      </c>
    </row>
    <row r="89" spans="1:15" x14ac:dyDescent="0.3">
      <c r="A89" s="196">
        <f>IF(TableWRMaster[[#This Row],[Player]]&lt;&gt;0,A88+1,A88)</f>
        <v>82</v>
      </c>
      <c r="B89" s="144" t="str">
        <f>IND!A$20</f>
        <v>Dezmon Patmon</v>
      </c>
      <c r="C89" s="144" t="s">
        <v>151</v>
      </c>
      <c r="D89" s="144">
        <f>IND!C$20</f>
        <v>14</v>
      </c>
      <c r="E89" s="145">
        <f>IND!J$20</f>
        <v>0</v>
      </c>
      <c r="F89" s="145">
        <f>IND!K$20</f>
        <v>0</v>
      </c>
      <c r="G89" s="145">
        <f>IND!L$20</f>
        <v>9.0903780496948841</v>
      </c>
      <c r="H89" s="145">
        <f>IND!M$20</f>
        <v>5.4569539432318388</v>
      </c>
      <c r="I89" s="145">
        <f>IND!N$20</f>
        <v>63.267938456338094</v>
      </c>
      <c r="J89" s="145">
        <f>IND!O$20</f>
        <v>0.16042786838841214</v>
      </c>
      <c r="K89" s="145">
        <f t="shared" si="5"/>
        <v>7.2893610559642825</v>
      </c>
      <c r="L89" s="145">
        <f t="shared" si="6"/>
        <v>10.017838027580202</v>
      </c>
      <c r="M89" s="145">
        <f t="shared" si="7"/>
        <v>12.746314999196121</v>
      </c>
      <c r="N8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7.2893610559642825</v>
      </c>
      <c r="O89" s="190">
        <v>0</v>
      </c>
    </row>
    <row r="90" spans="1:15" x14ac:dyDescent="0.3">
      <c r="A90" s="196">
        <f>IF(TableWRMaster[[#This Row],[Player]]&lt;&gt;0,A89+1,A89)</f>
        <v>83</v>
      </c>
      <c r="B90" s="144" t="str">
        <f>JAX!A$15</f>
        <v>Christian Kirk</v>
      </c>
      <c r="C90" s="144" t="s">
        <v>170</v>
      </c>
      <c r="D90" s="144">
        <f>JAX!C$15</f>
        <v>11</v>
      </c>
      <c r="E90" s="145">
        <f>JAX!J$15</f>
        <v>4.3736670038943073</v>
      </c>
      <c r="F90" s="145">
        <f>JAX!K$15</f>
        <v>0</v>
      </c>
      <c r="G90" s="145">
        <f>JAX!L$15</f>
        <v>117.85839178766665</v>
      </c>
      <c r="H90" s="145">
        <f>JAX!M$15</f>
        <v>76.784742249664816</v>
      </c>
      <c r="I90" s="145">
        <f>JAX!N$15</f>
        <v>945.98802451587051</v>
      </c>
      <c r="J90" s="145">
        <f>JAX!O$15</f>
        <v>4.8374387617288832</v>
      </c>
      <c r="K90" s="145">
        <f t="shared" si="5"/>
        <v>124.06080172234978</v>
      </c>
      <c r="L90" s="145">
        <f t="shared" si="6"/>
        <v>162.4531728471822</v>
      </c>
      <c r="M90" s="145">
        <f t="shared" si="7"/>
        <v>200.84554397201458</v>
      </c>
      <c r="N9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124.06080172234979</v>
      </c>
      <c r="O90" s="190">
        <v>15.838701358844826</v>
      </c>
    </row>
    <row r="91" spans="1:15" x14ac:dyDescent="0.3">
      <c r="A91" s="196">
        <f>IF(TableWRMaster[[#This Row],[Player]]&lt;&gt;0,A90+1,A90)</f>
        <v>84</v>
      </c>
      <c r="B91" s="144" t="str">
        <f>JAX!A$16</f>
        <v>Marvin Jones</v>
      </c>
      <c r="C91" s="144" t="s">
        <v>170</v>
      </c>
      <c r="D91" s="144">
        <f>JAX!C$16</f>
        <v>11</v>
      </c>
      <c r="E91" s="145">
        <f>JAX!J$16</f>
        <v>0</v>
      </c>
      <c r="F91" s="145">
        <f>JAX!K$16</f>
        <v>0</v>
      </c>
      <c r="G91" s="145">
        <f>JAX!L$16</f>
        <v>98.870095332987006</v>
      </c>
      <c r="H91" s="145">
        <f>JAX!M$16</f>
        <v>60.607142708309773</v>
      </c>
      <c r="I91" s="145">
        <f>JAX!N$16</f>
        <v>723.64928393721868</v>
      </c>
      <c r="J91" s="145">
        <f>JAX!O$16</f>
        <v>5.5758571291644987</v>
      </c>
      <c r="K91" s="145">
        <f t="shared" si="5"/>
        <v>105.82007116870886</v>
      </c>
      <c r="L91" s="145">
        <f t="shared" si="6"/>
        <v>136.12364252286375</v>
      </c>
      <c r="M91" s="145">
        <f t="shared" si="7"/>
        <v>166.42721387701863</v>
      </c>
      <c r="N9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105.82007116870886</v>
      </c>
      <c r="O91" s="190">
        <v>10.083300050857609</v>
      </c>
    </row>
    <row r="92" spans="1:15" x14ac:dyDescent="0.3">
      <c r="A92" s="196">
        <f>IF(TableWRMaster[[#This Row],[Player]]&lt;&gt;0,A91+1,A91)</f>
        <v>85</v>
      </c>
      <c r="B92" s="144" t="str">
        <f>JAX!A$17</f>
        <v>Zay Jones</v>
      </c>
      <c r="C92" s="144" t="s">
        <v>170</v>
      </c>
      <c r="D92" s="144">
        <f>JAX!C$17</f>
        <v>11</v>
      </c>
      <c r="E92" s="145">
        <f>JAX!J$17</f>
        <v>1.8994210988340994</v>
      </c>
      <c r="F92" s="145">
        <f>JAX!K$17</f>
        <v>0</v>
      </c>
      <c r="G92" s="145">
        <f>JAX!L$17</f>
        <v>64.167346639951845</v>
      </c>
      <c r="H92" s="145">
        <f>JAX!M$17</f>
        <v>37.749650028283675</v>
      </c>
      <c r="I92" s="145">
        <f>JAX!N$17</f>
        <v>475.26809385609147</v>
      </c>
      <c r="J92" s="145">
        <f>JAX!O$17</f>
        <v>2.6424755019798574</v>
      </c>
      <c r="K92" s="145">
        <f t="shared" si="5"/>
        <v>63.571604507371703</v>
      </c>
      <c r="L92" s="145">
        <f t="shared" si="6"/>
        <v>82.446429521513537</v>
      </c>
      <c r="M92" s="145">
        <f t="shared" si="7"/>
        <v>101.32125453565538</v>
      </c>
      <c r="N9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63.571604507371703</v>
      </c>
      <c r="O92" s="190">
        <v>8.5562358386140911</v>
      </c>
    </row>
    <row r="93" spans="1:15" x14ac:dyDescent="0.3">
      <c r="A93" s="196">
        <f>IF(TableWRMaster[[#This Row],[Player]]&lt;&gt;0,A92+1,A92)</f>
        <v>86</v>
      </c>
      <c r="B93" s="144" t="str">
        <f>JAX!A$18</f>
        <v>Laviska Shenault</v>
      </c>
      <c r="C93" s="144" t="s">
        <v>170</v>
      </c>
      <c r="D93" s="144">
        <f>JAX!C$18</f>
        <v>11</v>
      </c>
      <c r="E93" s="145">
        <f>JAX!J$18</f>
        <v>38.519760036697939</v>
      </c>
      <c r="F93" s="145">
        <f>JAX!K$18</f>
        <v>2.4992382879396046E-2</v>
      </c>
      <c r="G93" s="145">
        <f>JAX!L$18</f>
        <v>41.905205968948138</v>
      </c>
      <c r="H93" s="145">
        <f>JAX!M$18</f>
        <v>26.421232363421797</v>
      </c>
      <c r="I93" s="145">
        <f>JAX!N$18</f>
        <v>280.10107807318406</v>
      </c>
      <c r="J93" s="145">
        <f>JAX!O$18</f>
        <v>1.4003253152613553</v>
      </c>
      <c r="K93" s="145">
        <f t="shared" si="5"/>
        <v>40.413989999832708</v>
      </c>
      <c r="L93" s="145">
        <f t="shared" si="6"/>
        <v>53.624606181543605</v>
      </c>
      <c r="M93" s="145">
        <f t="shared" si="7"/>
        <v>66.835222363254502</v>
      </c>
      <c r="N9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40.413989999832708</v>
      </c>
      <c r="O93" s="190">
        <v>0</v>
      </c>
    </row>
    <row r="94" spans="1:15" x14ac:dyDescent="0.3">
      <c r="A94" s="196">
        <f>IF(TableWRMaster[[#This Row],[Player]]&lt;&gt;0,A93+1,A93)</f>
        <v>87</v>
      </c>
      <c r="B94" s="144" t="str">
        <f>JAX!A$19</f>
        <v>Jamal Agnew</v>
      </c>
      <c r="C94" s="144" t="s">
        <v>170</v>
      </c>
      <c r="D94" s="144">
        <f>JAX!C$19</f>
        <v>11</v>
      </c>
      <c r="E94" s="145">
        <f>JAX!J$19</f>
        <v>0</v>
      </c>
      <c r="F94" s="145">
        <f>JAX!K$19</f>
        <v>0</v>
      </c>
      <c r="G94" s="145">
        <f>JAX!L$19</f>
        <v>11.785839178766663</v>
      </c>
      <c r="H94" s="145">
        <f>JAX!M$19</f>
        <v>7.1657902206901305</v>
      </c>
      <c r="I94" s="145">
        <f>JAX!N$19</f>
        <v>81.024708241287271</v>
      </c>
      <c r="J94" s="145">
        <f>JAX!O$19</f>
        <v>0.44427899368278811</v>
      </c>
      <c r="K94" s="145">
        <f t="shared" si="5"/>
        <v>10.768144786225456</v>
      </c>
      <c r="L94" s="145">
        <f t="shared" si="6"/>
        <v>14.351039896570521</v>
      </c>
      <c r="M94" s="145">
        <f t="shared" si="7"/>
        <v>17.933935006915586</v>
      </c>
      <c r="N9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10.768144786225456</v>
      </c>
      <c r="O94" s="190">
        <v>0</v>
      </c>
    </row>
    <row r="95" spans="1:15" x14ac:dyDescent="0.3">
      <c r="A95" s="196">
        <f>IF(TableWRMaster[[#This Row],[Player]]&lt;&gt;0,A94+1,A94)</f>
        <v>87</v>
      </c>
      <c r="B95" s="144">
        <f>JAX!A$21</f>
        <v>0</v>
      </c>
      <c r="C95" s="144" t="s">
        <v>170</v>
      </c>
      <c r="D95" s="144">
        <f>JAX!C$21</f>
        <v>11</v>
      </c>
      <c r="E95" s="145">
        <f>JAX!J$21</f>
        <v>0</v>
      </c>
      <c r="F95" s="145">
        <f>JAX!K$21</f>
        <v>0</v>
      </c>
      <c r="G95" s="145">
        <f>JAX!L$21</f>
        <v>0</v>
      </c>
      <c r="H95" s="145">
        <f>JAX!M$21</f>
        <v>0</v>
      </c>
      <c r="I95" s="145">
        <f>JAX!N$21</f>
        <v>0</v>
      </c>
      <c r="J95" s="145">
        <f>JAX!O$21</f>
        <v>0</v>
      </c>
      <c r="K95" s="145">
        <f t="shared" si="5"/>
        <v>0</v>
      </c>
      <c r="L95" s="145">
        <f t="shared" si="6"/>
        <v>0</v>
      </c>
      <c r="M95" s="145">
        <f t="shared" si="7"/>
        <v>0</v>
      </c>
      <c r="N9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95" s="190">
        <v>0</v>
      </c>
    </row>
    <row r="96" spans="1:15" x14ac:dyDescent="0.3">
      <c r="A96" s="196">
        <f>IF(TableWRMaster[[#This Row],[Player]]&lt;&gt;0,A95+1,A95)</f>
        <v>88</v>
      </c>
      <c r="B96" s="144" t="str">
        <f>JAX!A$20</f>
        <v>Laquon Treadwell</v>
      </c>
      <c r="C96" s="144" t="s">
        <v>170</v>
      </c>
      <c r="D96" s="144">
        <f>JAX!C$20</f>
        <v>11</v>
      </c>
      <c r="E96" s="145">
        <f>JAX!J$20</f>
        <v>0</v>
      </c>
      <c r="F96" s="145">
        <f>JAX!K$20</f>
        <v>0</v>
      </c>
      <c r="G96" s="145">
        <f>JAX!L$20</f>
        <v>43.214743655477768</v>
      </c>
      <c r="H96" s="145">
        <f>JAX!M$20</f>
        <v>26.875249079341625</v>
      </c>
      <c r="I96" s="145">
        <f>JAX!N$20</f>
        <v>359.89463984509655</v>
      </c>
      <c r="J96" s="145">
        <f>JAX!O$20</f>
        <v>1.8812674355539138</v>
      </c>
      <c r="K96" s="145">
        <f t="shared" si="5"/>
        <v>47.277068597833136</v>
      </c>
      <c r="L96" s="145">
        <f t="shared" si="6"/>
        <v>60.71469313750395</v>
      </c>
      <c r="M96" s="145">
        <f t="shared" si="7"/>
        <v>74.152317677174764</v>
      </c>
      <c r="N9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47.277068597833136</v>
      </c>
      <c r="O96" s="190">
        <v>0</v>
      </c>
    </row>
    <row r="97" spans="1:15" x14ac:dyDescent="0.3">
      <c r="A97" s="196">
        <f>IF(TableWRMaster[[#This Row],[Player]]&lt;&gt;0,A96+1,A96)</f>
        <v>89</v>
      </c>
      <c r="B97" s="144" t="str">
        <f>KC!A$15</f>
        <v>JuJu Smith-Schuster</v>
      </c>
      <c r="C97" s="144" t="s">
        <v>153</v>
      </c>
      <c r="D97" s="144">
        <f>KC!C$15</f>
        <v>8</v>
      </c>
      <c r="E97" s="145">
        <f>KC!J$15</f>
        <v>3.9982755183042147</v>
      </c>
      <c r="F97" s="145">
        <f>KC!K$15</f>
        <v>0</v>
      </c>
      <c r="G97" s="145">
        <f>KC!L$15</f>
        <v>126.65714008401829</v>
      </c>
      <c r="H97" s="145">
        <f>KC!M$15</f>
        <v>85.013573197146499</v>
      </c>
      <c r="I97" s="145">
        <f>KC!N$15</f>
        <v>944.50079822029761</v>
      </c>
      <c r="J97" s="145">
        <f>KC!O$15</f>
        <v>7.8212487341374777</v>
      </c>
      <c r="K97" s="145">
        <f t="shared" si="5"/>
        <v>141.77739977868507</v>
      </c>
      <c r="L97" s="145">
        <f t="shared" si="6"/>
        <v>184.28418637725832</v>
      </c>
      <c r="M97" s="145">
        <f t="shared" si="7"/>
        <v>226.79097297583155</v>
      </c>
      <c r="N9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141.77739977868507</v>
      </c>
      <c r="O97" s="190">
        <v>45.236144655695469</v>
      </c>
    </row>
    <row r="98" spans="1:15" x14ac:dyDescent="0.3">
      <c r="A98" s="196">
        <f>IF(TableWRMaster[[#This Row],[Player]]&lt;&gt;0,A97+1,A97)</f>
        <v>90</v>
      </c>
      <c r="B98" s="144" t="str">
        <f>KC!A$16</f>
        <v>Mecole Hardman</v>
      </c>
      <c r="C98" s="144" t="s">
        <v>153</v>
      </c>
      <c r="D98" s="144">
        <f>KC!C$16</f>
        <v>8</v>
      </c>
      <c r="E98" s="145">
        <f>KC!J$16</f>
        <v>56.772513653281116</v>
      </c>
      <c r="F98" s="145">
        <f>KC!K$16</f>
        <v>0.4498059958092242</v>
      </c>
      <c r="G98" s="145">
        <f>KC!L$16</f>
        <v>82.155982757201059</v>
      </c>
      <c r="H98" s="145">
        <f>KC!M$16</f>
        <v>57.008036435221811</v>
      </c>
      <c r="I98" s="145">
        <f>KC!N$16</f>
        <v>680.10587467219614</v>
      </c>
      <c r="J98" s="145">
        <f>KC!O$16</f>
        <v>5.0167072062995191</v>
      </c>
      <c r="K98" s="145">
        <f t="shared" si="5"/>
        <v>106.48691804520018</v>
      </c>
      <c r="L98" s="145">
        <f t="shared" ref="L98:L106" si="8">K98+(H98*0.5)</f>
        <v>134.99093626281109</v>
      </c>
      <c r="M98" s="145">
        <f t="shared" ref="M98:M106" si="9">K98+H98</f>
        <v>163.494954480422</v>
      </c>
      <c r="N9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106.4869180452002</v>
      </c>
      <c r="O98" s="190">
        <v>8.9593049382982386</v>
      </c>
    </row>
    <row r="99" spans="1:15" x14ac:dyDescent="0.3">
      <c r="A99" s="196">
        <f>IF(TableWRMaster[[#This Row],[Player]]&lt;&gt;0,A98+1,A98)</f>
        <v>91</v>
      </c>
      <c r="B99" s="144" t="str">
        <f>KC!A$18</f>
        <v>Skyy Moore</v>
      </c>
      <c r="C99" s="144" t="s">
        <v>153</v>
      </c>
      <c r="D99" s="144">
        <f>KC!C$18</f>
        <v>8</v>
      </c>
      <c r="E99" s="145">
        <f>KC!J$18</f>
        <v>1.3744072094170741</v>
      </c>
      <c r="F99" s="145">
        <f>KC!K$18</f>
        <v>0</v>
      </c>
      <c r="G99" s="145">
        <f>KC!L$18</f>
        <v>87.633048274347814</v>
      </c>
      <c r="H99" s="145">
        <f>KC!M$18</f>
        <v>53.535029190799079</v>
      </c>
      <c r="I99" s="145">
        <f>KC!N$18</f>
        <v>637.06684737050909</v>
      </c>
      <c r="J99" s="145">
        <f>KC!O$18</f>
        <v>5.2485082231459765</v>
      </c>
      <c r="K99" s="145">
        <f t="shared" si="5"/>
        <v>95.335174796868472</v>
      </c>
      <c r="L99" s="145">
        <f t="shared" si="8"/>
        <v>122.10268939226802</v>
      </c>
      <c r="M99" s="145">
        <f t="shared" si="9"/>
        <v>148.87020398766754</v>
      </c>
      <c r="N9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95.335174796868472</v>
      </c>
      <c r="O99" s="190">
        <v>0</v>
      </c>
    </row>
    <row r="100" spans="1:15" x14ac:dyDescent="0.3">
      <c r="A100" s="196">
        <f>IF(TableWRMaster[[#This Row],[Player]]&lt;&gt;0,A99+1,A99)</f>
        <v>92</v>
      </c>
      <c r="B100" s="144" t="str">
        <f>KC!A$17</f>
        <v>Marquez Valdes-Scantling</v>
      </c>
      <c r="C100" s="144" t="s">
        <v>153</v>
      </c>
      <c r="D100" s="144">
        <f>KC!C$17</f>
        <v>8</v>
      </c>
      <c r="E100" s="145">
        <f>KC!J$17</f>
        <v>4.5980168460498465</v>
      </c>
      <c r="F100" s="145">
        <f>KC!K$17</f>
        <v>0</v>
      </c>
      <c r="G100" s="145">
        <f>KC!L$17</f>
        <v>66.409419395404186</v>
      </c>
      <c r="H100" s="145">
        <f>KC!M$17</f>
        <v>36.226104294410362</v>
      </c>
      <c r="I100" s="145">
        <f>KC!N$17</f>
        <v>596.64393772893857</v>
      </c>
      <c r="J100" s="145">
        <f>KC!O$17</f>
        <v>4.310906411034833</v>
      </c>
      <c r="K100" s="145">
        <f t="shared" si="5"/>
        <v>85.989633923707842</v>
      </c>
      <c r="L100" s="145">
        <f t="shared" si="8"/>
        <v>104.10268607091302</v>
      </c>
      <c r="M100" s="145">
        <f t="shared" si="9"/>
        <v>122.2157382181182</v>
      </c>
      <c r="N10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85.989633923707842</v>
      </c>
      <c r="O100" s="190">
        <v>0</v>
      </c>
    </row>
    <row r="101" spans="1:15" x14ac:dyDescent="0.3">
      <c r="A101" s="196">
        <f>IF(TableWRMaster[[#This Row],[Player]]&lt;&gt;0,A100+1,A100)</f>
        <v>93</v>
      </c>
      <c r="B101" s="144" t="str">
        <f>KC!A$19</f>
        <v>Josh Gordon</v>
      </c>
      <c r="C101" s="144" t="s">
        <v>153</v>
      </c>
      <c r="D101" s="144">
        <f>KC!C$19</f>
        <v>8</v>
      </c>
      <c r="E101" s="145">
        <f>KC!J$19</f>
        <v>0</v>
      </c>
      <c r="F101" s="145">
        <f>KC!K$19</f>
        <v>0</v>
      </c>
      <c r="G101" s="145">
        <f>KC!L$19</f>
        <v>9.5848646550067897</v>
      </c>
      <c r="H101" s="145">
        <f>KC!M$19</f>
        <v>5.9456658157671667</v>
      </c>
      <c r="I101" s="145">
        <f>KC!N$19</f>
        <v>76.853187506508988</v>
      </c>
      <c r="J101" s="145">
        <f>KC!O$19</f>
        <v>0.42214227291946882</v>
      </c>
      <c r="K101" s="145">
        <f t="shared" si="5"/>
        <v>10.218172388167712</v>
      </c>
      <c r="L101" s="145">
        <f t="shared" si="8"/>
        <v>13.191005296051296</v>
      </c>
      <c r="M101" s="145">
        <f t="shared" si="9"/>
        <v>16.16383820393488</v>
      </c>
      <c r="N10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10.218172388167712</v>
      </c>
      <c r="O101" s="190">
        <v>0</v>
      </c>
    </row>
    <row r="102" spans="1:15" x14ac:dyDescent="0.3">
      <c r="A102" s="196">
        <f>IF(TableWRMaster[[#This Row],[Player]]&lt;&gt;0,A101+1,A101)</f>
        <v>94</v>
      </c>
      <c r="B102" s="144" t="str">
        <f>LAC!A$15</f>
        <v>Keenan Allen</v>
      </c>
      <c r="C102" s="144" t="s">
        <v>154</v>
      </c>
      <c r="D102" s="144">
        <f>LAC!C$15</f>
        <v>8</v>
      </c>
      <c r="E102" s="145">
        <f>LAC!J$15</f>
        <v>0.80011821658051208</v>
      </c>
      <c r="F102" s="145">
        <f>LAC!K$15</f>
        <v>0</v>
      </c>
      <c r="G102" s="145">
        <f>LAC!L$15</f>
        <v>144.23939751456231</v>
      </c>
      <c r="H102" s="145">
        <f>LAC!M$15</f>
        <v>100.71892109018958</v>
      </c>
      <c r="I102" s="145">
        <f>LAC!N$15</f>
        <v>1098.8434290939683</v>
      </c>
      <c r="J102" s="145">
        <f>LAC!O$15</f>
        <v>6.8488866341328922</v>
      </c>
      <c r="K102" s="145">
        <f t="shared" si="5"/>
        <v>151.05767453585224</v>
      </c>
      <c r="L102" s="145">
        <f t="shared" si="8"/>
        <v>201.41713508094705</v>
      </c>
      <c r="M102" s="145">
        <f t="shared" si="9"/>
        <v>251.77659562604182</v>
      </c>
      <c r="N10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151.05767453585224</v>
      </c>
      <c r="O102" s="190">
        <v>24.422427073887171</v>
      </c>
    </row>
    <row r="103" spans="1:15" x14ac:dyDescent="0.3">
      <c r="A103" s="196">
        <f>IF(TableWRMaster[[#This Row],[Player]]&lt;&gt;0,A102+1,A102)</f>
        <v>95</v>
      </c>
      <c r="B103" s="144" t="str">
        <f>LAC!A$16</f>
        <v>Mike Williams</v>
      </c>
      <c r="C103" s="144" t="s">
        <v>154</v>
      </c>
      <c r="D103" s="144">
        <f>LAC!C$16</f>
        <v>8</v>
      </c>
      <c r="E103" s="145">
        <f>LAC!J$16</f>
        <v>0</v>
      </c>
      <c r="F103" s="145">
        <f>LAC!K$16</f>
        <v>0</v>
      </c>
      <c r="G103" s="145">
        <f>LAC!L$16</f>
        <v>115.94363053802141</v>
      </c>
      <c r="H103" s="145">
        <f>LAC!M$16</f>
        <v>72.668063202681012</v>
      </c>
      <c r="I103" s="145">
        <f>LAC!N$16</f>
        <v>1093.2870602124804</v>
      </c>
      <c r="J103" s="145">
        <f>LAC!O$16</f>
        <v>8.6474995211190393</v>
      </c>
      <c r="K103" s="145">
        <f t="shared" si="5"/>
        <v>161.21370314796229</v>
      </c>
      <c r="L103" s="145">
        <f t="shared" si="8"/>
        <v>197.5477347493028</v>
      </c>
      <c r="M103" s="145">
        <f t="shared" si="9"/>
        <v>233.88176635064332</v>
      </c>
      <c r="N10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161.21370314796229</v>
      </c>
      <c r="O103" s="190">
        <v>3.3449728845290307</v>
      </c>
    </row>
    <row r="104" spans="1:15" x14ac:dyDescent="0.3">
      <c r="A104" s="196">
        <f>IF(TableWRMaster[[#This Row],[Player]]&lt;&gt;0,A103+1,A103)</f>
        <v>96</v>
      </c>
      <c r="B104" s="144" t="str">
        <f>LAC!A$18</f>
        <v>Jalen Guyton</v>
      </c>
      <c r="C104" s="144" t="s">
        <v>154</v>
      </c>
      <c r="D104" s="144">
        <f>LAC!C$18</f>
        <v>8</v>
      </c>
      <c r="E104" s="145">
        <f>LAC!J$18</f>
        <v>42.385595758172137</v>
      </c>
      <c r="F104" s="145">
        <f>LAC!K$18</f>
        <v>6.6676518048376002E-2</v>
      </c>
      <c r="G104" s="145">
        <f>LAC!L$18</f>
        <v>48.309846057508921</v>
      </c>
      <c r="H104" s="145">
        <f>LAC!M$18</f>
        <v>32.814128914521049</v>
      </c>
      <c r="I104" s="145">
        <f>LAC!N$18</f>
        <v>472.40138083379622</v>
      </c>
      <c r="J104" s="145">
        <f>LAC!O$18</f>
        <v>2.8694079597913409</v>
      </c>
      <c r="K104" s="145">
        <f t="shared" si="5"/>
        <v>69.095204526235136</v>
      </c>
      <c r="L104" s="145">
        <f t="shared" si="8"/>
        <v>85.502268983495668</v>
      </c>
      <c r="M104" s="145">
        <f t="shared" si="9"/>
        <v>101.90933344075619</v>
      </c>
      <c r="N10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69.095204526235136</v>
      </c>
      <c r="O104" s="190">
        <v>0</v>
      </c>
    </row>
    <row r="105" spans="1:15" x14ac:dyDescent="0.3">
      <c r="A105" s="196">
        <f>IF(TableWRMaster[[#This Row],[Player]]&lt;&gt;0,A104+1,A104)</f>
        <v>97</v>
      </c>
      <c r="B105" s="144" t="str">
        <f>LAC!A$17</f>
        <v>Joshua Palmer</v>
      </c>
      <c r="C105" s="144" t="s">
        <v>154</v>
      </c>
      <c r="D105" s="144">
        <f>LAC!C$17</f>
        <v>8</v>
      </c>
      <c r="E105" s="145">
        <f>LAC!J$17</f>
        <v>4.1093571529689745</v>
      </c>
      <c r="F105" s="145">
        <f>LAC!K$17</f>
        <v>0</v>
      </c>
      <c r="G105" s="145">
        <f>LAC!L$17</f>
        <v>84.197160271658376</v>
      </c>
      <c r="H105" s="145">
        <f>LAC!M$17</f>
        <v>45.008773833291244</v>
      </c>
      <c r="I105" s="145">
        <f>LAC!N$17</f>
        <v>582.41353340278863</v>
      </c>
      <c r="J105" s="145">
        <f>LAC!O$17</f>
        <v>4.5880372379855032</v>
      </c>
      <c r="K105" s="145">
        <f t="shared" si="5"/>
        <v>86.180512483488769</v>
      </c>
      <c r="L105" s="145">
        <f t="shared" si="8"/>
        <v>108.68489940013438</v>
      </c>
      <c r="M105" s="145">
        <f t="shared" si="9"/>
        <v>131.18928631678</v>
      </c>
      <c r="N10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86.180512483488769</v>
      </c>
      <c r="O105" s="190">
        <v>0</v>
      </c>
    </row>
    <row r="106" spans="1:15" x14ac:dyDescent="0.3">
      <c r="A106" s="196">
        <f>IF(TableWRMaster[[#This Row],[Player]]&lt;&gt;0,A105+1,A105)</f>
        <v>98</v>
      </c>
      <c r="B106" s="144" t="str">
        <f>LAC!A$19</f>
        <v>DeAndre Carter</v>
      </c>
      <c r="C106" s="144" t="s">
        <v>154</v>
      </c>
      <c r="D106" s="144">
        <f>LAC!C$19</f>
        <v>8</v>
      </c>
      <c r="E106" s="145">
        <f>LAC!J$19</f>
        <v>0</v>
      </c>
      <c r="F106" s="145">
        <f>LAC!K$19</f>
        <v>0</v>
      </c>
      <c r="G106" s="145">
        <f>LAC!L$19</f>
        <v>11.732391185395022</v>
      </c>
      <c r="H106" s="145">
        <f>LAC!M$19</f>
        <v>7.4787589663233121</v>
      </c>
      <c r="I106" s="145">
        <f>LAC!N$19</f>
        <v>97.822167279508918</v>
      </c>
      <c r="J106" s="145">
        <f>LAC!O$19</f>
        <v>0.59082195833954165</v>
      </c>
      <c r="K106" s="145">
        <f t="shared" si="5"/>
        <v>13.327148477988143</v>
      </c>
      <c r="L106" s="145">
        <f t="shared" si="8"/>
        <v>17.066527961149799</v>
      </c>
      <c r="M106" s="145">
        <f t="shared" si="9"/>
        <v>20.805907444311455</v>
      </c>
      <c r="N10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13.327148477988143</v>
      </c>
      <c r="O106" s="190">
        <v>0</v>
      </c>
    </row>
    <row r="107" spans="1:15" x14ac:dyDescent="0.3">
      <c r="A107" s="196">
        <f>IF(TableWRMaster[[#This Row],[Player]]&lt;&gt;0,A106+1,A106)</f>
        <v>98</v>
      </c>
      <c r="B107" s="144">
        <f>LAC!A$21</f>
        <v>0</v>
      </c>
      <c r="C107" s="144" t="s">
        <v>154</v>
      </c>
      <c r="D107" s="144">
        <f>LAC!C$21</f>
        <v>8</v>
      </c>
      <c r="E107" s="145">
        <f>LAC!J$21</f>
        <v>0</v>
      </c>
      <c r="F107" s="145">
        <f>LAC!K$21</f>
        <v>0</v>
      </c>
      <c r="G107" s="145">
        <f>LAC!L$21</f>
        <v>0</v>
      </c>
      <c r="H107" s="145">
        <f>LAC!M$21</f>
        <v>0</v>
      </c>
      <c r="I107" s="145">
        <f>LAC!N$21</f>
        <v>0</v>
      </c>
      <c r="J107" s="145">
        <f>LAC!O$21</f>
        <v>0</v>
      </c>
      <c r="K107" s="145">
        <f t="shared" si="5"/>
        <v>0</v>
      </c>
      <c r="L107" s="145">
        <f>K108+(H108*0.5)</f>
        <v>11.732649988141759</v>
      </c>
      <c r="M107" s="145">
        <f>K108+H108</f>
        <v>14.533844651237066</v>
      </c>
      <c r="N10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07" s="190">
        <v>0</v>
      </c>
    </row>
    <row r="108" spans="1:15" x14ac:dyDescent="0.3">
      <c r="A108" s="196">
        <f>IF(TableWRMaster[[#This Row],[Player]]&lt;&gt;0,A107+1,A107)</f>
        <v>99</v>
      </c>
      <c r="B108" s="144" t="str">
        <f>LAC!A$20</f>
        <v>Jason Moore</v>
      </c>
      <c r="C108" s="144" t="s">
        <v>154</v>
      </c>
      <c r="D108" s="144">
        <f>LAC!C$20</f>
        <v>8</v>
      </c>
      <c r="E108" s="145">
        <f>LAC!J$20</f>
        <v>0</v>
      </c>
      <c r="F108" s="145">
        <f>LAC!K$20</f>
        <v>0</v>
      </c>
      <c r="G108" s="145">
        <f>LAC!L$20</f>
        <v>8.9718285535373692</v>
      </c>
      <c r="H108" s="145">
        <f>LAC!M$20</f>
        <v>5.6023893261906146</v>
      </c>
      <c r="I108" s="145">
        <f>LAC!N$20</f>
        <v>68.610333511532119</v>
      </c>
      <c r="J108" s="145">
        <f>LAC!O$20</f>
        <v>0.34507032898220652</v>
      </c>
      <c r="K108" s="145">
        <f t="shared" si="5"/>
        <v>8.9314553250464517</v>
      </c>
      <c r="L108" s="145">
        <f t="shared" ref="L108:L139" si="10">K108+(H108*0.5)</f>
        <v>11.732649988141759</v>
      </c>
      <c r="M108" s="145">
        <f t="shared" ref="M108:M139" si="11">K108+H108</f>
        <v>14.533844651237066</v>
      </c>
      <c r="N10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8.9314553250464517</v>
      </c>
      <c r="O108" s="190">
        <v>0</v>
      </c>
    </row>
    <row r="109" spans="1:15" x14ac:dyDescent="0.3">
      <c r="A109" s="196">
        <f>IF(TableWRMaster[[#This Row],[Player]]&lt;&gt;0,A108+1,A108)</f>
        <v>100</v>
      </c>
      <c r="B109" s="144" t="str">
        <f>LAR!A$16</f>
        <v>Allen Robinson</v>
      </c>
      <c r="C109" s="144" t="s">
        <v>155</v>
      </c>
      <c r="D109" s="144">
        <f>LAR!C$16</f>
        <v>7</v>
      </c>
      <c r="E109" s="145">
        <f>LAR!J$16</f>
        <v>0</v>
      </c>
      <c r="F109" s="145">
        <f>LAR!K$16</f>
        <v>0</v>
      </c>
      <c r="G109" s="145">
        <f>LAR!L$16</f>
        <v>117.76158974956499</v>
      </c>
      <c r="H109" s="145">
        <f>LAR!M$16</f>
        <v>80.056757874592165</v>
      </c>
      <c r="I109" s="145">
        <f>LAR!N$16</f>
        <v>1047.1423929996656</v>
      </c>
      <c r="J109" s="145">
        <f>LAR!O$16</f>
        <v>7.6053919980862554</v>
      </c>
      <c r="K109" s="145">
        <f t="shared" si="5"/>
        <v>150.34659128848409</v>
      </c>
      <c r="L109" s="145">
        <f t="shared" si="10"/>
        <v>190.37497022578017</v>
      </c>
      <c r="M109" s="145">
        <f t="shared" si="11"/>
        <v>230.40334916307626</v>
      </c>
      <c r="N10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150.34659128848409</v>
      </c>
      <c r="O109" s="190">
        <v>20.481741496713184</v>
      </c>
    </row>
    <row r="110" spans="1:15" x14ac:dyDescent="0.3">
      <c r="A110" s="196">
        <f>IF(TableWRMaster[[#This Row],[Player]]&lt;&gt;0,A109+1,A109)</f>
        <v>101</v>
      </c>
      <c r="B110" s="144" t="str">
        <f>LAR!A$15</f>
        <v>Cooper Kupp</v>
      </c>
      <c r="C110" s="144" t="s">
        <v>155</v>
      </c>
      <c r="D110" s="144">
        <f>LAR!C$15</f>
        <v>7</v>
      </c>
      <c r="E110" s="145">
        <f>LAR!J$15</f>
        <v>15.529040913904405</v>
      </c>
      <c r="F110" s="145">
        <f>LAR!K$15</f>
        <v>0</v>
      </c>
      <c r="G110" s="145">
        <f>LAR!L$15</f>
        <v>157.64857982603056</v>
      </c>
      <c r="H110" s="145">
        <f>LAR!M$15</f>
        <v>121.21599302823491</v>
      </c>
      <c r="I110" s="145">
        <f>LAR!N$15</f>
        <v>1602.4754278332655</v>
      </c>
      <c r="J110" s="145">
        <f>LAR!O$15</f>
        <v>12.848895260992899</v>
      </c>
      <c r="K110" s="145">
        <f t="shared" si="5"/>
        <v>238.89381844067438</v>
      </c>
      <c r="L110" s="145">
        <f t="shared" si="10"/>
        <v>299.50181495479183</v>
      </c>
      <c r="M110" s="145">
        <f t="shared" si="11"/>
        <v>360.1098114689093</v>
      </c>
      <c r="N11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238.89381844067441</v>
      </c>
      <c r="O110" s="190">
        <v>19.089502905955278</v>
      </c>
    </row>
    <row r="111" spans="1:15" x14ac:dyDescent="0.3">
      <c r="A111" s="196">
        <f>IF(TableWRMaster[[#This Row],[Player]]&lt;&gt;0,A110+1,A110)</f>
        <v>102</v>
      </c>
      <c r="B111" s="144" t="str">
        <f>LAR!A$17</f>
        <v>Van Jefferson</v>
      </c>
      <c r="C111" s="144" t="s">
        <v>155</v>
      </c>
      <c r="D111" s="144">
        <f>LAR!C$17</f>
        <v>7</v>
      </c>
      <c r="E111" s="145">
        <f>LAR!J$17</f>
        <v>16.029171056059134</v>
      </c>
      <c r="F111" s="145">
        <f>LAR!K$17</f>
        <v>2.500650710773656E-2</v>
      </c>
      <c r="G111" s="145">
        <f>LAR!L$17</f>
        <v>84.205867939205092</v>
      </c>
      <c r="H111" s="145">
        <f>LAR!M$17</f>
        <v>45.597477489079559</v>
      </c>
      <c r="I111" s="145">
        <f>LAR!N$17</f>
        <v>702.65712810671596</v>
      </c>
      <c r="J111" s="145">
        <f>LAR!O$17</f>
        <v>5.7908796411131043</v>
      </c>
      <c r="K111" s="145">
        <f t="shared" si="5"/>
        <v>106.76394680560256</v>
      </c>
      <c r="L111" s="145">
        <f t="shared" si="10"/>
        <v>129.56268555014233</v>
      </c>
      <c r="M111" s="145">
        <f t="shared" si="11"/>
        <v>152.36142429468211</v>
      </c>
      <c r="N11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106.76394680560256</v>
      </c>
      <c r="O111" s="190">
        <v>0</v>
      </c>
    </row>
    <row r="112" spans="1:15" x14ac:dyDescent="0.3">
      <c r="A112" s="196">
        <f>IF(TableWRMaster[[#This Row],[Player]]&lt;&gt;0,A111+1,A111)</f>
        <v>103</v>
      </c>
      <c r="B112" s="144" t="str">
        <f>LAR!A$18</f>
        <v>Ben Skowronek</v>
      </c>
      <c r="C112" s="144" t="s">
        <v>155</v>
      </c>
      <c r="D112" s="144">
        <f>LAR!C$18</f>
        <v>7</v>
      </c>
      <c r="E112" s="145">
        <f>LAR!J$18</f>
        <v>0</v>
      </c>
      <c r="F112" s="145">
        <f>LAR!K$18</f>
        <v>0</v>
      </c>
      <c r="G112" s="145">
        <f>LAR!L$18</f>
        <v>20.007220958038392</v>
      </c>
      <c r="H112" s="145">
        <f>LAR!M$18</f>
        <v>12.644563645480265</v>
      </c>
      <c r="I112" s="145">
        <f>LAR!N$18</f>
        <v>152.39715350301844</v>
      </c>
      <c r="J112" s="145">
        <f>LAR!O$18</f>
        <v>1.1380107280932237</v>
      </c>
      <c r="K112" s="145">
        <f t="shared" si="5"/>
        <v>22.067779718861189</v>
      </c>
      <c r="L112" s="145">
        <f t="shared" si="10"/>
        <v>28.39006154160132</v>
      </c>
      <c r="M112" s="145">
        <f t="shared" si="11"/>
        <v>34.71234336434145</v>
      </c>
      <c r="N11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22.067779718861189</v>
      </c>
      <c r="O112" s="190">
        <v>0</v>
      </c>
    </row>
    <row r="113" spans="1:15" x14ac:dyDescent="0.3">
      <c r="A113" s="196">
        <f>IF(TableWRMaster[[#This Row],[Player]]&lt;&gt;0,A112+1,A112)</f>
        <v>104</v>
      </c>
      <c r="B113" s="144" t="str">
        <f>LAR!A$19</f>
        <v>Tutu Atwell</v>
      </c>
      <c r="C113" s="144" t="s">
        <v>155</v>
      </c>
      <c r="D113" s="144">
        <f>LAR!C$19</f>
        <v>7</v>
      </c>
      <c r="E113" s="145">
        <f>LAR!J$19</f>
        <v>0</v>
      </c>
      <c r="F113" s="145">
        <f>LAR!K$19</f>
        <v>0</v>
      </c>
      <c r="G113" s="145">
        <f>LAR!L$19</f>
        <v>17.727551145095806</v>
      </c>
      <c r="H113" s="145">
        <f>LAR!M$19</f>
        <v>9.7324255786575975</v>
      </c>
      <c r="I113" s="145">
        <f>LAR!N$19</f>
        <v>120.13106978258229</v>
      </c>
      <c r="J113" s="145">
        <f>LAR!O$19</f>
        <v>0.89968890158927806</v>
      </c>
      <c r="K113" s="145">
        <f t="shared" si="5"/>
        <v>17.411240387793896</v>
      </c>
      <c r="L113" s="145">
        <f t="shared" si="10"/>
        <v>22.277453177122695</v>
      </c>
      <c r="M113" s="145">
        <f t="shared" si="11"/>
        <v>27.143665966451493</v>
      </c>
      <c r="N11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17.411240387793896</v>
      </c>
      <c r="O113" s="190">
        <v>0</v>
      </c>
    </row>
    <row r="114" spans="1:15" x14ac:dyDescent="0.3">
      <c r="A114" s="196">
        <f>IF(TableWRMaster[[#This Row],[Player]]&lt;&gt;0,A113+1,A113)</f>
        <v>104</v>
      </c>
      <c r="B114" s="144">
        <f>LAR!A$20</f>
        <v>0</v>
      </c>
      <c r="C114" s="144" t="s">
        <v>155</v>
      </c>
      <c r="D114" s="144">
        <f>LAR!C$20</f>
        <v>7</v>
      </c>
      <c r="E114" s="145">
        <f>LAR!J$20</f>
        <v>0</v>
      </c>
      <c r="F114" s="145">
        <f>LAR!K$20</f>
        <v>0</v>
      </c>
      <c r="G114" s="145">
        <f>LAR!L$20</f>
        <v>0</v>
      </c>
      <c r="H114" s="145">
        <f>LAR!M$20</f>
        <v>0</v>
      </c>
      <c r="I114" s="145">
        <f>LAR!N$20</f>
        <v>0</v>
      </c>
      <c r="J114" s="145">
        <f>LAR!O$20</f>
        <v>0</v>
      </c>
      <c r="K114" s="145">
        <f t="shared" si="5"/>
        <v>0</v>
      </c>
      <c r="L114" s="145">
        <f t="shared" si="10"/>
        <v>0</v>
      </c>
      <c r="M114" s="145">
        <f t="shared" si="11"/>
        <v>0</v>
      </c>
      <c r="N11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14" s="190">
        <v>0</v>
      </c>
    </row>
    <row r="115" spans="1:15" x14ac:dyDescent="0.3">
      <c r="A115" s="196">
        <f>IF(TableWRMaster[[#This Row],[Player]]&lt;&gt;0,A114+1,A114)</f>
        <v>105</v>
      </c>
      <c r="B115" s="144" t="str">
        <f>LV!A$15</f>
        <v>Davante Adams</v>
      </c>
      <c r="C115" s="144" t="s">
        <v>239</v>
      </c>
      <c r="D115" s="144">
        <f>LV!C$15</f>
        <v>6</v>
      </c>
      <c r="E115" s="145">
        <f>LV!J$15</f>
        <v>0</v>
      </c>
      <c r="F115" s="145">
        <f>LV!K$15</f>
        <v>0</v>
      </c>
      <c r="G115" s="145">
        <f>LV!L$15</f>
        <v>144.26736878999998</v>
      </c>
      <c r="H115" s="145">
        <f>LV!M$15</f>
        <v>103.88693226567898</v>
      </c>
      <c r="I115" s="145">
        <f>LV!N$15</f>
        <v>1299.625522643644</v>
      </c>
      <c r="J115" s="145">
        <f>LV!O$15</f>
        <v>9.4537108361767874</v>
      </c>
      <c r="K115" s="145">
        <f t="shared" si="5"/>
        <v>186.68481728142513</v>
      </c>
      <c r="L115" s="145">
        <f t="shared" si="10"/>
        <v>238.62828341426462</v>
      </c>
      <c r="M115" s="145">
        <f t="shared" si="11"/>
        <v>290.5717495471041</v>
      </c>
      <c r="N11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186.68481728142513</v>
      </c>
      <c r="O115" s="190">
        <v>3.2266921651132856</v>
      </c>
    </row>
    <row r="116" spans="1:15" x14ac:dyDescent="0.3">
      <c r="A116" s="196">
        <f>IF(TableWRMaster[[#This Row],[Player]]&lt;&gt;0,A115+1,A115)</f>
        <v>106</v>
      </c>
      <c r="B116" s="144" t="str">
        <f>LV!A$16</f>
        <v>Hunter Renfrow</v>
      </c>
      <c r="C116" s="144" t="s">
        <v>239</v>
      </c>
      <c r="D116" s="144">
        <f>LV!C$16</f>
        <v>6</v>
      </c>
      <c r="E116" s="145">
        <f>LV!J$16</f>
        <v>9.7218714167991465</v>
      </c>
      <c r="F116" s="145">
        <f>LV!K$16</f>
        <v>2.4991957369663618E-2</v>
      </c>
      <c r="G116" s="145">
        <f>LV!L$16</f>
        <v>112.76794328999996</v>
      </c>
      <c r="H116" s="145">
        <f>LV!M$16</f>
        <v>85.624699340096967</v>
      </c>
      <c r="I116" s="145">
        <f>LV!N$16</f>
        <v>882.79065019639972</v>
      </c>
      <c r="J116" s="145">
        <f>LV!O$16</f>
        <v>7.1924747445681456</v>
      </c>
      <c r="K116" s="145">
        <f t="shared" si="5"/>
        <v>132.55605237294674</v>
      </c>
      <c r="L116" s="145">
        <f t="shared" si="10"/>
        <v>175.36840204299523</v>
      </c>
      <c r="M116" s="145">
        <f t="shared" si="11"/>
        <v>218.18075171304372</v>
      </c>
      <c r="N11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132.55605237294674</v>
      </c>
      <c r="O116" s="190">
        <v>0</v>
      </c>
    </row>
    <row r="117" spans="1:15" x14ac:dyDescent="0.3">
      <c r="A117" s="196">
        <f>IF(TableWRMaster[[#This Row],[Player]]&lt;&gt;0,A116+1,A116)</f>
        <v>107</v>
      </c>
      <c r="B117" s="144" t="str">
        <f>LV!A$17</f>
        <v>Demarcus Robinson</v>
      </c>
      <c r="C117" s="144" t="s">
        <v>239</v>
      </c>
      <c r="D117" s="144">
        <f>LV!C$17</f>
        <v>6</v>
      </c>
      <c r="E117" s="145">
        <f>LV!J$17</f>
        <v>0</v>
      </c>
      <c r="F117" s="145">
        <f>LV!K$17</f>
        <v>0</v>
      </c>
      <c r="G117" s="145">
        <f>LV!L$17</f>
        <v>35.279356559999989</v>
      </c>
      <c r="H117" s="145">
        <f>LV!M$17</f>
        <v>18.878375688106662</v>
      </c>
      <c r="I117" s="145">
        <f>LV!N$17</f>
        <v>248.8169915692458</v>
      </c>
      <c r="J117" s="145">
        <f>LV!O$17</f>
        <v>1.7402032614283327</v>
      </c>
      <c r="K117" s="145">
        <f t="shared" si="5"/>
        <v>35.322918725494574</v>
      </c>
      <c r="L117" s="145">
        <f t="shared" si="10"/>
        <v>44.762106569547903</v>
      </c>
      <c r="M117" s="145">
        <f t="shared" si="11"/>
        <v>54.201294413601232</v>
      </c>
      <c r="N11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35.322918725494581</v>
      </c>
      <c r="O117" s="190">
        <v>0</v>
      </c>
    </row>
    <row r="118" spans="1:15" x14ac:dyDescent="0.3">
      <c r="A118" s="196">
        <f>IF(TableWRMaster[[#This Row],[Player]]&lt;&gt;0,A117+1,A117)</f>
        <v>108</v>
      </c>
      <c r="B118" s="144" t="str">
        <f>LV!A$18</f>
        <v>Mack Hollins</v>
      </c>
      <c r="C118" s="144" t="s">
        <v>239</v>
      </c>
      <c r="D118" s="144">
        <f>LV!C$18</f>
        <v>6</v>
      </c>
      <c r="E118" s="145">
        <f>LV!J$18</f>
        <v>0</v>
      </c>
      <c r="F118" s="145">
        <f>LV!K$18</f>
        <v>0</v>
      </c>
      <c r="G118" s="145">
        <f>LV!L$18</f>
        <v>16.379701259999994</v>
      </c>
      <c r="H118" s="145">
        <f>LV!M$18</f>
        <v>9.9408406946939962</v>
      </c>
      <c r="I118" s="145">
        <f>LV!N$18</f>
        <v>134.40016619226282</v>
      </c>
      <c r="J118" s="145">
        <f>LV!O$18</f>
        <v>0.90461650321715359</v>
      </c>
      <c r="K118" s="145">
        <f t="shared" si="5"/>
        <v>18.867715638529202</v>
      </c>
      <c r="L118" s="145">
        <f t="shared" si="10"/>
        <v>23.8381359858762</v>
      </c>
      <c r="M118" s="145">
        <f t="shared" si="11"/>
        <v>28.808556333223198</v>
      </c>
      <c r="N11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18.867715638529205</v>
      </c>
      <c r="O118" s="190">
        <v>0</v>
      </c>
    </row>
    <row r="119" spans="1:15" x14ac:dyDescent="0.3">
      <c r="A119" s="196">
        <f>IF(TableWRMaster[[#This Row],[Player]]&lt;&gt;0,A118+1,A118)</f>
        <v>109</v>
      </c>
      <c r="B119" s="144" t="str">
        <f>LV!A$19</f>
        <v>Keelan Cole</v>
      </c>
      <c r="C119" s="144" t="s">
        <v>239</v>
      </c>
      <c r="D119" s="144">
        <f>LV!C$19</f>
        <v>6</v>
      </c>
      <c r="E119" s="145">
        <f>LV!J$19</f>
        <v>0</v>
      </c>
      <c r="F119" s="145">
        <f>LV!K$19</f>
        <v>0</v>
      </c>
      <c r="G119" s="145">
        <f>LV!L$19</f>
        <v>17.639678279999995</v>
      </c>
      <c r="H119" s="145">
        <f>LV!M$19</f>
        <v>10.035212973491996</v>
      </c>
      <c r="I119" s="145">
        <f>LV!N$19</f>
        <v>143.2399050194409</v>
      </c>
      <c r="J119" s="145">
        <f>LV!O$19</f>
        <v>0.85077478946913287</v>
      </c>
      <c r="K119" s="145">
        <f t="shared" si="5"/>
        <v>19.428639238758887</v>
      </c>
      <c r="L119" s="145">
        <f t="shared" si="10"/>
        <v>24.446245725504884</v>
      </c>
      <c r="M119" s="145">
        <f t="shared" si="11"/>
        <v>29.463852212250885</v>
      </c>
      <c r="N11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19.428639238758887</v>
      </c>
      <c r="O119" s="190">
        <v>0</v>
      </c>
    </row>
    <row r="120" spans="1:15" x14ac:dyDescent="0.3">
      <c r="A120" s="196">
        <f>IF(TableWRMaster[[#This Row],[Player]]&lt;&gt;0,A119+1,A119)</f>
        <v>109</v>
      </c>
      <c r="B120" s="144">
        <f>LV!A$20</f>
        <v>0</v>
      </c>
      <c r="C120" s="144" t="s">
        <v>239</v>
      </c>
      <c r="D120" s="144">
        <f>LV!C$20</f>
        <v>6</v>
      </c>
      <c r="E120" s="145">
        <f>LV!J$20</f>
        <v>0</v>
      </c>
      <c r="F120" s="145">
        <f>LV!K$20</f>
        <v>0</v>
      </c>
      <c r="G120" s="145">
        <f>LV!L$20</f>
        <v>0</v>
      </c>
      <c r="H120" s="145">
        <f>LV!M$20</f>
        <v>0</v>
      </c>
      <c r="I120" s="145">
        <f>LV!N$20</f>
        <v>0</v>
      </c>
      <c r="J120" s="145">
        <f>LV!O$20</f>
        <v>0</v>
      </c>
      <c r="K120" s="145">
        <f t="shared" si="5"/>
        <v>0</v>
      </c>
      <c r="L120" s="145">
        <f t="shared" si="10"/>
        <v>0</v>
      </c>
      <c r="M120" s="145">
        <f t="shared" si="11"/>
        <v>0</v>
      </c>
      <c r="N12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0" s="190">
        <v>0</v>
      </c>
    </row>
    <row r="121" spans="1:15" x14ac:dyDescent="0.3">
      <c r="A121" s="196">
        <f>IF(TableWRMaster[[#This Row],[Player]]&lt;&gt;0,A120+1,A120)</f>
        <v>110</v>
      </c>
      <c r="B121" s="144" t="str">
        <f>MIA!A$15</f>
        <v>Tyreek Hill</v>
      </c>
      <c r="C121" s="144" t="s">
        <v>156</v>
      </c>
      <c r="D121" s="144">
        <f>MIA!C$15</f>
        <v>11</v>
      </c>
      <c r="E121" s="145">
        <f>MIA!J$15</f>
        <v>94.819767137725904</v>
      </c>
      <c r="F121" s="145">
        <f>MIA!K$15</f>
        <v>0</v>
      </c>
      <c r="G121" s="145">
        <f>MIA!L$15</f>
        <v>136.70750666999999</v>
      </c>
      <c r="H121" s="145">
        <f>MIA!M$15</f>
        <v>94.123118342294987</v>
      </c>
      <c r="I121" s="145">
        <f>MIA!N$15</f>
        <v>1146.4195814091529</v>
      </c>
      <c r="J121" s="145">
        <f>MIA!O$15</f>
        <v>7.7180957040681895</v>
      </c>
      <c r="K121" s="145">
        <f t="shared" si="5"/>
        <v>170.43250907909703</v>
      </c>
      <c r="L121" s="145">
        <f t="shared" si="10"/>
        <v>217.49406825024454</v>
      </c>
      <c r="M121" s="145">
        <f t="shared" si="11"/>
        <v>264.55562742139205</v>
      </c>
      <c r="N12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170.43250907909703</v>
      </c>
      <c r="O121" s="190">
        <v>6.9631580991362378</v>
      </c>
    </row>
    <row r="122" spans="1:15" x14ac:dyDescent="0.3">
      <c r="A122" s="196">
        <f>IF(TableWRMaster[[#This Row],[Player]]&lt;&gt;0,A121+1,A121)</f>
        <v>111</v>
      </c>
      <c r="B122" s="144" t="str">
        <f>MIA!A$16</f>
        <v>Jaylen Waddle</v>
      </c>
      <c r="C122" s="144" t="s">
        <v>156</v>
      </c>
      <c r="D122" s="144">
        <f>MIA!C$16</f>
        <v>11</v>
      </c>
      <c r="E122" s="145">
        <f>MIA!J$16</f>
        <v>38.114690848732053</v>
      </c>
      <c r="F122" s="145">
        <f>MIA!K$16</f>
        <v>0.59522942401563184</v>
      </c>
      <c r="G122" s="145">
        <f>MIA!L$16</f>
        <v>131.03761007999995</v>
      </c>
      <c r="H122" s="145">
        <f>MIA!M$16</f>
        <v>92.512552716479959</v>
      </c>
      <c r="I122" s="145">
        <f>MIA!N$16</f>
        <v>1006.5365735553021</v>
      </c>
      <c r="J122" s="145">
        <f>MIA!O$16</f>
        <v>6.6193696454552056</v>
      </c>
      <c r="K122" s="145">
        <f t="shared" si="5"/>
        <v>147.75272085722844</v>
      </c>
      <c r="L122" s="145">
        <f t="shared" si="10"/>
        <v>194.00899721546841</v>
      </c>
      <c r="M122" s="145">
        <f t="shared" si="11"/>
        <v>240.26527357370838</v>
      </c>
      <c r="N12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147.75272085722844</v>
      </c>
      <c r="O122" s="190">
        <v>3.4499248067671688</v>
      </c>
    </row>
    <row r="123" spans="1:15" x14ac:dyDescent="0.3">
      <c r="A123" s="196">
        <f>IF(TableWRMaster[[#This Row],[Player]]&lt;&gt;0,A122+1,A122)</f>
        <v>112</v>
      </c>
      <c r="B123" s="144" t="str">
        <f>MIA!A$17</f>
        <v>Cedrick Wilson</v>
      </c>
      <c r="C123" s="144" t="s">
        <v>156</v>
      </c>
      <c r="D123" s="144">
        <f>MIA!C$17</f>
        <v>11</v>
      </c>
      <c r="E123" s="145">
        <f>MIA!J$17</f>
        <v>3.1011953184007708</v>
      </c>
      <c r="F123" s="145">
        <f>MIA!K$17</f>
        <v>0</v>
      </c>
      <c r="G123" s="145">
        <f>MIA!L$17</f>
        <v>73.708655669999999</v>
      </c>
      <c r="H123" s="145">
        <f>MIA!M$17</f>
        <v>46.547016055604999</v>
      </c>
      <c r="I123" s="145">
        <f>MIA!N$17</f>
        <v>573.45923780505359</v>
      </c>
      <c r="J123" s="145">
        <f>MIA!O$17</f>
        <v>4.35820464227311</v>
      </c>
      <c r="K123" s="145">
        <f t="shared" si="5"/>
        <v>83.805271165984095</v>
      </c>
      <c r="L123" s="145">
        <f t="shared" si="10"/>
        <v>107.0787791937866</v>
      </c>
      <c r="M123" s="145">
        <f t="shared" si="11"/>
        <v>130.35228722158911</v>
      </c>
      <c r="N12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83.805271165984095</v>
      </c>
      <c r="O123" s="190">
        <v>2.659811123193828</v>
      </c>
    </row>
    <row r="124" spans="1:15" x14ac:dyDescent="0.3">
      <c r="A124" s="196">
        <f>IF(TableWRMaster[[#This Row],[Player]]&lt;&gt;0,A123+1,A123)</f>
        <v>113</v>
      </c>
      <c r="B124" s="144" t="str">
        <f>MIA!A$19</f>
        <v>Trent Sherfield</v>
      </c>
      <c r="C124" s="144" t="s">
        <v>156</v>
      </c>
      <c r="D124" s="144">
        <f>MIA!C$19</f>
        <v>11</v>
      </c>
      <c r="E124" s="145">
        <f>MIA!J$19</f>
        <v>0</v>
      </c>
      <c r="F124" s="145">
        <f>MIA!K$19</f>
        <v>0</v>
      </c>
      <c r="G124" s="145">
        <f>MIA!L$19</f>
        <v>11.969781689999996</v>
      </c>
      <c r="H124" s="145">
        <f>MIA!M$19</f>
        <v>6.7263909839938938</v>
      </c>
      <c r="I124" s="145">
        <f>MIA!N$19</f>
        <v>74.662939922332214</v>
      </c>
      <c r="J124" s="145">
        <f>MIA!O$19</f>
        <v>0.60127275466046504</v>
      </c>
      <c r="K124" s="145">
        <f t="shared" si="5"/>
        <v>11.073930520196011</v>
      </c>
      <c r="L124" s="145">
        <f t="shared" si="10"/>
        <v>14.437126012192959</v>
      </c>
      <c r="M124" s="145">
        <f t="shared" si="11"/>
        <v>17.800321504189906</v>
      </c>
      <c r="N12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11.073930520196011</v>
      </c>
      <c r="O124" s="190">
        <v>0</v>
      </c>
    </row>
    <row r="125" spans="1:15" x14ac:dyDescent="0.3">
      <c r="A125" s="196">
        <f>IF(TableWRMaster[[#This Row],[Player]]&lt;&gt;0,A124+1,A124)</f>
        <v>114</v>
      </c>
      <c r="B125" s="144" t="str">
        <f>MIA!A$18</f>
        <v>Preston Williams</v>
      </c>
      <c r="C125" s="144" t="s">
        <v>156</v>
      </c>
      <c r="D125" s="144">
        <f>MIA!C$18</f>
        <v>11</v>
      </c>
      <c r="E125" s="145">
        <f>MIA!J$18</f>
        <v>0</v>
      </c>
      <c r="F125" s="145">
        <f>MIA!K$18</f>
        <v>0</v>
      </c>
      <c r="G125" s="145">
        <f>MIA!L$18</f>
        <v>15.119724239999996</v>
      </c>
      <c r="H125" s="145">
        <f>MIA!M$18</f>
        <v>8.9372689982639972</v>
      </c>
      <c r="I125" s="145">
        <f>MIA!N$18</f>
        <v>107.78346411906381</v>
      </c>
      <c r="J125" s="145">
        <f>MIA!O$18</f>
        <v>0.37778087601312527</v>
      </c>
      <c r="K125" s="145">
        <f t="shared" si="5"/>
        <v>13.045031667985132</v>
      </c>
      <c r="L125" s="145">
        <f t="shared" si="10"/>
        <v>17.51366616711713</v>
      </c>
      <c r="M125" s="145">
        <f t="shared" si="11"/>
        <v>21.982300666249131</v>
      </c>
      <c r="N12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13.045031667985134</v>
      </c>
      <c r="O125" s="190">
        <v>0</v>
      </c>
    </row>
    <row r="126" spans="1:15" x14ac:dyDescent="0.3">
      <c r="A126" s="196">
        <f>IF(TableWRMaster[[#This Row],[Player]]&lt;&gt;0,A125+1,A125)</f>
        <v>115</v>
      </c>
      <c r="B126" s="144" t="str">
        <f>MIA!A$20</f>
        <v>Erik Ezukanma</v>
      </c>
      <c r="C126" s="144" t="s">
        <v>156</v>
      </c>
      <c r="D126" s="144">
        <f>MIA!C$20</f>
        <v>11</v>
      </c>
      <c r="E126" s="145">
        <f>MIA!J$20</f>
        <v>0</v>
      </c>
      <c r="F126" s="145">
        <f>MIA!K$20</f>
        <v>0</v>
      </c>
      <c r="G126" s="145">
        <f>MIA!L$20</f>
        <v>9.4498276499999978</v>
      </c>
      <c r="H126" s="145">
        <f>MIA!M$20</f>
        <v>5.8796827638299982</v>
      </c>
      <c r="I126" s="145">
        <f>MIA!N$20</f>
        <v>64.850080373017946</v>
      </c>
      <c r="J126" s="145">
        <f>MIA!O$20</f>
        <v>0.47731741994191873</v>
      </c>
      <c r="K126" s="145">
        <f t="shared" si="5"/>
        <v>9.3489125569533069</v>
      </c>
      <c r="L126" s="145">
        <f t="shared" si="10"/>
        <v>12.288753938868306</v>
      </c>
      <c r="M126" s="145">
        <f t="shared" si="11"/>
        <v>15.228595320783306</v>
      </c>
      <c r="N12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9.3489125569533069</v>
      </c>
      <c r="O126" s="190">
        <v>0</v>
      </c>
    </row>
    <row r="127" spans="1:15" x14ac:dyDescent="0.3">
      <c r="A127" s="196">
        <f>IF(TableWRMaster[[#This Row],[Player]]&lt;&gt;0,A126+1,A126)</f>
        <v>115</v>
      </c>
      <c r="B127" s="144">
        <f>MIA!A$21</f>
        <v>0</v>
      </c>
      <c r="C127" s="144" t="s">
        <v>156</v>
      </c>
      <c r="D127" s="144">
        <f>MIA!C$21</f>
        <v>11</v>
      </c>
      <c r="E127" s="145">
        <f>MIA!J$21</f>
        <v>0</v>
      </c>
      <c r="F127" s="145">
        <f>MIA!K$21</f>
        <v>0</v>
      </c>
      <c r="G127" s="145">
        <f>MIA!L$21</f>
        <v>0</v>
      </c>
      <c r="H127" s="145">
        <f>MIA!M$21</f>
        <v>0</v>
      </c>
      <c r="I127" s="145">
        <f>MIA!N$21</f>
        <v>0</v>
      </c>
      <c r="J127" s="145">
        <f>MIA!O$21</f>
        <v>0</v>
      </c>
      <c r="K127" s="145">
        <f t="shared" si="5"/>
        <v>0</v>
      </c>
      <c r="L127" s="145">
        <f t="shared" si="10"/>
        <v>0</v>
      </c>
      <c r="M127" s="145">
        <f t="shared" si="11"/>
        <v>0</v>
      </c>
      <c r="N12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7" s="190">
        <v>0</v>
      </c>
    </row>
    <row r="128" spans="1:15" x14ac:dyDescent="0.3">
      <c r="A128" s="196">
        <f>IF(TableWRMaster[[#This Row],[Player]]&lt;&gt;0,A127+1,A127)</f>
        <v>116</v>
      </c>
      <c r="B128" s="144" t="str">
        <f>MIN!A$15</f>
        <v>Justin Jefferson</v>
      </c>
      <c r="C128" s="144" t="s">
        <v>157</v>
      </c>
      <c r="D128" s="144">
        <f>MIN!C$15</f>
        <v>7</v>
      </c>
      <c r="E128" s="145">
        <f>MIN!J$15</f>
        <v>18.39880980917491</v>
      </c>
      <c r="F128" s="145">
        <f>MIN!K$15</f>
        <v>0</v>
      </c>
      <c r="G128" s="145">
        <f>MIN!L$15</f>
        <v>153.07162114672514</v>
      </c>
      <c r="H128" s="145">
        <f>MIN!M$15</f>
        <v>99.809495727206254</v>
      </c>
      <c r="I128" s="145">
        <f>MIN!N$15</f>
        <v>1469.1957771044761</v>
      </c>
      <c r="J128" s="145">
        <f>MIN!O$15</f>
        <v>8.9828546154485629</v>
      </c>
      <c r="K128" s="145">
        <f t="shared" si="5"/>
        <v>202.65658638405648</v>
      </c>
      <c r="L128" s="145">
        <f t="shared" si="10"/>
        <v>252.5613342476596</v>
      </c>
      <c r="M128" s="145">
        <f t="shared" si="11"/>
        <v>302.46608211126272</v>
      </c>
      <c r="N12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202.65658638405648</v>
      </c>
      <c r="O128" s="190">
        <v>29.416397446314392</v>
      </c>
    </row>
    <row r="129" spans="1:15" x14ac:dyDescent="0.3">
      <c r="A129" s="196">
        <f>IF(TableWRMaster[[#This Row],[Player]]&lt;&gt;0,A128+1,A128)</f>
        <v>117</v>
      </c>
      <c r="B129" s="144" t="str">
        <f>MIN!A$16</f>
        <v>Adam Thielen</v>
      </c>
      <c r="C129" s="144" t="s">
        <v>157</v>
      </c>
      <c r="D129" s="144">
        <f>MIN!C$16</f>
        <v>7</v>
      </c>
      <c r="E129" s="145">
        <f>MIN!J$16</f>
        <v>1.2499361274728533</v>
      </c>
      <c r="F129" s="145">
        <f>MIN!K$16</f>
        <v>0</v>
      </c>
      <c r="G129" s="145">
        <f>MIN!L$16</f>
        <v>105.13703677285898</v>
      </c>
      <c r="H129" s="145">
        <f>MIN!M$16</f>
        <v>70.327027341628721</v>
      </c>
      <c r="I129" s="145">
        <f>MIN!N$16</f>
        <v>793.99213868698826</v>
      </c>
      <c r="J129" s="145">
        <f>MIN!O$16</f>
        <v>7.3140108435293865</v>
      </c>
      <c r="K129" s="145">
        <f t="shared" si="5"/>
        <v>123.40827254262243</v>
      </c>
      <c r="L129" s="145">
        <f t="shared" si="10"/>
        <v>158.57178621343678</v>
      </c>
      <c r="M129" s="145">
        <f t="shared" si="11"/>
        <v>193.73529988425116</v>
      </c>
      <c r="N12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123.40827254262244</v>
      </c>
      <c r="O129" s="190">
        <v>20.610014969321551</v>
      </c>
    </row>
    <row r="130" spans="1:15" x14ac:dyDescent="0.3">
      <c r="A130" s="196">
        <f>IF(TableWRMaster[[#This Row],[Player]]&lt;&gt;0,A129+1,A129)</f>
        <v>118</v>
      </c>
      <c r="B130" s="144" t="str">
        <f>MIN!A$19</f>
        <v>Ihmir Smith-Marsette</v>
      </c>
      <c r="C130" s="144" t="s">
        <v>157</v>
      </c>
      <c r="D130" s="144">
        <f>MIN!C$19</f>
        <v>7</v>
      </c>
      <c r="E130" s="145">
        <f>MIN!J$19</f>
        <v>0</v>
      </c>
      <c r="F130" s="145">
        <f>MIN!K$19</f>
        <v>0</v>
      </c>
      <c r="G130" s="145">
        <f>MIN!L$19</f>
        <v>13.497497619077659</v>
      </c>
      <c r="H130" s="145">
        <f>MIN!M$19</f>
        <v>8.0735032054853413</v>
      </c>
      <c r="I130" s="145">
        <f>MIN!N$19</f>
        <v>97.9315938825372</v>
      </c>
      <c r="J130" s="145">
        <f>MIN!O$19</f>
        <v>0.57321872758945913</v>
      </c>
      <c r="K130" s="145">
        <f t="shared" ref="K130:K192" si="12">(E130/10)+(F130*6)+(I130/10)+(J130*6)</f>
        <v>13.232471753790474</v>
      </c>
      <c r="L130" s="145">
        <f t="shared" si="10"/>
        <v>17.269223356533146</v>
      </c>
      <c r="M130" s="145">
        <f t="shared" si="11"/>
        <v>21.305974959275815</v>
      </c>
      <c r="N13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13.232471753790474</v>
      </c>
      <c r="O130" s="190">
        <v>0</v>
      </c>
    </row>
    <row r="131" spans="1:15" x14ac:dyDescent="0.3">
      <c r="A131" s="196">
        <f>IF(TableWRMaster[[#This Row],[Player]]&lt;&gt;0,A130+1,A130)</f>
        <v>119</v>
      </c>
      <c r="B131" s="144" t="str">
        <f>MIN!A$17</f>
        <v>K.J. Osborn</v>
      </c>
      <c r="C131" s="144" t="s">
        <v>157</v>
      </c>
      <c r="D131" s="144">
        <f>MIN!C$17</f>
        <v>7</v>
      </c>
      <c r="E131" s="145">
        <f>MIN!J$17</f>
        <v>2.6248658676929923</v>
      </c>
      <c r="F131" s="145">
        <f>MIN!K$17</f>
        <v>0</v>
      </c>
      <c r="G131" s="145">
        <f>MIN!L$17</f>
        <v>74.736144224152241</v>
      </c>
      <c r="H131" s="145">
        <f>MIN!M$17</f>
        <v>43.49993528969118</v>
      </c>
      <c r="I131" s="145">
        <f>MIN!N$17</f>
        <v>560.27916653122247</v>
      </c>
      <c r="J131" s="145">
        <f>MIN!O$17</f>
        <v>4.0019940466515882</v>
      </c>
      <c r="K131" s="145">
        <f t="shared" si="12"/>
        <v>80.302367519801066</v>
      </c>
      <c r="L131" s="145">
        <f t="shared" si="10"/>
        <v>102.05233516464665</v>
      </c>
      <c r="M131" s="145">
        <f t="shared" si="11"/>
        <v>123.80230280949225</v>
      </c>
      <c r="N13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80.302367519801066</v>
      </c>
      <c r="O131" s="190">
        <v>0</v>
      </c>
    </row>
    <row r="132" spans="1:15" x14ac:dyDescent="0.3">
      <c r="A132" s="196">
        <f>IF(TableWRMaster[[#This Row],[Player]]&lt;&gt;0,A131+1,A131)</f>
        <v>120</v>
      </c>
      <c r="B132" s="144" t="str">
        <f>MIN!A$18</f>
        <v>Jalen Nailor</v>
      </c>
      <c r="C132" s="144" t="s">
        <v>157</v>
      </c>
      <c r="D132" s="144">
        <f>MIN!C$18</f>
        <v>7</v>
      </c>
      <c r="E132" s="145">
        <f>MIN!J$18</f>
        <v>0</v>
      </c>
      <c r="F132" s="145">
        <f>MIN!K$18</f>
        <v>0</v>
      </c>
      <c r="G132" s="145">
        <f>MIN!L$18</f>
        <v>8.4484336949041623</v>
      </c>
      <c r="H132" s="145">
        <f>MIN!M$18</f>
        <v>5.3301168181150365</v>
      </c>
      <c r="I132" s="145">
        <f>MIN!N$18</f>
        <v>67.934761627248008</v>
      </c>
      <c r="J132" s="145">
        <f>MIN!O$18</f>
        <v>0.30914677545067215</v>
      </c>
      <c r="K132" s="145">
        <f t="shared" si="12"/>
        <v>8.6483568154288335</v>
      </c>
      <c r="L132" s="145">
        <f t="shared" si="10"/>
        <v>11.313415224486352</v>
      </c>
      <c r="M132" s="145">
        <f t="shared" si="11"/>
        <v>13.978473633543871</v>
      </c>
      <c r="N13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8.6483568154288335</v>
      </c>
      <c r="O132" s="190">
        <v>0</v>
      </c>
    </row>
    <row r="133" spans="1:15" x14ac:dyDescent="0.3">
      <c r="A133" s="196">
        <f>IF(TableWRMaster[[#This Row],[Player]]&lt;&gt;0,A132+1,A132)</f>
        <v>121</v>
      </c>
      <c r="B133" s="144" t="str">
        <f>MIN!A$20</f>
        <v>Olabisi Johnson</v>
      </c>
      <c r="C133" s="144" t="s">
        <v>157</v>
      </c>
      <c r="D133" s="144">
        <f>MIN!C$20</f>
        <v>7</v>
      </c>
      <c r="E133" s="145">
        <f>MIN!J$20</f>
        <v>0</v>
      </c>
      <c r="F133" s="145">
        <f>MIN!K$20</f>
        <v>0</v>
      </c>
      <c r="G133" s="145">
        <f>MIN!L$20</f>
        <v>18.624275085477876</v>
      </c>
      <c r="H133" s="145">
        <f>MIN!M$20</f>
        <v>11.900911779620364</v>
      </c>
      <c r="I133" s="145">
        <f>MIN!N$20</f>
        <v>125.16503563250099</v>
      </c>
      <c r="J133" s="145">
        <f>MIN!O$20</f>
        <v>0.82250949914195792</v>
      </c>
      <c r="K133" s="145">
        <f t="shared" si="12"/>
        <v>17.451560558101846</v>
      </c>
      <c r="L133" s="145">
        <f t="shared" si="10"/>
        <v>23.402016447912029</v>
      </c>
      <c r="M133" s="145">
        <f t="shared" si="11"/>
        <v>29.352472337722212</v>
      </c>
      <c r="N13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17.451560558101846</v>
      </c>
      <c r="O133" s="190">
        <v>0</v>
      </c>
    </row>
    <row r="134" spans="1:15" x14ac:dyDescent="0.3">
      <c r="A134" s="196">
        <f>IF(TableWRMaster[[#This Row],[Player]]&lt;&gt;0,A133+1,A133)</f>
        <v>122</v>
      </c>
      <c r="B134" s="144" t="str">
        <f>NE!A$15</f>
        <v>DeVante Parker</v>
      </c>
      <c r="C134" s="144" t="s">
        <v>158</v>
      </c>
      <c r="D134" s="144">
        <f>NE!C$15</f>
        <v>10</v>
      </c>
      <c r="E134" s="145">
        <f>NE!J$15</f>
        <v>0</v>
      </c>
      <c r="F134" s="145">
        <f>NE!K$15</f>
        <v>0</v>
      </c>
      <c r="G134" s="145">
        <f>NE!L$15</f>
        <v>80.317008034711606</v>
      </c>
      <c r="H134" s="145">
        <f>NE!M$15</f>
        <v>48.792582381087307</v>
      </c>
      <c r="I134" s="145">
        <f>NE!N$15</f>
        <v>655.77230720181342</v>
      </c>
      <c r="J134" s="145">
        <f>NE!O$15</f>
        <v>3.6381348321608065</v>
      </c>
      <c r="K134" s="145">
        <f t="shared" si="12"/>
        <v>87.406039713146185</v>
      </c>
      <c r="L134" s="145">
        <f t="shared" si="10"/>
        <v>111.80233090368984</v>
      </c>
      <c r="M134" s="145">
        <f t="shared" si="11"/>
        <v>136.19862209423349</v>
      </c>
      <c r="N13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87.406039713146185</v>
      </c>
      <c r="O134" s="190">
        <v>1.5854302457016156</v>
      </c>
    </row>
    <row r="135" spans="1:15" x14ac:dyDescent="0.3">
      <c r="A135" s="196">
        <f>IF(TableWRMaster[[#This Row],[Player]]&lt;&gt;0,A134+1,A134)</f>
        <v>123</v>
      </c>
      <c r="B135" s="144" t="str">
        <f>NE!A$16</f>
        <v>Jakobi Meyers</v>
      </c>
      <c r="C135" s="144" t="s">
        <v>158</v>
      </c>
      <c r="D135" s="144">
        <f>NE!C$16</f>
        <v>10</v>
      </c>
      <c r="E135" s="145">
        <f>NE!J$16</f>
        <v>2.5010567217710751</v>
      </c>
      <c r="F135" s="145">
        <f>NE!K$16</f>
        <v>0</v>
      </c>
      <c r="G135" s="145">
        <f>NE!L$16</f>
        <v>102.0635266298471</v>
      </c>
      <c r="H135" s="145">
        <f>NE!M$16</f>
        <v>69.11510106251032</v>
      </c>
      <c r="I135" s="145">
        <f>NE!N$16</f>
        <v>732.17435054513896</v>
      </c>
      <c r="J135" s="145">
        <f>NE!O$16</f>
        <v>2.9047619557395667</v>
      </c>
      <c r="K135" s="145">
        <f t="shared" si="12"/>
        <v>90.896112461128411</v>
      </c>
      <c r="L135" s="145">
        <f t="shared" si="10"/>
        <v>125.45366299238357</v>
      </c>
      <c r="M135" s="145">
        <f t="shared" si="11"/>
        <v>160.01121352363873</v>
      </c>
      <c r="N13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90.896112461128411</v>
      </c>
      <c r="O135" s="190">
        <v>0</v>
      </c>
    </row>
    <row r="136" spans="1:15" x14ac:dyDescent="0.3">
      <c r="A136" s="196">
        <f>IF(TableWRMaster[[#This Row],[Player]]&lt;&gt;0,A135+1,A135)</f>
        <v>124</v>
      </c>
      <c r="B136" s="144" t="str">
        <f>NE!A$17</f>
        <v>Kendrick Bourne</v>
      </c>
      <c r="C136" s="144" t="s">
        <v>158</v>
      </c>
      <c r="D136" s="144">
        <f>NE!C$17</f>
        <v>10</v>
      </c>
      <c r="E136" s="145">
        <f>NE!J$17</f>
        <v>34.637356838689826</v>
      </c>
      <c r="F136" s="145">
        <f>NE!K$17</f>
        <v>0.24208905317363857</v>
      </c>
      <c r="G136" s="145">
        <f>NE!L$17</f>
        <v>51.444880963410057</v>
      </c>
      <c r="H136" s="145">
        <f>NE!M$17</f>
        <v>37.333550115146679</v>
      </c>
      <c r="I136" s="145">
        <f>NE!N$17</f>
        <v>483.096138489998</v>
      </c>
      <c r="J136" s="145">
        <f>NE!O$17</f>
        <v>3.2390655140519056</v>
      </c>
      <c r="K136" s="145">
        <f t="shared" si="12"/>
        <v>72.660276936222047</v>
      </c>
      <c r="L136" s="145">
        <f t="shared" si="10"/>
        <v>91.327051993795379</v>
      </c>
      <c r="M136" s="145">
        <f t="shared" si="11"/>
        <v>109.99382705136873</v>
      </c>
      <c r="N13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72.660276936222047</v>
      </c>
      <c r="O136" s="190">
        <v>0</v>
      </c>
    </row>
    <row r="137" spans="1:15" x14ac:dyDescent="0.3">
      <c r="A137" s="196">
        <f>IF(TableWRMaster[[#This Row],[Player]]&lt;&gt;0,A136+1,A136)</f>
        <v>125</v>
      </c>
      <c r="B137" s="144" t="str">
        <f>NE!A$18</f>
        <v>Tyquan Thornton</v>
      </c>
      <c r="C137" s="144" t="s">
        <v>158</v>
      </c>
      <c r="D137" s="144">
        <f>NE!C$18</f>
        <v>10</v>
      </c>
      <c r="E137" s="145">
        <f>NE!J$18</f>
        <v>0</v>
      </c>
      <c r="F137" s="145">
        <f>NE!K$18</f>
        <v>0</v>
      </c>
      <c r="G137" s="145">
        <f>NE!L$18</f>
        <v>25.722440481705029</v>
      </c>
      <c r="H137" s="145">
        <f>NE!M$18</f>
        <v>16.081669789161982</v>
      </c>
      <c r="I137" s="145">
        <f>NE!N$18</f>
        <v>234.63156222387332</v>
      </c>
      <c r="J137" s="145">
        <f>NE!O$18</f>
        <v>0.78699671530711446</v>
      </c>
      <c r="K137" s="145">
        <f t="shared" si="12"/>
        <v>28.18513651423002</v>
      </c>
      <c r="L137" s="145">
        <f t="shared" si="10"/>
        <v>36.225971408811013</v>
      </c>
      <c r="M137" s="145">
        <f t="shared" si="11"/>
        <v>44.266806303392002</v>
      </c>
      <c r="N13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28.18513651423002</v>
      </c>
      <c r="O137" s="190">
        <v>0</v>
      </c>
    </row>
    <row r="138" spans="1:15" x14ac:dyDescent="0.3">
      <c r="A138" s="196">
        <f>IF(TableWRMaster[[#This Row],[Player]]&lt;&gt;0,A137+1,A137)</f>
        <v>126</v>
      </c>
      <c r="B138" s="144" t="str">
        <f>NE!A$20</f>
        <v>Ty Montgomery</v>
      </c>
      <c r="C138" s="144" t="s">
        <v>158</v>
      </c>
      <c r="D138" s="144">
        <f>NE!C$20</f>
        <v>10</v>
      </c>
      <c r="E138" s="145">
        <f>NE!J$20</f>
        <v>46.307621745936238</v>
      </c>
      <c r="F138" s="145">
        <f>NE!K$20</f>
        <v>0.19949131167366993</v>
      </c>
      <c r="G138" s="145">
        <f>NE!L$20</f>
        <v>8.9241120038568447</v>
      </c>
      <c r="H138" s="145">
        <f>NE!M$20</f>
        <v>5.5391040023939029</v>
      </c>
      <c r="I138" s="145">
        <f>NE!N$20</f>
        <v>69.546528030056791</v>
      </c>
      <c r="J138" s="145">
        <f>NE!O$20</f>
        <v>0.30772800013299467</v>
      </c>
      <c r="K138" s="145">
        <f t="shared" si="12"/>
        <v>14.628730848439291</v>
      </c>
      <c r="L138" s="145">
        <f t="shared" si="10"/>
        <v>17.398282849636242</v>
      </c>
      <c r="M138" s="145">
        <f t="shared" si="11"/>
        <v>20.167834850833195</v>
      </c>
      <c r="N13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14.628730848439291</v>
      </c>
      <c r="O138" s="190">
        <v>0</v>
      </c>
    </row>
    <row r="139" spans="1:15" x14ac:dyDescent="0.3">
      <c r="A139" s="196">
        <f>IF(TableWRMaster[[#This Row],[Player]]&lt;&gt;0,A138+1,A138)</f>
        <v>127</v>
      </c>
      <c r="B139" s="144" t="str">
        <f>NE!A$19</f>
        <v>Nelson Agholor</v>
      </c>
      <c r="C139" s="144" t="s">
        <v>158</v>
      </c>
      <c r="D139" s="144">
        <f>NE!C$19</f>
        <v>10</v>
      </c>
      <c r="E139" s="145">
        <f>NE!J$19</f>
        <v>0</v>
      </c>
      <c r="F139" s="145">
        <f>NE!K$19</f>
        <v>0</v>
      </c>
      <c r="G139" s="145">
        <f>NE!L$19</f>
        <v>18.898119537579198</v>
      </c>
      <c r="H139" s="145">
        <f>NE!M$19</f>
        <v>12.385827544929406</v>
      </c>
      <c r="I139" s="145">
        <f>NE!N$19</f>
        <v>128.44103164091791</v>
      </c>
      <c r="J139" s="145">
        <f>NE!O$19</f>
        <v>1.0759207619565749</v>
      </c>
      <c r="K139" s="145">
        <f t="shared" si="12"/>
        <v>19.29962773583124</v>
      </c>
      <c r="L139" s="145">
        <f t="shared" si="10"/>
        <v>25.492541508295943</v>
      </c>
      <c r="M139" s="145">
        <f t="shared" si="11"/>
        <v>31.685455280760646</v>
      </c>
      <c r="N13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19.29962773583124</v>
      </c>
      <c r="O139" s="190">
        <v>0</v>
      </c>
    </row>
    <row r="140" spans="1:15" x14ac:dyDescent="0.3">
      <c r="A140" s="196">
        <f>IF(TableWRMaster[[#This Row],[Player]]&lt;&gt;0,A139+1,A139)</f>
        <v>128</v>
      </c>
      <c r="B140" s="144" t="str">
        <f>NO!A$15</f>
        <v>Michael Thomas</v>
      </c>
      <c r="C140" s="144" t="s">
        <v>159</v>
      </c>
      <c r="D140" s="144">
        <f>NO!C$15</f>
        <v>14</v>
      </c>
      <c r="E140" s="145">
        <f>NO!J$15</f>
        <v>0.29993392982193284</v>
      </c>
      <c r="F140" s="145">
        <f>NO!K$15</f>
        <v>0</v>
      </c>
      <c r="G140" s="145">
        <f>NO!L$15</f>
        <v>103.08952747123809</v>
      </c>
      <c r="H140" s="145">
        <f>NO!M$15</f>
        <v>66.265948258511841</v>
      </c>
      <c r="I140" s="145">
        <f>NO!N$15</f>
        <v>805.13127134091894</v>
      </c>
      <c r="J140" s="145">
        <f>NO!O$15</f>
        <v>4.9036801711298761</v>
      </c>
      <c r="K140" s="145">
        <f t="shared" si="12"/>
        <v>109.96520155385333</v>
      </c>
      <c r="L140" s="145">
        <f t="shared" ref="L140:L171" si="13">K140+(H140*0.5)</f>
        <v>143.09817568310925</v>
      </c>
      <c r="M140" s="145">
        <f t="shared" ref="M140:M171" si="14">K140+H140</f>
        <v>176.23114981236517</v>
      </c>
      <c r="N14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109.96520155385335</v>
      </c>
      <c r="O140" s="190">
        <v>33.210727857079746</v>
      </c>
    </row>
    <row r="141" spans="1:15" x14ac:dyDescent="0.3">
      <c r="A141" s="196">
        <f>IF(TableWRMaster[[#This Row],[Player]]&lt;&gt;0,A140+1,A140)</f>
        <v>129</v>
      </c>
      <c r="B141" s="144" t="str">
        <f>NO!A$16</f>
        <v>Chris Olave</v>
      </c>
      <c r="C141" s="144" t="s">
        <v>159</v>
      </c>
      <c r="D141" s="144">
        <f>NO!C$16</f>
        <v>14</v>
      </c>
      <c r="E141" s="145">
        <f>NO!J$16</f>
        <v>2.2994934619681522</v>
      </c>
      <c r="F141" s="145">
        <f>NO!K$16</f>
        <v>0</v>
      </c>
      <c r="G141" s="145">
        <f>NO!L$16</f>
        <v>93.717752246580076</v>
      </c>
      <c r="H141" s="145">
        <f>NO!M$16</f>
        <v>56.614894132159023</v>
      </c>
      <c r="I141" s="145">
        <f>NO!N$16</f>
        <v>822.46772930428835</v>
      </c>
      <c r="J141" s="145">
        <f>NO!O$16</f>
        <v>4.4159617423084034</v>
      </c>
      <c r="K141" s="145">
        <f t="shared" si="12"/>
        <v>108.97249273047606</v>
      </c>
      <c r="L141" s="145">
        <f t="shared" si="13"/>
        <v>137.27993979655557</v>
      </c>
      <c r="M141" s="145">
        <f t="shared" si="14"/>
        <v>165.58738686263507</v>
      </c>
      <c r="N14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108.97249273047609</v>
      </c>
      <c r="O141" s="190">
        <v>1.8220714041175305</v>
      </c>
    </row>
    <row r="142" spans="1:15" x14ac:dyDescent="0.3">
      <c r="A142" s="196">
        <f>IF(TableWRMaster[[#This Row],[Player]]&lt;&gt;0,A141+1,A141)</f>
        <v>130</v>
      </c>
      <c r="B142" s="144" t="str">
        <f>NO!A$17</f>
        <v>Jarvis Landry</v>
      </c>
      <c r="C142" s="144" t="s">
        <v>159</v>
      </c>
      <c r="D142" s="144">
        <f>NO!C$17</f>
        <v>14</v>
      </c>
      <c r="E142" s="145">
        <f>NO!J$17</f>
        <v>18.629229641162276</v>
      </c>
      <c r="F142" s="145">
        <f>NO!K$17</f>
        <v>0.29993392982193284</v>
      </c>
      <c r="G142" s="145">
        <f>NO!L$17</f>
        <v>96.474156724420652</v>
      </c>
      <c r="H142" s="145">
        <f>NO!M$17</f>
        <v>61.145320531937813</v>
      </c>
      <c r="I142" s="145">
        <f>NO!N$17</f>
        <v>739.53742062999549</v>
      </c>
      <c r="J142" s="145">
        <f>NO!O$17</f>
        <v>3.7910098729801445</v>
      </c>
      <c r="K142" s="145">
        <f t="shared" si="12"/>
        <v>100.36232784392824</v>
      </c>
      <c r="L142" s="145">
        <f t="shared" si="13"/>
        <v>130.93498810989715</v>
      </c>
      <c r="M142" s="145">
        <f t="shared" si="14"/>
        <v>161.50764837586604</v>
      </c>
      <c r="N14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100.36232784392826</v>
      </c>
      <c r="O142" s="190">
        <v>0</v>
      </c>
    </row>
    <row r="143" spans="1:15" x14ac:dyDescent="0.3">
      <c r="A143" s="196">
        <f>IF(TableWRMaster[[#This Row],[Player]]&lt;&gt;0,A142+1,A142)</f>
        <v>131</v>
      </c>
      <c r="B143" s="144" t="str">
        <f>NO!A$18</f>
        <v>Marquez Callaway</v>
      </c>
      <c r="C143" s="144" t="s">
        <v>159</v>
      </c>
      <c r="D143" s="144">
        <f>NO!C$18</f>
        <v>14</v>
      </c>
      <c r="E143" s="145">
        <f>NO!J$18</f>
        <v>6.7235189268416606</v>
      </c>
      <c r="F143" s="145">
        <f>NO!K$18</f>
        <v>4.9988988303655481E-2</v>
      </c>
      <c r="G143" s="145">
        <f>NO!L$18</f>
        <v>30.320449256246494</v>
      </c>
      <c r="H143" s="145">
        <f>NO!M$18</f>
        <v>17.622245107730464</v>
      </c>
      <c r="I143" s="145">
        <f>NO!N$18</f>
        <v>262.74767455626125</v>
      </c>
      <c r="J143" s="145">
        <f>NO!O$18</f>
        <v>1.3040461379720543</v>
      </c>
      <c r="K143" s="145">
        <f t="shared" si="12"/>
        <v>35.071330105964549</v>
      </c>
      <c r="L143" s="145">
        <f t="shared" si="13"/>
        <v>43.882452659829781</v>
      </c>
      <c r="M143" s="145">
        <f t="shared" si="14"/>
        <v>52.693575213695013</v>
      </c>
      <c r="N14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35.071330105964549</v>
      </c>
      <c r="O143" s="190">
        <v>0</v>
      </c>
    </row>
    <row r="144" spans="1:15" x14ac:dyDescent="0.3">
      <c r="A144" s="196">
        <f>IF(TableWRMaster[[#This Row],[Player]]&lt;&gt;0,A143+1,A143)</f>
        <v>132</v>
      </c>
      <c r="B144" s="144" t="str">
        <f>NO!A$19</f>
        <v>Tre'Quan Smith</v>
      </c>
      <c r="C144" s="144" t="s">
        <v>159</v>
      </c>
      <c r="D144" s="144">
        <f>NO!C$19</f>
        <v>14</v>
      </c>
      <c r="E144" s="145">
        <f>NO!J$19</f>
        <v>13.172098418013222</v>
      </c>
      <c r="F144" s="145">
        <f>NO!K$19</f>
        <v>0</v>
      </c>
      <c r="G144" s="145">
        <f>NO!L$19</f>
        <v>17.640988658179783</v>
      </c>
      <c r="H144" s="145">
        <f>NO!M$19</f>
        <v>10.967402648790371</v>
      </c>
      <c r="I144" s="145">
        <f>NO!N$19</f>
        <v>133.45987020722123</v>
      </c>
      <c r="J144" s="145">
        <f>NO!O$19</f>
        <v>1.009001043688714</v>
      </c>
      <c r="K144" s="145">
        <f t="shared" si="12"/>
        <v>20.717203124655729</v>
      </c>
      <c r="L144" s="145">
        <f t="shared" si="13"/>
        <v>26.200904449050913</v>
      </c>
      <c r="M144" s="145">
        <f t="shared" si="14"/>
        <v>31.684605773446101</v>
      </c>
      <c r="N14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20.717203124655729</v>
      </c>
      <c r="O144" s="190">
        <v>0</v>
      </c>
    </row>
    <row r="145" spans="1:15" x14ac:dyDescent="0.3">
      <c r="A145" s="196">
        <f>IF(TableWRMaster[[#This Row],[Player]]&lt;&gt;0,A144+1,A144)</f>
        <v>133</v>
      </c>
      <c r="B145" s="144" t="str">
        <f>NO!A$20</f>
        <v>Deonte Harty</v>
      </c>
      <c r="C145" s="144" t="s">
        <v>159</v>
      </c>
      <c r="D145" s="144">
        <f>NO!C$20</f>
        <v>14</v>
      </c>
      <c r="E145" s="145">
        <f>NO!J$20</f>
        <v>13.996916725023535</v>
      </c>
      <c r="F145" s="145">
        <f>NO!K$20</f>
        <v>0</v>
      </c>
      <c r="G145" s="145">
        <f>NO!L$20</f>
        <v>13.230741493634834</v>
      </c>
      <c r="H145" s="145">
        <f>NO!M$20</f>
        <v>8.1091214614487903</v>
      </c>
      <c r="I145" s="145">
        <f>NO!N$20</f>
        <v>122.44773406787674</v>
      </c>
      <c r="J145" s="145">
        <f>NO!O$20</f>
        <v>0.40545607307243953</v>
      </c>
      <c r="K145" s="145">
        <f t="shared" si="12"/>
        <v>16.077201517724664</v>
      </c>
      <c r="L145" s="145">
        <f t="shared" si="13"/>
        <v>20.131762248449057</v>
      </c>
      <c r="M145" s="145">
        <f t="shared" si="14"/>
        <v>24.186322979173454</v>
      </c>
      <c r="N14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16.077201517724664</v>
      </c>
      <c r="O145" s="190">
        <v>0</v>
      </c>
    </row>
    <row r="146" spans="1:15" x14ac:dyDescent="0.3">
      <c r="A146" s="196">
        <f>IF(TableWRMaster[[#This Row],[Player]]&lt;&gt;0,A145+1,A145)</f>
        <v>134</v>
      </c>
      <c r="B146" s="144" t="str">
        <f>NYG!A$15</f>
        <v>Kenny Golladay</v>
      </c>
      <c r="C146" s="144" t="s">
        <v>160</v>
      </c>
      <c r="D146" s="144">
        <f>NYG!C$15</f>
        <v>9</v>
      </c>
      <c r="E146" s="145">
        <f>NYG!J$15</f>
        <v>0</v>
      </c>
      <c r="F146" s="145">
        <f>NYG!K$15</f>
        <v>0</v>
      </c>
      <c r="G146" s="145">
        <f>NYG!L$15</f>
        <v>97.983103014960051</v>
      </c>
      <c r="H146" s="145">
        <f>NYG!M$15</f>
        <v>53.434351263667089</v>
      </c>
      <c r="I146" s="145">
        <f>NYG!N$15</f>
        <v>781.2102154748128</v>
      </c>
      <c r="J146" s="145">
        <f>NYG!O$15</f>
        <v>4.3816168036207017</v>
      </c>
      <c r="K146" s="145">
        <f t="shared" si="12"/>
        <v>104.41072236920549</v>
      </c>
      <c r="L146" s="145">
        <f t="shared" si="13"/>
        <v>131.12789800103903</v>
      </c>
      <c r="M146" s="145">
        <f t="shared" si="14"/>
        <v>157.84507363287258</v>
      </c>
      <c r="N14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104.4107223692055</v>
      </c>
      <c r="O146" s="190">
        <v>12.582632081900583</v>
      </c>
    </row>
    <row r="147" spans="1:15" x14ac:dyDescent="0.3">
      <c r="A147" s="196">
        <f>IF(TableWRMaster[[#This Row],[Player]]&lt;&gt;0,A146+1,A146)</f>
        <v>135</v>
      </c>
      <c r="B147" s="144" t="str">
        <f>NYG!A$16</f>
        <v>Sterling Shepard</v>
      </c>
      <c r="C147" s="144" t="s">
        <v>160</v>
      </c>
      <c r="D147" s="144">
        <f>NYG!C$16</f>
        <v>9</v>
      </c>
      <c r="E147" s="145">
        <f>NYG!J$16</f>
        <v>9.6473946706252551</v>
      </c>
      <c r="F147" s="145">
        <f>NYG!K$16</f>
        <v>0.20010152285455546</v>
      </c>
      <c r="G147" s="145">
        <f>NYG!L$16</f>
        <v>76.813914091974851</v>
      </c>
      <c r="H147" s="145">
        <f>NYG!M$16</f>
        <v>49.406709543958222</v>
      </c>
      <c r="I147" s="145">
        <f>NYG!N$16</f>
        <v>534.08653017018844</v>
      </c>
      <c r="J147" s="145">
        <f>NYG!O$16</f>
        <v>2.4009286319946654</v>
      </c>
      <c r="K147" s="145">
        <f t="shared" si="12"/>
        <v>69.979573413176695</v>
      </c>
      <c r="L147" s="145">
        <f t="shared" si="13"/>
        <v>94.682928185155802</v>
      </c>
      <c r="M147" s="145">
        <f t="shared" si="14"/>
        <v>119.38628295713491</v>
      </c>
      <c r="N14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69.979573413176695</v>
      </c>
      <c r="O147" s="190">
        <v>0</v>
      </c>
    </row>
    <row r="148" spans="1:15" x14ac:dyDescent="0.3">
      <c r="A148" s="196">
        <f>IF(TableWRMaster[[#This Row],[Player]]&lt;&gt;0,A147+1,A147)</f>
        <v>136</v>
      </c>
      <c r="B148" s="144" t="str">
        <f>NYG!A$17</f>
        <v>Kadarius Toney</v>
      </c>
      <c r="C148" s="144" t="s">
        <v>160</v>
      </c>
      <c r="D148" s="144">
        <f>NYG!C$17</f>
        <v>9</v>
      </c>
      <c r="E148" s="145">
        <f>NYG!J$17</f>
        <v>34.228866245693126</v>
      </c>
      <c r="F148" s="145">
        <f>NYG!K$17</f>
        <v>2.5012690356819439E-2</v>
      </c>
      <c r="G148" s="145">
        <f>NYG!L$17</f>
        <v>90.120261414994133</v>
      </c>
      <c r="H148" s="145">
        <f>NYG!M$17</f>
        <v>58.623230050453678</v>
      </c>
      <c r="I148" s="145">
        <f>NYG!N$17</f>
        <v>702.30629600443513</v>
      </c>
      <c r="J148" s="145">
        <f>NYG!O$17</f>
        <v>3.9863796434308503</v>
      </c>
      <c r="K148" s="145">
        <f t="shared" si="12"/>
        <v>97.721870227738833</v>
      </c>
      <c r="L148" s="145">
        <f t="shared" si="13"/>
        <v>127.03348525296568</v>
      </c>
      <c r="M148" s="145">
        <f t="shared" si="14"/>
        <v>156.34510027819252</v>
      </c>
      <c r="N14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97.721870227738862</v>
      </c>
      <c r="O148" s="190">
        <v>0</v>
      </c>
    </row>
    <row r="149" spans="1:15" x14ac:dyDescent="0.3">
      <c r="A149" s="196">
        <f>IF(TableWRMaster[[#This Row],[Player]]&lt;&gt;0,A148+1,A148)</f>
        <v>137</v>
      </c>
      <c r="B149" s="144" t="str">
        <f>NYG!A$18</f>
        <v>Darius Slayton</v>
      </c>
      <c r="C149" s="144" t="s">
        <v>160</v>
      </c>
      <c r="D149" s="144">
        <f>NYG!C$18</f>
        <v>9</v>
      </c>
      <c r="E149" s="145">
        <f>NYG!J$18</f>
        <v>0.80040609141822194</v>
      </c>
      <c r="F149" s="145">
        <f>NYG!K$18</f>
        <v>0</v>
      </c>
      <c r="G149" s="145">
        <f>NYG!L$18</f>
        <v>23.58852479989779</v>
      </c>
      <c r="H149" s="145">
        <f>NYG!M$18</f>
        <v>13.068042739143378</v>
      </c>
      <c r="I149" s="145">
        <f>NYG!N$18</f>
        <v>187.78777416149032</v>
      </c>
      <c r="J149" s="145">
        <f>NYG!O$18</f>
        <v>1.0702454556744887</v>
      </c>
      <c r="K149" s="145">
        <f t="shared" si="12"/>
        <v>25.280290759337788</v>
      </c>
      <c r="L149" s="145">
        <f t="shared" si="13"/>
        <v>31.814312128909478</v>
      </c>
      <c r="M149" s="145">
        <f t="shared" si="14"/>
        <v>38.348333498481168</v>
      </c>
      <c r="N14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25.280290759337788</v>
      </c>
      <c r="O149" s="190">
        <v>0</v>
      </c>
    </row>
    <row r="150" spans="1:15" x14ac:dyDescent="0.3">
      <c r="A150" s="196">
        <f>IF(TableWRMaster[[#This Row],[Player]]&lt;&gt;0,A149+1,A149)</f>
        <v>138</v>
      </c>
      <c r="B150" s="144" t="str">
        <f>NYG!A$19</f>
        <v>Wan'Dale Robinson</v>
      </c>
      <c r="C150" s="144" t="s">
        <v>160</v>
      </c>
      <c r="D150" s="144">
        <f>NYG!C$19</f>
        <v>9</v>
      </c>
      <c r="E150" s="145">
        <f>NYG!J$19</f>
        <v>32.283045687201621</v>
      </c>
      <c r="F150" s="145">
        <f>NYG!K$19</f>
        <v>0.13340101523637032</v>
      </c>
      <c r="G150" s="145">
        <f>NYG!L$19</f>
        <v>52.620555322848908</v>
      </c>
      <c r="H150" s="145">
        <f>NYG!M$19</f>
        <v>33.913947905576116</v>
      </c>
      <c r="I150" s="145">
        <f>NYG!N$19</f>
        <v>376.44482175189489</v>
      </c>
      <c r="J150" s="145">
        <f>NYG!O$19</f>
        <v>2.4078903012959039</v>
      </c>
      <c r="K150" s="145">
        <f t="shared" si="12"/>
        <v>56.120534643103298</v>
      </c>
      <c r="L150" s="145">
        <f t="shared" si="13"/>
        <v>73.077508595891359</v>
      </c>
      <c r="M150" s="145">
        <f t="shared" si="14"/>
        <v>90.034482548679421</v>
      </c>
      <c r="N15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56.120534643103298</v>
      </c>
      <c r="O150" s="190">
        <v>0</v>
      </c>
    </row>
    <row r="151" spans="1:15" x14ac:dyDescent="0.3">
      <c r="A151" s="196">
        <f>IF(TableWRMaster[[#This Row],[Player]]&lt;&gt;0,A150+1,A150)</f>
        <v>138</v>
      </c>
      <c r="B151" s="144">
        <f>NYG!A$21</f>
        <v>0</v>
      </c>
      <c r="C151" s="144" t="s">
        <v>160</v>
      </c>
      <c r="D151" s="144">
        <f>NYG!C$21</f>
        <v>9</v>
      </c>
      <c r="E151" s="145">
        <f>NYG!J$21</f>
        <v>0</v>
      </c>
      <c r="F151" s="145">
        <f>NYG!K$21</f>
        <v>0</v>
      </c>
      <c r="G151" s="145">
        <f>NYG!L$21</f>
        <v>0</v>
      </c>
      <c r="H151" s="145">
        <f>NYG!M$21</f>
        <v>0</v>
      </c>
      <c r="I151" s="145">
        <f>NYG!N$21</f>
        <v>0</v>
      </c>
      <c r="J151" s="145">
        <f>NYG!O$21</f>
        <v>0</v>
      </c>
      <c r="K151" s="145">
        <f t="shared" si="12"/>
        <v>0</v>
      </c>
      <c r="L151" s="145">
        <f t="shared" si="13"/>
        <v>0</v>
      </c>
      <c r="M151" s="145">
        <f t="shared" si="14"/>
        <v>0</v>
      </c>
      <c r="N15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51" s="190">
        <v>0</v>
      </c>
    </row>
    <row r="152" spans="1:15" x14ac:dyDescent="0.3">
      <c r="A152" s="196">
        <f>IF(TableWRMaster[[#This Row],[Player]]&lt;&gt;0,A151+1,A151)</f>
        <v>139</v>
      </c>
      <c r="B152" s="144" t="str">
        <f>NYG!A$20</f>
        <v>Richie James</v>
      </c>
      <c r="C152" s="144" t="s">
        <v>160</v>
      </c>
      <c r="D152" s="144">
        <f>NYG!C$20</f>
        <v>9</v>
      </c>
      <c r="E152" s="145">
        <f>NYG!J$20</f>
        <v>0</v>
      </c>
      <c r="F152" s="145">
        <f>NYG!K$20</f>
        <v>0</v>
      </c>
      <c r="G152" s="145">
        <f>NYG!L$20</f>
        <v>17.540185107616306</v>
      </c>
      <c r="H152" s="145">
        <f>NYG!M$20</f>
        <v>11.343237709095467</v>
      </c>
      <c r="I152" s="145">
        <f>NYG!N$20</f>
        <v>143.09930648397358</v>
      </c>
      <c r="J152" s="145">
        <f>NYG!O$20</f>
        <v>0.66925102483663257</v>
      </c>
      <c r="K152" s="145">
        <f t="shared" si="12"/>
        <v>18.325436797417154</v>
      </c>
      <c r="L152" s="145">
        <f t="shared" si="13"/>
        <v>23.997055651964889</v>
      </c>
      <c r="M152" s="145">
        <f t="shared" si="14"/>
        <v>29.668674506512623</v>
      </c>
      <c r="N15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18.325436797417154</v>
      </c>
      <c r="O152" s="190">
        <v>0</v>
      </c>
    </row>
    <row r="153" spans="1:15" x14ac:dyDescent="0.3">
      <c r="A153" s="196">
        <f>IF(TableWRMaster[[#This Row],[Player]]&lt;&gt;0,A152+1,A152)</f>
        <v>140</v>
      </c>
      <c r="B153" s="144" t="str">
        <f>NYJ!A$15</f>
        <v>Garrett Wilson</v>
      </c>
      <c r="C153" s="144" t="s">
        <v>161</v>
      </c>
      <c r="D153" s="144">
        <f>NYJ!C$15</f>
        <v>10</v>
      </c>
      <c r="E153" s="145">
        <f>NYJ!J$15</f>
        <v>6.0260090851023778</v>
      </c>
      <c r="F153" s="145">
        <f>NYJ!K$15</f>
        <v>0</v>
      </c>
      <c r="G153" s="145">
        <f>NYJ!L$15</f>
        <v>108.35508378440773</v>
      </c>
      <c r="H153" s="145">
        <f>NYJ!M$15</f>
        <v>65.674016281729521</v>
      </c>
      <c r="I153" s="145">
        <f>NYJ!N$15</f>
        <v>858.35939280220487</v>
      </c>
      <c r="J153" s="145">
        <f>NYJ!O$15</f>
        <v>5.385269335101821</v>
      </c>
      <c r="K153" s="145">
        <f t="shared" si="12"/>
        <v>118.75015619934166</v>
      </c>
      <c r="L153" s="145">
        <f t="shared" si="13"/>
        <v>151.58716434020641</v>
      </c>
      <c r="M153" s="145">
        <f t="shared" si="14"/>
        <v>184.4241724810712</v>
      </c>
      <c r="N15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118.75015619934166</v>
      </c>
      <c r="O153" s="190">
        <v>0</v>
      </c>
    </row>
    <row r="154" spans="1:15" x14ac:dyDescent="0.3">
      <c r="A154" s="196">
        <f>IF(TableWRMaster[[#This Row],[Player]]&lt;&gt;0,A153+1,A153)</f>
        <v>141</v>
      </c>
      <c r="B154" s="144" t="str">
        <f>NYJ!A$16</f>
        <v>Elijah Moore</v>
      </c>
      <c r="C154" s="144" t="s">
        <v>161</v>
      </c>
      <c r="D154" s="144">
        <f>NYJ!C$16</f>
        <v>10</v>
      </c>
      <c r="E154" s="145">
        <f>NYJ!J$16</f>
        <v>48.408106177419924</v>
      </c>
      <c r="F154" s="145">
        <f>NYJ!K$16</f>
        <v>0.52998874924410777</v>
      </c>
      <c r="G154" s="145">
        <f>NYJ!L$16</f>
        <v>118.33440225873129</v>
      </c>
      <c r="H154" s="145">
        <f>NYJ!M$16</f>
        <v>70.361635583041632</v>
      </c>
      <c r="I154" s="145">
        <f>NYJ!N$16</f>
        <v>925.95912427282792</v>
      </c>
      <c r="J154" s="145">
        <f>NYJ!O$16</f>
        <v>6.6139937448059136</v>
      </c>
      <c r="K154" s="145">
        <f t="shared" si="12"/>
        <v>140.30061800932492</v>
      </c>
      <c r="L154" s="145">
        <f t="shared" si="13"/>
        <v>175.48143580084573</v>
      </c>
      <c r="M154" s="145">
        <f t="shared" si="14"/>
        <v>210.66225359236654</v>
      </c>
      <c r="N15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140.30061800932492</v>
      </c>
      <c r="O154" s="190">
        <v>0</v>
      </c>
    </row>
    <row r="155" spans="1:15" x14ac:dyDescent="0.3">
      <c r="A155" s="196">
        <f>IF(TableWRMaster[[#This Row],[Player]]&lt;&gt;0,A154+1,A154)</f>
        <v>142</v>
      </c>
      <c r="B155" s="144" t="str">
        <f>NYJ!A$17</f>
        <v>Corey Davis</v>
      </c>
      <c r="C155" s="144" t="s">
        <v>161</v>
      </c>
      <c r="D155" s="144">
        <f>NYJ!C$17</f>
        <v>10</v>
      </c>
      <c r="E155" s="145">
        <f>NYJ!J$17</f>
        <v>0</v>
      </c>
      <c r="F155" s="145">
        <f>NYJ!K$17</f>
        <v>0</v>
      </c>
      <c r="G155" s="145">
        <f>NYJ!L$17</f>
        <v>64.165580341604581</v>
      </c>
      <c r="H155" s="145">
        <f>NYJ!M$17</f>
        <v>36.150887964460019</v>
      </c>
      <c r="I155" s="145">
        <f>NYJ!N$17</f>
        <v>477.19172113087222</v>
      </c>
      <c r="J155" s="145">
        <f>NYJ!O$17</f>
        <v>2.9282219251212616</v>
      </c>
      <c r="K155" s="145">
        <f t="shared" si="12"/>
        <v>65.288503663814794</v>
      </c>
      <c r="L155" s="145">
        <f t="shared" si="13"/>
        <v>83.363947646044807</v>
      </c>
      <c r="M155" s="145">
        <f t="shared" si="14"/>
        <v>101.43939162827482</v>
      </c>
      <c r="N15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65.288503663814794</v>
      </c>
      <c r="O155" s="190">
        <v>0</v>
      </c>
    </row>
    <row r="156" spans="1:15" x14ac:dyDescent="0.3">
      <c r="A156" s="196">
        <f>IF(TableWRMaster[[#This Row],[Player]]&lt;&gt;0,A155+1,A155)</f>
        <v>143</v>
      </c>
      <c r="B156" s="144" t="str">
        <f>NYJ!A$18</f>
        <v>Denzel Mims</v>
      </c>
      <c r="C156" s="144" t="s">
        <v>161</v>
      </c>
      <c r="D156" s="144">
        <f>NYJ!C$18</f>
        <v>10</v>
      </c>
      <c r="E156" s="145">
        <f>NYJ!J$18</f>
        <v>0</v>
      </c>
      <c r="F156" s="145">
        <f>NYJ!K$18</f>
        <v>0</v>
      </c>
      <c r="G156" s="145">
        <f>NYJ!L$18</f>
        <v>12.106713272000864</v>
      </c>
      <c r="H156" s="145">
        <f>NYJ!M$18</f>
        <v>6.1211542303236373</v>
      </c>
      <c r="I156" s="145">
        <f>NYJ!N$18</f>
        <v>92.735486589403109</v>
      </c>
      <c r="J156" s="145">
        <f>NYJ!O$18</f>
        <v>0.36726925381941822</v>
      </c>
      <c r="K156" s="145">
        <f t="shared" si="12"/>
        <v>11.47716418185682</v>
      </c>
      <c r="L156" s="145">
        <f t="shared" si="13"/>
        <v>14.537741297018638</v>
      </c>
      <c r="M156" s="145">
        <f t="shared" si="14"/>
        <v>17.598318412180458</v>
      </c>
      <c r="N15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11.477164181856821</v>
      </c>
      <c r="O156" s="190">
        <v>0</v>
      </c>
    </row>
    <row r="157" spans="1:15" x14ac:dyDescent="0.3">
      <c r="A157" s="196">
        <f>IF(TableWRMaster[[#This Row],[Player]]&lt;&gt;0,A156+1,A156)</f>
        <v>144</v>
      </c>
      <c r="B157" s="144" t="str">
        <f>NYJ!A$19</f>
        <v>Jeff Smith</v>
      </c>
      <c r="C157" s="144" t="s">
        <v>161</v>
      </c>
      <c r="D157" s="144">
        <f>NYJ!C$19</f>
        <v>10</v>
      </c>
      <c r="E157" s="145">
        <f>NYJ!J$19</f>
        <v>0</v>
      </c>
      <c r="F157" s="145">
        <f>NYJ!K$19</f>
        <v>0</v>
      </c>
      <c r="G157" s="145">
        <f>NYJ!L$19</f>
        <v>4.0011632209207528</v>
      </c>
      <c r="H157" s="145">
        <f>NYJ!M$19</f>
        <v>2.2926665255875913</v>
      </c>
      <c r="I157" s="145">
        <f>NYJ!N$19</f>
        <v>31.226118078502992</v>
      </c>
      <c r="J157" s="145">
        <f>NYJ!O$19</f>
        <v>0.1329746584840803</v>
      </c>
      <c r="K157" s="145">
        <f t="shared" si="12"/>
        <v>3.9204597587547809</v>
      </c>
      <c r="L157" s="145">
        <f t="shared" si="13"/>
        <v>5.0667930215485768</v>
      </c>
      <c r="M157" s="145">
        <f t="shared" si="14"/>
        <v>6.2131262843423727</v>
      </c>
      <c r="N15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3.9204597587547814</v>
      </c>
      <c r="O157" s="190">
        <v>0</v>
      </c>
    </row>
    <row r="158" spans="1:15" x14ac:dyDescent="0.3">
      <c r="A158" s="196">
        <f>IF(TableWRMaster[[#This Row],[Player]]&lt;&gt;0,A157+1,A157)</f>
        <v>144</v>
      </c>
      <c r="B158" s="144">
        <f>NYJ!A$21</f>
        <v>0</v>
      </c>
      <c r="C158" s="144" t="s">
        <v>161</v>
      </c>
      <c r="D158" s="144">
        <f>NYJ!C$21</f>
        <v>10</v>
      </c>
      <c r="E158" s="145">
        <f>NYJ!J$21</f>
        <v>0</v>
      </c>
      <c r="F158" s="145">
        <f>NYJ!K$21</f>
        <v>0</v>
      </c>
      <c r="G158" s="145">
        <f>NYJ!L$21</f>
        <v>0</v>
      </c>
      <c r="H158" s="145">
        <f>NYJ!M$21</f>
        <v>0</v>
      </c>
      <c r="I158" s="145">
        <f>NYJ!N$21</f>
        <v>0</v>
      </c>
      <c r="J158" s="145">
        <f>NYJ!O$21</f>
        <v>0</v>
      </c>
      <c r="K158" s="145">
        <f t="shared" si="12"/>
        <v>0</v>
      </c>
      <c r="L158" s="145">
        <f t="shared" si="13"/>
        <v>0</v>
      </c>
      <c r="M158" s="145">
        <f t="shared" si="14"/>
        <v>0</v>
      </c>
      <c r="N15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58" s="190">
        <v>0</v>
      </c>
    </row>
    <row r="159" spans="1:15" x14ac:dyDescent="0.3">
      <c r="A159" s="196">
        <f>IF(TableWRMaster[[#This Row],[Player]]&lt;&gt;0,A158+1,A158)</f>
        <v>145</v>
      </c>
      <c r="B159" s="144" t="str">
        <f>NYJ!A$20</f>
        <v>Braxton Berrios</v>
      </c>
      <c r="C159" s="144" t="s">
        <v>161</v>
      </c>
      <c r="D159" s="144">
        <f>NYJ!C$20</f>
        <v>10</v>
      </c>
      <c r="E159" s="145">
        <f>NYJ!J$20</f>
        <v>54.933532225702571</v>
      </c>
      <c r="F159" s="145">
        <f>NYJ!K$20</f>
        <v>0.6138443912871816</v>
      </c>
      <c r="G159" s="145">
        <f>NYJ!L$20</f>
        <v>42.978832115603055</v>
      </c>
      <c r="H159" s="145">
        <f>NYJ!M$20</f>
        <v>27.134872061922657</v>
      </c>
      <c r="I159" s="145">
        <f>NYJ!N$20</f>
        <v>276.65882215180739</v>
      </c>
      <c r="J159" s="145">
        <f>NYJ!O$20</f>
        <v>1.4641643052148567</v>
      </c>
      <c r="K159" s="145">
        <f t="shared" si="12"/>
        <v>45.627287616763226</v>
      </c>
      <c r="L159" s="145">
        <f t="shared" si="13"/>
        <v>59.194723647724558</v>
      </c>
      <c r="M159" s="145">
        <f t="shared" si="14"/>
        <v>72.76215967868589</v>
      </c>
      <c r="N15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45.627287616763233</v>
      </c>
      <c r="O159" s="190">
        <v>0</v>
      </c>
    </row>
    <row r="160" spans="1:15" x14ac:dyDescent="0.3">
      <c r="A160" s="196">
        <f>IF(TableWRMaster[[#This Row],[Player]]&lt;&gt;0,A159+1,A159)</f>
        <v>146</v>
      </c>
      <c r="B160" s="144" t="str">
        <f>PHI!A$15</f>
        <v>A.J. Brown</v>
      </c>
      <c r="C160" s="144" t="s">
        <v>163</v>
      </c>
      <c r="D160" s="144">
        <f>PHI!C$15</f>
        <v>7</v>
      </c>
      <c r="E160" s="145">
        <f>PHI!J$15</f>
        <v>6.0973502029220494</v>
      </c>
      <c r="F160" s="145">
        <f>PHI!K$15</f>
        <v>0</v>
      </c>
      <c r="G160" s="145">
        <f>PHI!L$15</f>
        <v>131.95235836620279</v>
      </c>
      <c r="H160" s="145">
        <f>PHI!M$15</f>
        <v>80.266619594161156</v>
      </c>
      <c r="I160" s="145">
        <f>PHI!N$15</f>
        <v>1158.2473207437454</v>
      </c>
      <c r="J160" s="145">
        <f>PHI!O$15</f>
        <v>8.829328155357727</v>
      </c>
      <c r="K160" s="145">
        <f t="shared" si="12"/>
        <v>169.4104360268131</v>
      </c>
      <c r="L160" s="145">
        <f t="shared" si="13"/>
        <v>209.54374582389369</v>
      </c>
      <c r="M160" s="145">
        <f t="shared" si="14"/>
        <v>249.67705562097427</v>
      </c>
      <c r="N16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169.4104360268131</v>
      </c>
      <c r="O160" s="190">
        <v>13.438851651696702</v>
      </c>
    </row>
    <row r="161" spans="1:15" x14ac:dyDescent="0.3">
      <c r="A161" s="196">
        <f>IF(TableWRMaster[[#This Row],[Player]]&lt;&gt;0,A160+1,A160)</f>
        <v>147</v>
      </c>
      <c r="B161" s="144" t="str">
        <f>PHI!A$16</f>
        <v>DeVonta Smith</v>
      </c>
      <c r="C161" s="144" t="s">
        <v>163</v>
      </c>
      <c r="D161" s="144">
        <f>PHI!C$16</f>
        <v>7</v>
      </c>
      <c r="E161" s="145">
        <f>PHI!J$16</f>
        <v>0</v>
      </c>
      <c r="F161" s="145">
        <f>PHI!K$16</f>
        <v>0</v>
      </c>
      <c r="G161" s="145">
        <f>PHI!L$16</f>
        <v>116.2867815738682</v>
      </c>
      <c r="H161" s="145">
        <f>PHI!M$16</f>
        <v>69.795326300635693</v>
      </c>
      <c r="I161" s="145">
        <f>PHI!N$16</f>
        <v>995.28135304706495</v>
      </c>
      <c r="J161" s="145">
        <f>PHI!O$16</f>
        <v>7.0493279563642055</v>
      </c>
      <c r="K161" s="145">
        <f t="shared" si="12"/>
        <v>141.82410304289172</v>
      </c>
      <c r="L161" s="145">
        <f t="shared" si="13"/>
        <v>176.72176619320956</v>
      </c>
      <c r="M161" s="145">
        <f t="shared" si="14"/>
        <v>211.61942934352743</v>
      </c>
      <c r="N16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141.82410304289172</v>
      </c>
      <c r="O161" s="190">
        <v>4.3234228044126111</v>
      </c>
    </row>
    <row r="162" spans="1:15" x14ac:dyDescent="0.3">
      <c r="A162" s="196">
        <f>IF(TableWRMaster[[#This Row],[Player]]&lt;&gt;0,A161+1,A161)</f>
        <v>148</v>
      </c>
      <c r="B162" s="144" t="str">
        <f>PHI!A$17</f>
        <v>Quez Watkins</v>
      </c>
      <c r="C162" s="144" t="s">
        <v>163</v>
      </c>
      <c r="D162" s="144">
        <f>PHI!C$17</f>
        <v>7</v>
      </c>
      <c r="E162" s="145">
        <f>PHI!J$17</f>
        <v>10.950343221574292</v>
      </c>
      <c r="F162" s="145">
        <f>PHI!K$17</f>
        <v>0</v>
      </c>
      <c r="G162" s="145">
        <f>PHI!L$17</f>
        <v>31.933675768989708</v>
      </c>
      <c r="H162" s="145">
        <f>PHI!M$17</f>
        <v>19.11549831531724</v>
      </c>
      <c r="I162" s="145">
        <f>PHI!N$17</f>
        <v>259.4622265535088</v>
      </c>
      <c r="J162" s="145">
        <f>PHI!O$17</f>
        <v>1.1660453972343516</v>
      </c>
      <c r="K162" s="145">
        <f t="shared" si="12"/>
        <v>34.037529360914419</v>
      </c>
      <c r="L162" s="145">
        <f t="shared" si="13"/>
        <v>43.595278518573039</v>
      </c>
      <c r="M162" s="145">
        <f t="shared" si="14"/>
        <v>53.153027676231659</v>
      </c>
      <c r="N16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34.037529360914419</v>
      </c>
      <c r="O162" s="190">
        <v>0</v>
      </c>
    </row>
    <row r="163" spans="1:15" x14ac:dyDescent="0.3">
      <c r="A163" s="196">
        <f>IF(TableWRMaster[[#This Row],[Player]]&lt;&gt;0,A162+1,A162)</f>
        <v>149</v>
      </c>
      <c r="B163" s="144" t="str">
        <f>PHI!A$18</f>
        <v>Jalen Reagor</v>
      </c>
      <c r="C163" s="144" t="s">
        <v>163</v>
      </c>
      <c r="D163" s="144">
        <f>PHI!C$18</f>
        <v>7</v>
      </c>
      <c r="E163" s="145">
        <f>PHI!J$18</f>
        <v>37.244440096651473</v>
      </c>
      <c r="F163" s="145">
        <f>PHI!K$18</f>
        <v>9.9548574741584475E-2</v>
      </c>
      <c r="G163" s="145">
        <f>PHI!L$18</f>
        <v>25.908453925784105</v>
      </c>
      <c r="H163" s="145">
        <f>PHI!M$18</f>
        <v>15.109810329517291</v>
      </c>
      <c r="I163" s="145">
        <f>PHI!N$18</f>
        <v>159.25740087311223</v>
      </c>
      <c r="J163" s="145">
        <f>PHI!O$18</f>
        <v>0.86184033533362092</v>
      </c>
      <c r="K163" s="145">
        <f t="shared" si="12"/>
        <v>25.418517557427606</v>
      </c>
      <c r="L163" s="145">
        <f t="shared" si="13"/>
        <v>32.97342272218625</v>
      </c>
      <c r="M163" s="145">
        <f t="shared" si="14"/>
        <v>40.528327886944894</v>
      </c>
      <c r="N16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25.418517557427606</v>
      </c>
      <c r="O163" s="190">
        <v>0</v>
      </c>
    </row>
    <row r="164" spans="1:15" x14ac:dyDescent="0.3">
      <c r="A164" s="196">
        <f>IF(TableWRMaster[[#This Row],[Player]]&lt;&gt;0,A163+1,A163)</f>
        <v>150</v>
      </c>
      <c r="B164" s="144" t="str">
        <f>PHI!A$19</f>
        <v>Greg Ward</v>
      </c>
      <c r="C164" s="144" t="s">
        <v>163</v>
      </c>
      <c r="D164" s="144">
        <f>PHI!C$19</f>
        <v>7</v>
      </c>
      <c r="E164" s="145">
        <f>PHI!J$19</f>
        <v>0</v>
      </c>
      <c r="F164" s="145">
        <f>PHI!K$19</f>
        <v>0</v>
      </c>
      <c r="G164" s="145">
        <f>PHI!L$19</f>
        <v>14.460532423693452</v>
      </c>
      <c r="H164" s="145">
        <f>PHI!M$19</f>
        <v>9.2099131006503594</v>
      </c>
      <c r="I164" s="145">
        <f>PHI!N$19</f>
        <v>96.969758127039839</v>
      </c>
      <c r="J164" s="145">
        <f>PHI!O$19</f>
        <v>0.35918661092536402</v>
      </c>
      <c r="K164" s="145">
        <f t="shared" si="12"/>
        <v>11.852095478256167</v>
      </c>
      <c r="L164" s="145">
        <f t="shared" si="13"/>
        <v>16.457052028581348</v>
      </c>
      <c r="M164" s="145">
        <f t="shared" si="14"/>
        <v>21.062008578906529</v>
      </c>
      <c r="N16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11.852095478256167</v>
      </c>
      <c r="O164" s="190">
        <v>0</v>
      </c>
    </row>
    <row r="165" spans="1:15" x14ac:dyDescent="0.3">
      <c r="A165" s="196">
        <f>IF(TableWRMaster[[#This Row],[Player]]&lt;&gt;0,A164+1,A164)</f>
        <v>151</v>
      </c>
      <c r="B165" s="144" t="str">
        <f>PHI!A$20</f>
        <v>Zach Pascal</v>
      </c>
      <c r="C165" s="144" t="s">
        <v>163</v>
      </c>
      <c r="D165" s="144">
        <f>PHI!C$20</f>
        <v>7</v>
      </c>
      <c r="E165" s="145">
        <f>PHI!J$20</f>
        <v>0</v>
      </c>
      <c r="F165" s="145">
        <f>PHI!K$20</f>
        <v>0</v>
      </c>
      <c r="G165" s="145">
        <f>PHI!L$20</f>
        <v>25.305931741463546</v>
      </c>
      <c r="H165" s="145">
        <f>PHI!M$20</f>
        <v>14.598992021650318</v>
      </c>
      <c r="I165" s="145">
        <f>PHI!N$20</f>
        <v>161.17287191901949</v>
      </c>
      <c r="J165" s="145">
        <f>PHI!O$20</f>
        <v>1.278140153820293</v>
      </c>
      <c r="K165" s="145">
        <f t="shared" si="12"/>
        <v>23.786128114823704</v>
      </c>
      <c r="L165" s="145">
        <f t="shared" si="13"/>
        <v>31.085624125648863</v>
      </c>
      <c r="M165" s="145">
        <f t="shared" si="14"/>
        <v>38.385120136474022</v>
      </c>
      <c r="N16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23.786128114823704</v>
      </c>
      <c r="O165" s="190">
        <v>0</v>
      </c>
    </row>
    <row r="166" spans="1:15" x14ac:dyDescent="0.3">
      <c r="A166" s="196">
        <f>IF(TableWRMaster[[#This Row],[Player]]&lt;&gt;0,A165+1,A165)</f>
        <v>152</v>
      </c>
      <c r="B166" s="144" t="str">
        <f>PIT!A$15</f>
        <v>Diontae Johnson</v>
      </c>
      <c r="C166" s="144" t="s">
        <v>164</v>
      </c>
      <c r="D166" s="144">
        <f>PIT!C$15</f>
        <v>9</v>
      </c>
      <c r="E166" s="145">
        <f>PIT!J$15</f>
        <v>46.001830129884716</v>
      </c>
      <c r="F166" s="145">
        <f>PIT!K$15</f>
        <v>0</v>
      </c>
      <c r="G166" s="145">
        <f>PIT!L$15</f>
        <v>158.35199556428987</v>
      </c>
      <c r="H166" s="145">
        <f>PIT!M$15</f>
        <v>100.58518758243692</v>
      </c>
      <c r="I166" s="145">
        <f>PIT!N$15</f>
        <v>1066.2029883738312</v>
      </c>
      <c r="J166" s="145">
        <f>PIT!O$15</f>
        <v>6.6010038950483434</v>
      </c>
      <c r="K166" s="145">
        <f t="shared" si="12"/>
        <v>150.82650522066166</v>
      </c>
      <c r="L166" s="145">
        <f t="shared" si="13"/>
        <v>201.11909901188011</v>
      </c>
      <c r="M166" s="145">
        <f t="shared" si="14"/>
        <v>251.41169280309856</v>
      </c>
      <c r="N16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150.82650522066166</v>
      </c>
      <c r="O166" s="190">
        <v>22.135822917322109</v>
      </c>
    </row>
    <row r="167" spans="1:15" x14ac:dyDescent="0.3">
      <c r="A167" s="196">
        <f>IF(TableWRMaster[[#This Row],[Player]]&lt;&gt;0,A166+1,A166)</f>
        <v>153</v>
      </c>
      <c r="B167" s="144" t="str">
        <f>PIT!A$16</f>
        <v>Chase Claypool</v>
      </c>
      <c r="C167" s="144" t="s">
        <v>164</v>
      </c>
      <c r="D167" s="144">
        <f>PIT!C$16</f>
        <v>9</v>
      </c>
      <c r="E167" s="145">
        <f>PIT!J$16</f>
        <v>97.468731355937607</v>
      </c>
      <c r="F167" s="145">
        <f>PIT!K$16</f>
        <v>0.46371939895209363</v>
      </c>
      <c r="G167" s="145">
        <f>PIT!L$16</f>
        <v>102.26899713527055</v>
      </c>
      <c r="H167" s="145">
        <f>PIT!M$16</f>
        <v>54.632098269661533</v>
      </c>
      <c r="I167" s="145">
        <f>PIT!N$16</f>
        <v>760.47880791368857</v>
      </c>
      <c r="J167" s="145">
        <f>PIT!O$16</f>
        <v>3.0593975031010459</v>
      </c>
      <c r="K167" s="145">
        <f t="shared" si="12"/>
        <v>106.93345533928145</v>
      </c>
      <c r="L167" s="145">
        <f t="shared" si="13"/>
        <v>134.24950447411223</v>
      </c>
      <c r="M167" s="145">
        <f t="shared" si="14"/>
        <v>161.56555360894299</v>
      </c>
      <c r="N16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106.93345533928145</v>
      </c>
      <c r="O167" s="190">
        <v>17.214001644707764</v>
      </c>
    </row>
    <row r="168" spans="1:15" x14ac:dyDescent="0.3">
      <c r="A168" s="196">
        <f>IF(TableWRMaster[[#This Row],[Player]]&lt;&gt;0,A167+1,A167)</f>
        <v>154</v>
      </c>
      <c r="B168" s="144" t="str">
        <f>PIT!A$17</f>
        <v>George Pickens</v>
      </c>
      <c r="C168" s="144" t="s">
        <v>164</v>
      </c>
      <c r="D168" s="144">
        <f>PIT!C$17</f>
        <v>9</v>
      </c>
      <c r="E168" s="145">
        <f>PIT!J$17</f>
        <v>0</v>
      </c>
      <c r="F168" s="145">
        <f>PIT!K$17</f>
        <v>0</v>
      </c>
      <c r="G168" s="145">
        <f>PIT!L$17</f>
        <v>96.990597283127542</v>
      </c>
      <c r="H168" s="145">
        <f>PIT!M$17</f>
        <v>57.418433591611503</v>
      </c>
      <c r="I168" s="145">
        <f>PIT!N$17</f>
        <v>752.75566438602675</v>
      </c>
      <c r="J168" s="145">
        <f>PIT!O$17</f>
        <v>3.5599428826799131</v>
      </c>
      <c r="K168" s="145">
        <f t="shared" si="12"/>
        <v>96.635223734682157</v>
      </c>
      <c r="L168" s="145">
        <f t="shared" si="13"/>
        <v>125.3444405304879</v>
      </c>
      <c r="M168" s="145">
        <f t="shared" si="14"/>
        <v>154.05365732629366</v>
      </c>
      <c r="N16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96.635223734682157</v>
      </c>
      <c r="O168" s="190">
        <v>17.136851372552155</v>
      </c>
    </row>
    <row r="169" spans="1:15" x14ac:dyDescent="0.3">
      <c r="A169" s="196">
        <f>IF(TableWRMaster[[#This Row],[Player]]&lt;&gt;0,A168+1,A168)</f>
        <v>155</v>
      </c>
      <c r="B169" s="144" t="str">
        <f>PIT!A$18</f>
        <v>Calvin Austin</v>
      </c>
      <c r="C169" s="144" t="s">
        <v>164</v>
      </c>
      <c r="D169" s="144">
        <f>PIT!C$18</f>
        <v>9</v>
      </c>
      <c r="E169" s="145">
        <f>PIT!J$18</f>
        <v>0</v>
      </c>
      <c r="F169" s="145">
        <f>PIT!K$18</f>
        <v>0</v>
      </c>
      <c r="G169" s="145">
        <f>PIT!L$18</f>
        <v>44.86639874321547</v>
      </c>
      <c r="H169" s="145">
        <f>PIT!M$18</f>
        <v>29.194565662210305</v>
      </c>
      <c r="I169" s="145">
        <f>PIT!N$18</f>
        <v>310.99609191978112</v>
      </c>
      <c r="J169" s="145">
        <f>PIT!O$18</f>
        <v>1.255366323475043</v>
      </c>
      <c r="K169" s="145">
        <f t="shared" si="12"/>
        <v>38.631807132828371</v>
      </c>
      <c r="L169" s="145">
        <f t="shared" si="13"/>
        <v>53.229089963933525</v>
      </c>
      <c r="M169" s="145">
        <f t="shared" si="14"/>
        <v>67.826372795038679</v>
      </c>
      <c r="N16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38.631807132828371</v>
      </c>
      <c r="O169" s="190">
        <v>0</v>
      </c>
    </row>
    <row r="170" spans="1:15" x14ac:dyDescent="0.3">
      <c r="A170" s="196">
        <f>IF(TableWRMaster[[#This Row],[Player]]&lt;&gt;0,A169+1,A169)</f>
        <v>156</v>
      </c>
      <c r="B170" s="144" t="str">
        <f>PIT!A$19</f>
        <v>Miles Boykin</v>
      </c>
      <c r="C170" s="144" t="s">
        <v>164</v>
      </c>
      <c r="D170" s="144">
        <f>PIT!C$19</f>
        <v>9</v>
      </c>
      <c r="E170" s="145">
        <f>PIT!J$19</f>
        <v>0</v>
      </c>
      <c r="F170" s="145">
        <f>PIT!K$19</f>
        <v>0</v>
      </c>
      <c r="G170" s="145">
        <f>PIT!L$19</f>
        <v>23.752799334643477</v>
      </c>
      <c r="H170" s="145">
        <f>PIT!M$19</f>
        <v>13.900138170633364</v>
      </c>
      <c r="I170" s="145">
        <f>PIT!N$19</f>
        <v>172.22271193414738</v>
      </c>
      <c r="J170" s="145">
        <f>PIT!O$19</f>
        <v>0.52125518139875116</v>
      </c>
      <c r="K170" s="145">
        <f t="shared" si="12"/>
        <v>20.349802281807243</v>
      </c>
      <c r="L170" s="145">
        <f t="shared" si="13"/>
        <v>27.299871367123924</v>
      </c>
      <c r="M170" s="145">
        <f t="shared" si="14"/>
        <v>34.249940452440605</v>
      </c>
      <c r="N17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20.349802281807243</v>
      </c>
      <c r="O170" s="190">
        <v>0</v>
      </c>
    </row>
    <row r="171" spans="1:15" x14ac:dyDescent="0.3">
      <c r="A171" s="196">
        <f>IF(TableWRMaster[[#This Row],[Player]]&lt;&gt;0,A170+1,A170)</f>
        <v>156</v>
      </c>
      <c r="B171" s="144">
        <f>PIT!A$20</f>
        <v>0</v>
      </c>
      <c r="C171" s="144" t="s">
        <v>164</v>
      </c>
      <c r="D171" s="144">
        <f>PIT!C$20</f>
        <v>9</v>
      </c>
      <c r="E171" s="145">
        <f>PIT!J$20</f>
        <v>0</v>
      </c>
      <c r="F171" s="145">
        <f>PIT!K$20</f>
        <v>0</v>
      </c>
      <c r="G171" s="145">
        <f>PIT!L$20</f>
        <v>0</v>
      </c>
      <c r="H171" s="145">
        <f>PIT!M$20</f>
        <v>0</v>
      </c>
      <c r="I171" s="145">
        <f>PIT!N$20</f>
        <v>0</v>
      </c>
      <c r="J171" s="145">
        <f>PIT!O$20</f>
        <v>0</v>
      </c>
      <c r="K171" s="145">
        <f t="shared" si="12"/>
        <v>0</v>
      </c>
      <c r="L171" s="145">
        <f t="shared" si="13"/>
        <v>0</v>
      </c>
      <c r="M171" s="145">
        <f t="shared" si="14"/>
        <v>0</v>
      </c>
      <c r="N17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71" s="190">
        <v>0</v>
      </c>
    </row>
    <row r="172" spans="1:15" x14ac:dyDescent="0.3">
      <c r="A172" s="196">
        <f>IF(TableWRMaster[[#This Row],[Player]]&lt;&gt;0,A171+1,A171)</f>
        <v>157</v>
      </c>
      <c r="B172" s="144" t="str">
        <f>SEA!A$15</f>
        <v>DK Metcalf</v>
      </c>
      <c r="C172" s="144" t="s">
        <v>165</v>
      </c>
      <c r="D172" s="144">
        <f>SEA!C$15</f>
        <v>11</v>
      </c>
      <c r="E172" s="145">
        <f>SEA!J$15</f>
        <v>2.1261463131328147</v>
      </c>
      <c r="F172" s="145">
        <f>SEA!K$15</f>
        <v>0</v>
      </c>
      <c r="G172" s="145">
        <f>SEA!L$15</f>
        <v>135.78543679376551</v>
      </c>
      <c r="H172" s="145">
        <f>SEA!M$15</f>
        <v>77.886526544903901</v>
      </c>
      <c r="I172" s="145">
        <f>SEA!N$15</f>
        <v>1122.3448475120651</v>
      </c>
      <c r="J172" s="145">
        <f>SEA!O$15</f>
        <v>6.308808650137216</v>
      </c>
      <c r="K172" s="145">
        <f t="shared" si="12"/>
        <v>150.29995128334309</v>
      </c>
      <c r="L172" s="145">
        <f t="shared" ref="L172:L202" si="15">K172+(H172*0.5)</f>
        <v>189.24321455579505</v>
      </c>
      <c r="M172" s="145">
        <f t="shared" ref="M172:M202" si="16">K172+H172</f>
        <v>228.18647782824701</v>
      </c>
      <c r="N17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150.29995128334309</v>
      </c>
      <c r="O172" s="190">
        <v>31.727876732978672</v>
      </c>
    </row>
    <row r="173" spans="1:15" x14ac:dyDescent="0.3">
      <c r="A173" s="196">
        <f>IF(TableWRMaster[[#This Row],[Player]]&lt;&gt;0,A172+1,A172)</f>
        <v>158</v>
      </c>
      <c r="B173" s="144" t="str">
        <f>SEA!A$16</f>
        <v>Tyler Lockett</v>
      </c>
      <c r="C173" s="144" t="s">
        <v>165</v>
      </c>
      <c r="D173" s="144">
        <f>SEA!C$16</f>
        <v>11</v>
      </c>
      <c r="E173" s="145">
        <f>SEA!J$16</f>
        <v>6.5535333416564399</v>
      </c>
      <c r="F173" s="145">
        <f>SEA!K$16</f>
        <v>0</v>
      </c>
      <c r="G173" s="145">
        <f>SEA!L$16</f>
        <v>123.28217373724937</v>
      </c>
      <c r="H173" s="145">
        <f>SEA!M$16</f>
        <v>80.996388145372833</v>
      </c>
      <c r="I173" s="145">
        <f>SEA!N$16</f>
        <v>1047.2832987196707</v>
      </c>
      <c r="J173" s="145">
        <f>SEA!O$16</f>
        <v>5.0780803335474474</v>
      </c>
      <c r="K173" s="145">
        <f t="shared" si="12"/>
        <v>135.85216520741739</v>
      </c>
      <c r="L173" s="145">
        <f t="shared" si="15"/>
        <v>176.35035928010382</v>
      </c>
      <c r="M173" s="145">
        <f t="shared" si="16"/>
        <v>216.84855335279022</v>
      </c>
      <c r="N17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135.85216520741739</v>
      </c>
      <c r="O173" s="190">
        <v>21.416504209580044</v>
      </c>
    </row>
    <row r="174" spans="1:15" x14ac:dyDescent="0.3">
      <c r="A174" s="196">
        <f>IF(TableWRMaster[[#This Row],[Player]]&lt;&gt;0,A173+1,A173)</f>
        <v>159</v>
      </c>
      <c r="B174" s="144" t="str">
        <f>SEA!A$17</f>
        <v>Freddie Swain</v>
      </c>
      <c r="C174" s="144" t="s">
        <v>165</v>
      </c>
      <c r="D174" s="144">
        <f>SEA!C$17</f>
        <v>11</v>
      </c>
      <c r="E174" s="145">
        <f>SEA!J$17</f>
        <v>8.0710181612257408</v>
      </c>
      <c r="F174" s="145">
        <f>SEA!K$17</f>
        <v>3.335131471580885E-2</v>
      </c>
      <c r="G174" s="145">
        <f>SEA!L$17</f>
        <v>24.506395590771682</v>
      </c>
      <c r="H174" s="145">
        <f>SEA!M$17</f>
        <v>14.934197473016264</v>
      </c>
      <c r="I174" s="145">
        <f>SEA!N$17</f>
        <v>194.29390912394157</v>
      </c>
      <c r="J174" s="145">
        <f>SEA!O$17</f>
        <v>0.88111765090795946</v>
      </c>
      <c r="K174" s="145">
        <f t="shared" si="12"/>
        <v>25.723306522259342</v>
      </c>
      <c r="L174" s="145">
        <f t="shared" si="15"/>
        <v>33.190405258767477</v>
      </c>
      <c r="M174" s="145">
        <f t="shared" si="16"/>
        <v>40.657503995275604</v>
      </c>
      <c r="N17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25.723306522259342</v>
      </c>
      <c r="O174" s="190">
        <v>0</v>
      </c>
    </row>
    <row r="175" spans="1:15" x14ac:dyDescent="0.3">
      <c r="A175" s="196">
        <f>IF(TableWRMaster[[#This Row],[Player]]&lt;&gt;0,A174+1,A174)</f>
        <v>160</v>
      </c>
      <c r="B175" s="144" t="str">
        <f>SEA!A$18</f>
        <v>Dee Eskridge</v>
      </c>
      <c r="C175" s="144" t="s">
        <v>165</v>
      </c>
      <c r="D175" s="144">
        <f>SEA!C$18</f>
        <v>11</v>
      </c>
      <c r="E175" s="145">
        <f>SEA!J$18</f>
        <v>37.673645102977673</v>
      </c>
      <c r="F175" s="145">
        <f>SEA!K$18</f>
        <v>0.10005394414742655</v>
      </c>
      <c r="G175" s="145">
        <f>SEA!L$18</f>
        <v>52.372431568379447</v>
      </c>
      <c r="H175" s="145">
        <f>SEA!M$18</f>
        <v>29.224937081071637</v>
      </c>
      <c r="I175" s="145">
        <f>SEA!N$18</f>
        <v>342.22401321934888</v>
      </c>
      <c r="J175" s="145">
        <f>SEA!O$18</f>
        <v>1.7827211619453698</v>
      </c>
      <c r="K175" s="145">
        <f t="shared" si="12"/>
        <v>49.28641646878944</v>
      </c>
      <c r="L175" s="145">
        <f t="shared" si="15"/>
        <v>63.898885009325255</v>
      </c>
      <c r="M175" s="145">
        <f t="shared" si="16"/>
        <v>78.51135354986107</v>
      </c>
      <c r="N17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49.28641646878944</v>
      </c>
      <c r="O175" s="190">
        <v>0</v>
      </c>
    </row>
    <row r="176" spans="1:15" x14ac:dyDescent="0.3">
      <c r="A176" s="196">
        <f>IF(TableWRMaster[[#This Row],[Player]]&lt;&gt;0,A175+1,A175)</f>
        <v>161</v>
      </c>
      <c r="B176" s="144" t="str">
        <f>SEA!A$19</f>
        <v>Penny Hart</v>
      </c>
      <c r="C176" s="144" t="s">
        <v>165</v>
      </c>
      <c r="D176" s="144">
        <f>SEA!C$19</f>
        <v>11</v>
      </c>
      <c r="E176" s="145">
        <f>SEA!J$19</f>
        <v>0</v>
      </c>
      <c r="F176" s="145">
        <f>SEA!K$19</f>
        <v>0</v>
      </c>
      <c r="G176" s="145">
        <f>SEA!L$19</f>
        <v>8.0020883561703435</v>
      </c>
      <c r="H176" s="145">
        <f>SEA!M$19</f>
        <v>4.8564674233597813</v>
      </c>
      <c r="I176" s="145">
        <f>SEA!N$19</f>
        <v>57.741440511927699</v>
      </c>
      <c r="J176" s="145">
        <f>SEA!O$19</f>
        <v>0.22256912558790376</v>
      </c>
      <c r="K176" s="145">
        <f t="shared" si="12"/>
        <v>7.1095588047201925</v>
      </c>
      <c r="L176" s="145">
        <f t="shared" si="15"/>
        <v>9.5377925164000832</v>
      </c>
      <c r="M176" s="145">
        <f t="shared" si="16"/>
        <v>11.966026228079974</v>
      </c>
      <c r="N17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7.1095588047201934</v>
      </c>
      <c r="O176" s="190">
        <v>0</v>
      </c>
    </row>
    <row r="177" spans="1:15" x14ac:dyDescent="0.3">
      <c r="A177" s="196">
        <f>IF(TableWRMaster[[#This Row],[Player]]&lt;&gt;0,A176+1,A176)</f>
        <v>162</v>
      </c>
      <c r="B177" s="144" t="str">
        <f>SF!A$15</f>
        <v>Deebo Samuel</v>
      </c>
      <c r="C177" s="144" t="s">
        <v>166</v>
      </c>
      <c r="D177" s="144">
        <f>SF!C$15</f>
        <v>9</v>
      </c>
      <c r="E177" s="145">
        <f>SF!J$15</f>
        <v>288.78783190619328</v>
      </c>
      <c r="F177" s="145">
        <f>SF!K$15</f>
        <v>4.9415172616344023</v>
      </c>
      <c r="G177" s="145">
        <f>SF!L$15</f>
        <v>106.87867361572312</v>
      </c>
      <c r="H177" s="145">
        <f>SF!M$15</f>
        <v>68.306160307808639</v>
      </c>
      <c r="I177" s="145">
        <f>SF!N$15</f>
        <v>1125.6855218726864</v>
      </c>
      <c r="J177" s="145">
        <f>SF!O$15</f>
        <v>5.6011051452403082</v>
      </c>
      <c r="K177" s="145">
        <f t="shared" si="12"/>
        <v>204.7030698191362</v>
      </c>
      <c r="L177" s="145">
        <f t="shared" si="15"/>
        <v>238.85614997304052</v>
      </c>
      <c r="M177" s="145">
        <f t="shared" si="16"/>
        <v>273.00923012694483</v>
      </c>
      <c r="N17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204.70306981913626</v>
      </c>
      <c r="O177" s="190">
        <v>15.964560639789411</v>
      </c>
    </row>
    <row r="178" spans="1:15" x14ac:dyDescent="0.3">
      <c r="A178" s="196">
        <f>IF(TableWRMaster[[#This Row],[Player]]&lt;&gt;0,A177+1,A177)</f>
        <v>163</v>
      </c>
      <c r="B178" s="144" t="str">
        <f>SF!A$16</f>
        <v>Brandon Aiyuk</v>
      </c>
      <c r="C178" s="144" t="s">
        <v>166</v>
      </c>
      <c r="D178" s="144">
        <f>SF!C$16</f>
        <v>9</v>
      </c>
      <c r="E178" s="145">
        <f>SF!J$16</f>
        <v>13.530911410964601</v>
      </c>
      <c r="F178" s="145">
        <f>SF!K$16</f>
        <v>4.9147067888334645E-2</v>
      </c>
      <c r="G178" s="145">
        <f>SF!L$16</f>
        <v>99.205332945876322</v>
      </c>
      <c r="H178" s="145">
        <f>SF!M$16</f>
        <v>60.249771112324581</v>
      </c>
      <c r="I178" s="145">
        <f>SF!N$16</f>
        <v>841.08680472805122</v>
      </c>
      <c r="J178" s="145">
        <f>SF!O$16</f>
        <v>5.4224794001092125</v>
      </c>
      <c r="K178" s="145">
        <f t="shared" si="12"/>
        <v>118.29153042188686</v>
      </c>
      <c r="L178" s="145">
        <f t="shared" si="15"/>
        <v>148.41641597804914</v>
      </c>
      <c r="M178" s="145">
        <f t="shared" si="16"/>
        <v>178.54130153421144</v>
      </c>
      <c r="N17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118.29153042188688</v>
      </c>
      <c r="O178" s="190">
        <v>13.457984816052479</v>
      </c>
    </row>
    <row r="179" spans="1:15" x14ac:dyDescent="0.3">
      <c r="A179" s="196">
        <f>IF(TableWRMaster[[#This Row],[Player]]&lt;&gt;0,A178+1,A178)</f>
        <v>164</v>
      </c>
      <c r="B179" s="144" t="str">
        <f>SF!A$17</f>
        <v>Jauan Jennings</v>
      </c>
      <c r="C179" s="144" t="s">
        <v>166</v>
      </c>
      <c r="D179" s="144">
        <f>SF!C$17</f>
        <v>9</v>
      </c>
      <c r="E179" s="145">
        <f>SF!J$17</f>
        <v>0</v>
      </c>
      <c r="F179" s="145">
        <f>SF!K$17</f>
        <v>0</v>
      </c>
      <c r="G179" s="145">
        <f>SF!L$17</f>
        <v>44.395756732684987</v>
      </c>
      <c r="H179" s="145">
        <f>SF!M$17</f>
        <v>25.682945269858266</v>
      </c>
      <c r="I179" s="145">
        <f>SF!N$17</f>
        <v>283.28288632653664</v>
      </c>
      <c r="J179" s="145">
        <f>SF!O$17</f>
        <v>2.4980036973935538</v>
      </c>
      <c r="K179" s="145">
        <f t="shared" si="12"/>
        <v>43.316310817014987</v>
      </c>
      <c r="L179" s="145">
        <f t="shared" si="15"/>
        <v>56.15778345194412</v>
      </c>
      <c r="M179" s="145">
        <f t="shared" si="16"/>
        <v>68.99925608687326</v>
      </c>
      <c r="N17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43.316310817014994</v>
      </c>
      <c r="O179" s="190">
        <v>0</v>
      </c>
    </row>
    <row r="180" spans="1:15" x14ac:dyDescent="0.3">
      <c r="A180" s="196">
        <f>IF(TableWRMaster[[#This Row],[Player]]&lt;&gt;0,A179+1,A179)</f>
        <v>165</v>
      </c>
      <c r="B180" s="144" t="str">
        <f>SF!A$19</f>
        <v>Ray-Ray McCloud</v>
      </c>
      <c r="C180" s="144" t="s">
        <v>166</v>
      </c>
      <c r="D180" s="144">
        <f>SF!C$19</f>
        <v>9</v>
      </c>
      <c r="E180" s="145">
        <f>SF!J$19</f>
        <v>0</v>
      </c>
      <c r="F180" s="145">
        <f>SF!K$19</f>
        <v>0</v>
      </c>
      <c r="G180" s="145">
        <f>SF!L$19</f>
        <v>21.375734723144621</v>
      </c>
      <c r="H180" s="145">
        <f>SF!M$19</f>
        <v>13.201653765014118</v>
      </c>
      <c r="I180" s="145">
        <f>SF!N$19</f>
        <v>146.27432371635643</v>
      </c>
      <c r="J180" s="145">
        <f>SF!O$19</f>
        <v>0.49467373225376432</v>
      </c>
      <c r="K180" s="145">
        <f t="shared" si="12"/>
        <v>17.59547476515823</v>
      </c>
      <c r="L180" s="145">
        <f t="shared" si="15"/>
        <v>24.196301647665287</v>
      </c>
      <c r="M180" s="145">
        <f t="shared" si="16"/>
        <v>30.797128530172348</v>
      </c>
      <c r="N18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17.59547476515823</v>
      </c>
      <c r="O180" s="190">
        <v>0</v>
      </c>
    </row>
    <row r="181" spans="1:15" x14ac:dyDescent="0.3">
      <c r="A181" s="196">
        <f>IF(TableWRMaster[[#This Row],[Player]]&lt;&gt;0,A180+1,A180)</f>
        <v>166</v>
      </c>
      <c r="B181" s="144" t="str">
        <f>SF!A$18</f>
        <v>Malik Turner</v>
      </c>
      <c r="C181" s="144" t="s">
        <v>166</v>
      </c>
      <c r="D181" s="144">
        <f>SF!C$18</f>
        <v>9</v>
      </c>
      <c r="E181" s="145">
        <f>SF!J$18</f>
        <v>0</v>
      </c>
      <c r="F181" s="145">
        <f>SF!K$18</f>
        <v>0</v>
      </c>
      <c r="G181" s="145">
        <f>SF!L$18</f>
        <v>23.020022009540362</v>
      </c>
      <c r="H181" s="145">
        <f>SF!M$18</f>
        <v>12.974084404576947</v>
      </c>
      <c r="I181" s="145">
        <f>SF!N$18</f>
        <v>169.05231979163761</v>
      </c>
      <c r="J181" s="145">
        <f>SF!O$18</f>
        <v>0.81088027528605922</v>
      </c>
      <c r="K181" s="145">
        <f t="shared" si="12"/>
        <v>21.770513630880117</v>
      </c>
      <c r="L181" s="145">
        <f t="shared" si="15"/>
        <v>28.257555833168592</v>
      </c>
      <c r="M181" s="145">
        <f t="shared" si="16"/>
        <v>34.744598035457066</v>
      </c>
      <c r="N18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21.770513630880117</v>
      </c>
      <c r="O181" s="190">
        <v>0</v>
      </c>
    </row>
    <row r="182" spans="1:15" x14ac:dyDescent="0.3">
      <c r="A182" s="196">
        <f>IF(TableWRMaster[[#This Row],[Player]]&lt;&gt;0,A181+1,A181)</f>
        <v>167</v>
      </c>
      <c r="B182" s="144" t="str">
        <f>SF!A$20</f>
        <v>Danny Gray</v>
      </c>
      <c r="C182" s="144" t="s">
        <v>166</v>
      </c>
      <c r="D182" s="144">
        <f>SF!C$20</f>
        <v>9</v>
      </c>
      <c r="E182" s="145">
        <f>SF!J$20</f>
        <v>0</v>
      </c>
      <c r="F182" s="145">
        <f>SF!K$20</f>
        <v>0</v>
      </c>
      <c r="G182" s="145">
        <f>SF!L$20</f>
        <v>16.990968626089316</v>
      </c>
      <c r="H182" s="145">
        <f>SF!M$20</f>
        <v>9.9957868427283447</v>
      </c>
      <c r="I182" s="145">
        <f>SF!N$20</f>
        <v>116.96073006970452</v>
      </c>
      <c r="J182" s="145">
        <f>SF!O$20</f>
        <v>0.78634950529885139</v>
      </c>
      <c r="K182" s="145">
        <f t="shared" si="12"/>
        <v>16.414170038763562</v>
      </c>
      <c r="L182" s="145">
        <f t="shared" si="15"/>
        <v>21.412063460127733</v>
      </c>
      <c r="M182" s="145">
        <f t="shared" si="16"/>
        <v>26.409956881491908</v>
      </c>
      <c r="N18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16.414170038763562</v>
      </c>
      <c r="O182" s="190">
        <v>0</v>
      </c>
    </row>
    <row r="183" spans="1:15" x14ac:dyDescent="0.3">
      <c r="A183" s="196">
        <f>IF(TableWRMaster[[#This Row],[Player]]&lt;&gt;0,A182+1,A182)</f>
        <v>168</v>
      </c>
      <c r="B183" s="144" t="str">
        <f>TB!A$15</f>
        <v>Mike Evans</v>
      </c>
      <c r="C183" s="144" t="s">
        <v>167</v>
      </c>
      <c r="D183" s="144">
        <f>TB!C$15</f>
        <v>11</v>
      </c>
      <c r="E183" s="145">
        <f>TB!J$15</f>
        <v>3.3751261084227284</v>
      </c>
      <c r="F183" s="145">
        <f>TB!K$15</f>
        <v>0</v>
      </c>
      <c r="G183" s="145">
        <f>TB!L$15</f>
        <v>126.62289123768598</v>
      </c>
      <c r="H183" s="145">
        <f>TB!M$15</f>
        <v>79.773471420797208</v>
      </c>
      <c r="I183" s="145">
        <f>TB!N$15</f>
        <v>1112.3789496999063</v>
      </c>
      <c r="J183" s="145">
        <f>TB!O$15</f>
        <v>11.248059470332405</v>
      </c>
      <c r="K183" s="145">
        <f t="shared" si="12"/>
        <v>179.06376440282733</v>
      </c>
      <c r="L183" s="145">
        <f t="shared" si="15"/>
        <v>218.95050011322593</v>
      </c>
      <c r="M183" s="145">
        <f t="shared" si="16"/>
        <v>258.83723582362455</v>
      </c>
      <c r="N18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179.06376440282733</v>
      </c>
      <c r="O183" s="190">
        <v>23.51121327206225</v>
      </c>
    </row>
    <row r="184" spans="1:15" x14ac:dyDescent="0.3">
      <c r="A184" s="196">
        <f>IF(TableWRMaster[[#This Row],[Player]]&lt;&gt;0,A183+1,A183)</f>
        <v>169</v>
      </c>
      <c r="B184" s="144" t="str">
        <f>TB!A$16</f>
        <v>Chris Godwin</v>
      </c>
      <c r="C184" s="144" t="s">
        <v>167</v>
      </c>
      <c r="D184" s="144">
        <f>TB!C$16</f>
        <v>11</v>
      </c>
      <c r="E184" s="145">
        <f>TB!J$16</f>
        <v>20.850529060470159</v>
      </c>
      <c r="F184" s="145">
        <f>TB!K$16</f>
        <v>0.30001120963757588</v>
      </c>
      <c r="G184" s="145">
        <f>TB!L$16</f>
        <v>107.52334898395679</v>
      </c>
      <c r="H184" s="145">
        <f>TB!M$16</f>
        <v>78.330759734812531</v>
      </c>
      <c r="I184" s="145">
        <f>TB!N$16</f>
        <v>916.46988889730653</v>
      </c>
      <c r="J184" s="145">
        <f>TB!O$16</f>
        <v>6.18813001905019</v>
      </c>
      <c r="K184" s="145">
        <f t="shared" si="12"/>
        <v>132.66088916790426</v>
      </c>
      <c r="L184" s="145">
        <f t="shared" si="15"/>
        <v>171.82626903531053</v>
      </c>
      <c r="M184" s="145">
        <f t="shared" si="16"/>
        <v>210.9916489027168</v>
      </c>
      <c r="N18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132.66088916790426</v>
      </c>
      <c r="O184" s="190">
        <v>19.275373656319033</v>
      </c>
    </row>
    <row r="185" spans="1:15" x14ac:dyDescent="0.3">
      <c r="A185" s="196">
        <f>IF(TableWRMaster[[#This Row],[Player]]&lt;&gt;0,A184+1,A184)</f>
        <v>170</v>
      </c>
      <c r="B185" s="144" t="str">
        <f>TB!A$17</f>
        <v>Russell Gage</v>
      </c>
      <c r="C185" s="144" t="s">
        <v>167</v>
      </c>
      <c r="D185" s="144">
        <f>TB!C$17</f>
        <v>11</v>
      </c>
      <c r="E185" s="145">
        <f>TB!J$17</f>
        <v>0.80002989236686917</v>
      </c>
      <c r="F185" s="145">
        <f>TB!K$17</f>
        <v>0</v>
      </c>
      <c r="G185" s="145">
        <f>TB!L$17</f>
        <v>109.64552034548227</v>
      </c>
      <c r="H185" s="145">
        <f>TB!M$17</f>
        <v>74.756395019731798</v>
      </c>
      <c r="I185" s="145">
        <f>TB!N$17</f>
        <v>866.42661827869154</v>
      </c>
      <c r="J185" s="145">
        <f>TB!O$17</f>
        <v>5.5319732314601531</v>
      </c>
      <c r="K185" s="145">
        <f t="shared" si="12"/>
        <v>119.91450420586676</v>
      </c>
      <c r="L185" s="145">
        <f t="shared" si="15"/>
        <v>157.29270171573268</v>
      </c>
      <c r="M185" s="145">
        <f t="shared" si="16"/>
        <v>194.67089922559856</v>
      </c>
      <c r="N18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119.91450420586676</v>
      </c>
      <c r="O185" s="190">
        <v>4.1742584762918025</v>
      </c>
    </row>
    <row r="186" spans="1:15" x14ac:dyDescent="0.3">
      <c r="A186" s="196">
        <f>IF(TableWRMaster[[#This Row],[Player]]&lt;&gt;0,A185+1,A185)</f>
        <v>171</v>
      </c>
      <c r="B186" s="144" t="str">
        <f>TB!A$18</f>
        <v>Breshad Perriman</v>
      </c>
      <c r="C186" s="144" t="s">
        <v>167</v>
      </c>
      <c r="D186" s="144">
        <f>TB!C$18</f>
        <v>11</v>
      </c>
      <c r="E186" s="145">
        <f>TB!J$18</f>
        <v>2.0000747309171722</v>
      </c>
      <c r="F186" s="145">
        <f>TB!K$18</f>
        <v>0</v>
      </c>
      <c r="G186" s="145">
        <f>TB!L$18</f>
        <v>18.741613421280483</v>
      </c>
      <c r="H186" s="145">
        <f>TB!M$18</f>
        <v>11.39864928282279</v>
      </c>
      <c r="I186" s="145">
        <f>TB!N$18</f>
        <v>182.43850005730869</v>
      </c>
      <c r="J186" s="145">
        <f>TB!O$18</f>
        <v>1.0018588690681425</v>
      </c>
      <c r="K186" s="145">
        <f t="shared" si="12"/>
        <v>24.455010693231443</v>
      </c>
      <c r="L186" s="145">
        <f t="shared" si="15"/>
        <v>30.154335334642838</v>
      </c>
      <c r="M186" s="145">
        <f t="shared" si="16"/>
        <v>35.853659976054232</v>
      </c>
      <c r="N18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24.455010693231443</v>
      </c>
      <c r="O186" s="190">
        <v>0</v>
      </c>
    </row>
    <row r="187" spans="1:15" x14ac:dyDescent="0.3">
      <c r="A187" s="196">
        <f>IF(TableWRMaster[[#This Row],[Player]]&lt;&gt;0,A186+1,A186)</f>
        <v>172</v>
      </c>
      <c r="B187" s="144" t="str">
        <f>TB!A$19</f>
        <v>Jaelon Darden</v>
      </c>
      <c r="C187" s="144" t="s">
        <v>167</v>
      </c>
      <c r="D187" s="144">
        <f>TB!C$19</f>
        <v>11</v>
      </c>
      <c r="E187" s="145">
        <f>TB!J$19</f>
        <v>0</v>
      </c>
      <c r="F187" s="145">
        <f>TB!K$19</f>
        <v>0</v>
      </c>
      <c r="G187" s="145">
        <f>TB!L$19</f>
        <v>7.7812949922600305</v>
      </c>
      <c r="H187" s="145">
        <f>TB!M$19</f>
        <v>4.7076834703173187</v>
      </c>
      <c r="I187" s="145">
        <f>TB!N$19</f>
        <v>55.255840328370965</v>
      </c>
      <c r="J187" s="145">
        <f>TB!O$19</f>
        <v>0.28531414971620123</v>
      </c>
      <c r="K187" s="145">
        <f t="shared" si="12"/>
        <v>7.2374689311343037</v>
      </c>
      <c r="L187" s="145">
        <f t="shared" si="15"/>
        <v>9.5913106662929621</v>
      </c>
      <c r="M187" s="145">
        <f t="shared" si="16"/>
        <v>11.945152401451622</v>
      </c>
      <c r="N18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7.2374689311343037</v>
      </c>
      <c r="O187" s="190">
        <v>0</v>
      </c>
    </row>
    <row r="188" spans="1:15" x14ac:dyDescent="0.3">
      <c r="A188" s="196">
        <f>IF(TableWRMaster[[#This Row],[Player]]&lt;&gt;0,A187+1,A187)</f>
        <v>173</v>
      </c>
      <c r="B188" s="144" t="str">
        <f>TB!A$20</f>
        <v>Tyler Johnson</v>
      </c>
      <c r="C188" s="144" t="s">
        <v>167</v>
      </c>
      <c r="D188" s="144">
        <f>TB!C$20</f>
        <v>11</v>
      </c>
      <c r="E188" s="145">
        <f>TB!J$20</f>
        <v>0</v>
      </c>
      <c r="F188" s="145">
        <f>TB!K$20</f>
        <v>0</v>
      </c>
      <c r="G188" s="145">
        <f>TB!L$20</f>
        <v>24.051275430621917</v>
      </c>
      <c r="H188" s="145">
        <f>TB!M$20</f>
        <v>17.422066076149395</v>
      </c>
      <c r="I188" s="145">
        <f>TB!N$20</f>
        <v>207.62906652306157</v>
      </c>
      <c r="J188" s="145">
        <f>TB!O$20</f>
        <v>1.4460314843203999</v>
      </c>
      <c r="K188" s="145">
        <f t="shared" si="12"/>
        <v>29.439095558228555</v>
      </c>
      <c r="L188" s="145">
        <f t="shared" si="15"/>
        <v>38.150128596303254</v>
      </c>
      <c r="M188" s="145">
        <f t="shared" si="16"/>
        <v>46.86116163437795</v>
      </c>
      <c r="N18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29.439095558228555</v>
      </c>
      <c r="O188" s="190">
        <v>0</v>
      </c>
    </row>
    <row r="189" spans="1:15" x14ac:dyDescent="0.3">
      <c r="A189" s="196">
        <f>IF(TableWRMaster[[#This Row],[Player]]&lt;&gt;0,A188+1,A188)</f>
        <v>174</v>
      </c>
      <c r="B189" s="144" t="str">
        <f>TEN!A$15</f>
        <v>Treylon Burks</v>
      </c>
      <c r="C189" s="144" t="s">
        <v>168</v>
      </c>
      <c r="D189" s="144">
        <f>TEN!C$15</f>
        <v>6</v>
      </c>
      <c r="E189" s="145">
        <f>TEN!J$15</f>
        <v>18.199628658585521</v>
      </c>
      <c r="F189" s="145">
        <f>TEN!K$15</f>
        <v>0</v>
      </c>
      <c r="G189" s="145">
        <f>TEN!L$15</f>
        <v>98.263115319262567</v>
      </c>
      <c r="H189" s="145">
        <f>TEN!M$15</f>
        <v>59.999458213941729</v>
      </c>
      <c r="I189" s="145">
        <f>TEN!N$15</f>
        <v>810.61390329330675</v>
      </c>
      <c r="J189" s="145">
        <f>TEN!O$15</f>
        <v>5.0676727947573985</v>
      </c>
      <c r="K189" s="145">
        <f t="shared" si="12"/>
        <v>113.28738996373363</v>
      </c>
      <c r="L189" s="145">
        <f t="shared" si="15"/>
        <v>143.28711907070451</v>
      </c>
      <c r="M189" s="145">
        <f t="shared" si="16"/>
        <v>173.28684817767535</v>
      </c>
      <c r="N18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113.28738996373363</v>
      </c>
      <c r="O189" s="190">
        <v>28.948651715259452</v>
      </c>
    </row>
    <row r="190" spans="1:15" x14ac:dyDescent="0.3">
      <c r="A190" s="196">
        <f>IF(TableWRMaster[[#This Row],[Player]]&lt;&gt;0,A189+1,A189)</f>
        <v>175</v>
      </c>
      <c r="B190" s="144" t="str">
        <f>TEN!A$16</f>
        <v>Robert Woods</v>
      </c>
      <c r="C190" s="144" t="s">
        <v>168</v>
      </c>
      <c r="D190" s="144">
        <f>TEN!C$16</f>
        <v>6</v>
      </c>
      <c r="E190" s="145">
        <f>TEN!J$16</f>
        <v>81.80833079993856</v>
      </c>
      <c r="F190" s="145">
        <f>TEN!K$16</f>
        <v>0.57498826805970749</v>
      </c>
      <c r="G190" s="145">
        <f>TEN!L$16</f>
        <v>105.43963497741098</v>
      </c>
      <c r="H190" s="145">
        <f>TEN!M$16</f>
        <v>72.584892944449663</v>
      </c>
      <c r="I190" s="145">
        <f>TEN!N$16</f>
        <v>826.48313472293728</v>
      </c>
      <c r="J190" s="145">
        <f>TEN!O$16</f>
        <v>4.4924392790375558</v>
      </c>
      <c r="K190" s="145">
        <f t="shared" si="12"/>
        <v>121.23371183487117</v>
      </c>
      <c r="L190" s="145">
        <f t="shared" si="15"/>
        <v>157.52615830709601</v>
      </c>
      <c r="M190" s="145">
        <f t="shared" si="16"/>
        <v>193.81860477932082</v>
      </c>
      <c r="N19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121.23371183487117</v>
      </c>
      <c r="O190" s="190">
        <v>21.847416721339776</v>
      </c>
    </row>
    <row r="191" spans="1:15" x14ac:dyDescent="0.3">
      <c r="A191" s="196">
        <f>IF(TableWRMaster[[#This Row],[Player]]&lt;&gt;0,A190+1,A190)</f>
        <v>176</v>
      </c>
      <c r="B191" s="144" t="str">
        <f>TEN!A$17</f>
        <v>Nick Westbrook-Ikhine</v>
      </c>
      <c r="C191" s="144" t="s">
        <v>168</v>
      </c>
      <c r="D191" s="144">
        <f>TEN!C$17</f>
        <v>6</v>
      </c>
      <c r="E191" s="145">
        <f>TEN!J$17</f>
        <v>0</v>
      </c>
      <c r="F191" s="145">
        <f>TEN!K$17</f>
        <v>0</v>
      </c>
      <c r="G191" s="145">
        <f>TEN!L$17</f>
        <v>71.765196581483906</v>
      </c>
      <c r="H191" s="145">
        <f>TEN!M$17</f>
        <v>42.585467651452554</v>
      </c>
      <c r="I191" s="145">
        <f>TEN!N$17</f>
        <v>546.1303812962783</v>
      </c>
      <c r="J191" s="145">
        <f>TEN!O$17</f>
        <v>3.5345938150705623</v>
      </c>
      <c r="K191" s="145">
        <f t="shared" si="12"/>
        <v>75.820601020051214</v>
      </c>
      <c r="L191" s="145">
        <f t="shared" si="15"/>
        <v>97.113334845777487</v>
      </c>
      <c r="M191" s="145">
        <f t="shared" si="16"/>
        <v>118.40606867150376</v>
      </c>
      <c r="N19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75.820601020051214</v>
      </c>
      <c r="O191" s="190">
        <v>0</v>
      </c>
    </row>
    <row r="192" spans="1:15" x14ac:dyDescent="0.3">
      <c r="A192" s="196">
        <f>IF(TableWRMaster[[#This Row],[Player]]&lt;&gt;0,A191+1,A191)</f>
        <v>177</v>
      </c>
      <c r="B192" s="144" t="str">
        <f>TEN!A$18</f>
        <v>Dez Fitzpatrick</v>
      </c>
      <c r="C192" s="144" t="s">
        <v>168</v>
      </c>
      <c r="D192" s="144">
        <f>TEN!C$18</f>
        <v>6</v>
      </c>
      <c r="E192" s="145">
        <f>TEN!J$18</f>
        <v>0</v>
      </c>
      <c r="F192" s="145">
        <f>TEN!K$18</f>
        <v>0</v>
      </c>
      <c r="G192" s="145">
        <f>TEN!L$18</f>
        <v>16.00915923740795</v>
      </c>
      <c r="H192" s="145">
        <f>TEN!M$18</f>
        <v>10.38834342915402</v>
      </c>
      <c r="I192" s="145">
        <f>TEN!N$18</f>
        <v>122.24440500993597</v>
      </c>
      <c r="J192" s="145">
        <f>TEN!O$18</f>
        <v>0.69457048301099988</v>
      </c>
      <c r="K192" s="145">
        <f t="shared" si="12"/>
        <v>16.391863399059599</v>
      </c>
      <c r="L192" s="145">
        <f t="shared" si="15"/>
        <v>21.586035113636608</v>
      </c>
      <c r="M192" s="145">
        <f t="shared" si="16"/>
        <v>26.780206828213618</v>
      </c>
      <c r="N19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16.391863399059599</v>
      </c>
      <c r="O192" s="190">
        <v>0</v>
      </c>
    </row>
    <row r="193" spans="1:15" x14ac:dyDescent="0.3">
      <c r="A193" s="196">
        <f>IF(TableWRMaster[[#This Row],[Player]]&lt;&gt;0,A192+1,A192)</f>
        <v>178</v>
      </c>
      <c r="B193" s="144" t="str">
        <f>TEN!A$19</f>
        <v>Racey McMath</v>
      </c>
      <c r="C193" s="144" t="s">
        <v>168</v>
      </c>
      <c r="D193" s="144">
        <f>TEN!C$19</f>
        <v>6</v>
      </c>
      <c r="E193" s="145">
        <f>TEN!J$19</f>
        <v>0</v>
      </c>
      <c r="F193" s="145">
        <f>TEN!K$19</f>
        <v>0</v>
      </c>
      <c r="G193" s="145">
        <f>TEN!L$19</f>
        <v>15.457119263704227</v>
      </c>
      <c r="H193" s="145">
        <f>TEN!M$19</f>
        <v>10.037853249849524</v>
      </c>
      <c r="I193" s="145">
        <f>TEN!N$19</f>
        <v>130.24532835565168</v>
      </c>
      <c r="J193" s="145">
        <f>TEN!O$19</f>
        <v>0.69707314235066142</v>
      </c>
      <c r="K193" s="145">
        <f t="shared" ref="K193:K202" si="17">(E193/10)+(F193*6)+(I193/10)+(J193*6)</f>
        <v>17.206971689669135</v>
      </c>
      <c r="L193" s="145">
        <f t="shared" si="15"/>
        <v>22.225898314593898</v>
      </c>
      <c r="M193" s="145">
        <f t="shared" si="16"/>
        <v>27.244824939518658</v>
      </c>
      <c r="N193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17.206971689669135</v>
      </c>
      <c r="O193" s="190">
        <v>0</v>
      </c>
    </row>
    <row r="194" spans="1:15" x14ac:dyDescent="0.3">
      <c r="A194" s="196">
        <f>IF(TableWRMaster[[#This Row],[Player]]&lt;&gt;0,A193+1,A193)</f>
        <v>178</v>
      </c>
      <c r="B194" s="144">
        <f>TEN!A$21</f>
        <v>0</v>
      </c>
      <c r="C194" s="144" t="s">
        <v>168</v>
      </c>
      <c r="D194" s="144">
        <f>TEN!C$21</f>
        <v>6</v>
      </c>
      <c r="E194" s="145">
        <f>TEN!J$21</f>
        <v>0</v>
      </c>
      <c r="F194" s="145">
        <f>TEN!K$21</f>
        <v>0</v>
      </c>
      <c r="G194" s="145">
        <f>TEN!L$21</f>
        <v>0</v>
      </c>
      <c r="H194" s="145">
        <f>TEN!M$21</f>
        <v>0</v>
      </c>
      <c r="I194" s="145">
        <f>TEN!N$21</f>
        <v>0</v>
      </c>
      <c r="J194" s="145">
        <f>TEN!O$21</f>
        <v>0</v>
      </c>
      <c r="K194" s="145">
        <f t="shared" si="17"/>
        <v>0</v>
      </c>
      <c r="L194" s="145">
        <f t="shared" si="15"/>
        <v>0</v>
      </c>
      <c r="M194" s="145">
        <f t="shared" si="16"/>
        <v>0</v>
      </c>
      <c r="N194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94" s="190">
        <v>0</v>
      </c>
    </row>
    <row r="195" spans="1:15" x14ac:dyDescent="0.3">
      <c r="A195" s="196">
        <f>IF(TableWRMaster[[#This Row],[Player]]&lt;&gt;0,A194+1,A194)</f>
        <v>179</v>
      </c>
      <c r="B195" s="144" t="str">
        <f>TEN!A$20</f>
        <v>Kyle Philips</v>
      </c>
      <c r="C195" s="144" t="s">
        <v>168</v>
      </c>
      <c r="D195" s="144">
        <f>TEN!C$20</f>
        <v>6</v>
      </c>
      <c r="E195" s="145">
        <f>TEN!J$20</f>
        <v>0</v>
      </c>
      <c r="F195" s="145">
        <f>TEN!K$20</f>
        <v>0</v>
      </c>
      <c r="G195" s="145">
        <f>TEN!L$20</f>
        <v>16.561199211111671</v>
      </c>
      <c r="H195" s="145">
        <f>TEN!M$20</f>
        <v>9.4016891880073725</v>
      </c>
      <c r="I195" s="145">
        <f>TEN!N$20</f>
        <v>105.33603083668784</v>
      </c>
      <c r="J195" s="145">
        <f>TEN!O$20</f>
        <v>0.68038540176369144</v>
      </c>
      <c r="K195" s="145">
        <f t="shared" si="17"/>
        <v>14.615915494250931</v>
      </c>
      <c r="L195" s="145">
        <f t="shared" si="15"/>
        <v>19.316760088254618</v>
      </c>
      <c r="M195" s="145">
        <f t="shared" si="16"/>
        <v>24.017604682258302</v>
      </c>
      <c r="N195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14.615915494250935</v>
      </c>
      <c r="O195" s="190">
        <v>0</v>
      </c>
    </row>
    <row r="196" spans="1:15" x14ac:dyDescent="0.3">
      <c r="A196" s="196">
        <f>IF(TableWRMaster[[#This Row],[Player]]&lt;&gt;0,A195+1,A195)</f>
        <v>180</v>
      </c>
      <c r="B196" s="144" t="str">
        <f>WSH!A$15</f>
        <v>Terry McLaurin</v>
      </c>
      <c r="C196" s="144" t="s">
        <v>171</v>
      </c>
      <c r="D196" s="144">
        <f>WSH!C$15</f>
        <v>14</v>
      </c>
      <c r="E196" s="145">
        <f>WSH!J$15</f>
        <v>8.4967173486249123</v>
      </c>
      <c r="F196" s="145">
        <f>WSH!K$15</f>
        <v>0</v>
      </c>
      <c r="G196" s="145">
        <f>WSH!L$15</f>
        <v>128.88239673783883</v>
      </c>
      <c r="H196" s="145">
        <f>WSH!M$15</f>
        <v>77.443207355625276</v>
      </c>
      <c r="I196" s="145">
        <f>WSH!N$15</f>
        <v>1072.3594165371694</v>
      </c>
      <c r="J196" s="145">
        <f>WSH!O$15</f>
        <v>6.1180133810943973</v>
      </c>
      <c r="K196" s="145">
        <f t="shared" si="17"/>
        <v>144.79369367514582</v>
      </c>
      <c r="L196" s="145">
        <f t="shared" si="15"/>
        <v>183.51529735295844</v>
      </c>
      <c r="M196" s="145">
        <f t="shared" si="16"/>
        <v>222.23690103077109</v>
      </c>
      <c r="N196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144.79369367514585</v>
      </c>
      <c r="O196" s="190">
        <v>22.911193602736972</v>
      </c>
    </row>
    <row r="197" spans="1:15" x14ac:dyDescent="0.3">
      <c r="A197" s="196">
        <f>IF(TableWRMaster[[#This Row],[Player]]&lt;&gt;0,A196+1,A196)</f>
        <v>181</v>
      </c>
      <c r="B197" s="144" t="str">
        <f>WSH!A$16</f>
        <v>Curtis Samuel</v>
      </c>
      <c r="C197" s="144" t="s">
        <v>171</v>
      </c>
      <c r="D197" s="144">
        <f>WSH!C$16</f>
        <v>14</v>
      </c>
      <c r="E197" s="145">
        <f>WSH!J$16</f>
        <v>83.79355726222289</v>
      </c>
      <c r="F197" s="145">
        <f>WSH!K$16</f>
        <v>0.81903437293204873</v>
      </c>
      <c r="G197" s="145">
        <f>WSH!L$16</f>
        <v>80.166084095306445</v>
      </c>
      <c r="H197" s="145">
        <f>WSH!M$16</f>
        <v>49.847271090461547</v>
      </c>
      <c r="I197" s="145">
        <f>WSH!N$16</f>
        <v>539.34747319879398</v>
      </c>
      <c r="J197" s="145">
        <f>WSH!O$16</f>
        <v>3.339767163060924</v>
      </c>
      <c r="K197" s="145">
        <f t="shared" si="17"/>
        <v>87.266912262059535</v>
      </c>
      <c r="L197" s="145">
        <f t="shared" si="15"/>
        <v>112.1905478072903</v>
      </c>
      <c r="M197" s="145">
        <f t="shared" si="16"/>
        <v>137.11418335252108</v>
      </c>
      <c r="N197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87.266912262059535</v>
      </c>
      <c r="O197" s="190">
        <v>14.799876020862852</v>
      </c>
    </row>
    <row r="198" spans="1:15" x14ac:dyDescent="0.3">
      <c r="A198" s="196">
        <f>IF(TableWRMaster[[#This Row],[Player]]&lt;&gt;0,A197+1,A197)</f>
        <v>182</v>
      </c>
      <c r="B198" s="144" t="str">
        <f>WSH!A$17</f>
        <v>Jahan Dotson</v>
      </c>
      <c r="C198" s="144" t="s">
        <v>171</v>
      </c>
      <c r="D198" s="144">
        <f>WSH!C$17</f>
        <v>14</v>
      </c>
      <c r="E198" s="145">
        <f>WSH!J$17</f>
        <v>28.74270916662784</v>
      </c>
      <c r="F198" s="145">
        <f>WSH!K$17</f>
        <v>0</v>
      </c>
      <c r="G198" s="145">
        <f>WSH!L$17</f>
        <v>93.115989987625184</v>
      </c>
      <c r="H198" s="145">
        <f>WSH!M$17</f>
        <v>56.303950415197562</v>
      </c>
      <c r="I198" s="145">
        <f>WSH!N$17</f>
        <v>694.22770861938591</v>
      </c>
      <c r="J198" s="145">
        <f>WSH!O$17</f>
        <v>4.2791002315550148</v>
      </c>
      <c r="K198" s="145">
        <f t="shared" si="17"/>
        <v>97.971643167931461</v>
      </c>
      <c r="L198" s="145">
        <f t="shared" si="15"/>
        <v>126.12361837553024</v>
      </c>
      <c r="M198" s="145">
        <f t="shared" si="16"/>
        <v>154.27559358312902</v>
      </c>
      <c r="N198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97.971643167931461</v>
      </c>
      <c r="O198" s="190">
        <v>0</v>
      </c>
    </row>
    <row r="199" spans="1:15" x14ac:dyDescent="0.3">
      <c r="A199" s="196">
        <f>IF(TableWRMaster[[#This Row],[Player]]&lt;&gt;0,A198+1,A198)</f>
        <v>183</v>
      </c>
      <c r="B199" s="144" t="str">
        <f>WSH!A$19</f>
        <v>Cam Sims</v>
      </c>
      <c r="C199" s="144" t="s">
        <v>171</v>
      </c>
      <c r="D199" s="144">
        <f>WSH!C$19</f>
        <v>14</v>
      </c>
      <c r="E199" s="145">
        <f>WSH!J$19</f>
        <v>0</v>
      </c>
      <c r="F199" s="145">
        <f>WSH!K$19</f>
        <v>0</v>
      </c>
      <c r="G199" s="145">
        <f>WSH!L$19</f>
        <v>14.183230263015757</v>
      </c>
      <c r="H199" s="145">
        <f>WSH!M$19</f>
        <v>8.7666546255700393</v>
      </c>
      <c r="I199" s="145">
        <f>WSH!N$19</f>
        <v>113.37697415334515</v>
      </c>
      <c r="J199" s="145">
        <f>WSH!O$19</f>
        <v>0.42956607665293195</v>
      </c>
      <c r="K199" s="145">
        <f t="shared" si="17"/>
        <v>13.915093875252106</v>
      </c>
      <c r="L199" s="145">
        <f t="shared" si="15"/>
        <v>18.298421188037125</v>
      </c>
      <c r="M199" s="145">
        <f t="shared" si="16"/>
        <v>22.681748500822145</v>
      </c>
      <c r="N199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13.915093875252108</v>
      </c>
      <c r="O199" s="190">
        <v>0</v>
      </c>
    </row>
    <row r="200" spans="1:15" x14ac:dyDescent="0.3">
      <c r="A200" s="196">
        <f>IF(TableWRMaster[[#This Row],[Player]]&lt;&gt;0,A199+1,A199)</f>
        <v>184</v>
      </c>
      <c r="B200" s="144" t="str">
        <f>WSH!A$18</f>
        <v>Dyami Brown</v>
      </c>
      <c r="C200" s="144" t="s">
        <v>171</v>
      </c>
      <c r="D200" s="144">
        <f>WSH!C$18</f>
        <v>14</v>
      </c>
      <c r="E200" s="145">
        <f>WSH!J$18</f>
        <v>0</v>
      </c>
      <c r="F200" s="145">
        <f>WSH!K$18</f>
        <v>0</v>
      </c>
      <c r="G200" s="145">
        <f>WSH!L$18</f>
        <v>24.666487413940445</v>
      </c>
      <c r="H200" s="145">
        <f>WSH!M$18</f>
        <v>14.71602639115687</v>
      </c>
      <c r="I200" s="145">
        <f>WSH!N$18</f>
        <v>198.96067680844087</v>
      </c>
      <c r="J200" s="145">
        <f>WSH!O$18</f>
        <v>0.62709260847478154</v>
      </c>
      <c r="K200" s="145">
        <f t="shared" si="17"/>
        <v>23.658623331692777</v>
      </c>
      <c r="L200" s="145">
        <f t="shared" si="15"/>
        <v>31.01663652727121</v>
      </c>
      <c r="M200" s="145">
        <f t="shared" si="16"/>
        <v>38.374649722849647</v>
      </c>
      <c r="N200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23.658623331692777</v>
      </c>
      <c r="O200" s="190">
        <v>0</v>
      </c>
    </row>
    <row r="201" spans="1:15" x14ac:dyDescent="0.3">
      <c r="A201" s="196">
        <f>IF(TableWRMaster[[#This Row],[Player]]&lt;&gt;0,A200+1,A200)</f>
        <v>185</v>
      </c>
      <c r="B201" s="144" t="str">
        <f>WSH!A$20</f>
        <v>Dax Milne</v>
      </c>
      <c r="C201" s="144" t="s">
        <v>171</v>
      </c>
      <c r="D201" s="144">
        <f>WSH!C$20</f>
        <v>14</v>
      </c>
      <c r="E201" s="145">
        <f>WSH!J$20</f>
        <v>0</v>
      </c>
      <c r="F201" s="145">
        <f>WSH!K$20</f>
        <v>0</v>
      </c>
      <c r="G201" s="145">
        <f>WSH!L$20</f>
        <v>8.633270594879157</v>
      </c>
      <c r="H201" s="145">
        <f>WSH!M$20</f>
        <v>5.1221194439418047</v>
      </c>
      <c r="I201" s="145">
        <f>WSH!N$20</f>
        <v>52.000647398278765</v>
      </c>
      <c r="J201" s="145">
        <f>WSH!O$20</f>
        <v>0.22270084538877416</v>
      </c>
      <c r="K201" s="145">
        <f t="shared" si="17"/>
        <v>6.5362698121605209</v>
      </c>
      <c r="L201" s="145">
        <f t="shared" si="15"/>
        <v>9.0973295341314238</v>
      </c>
      <c r="M201" s="145">
        <f t="shared" si="16"/>
        <v>11.658389256102325</v>
      </c>
      <c r="N201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6.5362698121605209</v>
      </c>
      <c r="O201" s="190">
        <v>0</v>
      </c>
    </row>
    <row r="202" spans="1:15" x14ac:dyDescent="0.3">
      <c r="A202" s="196">
        <f>IF(TableWRMaster[[#This Row],[Player]]&lt;&gt;0,A201+1,A201)</f>
        <v>185</v>
      </c>
      <c r="B202" s="144">
        <f>WSH!A$21</f>
        <v>0</v>
      </c>
      <c r="C202" s="144" t="s">
        <v>171</v>
      </c>
      <c r="D202" s="144">
        <f>WSH!C$21</f>
        <v>14</v>
      </c>
      <c r="E202" s="145">
        <f>WSH!J$21</f>
        <v>0</v>
      </c>
      <c r="F202" s="145">
        <f>WSH!K$21</f>
        <v>0</v>
      </c>
      <c r="G202" s="145">
        <f>WSH!L$21</f>
        <v>0</v>
      </c>
      <c r="H202" s="145">
        <f>WSH!M$21</f>
        <v>0</v>
      </c>
      <c r="I202" s="145">
        <f>WSH!N$21</f>
        <v>0</v>
      </c>
      <c r="J202" s="145">
        <f>WSH!O$21</f>
        <v>0</v>
      </c>
      <c r="K202" s="145">
        <f t="shared" si="17"/>
        <v>0</v>
      </c>
      <c r="L202" s="145">
        <f t="shared" si="15"/>
        <v>0</v>
      </c>
      <c r="M202" s="145">
        <f t="shared" si="16"/>
        <v>0</v>
      </c>
      <c r="N202" s="188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02" s="190">
        <v>0</v>
      </c>
    </row>
  </sheetData>
  <sortState xmlns:xlrd2="http://schemas.microsoft.com/office/spreadsheetml/2017/richdata2" ref="B2:M171">
    <sortCondition ref="C2:C171"/>
  </sortState>
  <phoneticPr fontId="16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"/>
  <dimension ref="A1:M97"/>
  <sheetViews>
    <sheetView showGridLines="0" zoomScale="85" zoomScaleNormal="85" workbookViewId="0"/>
  </sheetViews>
  <sheetFormatPr defaultColWidth="9.109375" defaultRowHeight="14.4" x14ac:dyDescent="0.3"/>
  <cols>
    <col min="1" max="1" width="8.6640625" style="189" bestFit="1" customWidth="1"/>
    <col min="2" max="2" width="21.44140625" style="189" bestFit="1" customWidth="1"/>
    <col min="3" max="3" width="6.5546875" style="189" bestFit="1" customWidth="1"/>
    <col min="4" max="4" width="7" style="189" bestFit="1" customWidth="1"/>
    <col min="5" max="5" width="7.109375" style="189" bestFit="1" customWidth="1"/>
    <col min="6" max="6" width="7" style="189" bestFit="1" customWidth="1"/>
    <col min="7" max="8" width="8.44140625" style="189" bestFit="1" customWidth="1"/>
    <col min="9" max="9" width="6.88671875" style="189" bestFit="1" customWidth="1"/>
    <col min="10" max="10" width="8.109375" style="189" bestFit="1" customWidth="1"/>
    <col min="11" max="11" width="7" style="189" bestFit="1" customWidth="1"/>
    <col min="12" max="12" width="10" style="189" bestFit="1" customWidth="1"/>
    <col min="13" max="13" width="8.44140625" style="189" bestFit="1" customWidth="1"/>
    <col min="14" max="16384" width="9.109375" style="189"/>
  </cols>
  <sheetData>
    <row r="1" spans="1:13" x14ac:dyDescent="0.3">
      <c r="A1" s="192" t="s">
        <v>545</v>
      </c>
      <c r="B1" s="192" t="s">
        <v>507</v>
      </c>
      <c r="C1" s="192" t="s">
        <v>136</v>
      </c>
      <c r="D1" s="192" t="s">
        <v>174</v>
      </c>
      <c r="E1" s="193" t="s">
        <v>3</v>
      </c>
      <c r="F1" s="193" t="s">
        <v>4</v>
      </c>
      <c r="G1" s="193" t="s">
        <v>193</v>
      </c>
      <c r="H1" s="193" t="s">
        <v>194</v>
      </c>
      <c r="I1" s="194" t="s">
        <v>169</v>
      </c>
      <c r="J1" s="194" t="s">
        <v>172</v>
      </c>
      <c r="K1" s="194" t="s">
        <v>173</v>
      </c>
      <c r="L1" s="194" t="s">
        <v>503</v>
      </c>
      <c r="M1" s="194" t="s">
        <v>477</v>
      </c>
    </row>
    <row r="2" spans="1:13" x14ac:dyDescent="0.3">
      <c r="A2" s="196">
        <v>1</v>
      </c>
      <c r="B2" s="144" t="str">
        <f>ARI!A$24</f>
        <v>Zach Ertz</v>
      </c>
      <c r="C2" s="144" t="s">
        <v>137</v>
      </c>
      <c r="D2" s="146">
        <f>ARI!C$24</f>
        <v>13</v>
      </c>
      <c r="E2" s="145">
        <f>ARI!L$24</f>
        <v>97.279986180000023</v>
      </c>
      <c r="F2" s="145">
        <f>ARI!M$24</f>
        <v>64.049142900912017</v>
      </c>
      <c r="G2" s="145">
        <f>ARI!N$24</f>
        <v>678.2804233206582</v>
      </c>
      <c r="H2" s="145">
        <f>ARI!O$24</f>
        <v>5.2520297178747857</v>
      </c>
      <c r="I2" s="145">
        <f t="shared" ref="I2:I33" si="0">(G2/10)+(H2*6)</f>
        <v>99.340220639314538</v>
      </c>
      <c r="J2" s="145">
        <f t="shared" ref="J2:J33" si="1">I2+(F2*0.5)</f>
        <v>131.36479208977056</v>
      </c>
      <c r="K2" s="145">
        <f t="shared" ref="K2:K33" si="2">I2+F2</f>
        <v>163.38936354022655</v>
      </c>
      <c r="L2" s="188">
        <f>(TableTEMaster[[#This Row],[TGT]]*TARGETS)+(TableTEMaster[[#This Row],[REC]]*RECEPTIONS_TE)+(TableTEMaster[[#This Row],[RCYD]]*RECV_YARDS)+(TableTEMaster[[#This Row],[RCTD]]*RECV_TDS)</f>
        <v>99.340220639314538</v>
      </c>
      <c r="M2" s="190">
        <v>0</v>
      </c>
    </row>
    <row r="3" spans="1:13" x14ac:dyDescent="0.3">
      <c r="A3" s="196">
        <f>IF(TableTEMaster[[#This Row],[Player]]&lt;&gt;0,A2+1,A2)</f>
        <v>2</v>
      </c>
      <c r="B3" s="144" t="str">
        <f>ARI!A$25</f>
        <v>Trey McBride</v>
      </c>
      <c r="C3" s="144" t="s">
        <v>137</v>
      </c>
      <c r="D3" s="146">
        <f>ARI!C$25</f>
        <v>13</v>
      </c>
      <c r="E3" s="145">
        <f>ARI!L$25</f>
        <v>23.696406889999999</v>
      </c>
      <c r="F3" s="145">
        <f>ARI!M$25</f>
        <v>15.038322759144966</v>
      </c>
      <c r="G3" s="145">
        <f>ARI!N$25</f>
        <v>160.15813738489391</v>
      </c>
      <c r="H3" s="145">
        <f>ARI!O$25</f>
        <v>1.0008514347789137</v>
      </c>
      <c r="I3" s="145">
        <f t="shared" si="0"/>
        <v>22.020922347162873</v>
      </c>
      <c r="J3" s="145">
        <f t="shared" si="1"/>
        <v>29.540083726735357</v>
      </c>
      <c r="K3" s="145">
        <f t="shared" si="2"/>
        <v>37.059245106307841</v>
      </c>
      <c r="L3" s="188">
        <f>(TableTEMaster[[#This Row],[TGT]]*TARGETS)+(TableTEMaster[[#This Row],[REC]]*RECEPTIONS_TE)+(TableTEMaster[[#This Row],[RCYD]]*RECV_YARDS)+(TableTEMaster[[#This Row],[RCTD]]*RECV_TDS)</f>
        <v>22.020922347162873</v>
      </c>
      <c r="M3" s="190">
        <v>0</v>
      </c>
    </row>
    <row r="4" spans="1:13" x14ac:dyDescent="0.3">
      <c r="A4" s="196">
        <f>IF(TableTEMaster[[#This Row],[Player]]&lt;&gt;0,A3+1,A3)</f>
        <v>3</v>
      </c>
      <c r="B4" s="144" t="str">
        <f>ARI!A$26</f>
        <v>Maxx Williams</v>
      </c>
      <c r="C4" s="144" t="s">
        <v>137</v>
      </c>
      <c r="D4" s="146">
        <f>ARI!C$26</f>
        <v>13</v>
      </c>
      <c r="E4" s="145">
        <f>ARI!L$26</f>
        <v>17.460510340000003</v>
      </c>
      <c r="F4" s="145">
        <f>ARI!M$26</f>
        <v>11.384252741680003</v>
      </c>
      <c r="G4" s="145">
        <f>ARI!N$26</f>
        <v>126.02367785039763</v>
      </c>
      <c r="H4" s="145">
        <f>ARI!O$26</f>
        <v>0.77404730374425734</v>
      </c>
      <c r="I4" s="145">
        <f t="shared" si="0"/>
        <v>17.246651607505306</v>
      </c>
      <c r="J4" s="145">
        <f t="shared" si="1"/>
        <v>22.938777978345307</v>
      </c>
      <c r="K4" s="145">
        <f t="shared" si="2"/>
        <v>28.630904349185307</v>
      </c>
      <c r="L4" s="188">
        <f>(TableTEMaster[[#This Row],[TGT]]*TARGETS)+(TableTEMaster[[#This Row],[REC]]*RECEPTIONS_TE)+(TableTEMaster[[#This Row],[RCYD]]*RECV_YARDS)+(TableTEMaster[[#This Row],[RCTD]]*RECV_TDS)</f>
        <v>17.246651607505306</v>
      </c>
      <c r="M4" s="190">
        <v>0</v>
      </c>
    </row>
    <row r="5" spans="1:13" x14ac:dyDescent="0.3">
      <c r="A5" s="196">
        <f>IF(TableTEMaster[[#This Row],[Player]]&lt;&gt;0,A4+1,A4)</f>
        <v>4</v>
      </c>
      <c r="B5" s="144" t="str">
        <f>ATL!A$24</f>
        <v>Kyle Pitts</v>
      </c>
      <c r="C5" s="144" t="s">
        <v>138</v>
      </c>
      <c r="D5" s="146">
        <f>ATL!C$24</f>
        <v>14</v>
      </c>
      <c r="E5" s="145">
        <f>ATL!L$24</f>
        <v>135.32458728893246</v>
      </c>
      <c r="F5" s="145">
        <f>ATL!M$24</f>
        <v>82.953972008115599</v>
      </c>
      <c r="G5" s="145">
        <f>ATL!N$24</f>
        <v>1214.6307347246861</v>
      </c>
      <c r="H5" s="145">
        <f>ATL!O$24</f>
        <v>5.8067780405680924</v>
      </c>
      <c r="I5" s="145">
        <f t="shared" si="0"/>
        <v>156.30374171587715</v>
      </c>
      <c r="J5" s="145">
        <f t="shared" si="1"/>
        <v>197.78072771993496</v>
      </c>
      <c r="K5" s="145">
        <f t="shared" si="2"/>
        <v>239.25771372399277</v>
      </c>
      <c r="L5" s="188">
        <f>(TableTEMaster[[#This Row],[TGT]]*TARGETS)+(TableTEMaster[[#This Row],[REC]]*RECEPTIONS_TE)+(TableTEMaster[[#This Row],[RCYD]]*RECV_YARDS)+(TableTEMaster[[#This Row],[RCTD]]*RECV_TDS)</f>
        <v>156.30374171587718</v>
      </c>
      <c r="M5" s="190">
        <v>12.114545855777624</v>
      </c>
    </row>
    <row r="6" spans="1:13" x14ac:dyDescent="0.3">
      <c r="A6" s="196">
        <f>IF(TableTEMaster[[#This Row],[Player]]&lt;&gt;0,A5+1,A5)</f>
        <v>5</v>
      </c>
      <c r="B6" s="144" t="str">
        <f>ATL!A$25</f>
        <v>Anthony Firkser</v>
      </c>
      <c r="C6" s="144" t="s">
        <v>138</v>
      </c>
      <c r="D6" s="146">
        <f>ATL!C$25</f>
        <v>14</v>
      </c>
      <c r="E6" s="145">
        <f>ATL!L$25</f>
        <v>38.849163815004538</v>
      </c>
      <c r="F6" s="145">
        <f>ATL!M$25</f>
        <v>24.513822367267863</v>
      </c>
      <c r="G6" s="145">
        <f>ATL!N$25</f>
        <v>214.4810319290321</v>
      </c>
      <c r="H6" s="145">
        <f>ATL!O$25</f>
        <v>1.0786081841597859</v>
      </c>
      <c r="I6" s="145">
        <f t="shared" si="0"/>
        <v>27.919752297861926</v>
      </c>
      <c r="J6" s="145">
        <f t="shared" si="1"/>
        <v>40.176663481495858</v>
      </c>
      <c r="K6" s="145">
        <f t="shared" si="2"/>
        <v>52.43357466512979</v>
      </c>
      <c r="L6" s="188">
        <f>(TableTEMaster[[#This Row],[TGT]]*TARGETS)+(TableTEMaster[[#This Row],[REC]]*RECEPTIONS_TE)+(TableTEMaster[[#This Row],[RCYD]]*RECV_YARDS)+(TableTEMaster[[#This Row],[RCTD]]*RECV_TDS)</f>
        <v>27.919752297861926</v>
      </c>
      <c r="M6" s="190">
        <v>0</v>
      </c>
    </row>
    <row r="7" spans="1:13" x14ac:dyDescent="0.3">
      <c r="A7" s="196">
        <f>IF(TableTEMaster[[#This Row],[Player]]&lt;&gt;0,A6+1,A6)</f>
        <v>5</v>
      </c>
      <c r="B7" s="144">
        <f>ATL!A$26</f>
        <v>0</v>
      </c>
      <c r="C7" s="144" t="s">
        <v>138</v>
      </c>
      <c r="D7" s="146">
        <f>ATL!C$26</f>
        <v>14</v>
      </c>
      <c r="E7" s="145">
        <f>ATL!L$26</f>
        <v>0</v>
      </c>
      <c r="F7" s="145">
        <f>ATL!M$26</f>
        <v>0</v>
      </c>
      <c r="G7" s="145">
        <f>ATL!N$26</f>
        <v>0</v>
      </c>
      <c r="H7" s="145">
        <f>ATL!O$26</f>
        <v>0</v>
      </c>
      <c r="I7" s="145">
        <f t="shared" si="0"/>
        <v>0</v>
      </c>
      <c r="J7" s="145">
        <f t="shared" si="1"/>
        <v>0</v>
      </c>
      <c r="K7" s="145">
        <f t="shared" si="2"/>
        <v>0</v>
      </c>
      <c r="L7" s="188">
        <f>(TableTEMaster[[#This Row],[TGT]]*TARGETS)+(TableTEMaster[[#This Row],[REC]]*RECEPTIONS_TE)+(TableTEMaster[[#This Row],[RCYD]]*RECV_YARDS)+(TableTEMaster[[#This Row],[RCTD]]*RECV_TDS)</f>
        <v>0</v>
      </c>
      <c r="M7" s="190">
        <v>0</v>
      </c>
    </row>
    <row r="8" spans="1:13" x14ac:dyDescent="0.3">
      <c r="A8" s="196">
        <f>IF(TableTEMaster[[#This Row],[Player]]&lt;&gt;0,A7+1,A7)</f>
        <v>6</v>
      </c>
      <c r="B8" s="144" t="str">
        <f>BAL!A$24</f>
        <v>Mark Andrews</v>
      </c>
      <c r="C8" s="144" t="s">
        <v>139</v>
      </c>
      <c r="D8" s="146">
        <f>BAL!C$24</f>
        <v>10</v>
      </c>
      <c r="E8" s="145">
        <f>BAL!L$24</f>
        <v>119.84557117550085</v>
      </c>
      <c r="F8" s="145">
        <f>BAL!M$24</f>
        <v>79.443691066075004</v>
      </c>
      <c r="G8" s="145">
        <f>BAL!N$24</f>
        <v>1013.1941631612659</v>
      </c>
      <c r="H8" s="145">
        <f>BAL!O$24</f>
        <v>9.7715740011272256</v>
      </c>
      <c r="I8" s="145">
        <f t="shared" si="0"/>
        <v>159.94886032288994</v>
      </c>
      <c r="J8" s="145">
        <f t="shared" si="1"/>
        <v>199.67070585592745</v>
      </c>
      <c r="K8" s="145">
        <f t="shared" si="2"/>
        <v>239.39255138896493</v>
      </c>
      <c r="L8" s="188">
        <f>(TableTEMaster[[#This Row],[TGT]]*TARGETS)+(TableTEMaster[[#This Row],[REC]]*RECEPTIONS_TE)+(TableTEMaster[[#This Row],[RCYD]]*RECV_YARDS)+(TableTEMaster[[#This Row],[RCTD]]*RECV_TDS)</f>
        <v>159.94886032288994</v>
      </c>
      <c r="M8" s="190">
        <v>10.707949016487902</v>
      </c>
    </row>
    <row r="9" spans="1:13" x14ac:dyDescent="0.3">
      <c r="A9" s="196">
        <f>IF(TableTEMaster[[#This Row],[Player]]&lt;&gt;0,A8+1,A8)</f>
        <v>7</v>
      </c>
      <c r="B9" s="144" t="str">
        <f>BAL!A$25</f>
        <v>Nick Boyle</v>
      </c>
      <c r="C9" s="144" t="s">
        <v>139</v>
      </c>
      <c r="D9" s="146">
        <f>BAL!C$25</f>
        <v>10</v>
      </c>
      <c r="E9" s="145">
        <f>BAL!L$25</f>
        <v>20.415279575469579</v>
      </c>
      <c r="F9" s="145">
        <f>BAL!M$25</f>
        <v>13.310762283206167</v>
      </c>
      <c r="G9" s="145">
        <f>BAL!N$25</f>
        <v>131.90965422657311</v>
      </c>
      <c r="H9" s="145">
        <f>BAL!O$25</f>
        <v>1.3177654660374105</v>
      </c>
      <c r="I9" s="145">
        <f t="shared" si="0"/>
        <v>21.097558218881773</v>
      </c>
      <c r="J9" s="145">
        <f t="shared" si="1"/>
        <v>27.752939360484856</v>
      </c>
      <c r="K9" s="145">
        <f t="shared" si="2"/>
        <v>34.408320502087939</v>
      </c>
      <c r="L9" s="188">
        <f>(TableTEMaster[[#This Row],[TGT]]*TARGETS)+(TableTEMaster[[#This Row],[REC]]*RECEPTIONS_TE)+(TableTEMaster[[#This Row],[RCYD]]*RECV_YARDS)+(TableTEMaster[[#This Row],[RCTD]]*RECV_TDS)</f>
        <v>21.097558218881776</v>
      </c>
      <c r="M9" s="190">
        <v>0</v>
      </c>
    </row>
    <row r="10" spans="1:13" x14ac:dyDescent="0.3">
      <c r="A10" s="196">
        <f>IF(TableTEMaster[[#This Row],[Player]]&lt;&gt;0,A9+1,A9)</f>
        <v>8</v>
      </c>
      <c r="B10" s="144" t="str">
        <f>BAL!A$26</f>
        <v>Charlie Kolar</v>
      </c>
      <c r="C10" s="144" t="s">
        <v>139</v>
      </c>
      <c r="D10" s="146">
        <f>BAL!C$26</f>
        <v>10</v>
      </c>
      <c r="E10" s="145">
        <f>BAL!L$26</f>
        <v>11.219585386642633</v>
      </c>
      <c r="F10" s="145">
        <f>BAL!M$26</f>
        <v>6.9337037689451471</v>
      </c>
      <c r="G10" s="145">
        <f>BAL!N$26</f>
        <v>74.068270849437567</v>
      </c>
      <c r="H10" s="145">
        <f>BAL!O$26</f>
        <v>0.48535926382616035</v>
      </c>
      <c r="I10" s="145">
        <f t="shared" si="0"/>
        <v>10.31898266790072</v>
      </c>
      <c r="J10" s="145">
        <f t="shared" si="1"/>
        <v>13.785834552373293</v>
      </c>
      <c r="K10" s="145">
        <f t="shared" si="2"/>
        <v>17.252686436845867</v>
      </c>
      <c r="L10" s="188">
        <f>(TableTEMaster[[#This Row],[TGT]]*TARGETS)+(TableTEMaster[[#This Row],[REC]]*RECEPTIONS_TE)+(TableTEMaster[[#This Row],[RCYD]]*RECV_YARDS)+(TableTEMaster[[#This Row],[RCTD]]*RECV_TDS)</f>
        <v>10.31898266790072</v>
      </c>
      <c r="M10" s="190">
        <v>0</v>
      </c>
    </row>
    <row r="11" spans="1:13" x14ac:dyDescent="0.3">
      <c r="A11" s="196">
        <f>IF(TableTEMaster[[#This Row],[Player]]&lt;&gt;0,A10+1,A10)</f>
        <v>9</v>
      </c>
      <c r="B11" s="144" t="str">
        <f>BUF!A$24</f>
        <v>Dawson Knox</v>
      </c>
      <c r="C11" s="144" t="s">
        <v>140</v>
      </c>
      <c r="D11" s="146">
        <f>BUF!C$24</f>
        <v>7</v>
      </c>
      <c r="E11" s="145">
        <f>BUF!L$24</f>
        <v>74.995960382116522</v>
      </c>
      <c r="F11" s="145">
        <f>BUF!M$24</f>
        <v>46.979269486406956</v>
      </c>
      <c r="G11" s="145">
        <f>BUF!N$24</f>
        <v>572.15678107651104</v>
      </c>
      <c r="H11" s="145">
        <f>BUF!O$24</f>
        <v>7.6106416567979274</v>
      </c>
      <c r="I11" s="145">
        <f t="shared" si="0"/>
        <v>102.87952804843866</v>
      </c>
      <c r="J11" s="145">
        <f t="shared" si="1"/>
        <v>126.36916279164214</v>
      </c>
      <c r="K11" s="145">
        <f t="shared" si="2"/>
        <v>149.85879753484562</v>
      </c>
      <c r="L11" s="188">
        <f>(TableTEMaster[[#This Row],[TGT]]*TARGETS)+(TableTEMaster[[#This Row],[REC]]*RECEPTIONS_TE)+(TableTEMaster[[#This Row],[RCYD]]*RECV_YARDS)+(TableTEMaster[[#This Row],[RCTD]]*RECV_TDS)</f>
        <v>102.87952804843867</v>
      </c>
      <c r="M11" s="190">
        <v>0</v>
      </c>
    </row>
    <row r="12" spans="1:13" x14ac:dyDescent="0.3">
      <c r="A12" s="196">
        <f>IF(TableTEMaster[[#This Row],[Player]]&lt;&gt;0,A11+1,A11)</f>
        <v>10</v>
      </c>
      <c r="B12" s="144" t="str">
        <f>BUF!A$25</f>
        <v>O.J. Howard</v>
      </c>
      <c r="C12" s="144" t="s">
        <v>140</v>
      </c>
      <c r="D12" s="146">
        <f>BUF!C$25</f>
        <v>7</v>
      </c>
      <c r="E12" s="145">
        <f>BUF!L$25</f>
        <v>34.241799563511762</v>
      </c>
      <c r="F12" s="145">
        <f>BUF!M$25</f>
        <v>22.016822817435578</v>
      </c>
      <c r="G12" s="145">
        <f>BUF!N$25</f>
        <v>230.36094321130582</v>
      </c>
      <c r="H12" s="145">
        <f>BUF!O$25</f>
        <v>2.0035308763866375</v>
      </c>
      <c r="I12" s="145">
        <f t="shared" si="0"/>
        <v>35.057279579450409</v>
      </c>
      <c r="J12" s="145">
        <f t="shared" si="1"/>
        <v>46.0656909881682</v>
      </c>
      <c r="K12" s="145">
        <f t="shared" si="2"/>
        <v>57.074102396885991</v>
      </c>
      <c r="L12" s="188">
        <f>(TableTEMaster[[#This Row],[TGT]]*TARGETS)+(TableTEMaster[[#This Row],[REC]]*RECEPTIONS_TE)+(TableTEMaster[[#This Row],[RCYD]]*RECV_YARDS)+(TableTEMaster[[#This Row],[RCTD]]*RECV_TDS)</f>
        <v>35.057279579450409</v>
      </c>
      <c r="M12" s="190">
        <v>0</v>
      </c>
    </row>
    <row r="13" spans="1:13" x14ac:dyDescent="0.3">
      <c r="A13" s="196">
        <f>IF(TableTEMaster[[#This Row],[Player]]&lt;&gt;0,A12+1,A12)</f>
        <v>11</v>
      </c>
      <c r="B13" s="144" t="str">
        <f>BUF!A$26</f>
        <v>Jalen Wydermyer</v>
      </c>
      <c r="C13" s="144" t="s">
        <v>140</v>
      </c>
      <c r="D13" s="146">
        <f>BUF!C$26</f>
        <v>7</v>
      </c>
      <c r="E13" s="145">
        <f>BUF!L$26</f>
        <v>6.3119523688160069</v>
      </c>
      <c r="F13" s="145">
        <f>BUF!M$26</f>
        <v>3.7997953260272359</v>
      </c>
      <c r="G13" s="145">
        <f>BUF!N$26</f>
        <v>36.49803405263004</v>
      </c>
      <c r="H13" s="145">
        <f>BUF!O$26</f>
        <v>0.26665230358085867</v>
      </c>
      <c r="I13" s="145">
        <f t="shared" si="0"/>
        <v>5.2497172267481558</v>
      </c>
      <c r="J13" s="145">
        <f t="shared" si="1"/>
        <v>7.1496148897617733</v>
      </c>
      <c r="K13" s="145">
        <f t="shared" si="2"/>
        <v>9.0495125527753917</v>
      </c>
      <c r="L13" s="188">
        <f>(TableTEMaster[[#This Row],[TGT]]*TARGETS)+(TableTEMaster[[#This Row],[REC]]*RECEPTIONS_TE)+(TableTEMaster[[#This Row],[RCYD]]*RECV_YARDS)+(TableTEMaster[[#This Row],[RCTD]]*RECV_TDS)</f>
        <v>5.2497172267481558</v>
      </c>
      <c r="M13" s="190">
        <v>0</v>
      </c>
    </row>
    <row r="14" spans="1:13" x14ac:dyDescent="0.3">
      <c r="A14" s="196">
        <f>IF(TableTEMaster[[#This Row],[Player]]&lt;&gt;0,A13+1,A13)</f>
        <v>12</v>
      </c>
      <c r="B14" s="144" t="str">
        <f>CAR!A$24</f>
        <v>Tommy Tremble</v>
      </c>
      <c r="C14" s="144" t="s">
        <v>141</v>
      </c>
      <c r="D14" s="146">
        <f>CAR!C$24</f>
        <v>13</v>
      </c>
      <c r="E14" s="145">
        <f>CAR!L$24</f>
        <v>60.533532028069587</v>
      </c>
      <c r="F14" s="145">
        <f>CAR!M$24</f>
        <v>37.409722793347001</v>
      </c>
      <c r="G14" s="145">
        <f>CAR!N$24</f>
        <v>384.97270779498683</v>
      </c>
      <c r="H14" s="145">
        <f>CAR!O$24</f>
        <v>1.9975499754331536</v>
      </c>
      <c r="I14" s="145">
        <f t="shared" si="0"/>
        <v>50.482570632097605</v>
      </c>
      <c r="J14" s="145">
        <f t="shared" si="1"/>
        <v>69.187432028771099</v>
      </c>
      <c r="K14" s="145">
        <f t="shared" si="2"/>
        <v>87.892293425444606</v>
      </c>
      <c r="L14" s="188">
        <f>(TableTEMaster[[#This Row],[TGT]]*TARGETS)+(TableTEMaster[[#This Row],[REC]]*RECEPTIONS_TE)+(TableTEMaster[[#This Row],[RCYD]]*RECV_YARDS)+(TableTEMaster[[#This Row],[RCTD]]*RECV_TDS)</f>
        <v>50.482570632097605</v>
      </c>
      <c r="M14" s="190">
        <v>0</v>
      </c>
    </row>
    <row r="15" spans="1:13" x14ac:dyDescent="0.3">
      <c r="A15" s="196">
        <f>IF(TableTEMaster[[#This Row],[Player]]&lt;&gt;0,A14+1,A14)</f>
        <v>13</v>
      </c>
      <c r="B15" s="144" t="str">
        <f>CAR!A$25</f>
        <v>Ian Thomas</v>
      </c>
      <c r="C15" s="144" t="s">
        <v>141</v>
      </c>
      <c r="D15" s="146">
        <f>CAR!C$25</f>
        <v>13</v>
      </c>
      <c r="E15" s="145">
        <f>CAR!L$25</f>
        <v>31.585826964032936</v>
      </c>
      <c r="F15" s="145">
        <f>CAR!M$25</f>
        <v>18.926227516848535</v>
      </c>
      <c r="G15" s="145">
        <f>CAR!N$25</f>
        <v>199.95909769111532</v>
      </c>
      <c r="H15" s="145">
        <f>CAR!O$25</f>
        <v>0.85285219614490659</v>
      </c>
      <c r="I15" s="145">
        <f t="shared" si="0"/>
        <v>25.113022945980973</v>
      </c>
      <c r="J15" s="145">
        <f t="shared" si="1"/>
        <v>34.576136704405243</v>
      </c>
      <c r="K15" s="145">
        <f t="shared" si="2"/>
        <v>44.039250462829507</v>
      </c>
      <c r="L15" s="188">
        <f>(TableTEMaster[[#This Row],[TGT]]*TARGETS)+(TableTEMaster[[#This Row],[REC]]*RECEPTIONS_TE)+(TableTEMaster[[#This Row],[RCYD]]*RECV_YARDS)+(TableTEMaster[[#This Row],[RCTD]]*RECV_TDS)</f>
        <v>25.113022945980973</v>
      </c>
      <c r="M15" s="190">
        <v>0</v>
      </c>
    </row>
    <row r="16" spans="1:13" x14ac:dyDescent="0.3">
      <c r="A16" s="196">
        <f>IF(TableTEMaster[[#This Row],[Player]]&lt;&gt;0,A15+1,A15)</f>
        <v>13</v>
      </c>
      <c r="B16" s="144">
        <f>CAR!A$26</f>
        <v>0</v>
      </c>
      <c r="C16" s="144" t="s">
        <v>141</v>
      </c>
      <c r="D16" s="146">
        <f>CAR!C$26</f>
        <v>13</v>
      </c>
      <c r="E16" s="145">
        <f>CAR!L$26</f>
        <v>0</v>
      </c>
      <c r="F16" s="145">
        <f>CAR!M$26</f>
        <v>0</v>
      </c>
      <c r="G16" s="145">
        <f>CAR!N$26</f>
        <v>0</v>
      </c>
      <c r="H16" s="145">
        <f>CAR!O$26</f>
        <v>0</v>
      </c>
      <c r="I16" s="145">
        <f t="shared" si="0"/>
        <v>0</v>
      </c>
      <c r="J16" s="145">
        <f t="shared" si="1"/>
        <v>0</v>
      </c>
      <c r="K16" s="145">
        <f t="shared" si="2"/>
        <v>0</v>
      </c>
      <c r="L16" s="188">
        <f>(TableTEMaster[[#This Row],[TGT]]*TARGETS)+(TableTEMaster[[#This Row],[REC]]*RECEPTIONS_TE)+(TableTEMaster[[#This Row],[RCYD]]*RECV_YARDS)+(TableTEMaster[[#This Row],[RCTD]]*RECV_TDS)</f>
        <v>0</v>
      </c>
      <c r="M16" s="190">
        <v>0</v>
      </c>
    </row>
    <row r="17" spans="1:13" x14ac:dyDescent="0.3">
      <c r="A17" s="196">
        <f>IF(TableTEMaster[[#This Row],[Player]]&lt;&gt;0,A16+1,A16)</f>
        <v>14</v>
      </c>
      <c r="B17" s="144" t="str">
        <f>CHI!A$24</f>
        <v>Cole Kmet</v>
      </c>
      <c r="C17" s="144" t="s">
        <v>142</v>
      </c>
      <c r="D17" s="146">
        <f>CHI!C$24</f>
        <v>14</v>
      </c>
      <c r="E17" s="145">
        <f>CHI!L$24</f>
        <v>88.967808762398676</v>
      </c>
      <c r="F17" s="145">
        <f>CHI!M$24</f>
        <v>58.007011313083936</v>
      </c>
      <c r="G17" s="145">
        <f>CHI!N$24</f>
        <v>662.44006919541857</v>
      </c>
      <c r="H17" s="145">
        <f>CHI!O$24</f>
        <v>4.4085328597943789</v>
      </c>
      <c r="I17" s="145">
        <f t="shared" si="0"/>
        <v>92.695204078308137</v>
      </c>
      <c r="J17" s="145">
        <f t="shared" si="1"/>
        <v>121.6987097348501</v>
      </c>
      <c r="K17" s="145">
        <f t="shared" si="2"/>
        <v>150.70221539139209</v>
      </c>
      <c r="L17" s="188">
        <f>(TableTEMaster[[#This Row],[TGT]]*TARGETS)+(TableTEMaster[[#This Row],[REC]]*RECEPTIONS_TE)+(TableTEMaster[[#This Row],[RCYD]]*RECV_YARDS)+(TableTEMaster[[#This Row],[RCTD]]*RECV_TDS)</f>
        <v>92.695204078308137</v>
      </c>
      <c r="M17" s="190">
        <v>1.8058939937235041</v>
      </c>
    </row>
    <row r="18" spans="1:13" x14ac:dyDescent="0.3">
      <c r="A18" s="196">
        <f>IF(TableTEMaster[[#This Row],[Player]]&lt;&gt;0,A17+1,A17)</f>
        <v>15</v>
      </c>
      <c r="B18" s="144" t="str">
        <f>CHI!A$25</f>
        <v>Ryan Griffin</v>
      </c>
      <c r="C18" s="144" t="s">
        <v>142</v>
      </c>
      <c r="D18" s="146">
        <f>CHI!C$25</f>
        <v>14</v>
      </c>
      <c r="E18" s="145">
        <f>CHI!L$25</f>
        <v>17.559435939947107</v>
      </c>
      <c r="F18" s="145">
        <f>CHI!M$25</f>
        <v>10.588339871788106</v>
      </c>
      <c r="G18" s="145">
        <f>CHI!N$25</f>
        <v>121.9722206098712</v>
      </c>
      <c r="H18" s="145">
        <f>CHI!O$25</f>
        <v>0.7510792602793479</v>
      </c>
      <c r="I18" s="145">
        <f t="shared" si="0"/>
        <v>16.703697622663206</v>
      </c>
      <c r="J18" s="145">
        <f t="shared" si="1"/>
        <v>21.99786755855726</v>
      </c>
      <c r="K18" s="145">
        <f t="shared" si="2"/>
        <v>27.292037494451314</v>
      </c>
      <c r="L18" s="188">
        <f>(TableTEMaster[[#This Row],[TGT]]*TARGETS)+(TableTEMaster[[#This Row],[REC]]*RECEPTIONS_TE)+(TableTEMaster[[#This Row],[RCYD]]*RECV_YARDS)+(TableTEMaster[[#This Row],[RCTD]]*RECV_TDS)</f>
        <v>16.703697622663206</v>
      </c>
      <c r="M18" s="190">
        <v>0</v>
      </c>
    </row>
    <row r="19" spans="1:13" x14ac:dyDescent="0.3">
      <c r="A19" s="196">
        <f>IF(TableTEMaster[[#This Row],[Player]]&lt;&gt;0,A18+1,A18)</f>
        <v>16</v>
      </c>
      <c r="B19" s="144" t="str">
        <f>CHI!A$26</f>
        <v>James O'Shaughnessy</v>
      </c>
      <c r="C19" s="144" t="s">
        <v>142</v>
      </c>
      <c r="D19" s="146">
        <f>CHI!C$26</f>
        <v>14</v>
      </c>
      <c r="E19" s="145">
        <f>CHI!L$26</f>
        <v>23.99789578459438</v>
      </c>
      <c r="F19" s="145">
        <f>CHI!M$26</f>
        <v>14.571522320405707</v>
      </c>
      <c r="G19" s="145">
        <f>CHI!N$26</f>
        <v>155.84190498683435</v>
      </c>
      <c r="H19" s="145">
        <f>CHI!O$26</f>
        <v>0.71149166568914779</v>
      </c>
      <c r="I19" s="145">
        <f t="shared" si="0"/>
        <v>19.853140492818323</v>
      </c>
      <c r="J19" s="145">
        <f t="shared" si="1"/>
        <v>27.138901653021176</v>
      </c>
      <c r="K19" s="145">
        <f t="shared" si="2"/>
        <v>34.424662813224032</v>
      </c>
      <c r="L19" s="188">
        <f>(TableTEMaster[[#This Row],[TGT]]*TARGETS)+(TableTEMaster[[#This Row],[REC]]*RECEPTIONS_TE)+(TableTEMaster[[#This Row],[RCYD]]*RECV_YARDS)+(TableTEMaster[[#This Row],[RCTD]]*RECV_TDS)</f>
        <v>19.853140492818323</v>
      </c>
      <c r="M19" s="190">
        <v>0</v>
      </c>
    </row>
    <row r="20" spans="1:13" x14ac:dyDescent="0.3">
      <c r="A20" s="196">
        <f>IF(TableTEMaster[[#This Row],[Player]]&lt;&gt;0,A19+1,A19)</f>
        <v>17</v>
      </c>
      <c r="B20" s="144" t="str">
        <f>CIN!A$24</f>
        <v>Hayden Hurst</v>
      </c>
      <c r="C20" s="144" t="s">
        <v>144</v>
      </c>
      <c r="D20" s="146">
        <f>CIN!C$24</f>
        <v>10</v>
      </c>
      <c r="E20" s="145">
        <f>CIN!L$24</f>
        <v>69.43290518058032</v>
      </c>
      <c r="F20" s="145">
        <f>CIN!M$24</f>
        <v>45.672965027785736</v>
      </c>
      <c r="G20" s="145">
        <f>CIN!N$24</f>
        <v>494.95327366166907</v>
      </c>
      <c r="H20" s="145">
        <f>CIN!O$24</f>
        <v>4.9326802230008591</v>
      </c>
      <c r="I20" s="145">
        <f t="shared" si="0"/>
        <v>79.091408704172068</v>
      </c>
      <c r="J20" s="145">
        <f t="shared" si="1"/>
        <v>101.92789121806493</v>
      </c>
      <c r="K20" s="145">
        <f t="shared" si="2"/>
        <v>124.7643737319578</v>
      </c>
      <c r="L20" s="188">
        <f>(TableTEMaster[[#This Row],[TGT]]*TARGETS)+(TableTEMaster[[#This Row],[REC]]*RECEPTIONS_TE)+(TableTEMaster[[#This Row],[RCYD]]*RECV_YARDS)+(TableTEMaster[[#This Row],[RCTD]]*RECV_TDS)</f>
        <v>79.091408704172068</v>
      </c>
      <c r="M20" s="190">
        <v>0</v>
      </c>
    </row>
    <row r="21" spans="1:13" x14ac:dyDescent="0.3">
      <c r="A21" s="196">
        <f>IF(TableTEMaster[[#This Row],[Player]]&lt;&gt;0,A20+1,A20)</f>
        <v>18</v>
      </c>
      <c r="B21" s="144" t="str">
        <f>CIN!A$25</f>
        <v>Drew Sample</v>
      </c>
      <c r="C21" s="144" t="s">
        <v>144</v>
      </c>
      <c r="D21" s="146">
        <f>CIN!C$25</f>
        <v>10</v>
      </c>
      <c r="E21" s="145">
        <f>CIN!L$25</f>
        <v>18.765650048805494</v>
      </c>
      <c r="F21" s="145">
        <f>CIN!M$25</f>
        <v>12.535454232602071</v>
      </c>
      <c r="G21" s="145">
        <f>CIN!N$25</f>
        <v>122.72209693717426</v>
      </c>
      <c r="H21" s="145">
        <f>CIN!O$25</f>
        <v>1.0028363386081656</v>
      </c>
      <c r="I21" s="145">
        <f t="shared" si="0"/>
        <v>18.289227725366416</v>
      </c>
      <c r="J21" s="145">
        <f t="shared" si="1"/>
        <v>24.556954841667451</v>
      </c>
      <c r="K21" s="145">
        <f t="shared" si="2"/>
        <v>30.824681957968487</v>
      </c>
      <c r="L21" s="188">
        <f>(TableTEMaster[[#This Row],[TGT]]*TARGETS)+(TableTEMaster[[#This Row],[REC]]*RECEPTIONS_TE)+(TableTEMaster[[#This Row],[RCYD]]*RECV_YARDS)+(TableTEMaster[[#This Row],[RCTD]]*RECV_TDS)</f>
        <v>18.28922772536642</v>
      </c>
      <c r="M21" s="190">
        <v>0</v>
      </c>
    </row>
    <row r="22" spans="1:13" x14ac:dyDescent="0.3">
      <c r="A22" s="196">
        <f>IF(TableTEMaster[[#This Row],[Player]]&lt;&gt;0,A21+1,A21)</f>
        <v>19</v>
      </c>
      <c r="B22" s="144" t="str">
        <f>CIN!A$26</f>
        <v>Nick Eubanks</v>
      </c>
      <c r="C22" s="144" t="s">
        <v>144</v>
      </c>
      <c r="D22" s="146">
        <f>CIN!C$26</f>
        <v>10</v>
      </c>
      <c r="E22" s="145">
        <f>CIN!L$26</f>
        <v>11.884911697576813</v>
      </c>
      <c r="F22" s="145">
        <f>CIN!M$26</f>
        <v>7.2890163441238585</v>
      </c>
      <c r="G22" s="145">
        <f>CIN!N$26</f>
        <v>77.142089641977506</v>
      </c>
      <c r="H22" s="145">
        <f>CIN!O$26</f>
        <v>0.60741802867698813</v>
      </c>
      <c r="I22" s="145">
        <f t="shared" si="0"/>
        <v>11.358717136259679</v>
      </c>
      <c r="J22" s="145">
        <f t="shared" si="1"/>
        <v>15.003225308321609</v>
      </c>
      <c r="K22" s="145">
        <f t="shared" si="2"/>
        <v>18.647733480383536</v>
      </c>
      <c r="L22" s="188">
        <f>(TableTEMaster[[#This Row],[TGT]]*TARGETS)+(TableTEMaster[[#This Row],[REC]]*RECEPTIONS_TE)+(TableTEMaster[[#This Row],[RCYD]]*RECV_YARDS)+(TableTEMaster[[#This Row],[RCTD]]*RECV_TDS)</f>
        <v>11.358717136259679</v>
      </c>
      <c r="M22" s="190">
        <v>0</v>
      </c>
    </row>
    <row r="23" spans="1:13" x14ac:dyDescent="0.3">
      <c r="A23" s="196">
        <f>IF(TableTEMaster[[#This Row],[Player]]&lt;&gt;0,A22+1,A22)</f>
        <v>20</v>
      </c>
      <c r="B23" s="144" t="str">
        <f>CLE!A$24</f>
        <v>David Njoku</v>
      </c>
      <c r="C23" s="144" t="s">
        <v>145</v>
      </c>
      <c r="D23" s="146">
        <f>CLE!C$24</f>
        <v>9</v>
      </c>
      <c r="E23" s="145">
        <f>CLE!L$24</f>
        <v>76.365780692039579</v>
      </c>
      <c r="F23" s="145">
        <f>CLE!M$24</f>
        <v>49.874491369971047</v>
      </c>
      <c r="G23" s="145">
        <f>CLE!N$24</f>
        <v>600.98762100815111</v>
      </c>
      <c r="H23" s="145">
        <f>CLE!O$24</f>
        <v>6.3340604039863226</v>
      </c>
      <c r="I23" s="145">
        <f t="shared" si="0"/>
        <v>98.103124524733047</v>
      </c>
      <c r="J23" s="145">
        <f t="shared" si="1"/>
        <v>123.04037020971857</v>
      </c>
      <c r="K23" s="145">
        <f t="shared" si="2"/>
        <v>147.97761589470409</v>
      </c>
      <c r="L23" s="188">
        <f>(TableTEMaster[[#This Row],[TGT]]*TARGETS)+(TableTEMaster[[#This Row],[REC]]*RECEPTIONS_TE)+(TableTEMaster[[#This Row],[RCYD]]*RECV_YARDS)+(TableTEMaster[[#This Row],[RCTD]]*RECV_TDS)</f>
        <v>98.103124524733062</v>
      </c>
      <c r="M23" s="190">
        <v>0.40204588310140438</v>
      </c>
    </row>
    <row r="24" spans="1:13" x14ac:dyDescent="0.3">
      <c r="A24" s="196">
        <f>IF(TableTEMaster[[#This Row],[Player]]&lt;&gt;0,A23+1,A23)</f>
        <v>21</v>
      </c>
      <c r="B24" s="144" t="str">
        <f>CLE!A$25</f>
        <v>Harrison Bryant</v>
      </c>
      <c r="C24" s="144" t="s">
        <v>145</v>
      </c>
      <c r="D24" s="146">
        <f>CLE!C$25</f>
        <v>9</v>
      </c>
      <c r="E24" s="145">
        <f>CLE!L$25</f>
        <v>34.86263901158329</v>
      </c>
      <c r="F24" s="145">
        <f>CLE!M$25</f>
        <v>21.775204326634924</v>
      </c>
      <c r="G24" s="145">
        <f>CLE!N$25</f>
        <v>232.12367812192829</v>
      </c>
      <c r="H24" s="145">
        <f>CLE!O$25</f>
        <v>2.4823732932363813</v>
      </c>
      <c r="I24" s="145">
        <f t="shared" si="0"/>
        <v>38.106607571611121</v>
      </c>
      <c r="J24" s="145">
        <f t="shared" si="1"/>
        <v>48.994209734928582</v>
      </c>
      <c r="K24" s="145">
        <f t="shared" si="2"/>
        <v>59.881811898246042</v>
      </c>
      <c r="L24" s="188">
        <f>(TableTEMaster[[#This Row],[TGT]]*TARGETS)+(TableTEMaster[[#This Row],[REC]]*RECEPTIONS_TE)+(TableTEMaster[[#This Row],[RCYD]]*RECV_YARDS)+(TableTEMaster[[#This Row],[RCTD]]*RECV_TDS)</f>
        <v>38.106607571611121</v>
      </c>
      <c r="M24" s="190">
        <v>0</v>
      </c>
    </row>
    <row r="25" spans="1:13" x14ac:dyDescent="0.3">
      <c r="A25" s="196">
        <f>IF(TableTEMaster[[#This Row],[Player]]&lt;&gt;0,A24+1,A24)</f>
        <v>21</v>
      </c>
      <c r="B25" s="144">
        <f>CLE!A$26</f>
        <v>0</v>
      </c>
      <c r="C25" s="144" t="s">
        <v>145</v>
      </c>
      <c r="D25" s="146">
        <f>CLE!C$26</f>
        <v>9</v>
      </c>
      <c r="E25" s="145">
        <f>CLE!L$26</f>
        <v>0</v>
      </c>
      <c r="F25" s="145">
        <f>CLE!M$26</f>
        <v>0</v>
      </c>
      <c r="G25" s="145">
        <f>CLE!N$26</f>
        <v>0</v>
      </c>
      <c r="H25" s="145">
        <f>CLE!O$26</f>
        <v>0</v>
      </c>
      <c r="I25" s="145">
        <f t="shared" si="0"/>
        <v>0</v>
      </c>
      <c r="J25" s="145">
        <f t="shared" si="1"/>
        <v>0</v>
      </c>
      <c r="K25" s="145">
        <f t="shared" si="2"/>
        <v>0</v>
      </c>
      <c r="L25" s="188">
        <f>(TableTEMaster[[#This Row],[TGT]]*TARGETS)+(TableTEMaster[[#This Row],[REC]]*RECEPTIONS_TE)+(TableTEMaster[[#This Row],[RCYD]]*RECV_YARDS)+(TableTEMaster[[#This Row],[RCTD]]*RECV_TDS)</f>
        <v>0</v>
      </c>
      <c r="M25" s="190">
        <v>0</v>
      </c>
    </row>
    <row r="26" spans="1:13" x14ac:dyDescent="0.3">
      <c r="A26" s="196">
        <f>IF(TableTEMaster[[#This Row],[Player]]&lt;&gt;0,A25+1,A25)</f>
        <v>22</v>
      </c>
      <c r="B26" s="144" t="str">
        <f>DAL!A$24</f>
        <v>Dalton Schultz</v>
      </c>
      <c r="C26" s="144" t="s">
        <v>146</v>
      </c>
      <c r="D26" s="146">
        <f>DAL!C$24</f>
        <v>9</v>
      </c>
      <c r="E26" s="145">
        <f>DAL!L$24</f>
        <v>97.93002207058781</v>
      </c>
      <c r="F26" s="145">
        <f>DAL!M$24</f>
        <v>72.693455382997328</v>
      </c>
      <c r="G26" s="145">
        <f>DAL!N$24</f>
        <v>755.28500142934229</v>
      </c>
      <c r="H26" s="145">
        <f>DAL!O$24</f>
        <v>7.3420389936827304</v>
      </c>
      <c r="I26" s="145">
        <f t="shared" si="0"/>
        <v>119.58073410503061</v>
      </c>
      <c r="J26" s="145">
        <f t="shared" si="1"/>
        <v>155.92746179652929</v>
      </c>
      <c r="K26" s="145">
        <f t="shared" si="2"/>
        <v>192.27418948802796</v>
      </c>
      <c r="L26" s="188">
        <f>(TableTEMaster[[#This Row],[TGT]]*TARGETS)+(TableTEMaster[[#This Row],[REC]]*RECEPTIONS_TE)+(TableTEMaster[[#This Row],[RCYD]]*RECV_YARDS)+(TableTEMaster[[#This Row],[RCTD]]*RECV_TDS)</f>
        <v>119.58073410503061</v>
      </c>
      <c r="M26" s="190">
        <v>1.1488415014446289</v>
      </c>
    </row>
    <row r="27" spans="1:13" x14ac:dyDescent="0.3">
      <c r="A27" s="196">
        <f>IF(TableTEMaster[[#This Row],[Player]]&lt;&gt;0,A26+1,A26)</f>
        <v>23</v>
      </c>
      <c r="B27" s="144" t="str">
        <f>DAL!A$25</f>
        <v>Sean McKeon</v>
      </c>
      <c r="C27" s="144" t="s">
        <v>146</v>
      </c>
      <c r="D27" s="146">
        <f>DAL!C$25</f>
        <v>9</v>
      </c>
      <c r="E27" s="145">
        <f>DAL!L$25</f>
        <v>10.4458690208627</v>
      </c>
      <c r="F27" s="145">
        <f>DAL!M$25</f>
        <v>6.8107066016024804</v>
      </c>
      <c r="G27" s="145">
        <f>DAL!N$25</f>
        <v>68.856243742201073</v>
      </c>
      <c r="H27" s="145">
        <f>DAL!O$25</f>
        <v>0.46037729457388965</v>
      </c>
      <c r="I27" s="145">
        <f t="shared" si="0"/>
        <v>9.6478881416634454</v>
      </c>
      <c r="J27" s="145">
        <f t="shared" si="1"/>
        <v>13.053241442464685</v>
      </c>
      <c r="K27" s="145">
        <f t="shared" si="2"/>
        <v>16.458594743265927</v>
      </c>
      <c r="L27" s="188">
        <f>(TableTEMaster[[#This Row],[TGT]]*TARGETS)+(TableTEMaster[[#This Row],[REC]]*RECEPTIONS_TE)+(TableTEMaster[[#This Row],[RCYD]]*RECV_YARDS)+(TableTEMaster[[#This Row],[RCTD]]*RECV_TDS)</f>
        <v>9.6478881416634454</v>
      </c>
      <c r="M27" s="190">
        <v>0</v>
      </c>
    </row>
    <row r="28" spans="1:13" x14ac:dyDescent="0.3">
      <c r="A28" s="196">
        <f>IF(TableTEMaster[[#This Row],[Player]]&lt;&gt;0,A27+1,A27)</f>
        <v>24</v>
      </c>
      <c r="B28" s="144" t="str">
        <f>DAL!A$26</f>
        <v>Jeremy Sprinkle</v>
      </c>
      <c r="C28" s="144" t="s">
        <v>146</v>
      </c>
      <c r="D28" s="146">
        <f>DAL!C$26</f>
        <v>9</v>
      </c>
      <c r="E28" s="145">
        <f>DAL!L$26</f>
        <v>8.0445402190749284</v>
      </c>
      <c r="F28" s="145">
        <f>DAL!M$26</f>
        <v>4.9160185278766884</v>
      </c>
      <c r="G28" s="145">
        <f>DAL!N$26</f>
        <v>50.068830973400843</v>
      </c>
      <c r="H28" s="145">
        <f>DAL!O$26</f>
        <v>0.34104277262862737</v>
      </c>
      <c r="I28" s="145">
        <f t="shared" si="0"/>
        <v>7.0531397331118484</v>
      </c>
      <c r="J28" s="145">
        <f t="shared" si="1"/>
        <v>9.5111489970501921</v>
      </c>
      <c r="K28" s="145">
        <f t="shared" si="2"/>
        <v>11.969158260988536</v>
      </c>
      <c r="L28" s="188">
        <f>(TableTEMaster[[#This Row],[TGT]]*TARGETS)+(TableTEMaster[[#This Row],[REC]]*RECEPTIONS_TE)+(TableTEMaster[[#This Row],[RCYD]]*RECV_YARDS)+(TableTEMaster[[#This Row],[RCTD]]*RECV_TDS)</f>
        <v>7.0531397331118484</v>
      </c>
      <c r="M28" s="190">
        <v>0</v>
      </c>
    </row>
    <row r="29" spans="1:13" x14ac:dyDescent="0.3">
      <c r="A29" s="196">
        <f>IF(TableTEMaster[[#This Row],[Player]]&lt;&gt;0,A28+1,A28)</f>
        <v>25</v>
      </c>
      <c r="B29" s="144" t="str">
        <f>DEN!A$24</f>
        <v>Albert Okwuegbunam</v>
      </c>
      <c r="C29" s="144" t="s">
        <v>147</v>
      </c>
      <c r="D29" s="146">
        <f>DEN!C$24</f>
        <v>9</v>
      </c>
      <c r="E29" s="145">
        <f>DEN!L$24</f>
        <v>71.451059363412327</v>
      </c>
      <c r="F29" s="145">
        <f>DEN!M$24</f>
        <v>51.712184174399567</v>
      </c>
      <c r="G29" s="145">
        <f>DEN!N$24</f>
        <v>537.05538115973718</v>
      </c>
      <c r="H29" s="145">
        <f>DEN!O$24</f>
        <v>5.2746427857887559</v>
      </c>
      <c r="I29" s="145">
        <f t="shared" si="0"/>
        <v>85.35339483070625</v>
      </c>
      <c r="J29" s="145">
        <f t="shared" si="1"/>
        <v>111.20948691790603</v>
      </c>
      <c r="K29" s="145">
        <f t="shared" si="2"/>
        <v>137.0655790051058</v>
      </c>
      <c r="L29" s="188">
        <f>(TableTEMaster[[#This Row],[TGT]]*TARGETS)+(TableTEMaster[[#This Row],[REC]]*RECEPTIONS_TE)+(TableTEMaster[[#This Row],[RCYD]]*RECV_YARDS)+(TableTEMaster[[#This Row],[RCTD]]*RECV_TDS)</f>
        <v>85.353394830706264</v>
      </c>
      <c r="M29" s="190">
        <v>7.4353334434863179</v>
      </c>
    </row>
    <row r="30" spans="1:13" x14ac:dyDescent="0.3">
      <c r="A30" s="196">
        <f>IF(TableTEMaster[[#This Row],[Player]]&lt;&gt;0,A29+1,A29)</f>
        <v>26</v>
      </c>
      <c r="B30" s="144" t="str">
        <f>DEN!A$25</f>
        <v>Greg Dulcich</v>
      </c>
      <c r="C30" s="144" t="s">
        <v>147</v>
      </c>
      <c r="D30" s="146">
        <f>DEN!C$25</f>
        <v>9</v>
      </c>
      <c r="E30" s="145">
        <f>DEN!L$25</f>
        <v>25.982203404877207</v>
      </c>
      <c r="F30" s="145">
        <f>DEN!M$25</f>
        <v>16.057001704214112</v>
      </c>
      <c r="G30" s="145">
        <f>DEN!N$25</f>
        <v>161.02014225113768</v>
      </c>
      <c r="H30" s="145">
        <f>DEN!O$25</f>
        <v>1.0587452098932997</v>
      </c>
      <c r="I30" s="145">
        <f t="shared" si="0"/>
        <v>22.454485484473569</v>
      </c>
      <c r="J30" s="145">
        <f t="shared" si="1"/>
        <v>30.482986336580623</v>
      </c>
      <c r="K30" s="145">
        <f t="shared" si="2"/>
        <v>38.511487188687681</v>
      </c>
      <c r="L30" s="188">
        <f>(TableTEMaster[[#This Row],[TGT]]*TARGETS)+(TableTEMaster[[#This Row],[REC]]*RECEPTIONS_TE)+(TableTEMaster[[#This Row],[RCYD]]*RECV_YARDS)+(TableTEMaster[[#This Row],[RCTD]]*RECV_TDS)</f>
        <v>22.454485484473569</v>
      </c>
      <c r="M30" s="190">
        <v>0</v>
      </c>
    </row>
    <row r="31" spans="1:13" x14ac:dyDescent="0.3">
      <c r="A31" s="196">
        <f>IF(TableTEMaster[[#This Row],[Player]]&lt;&gt;0,A30+1,A30)</f>
        <v>27</v>
      </c>
      <c r="B31" s="144" t="str">
        <f>DEN!A$26</f>
        <v>Eric Tomlinson</v>
      </c>
      <c r="C31" s="144" t="s">
        <v>147</v>
      </c>
      <c r="D31" s="146">
        <f>DEN!C$26</f>
        <v>9</v>
      </c>
      <c r="E31" s="145">
        <f>DEN!L$26</f>
        <v>5.426171364154369</v>
      </c>
      <c r="F31" s="145">
        <f>DEN!M$26</f>
        <v>3.2665551612209298</v>
      </c>
      <c r="G31" s="145">
        <f>DEN!N$26</f>
        <v>36.198764337611522</v>
      </c>
      <c r="H31" s="145">
        <f>DEN!O$26</f>
        <v>0.19999317313597526</v>
      </c>
      <c r="I31" s="145">
        <f t="shared" si="0"/>
        <v>4.8198354725770036</v>
      </c>
      <c r="J31" s="145">
        <f t="shared" si="1"/>
        <v>6.4531130531874688</v>
      </c>
      <c r="K31" s="145">
        <f t="shared" si="2"/>
        <v>8.086390633797933</v>
      </c>
      <c r="L31" s="188">
        <f>(TableTEMaster[[#This Row],[TGT]]*TARGETS)+(TableTEMaster[[#This Row],[REC]]*RECEPTIONS_TE)+(TableTEMaster[[#This Row],[RCYD]]*RECV_YARDS)+(TableTEMaster[[#This Row],[RCTD]]*RECV_TDS)</f>
        <v>4.8198354725770045</v>
      </c>
      <c r="M31" s="190">
        <v>0</v>
      </c>
    </row>
    <row r="32" spans="1:13" x14ac:dyDescent="0.3">
      <c r="A32" s="196">
        <f>IF(TableTEMaster[[#This Row],[Player]]&lt;&gt;0,A31+1,A31)</f>
        <v>28</v>
      </c>
      <c r="B32" s="144" t="str">
        <f>DET!A$24</f>
        <v>T.J. Hockenson</v>
      </c>
      <c r="C32" s="144" t="s">
        <v>148</v>
      </c>
      <c r="D32" s="146">
        <f>DET!C$24</f>
        <v>6</v>
      </c>
      <c r="E32" s="145">
        <f>DET!L$24</f>
        <v>104.75772291496725</v>
      </c>
      <c r="F32" s="145">
        <f>DET!M$24</f>
        <v>70.533374838647447</v>
      </c>
      <c r="G32" s="145">
        <f>DET!N$24</f>
        <v>708.86041712840688</v>
      </c>
      <c r="H32" s="145">
        <f>DET!O$24</f>
        <v>5.2610585643052064</v>
      </c>
      <c r="I32" s="145">
        <f t="shared" si="0"/>
        <v>102.45239309867193</v>
      </c>
      <c r="J32" s="145">
        <f t="shared" si="1"/>
        <v>137.71908051799565</v>
      </c>
      <c r="K32" s="145">
        <f t="shared" si="2"/>
        <v>172.98576793731939</v>
      </c>
      <c r="L32" s="188">
        <f>(TableTEMaster[[#This Row],[TGT]]*TARGETS)+(TableTEMaster[[#This Row],[REC]]*RECEPTIONS_TE)+(TableTEMaster[[#This Row],[RCYD]]*RECV_YARDS)+(TableTEMaster[[#This Row],[RCTD]]*RECV_TDS)</f>
        <v>102.45239309867193</v>
      </c>
      <c r="M32" s="190">
        <v>13.317786717850336</v>
      </c>
    </row>
    <row r="33" spans="1:13" x14ac:dyDescent="0.3">
      <c r="A33" s="196">
        <f>IF(TableTEMaster[[#This Row],[Player]]&lt;&gt;0,A32+1,A32)</f>
        <v>29</v>
      </c>
      <c r="B33" s="144" t="str">
        <f>DET!A$25</f>
        <v>Brock Wright</v>
      </c>
      <c r="C33" s="144" t="s">
        <v>148</v>
      </c>
      <c r="D33" s="146">
        <f>DET!C$25</f>
        <v>6</v>
      </c>
      <c r="E33" s="145">
        <f>DET!L$25</f>
        <v>21.501280605970003</v>
      </c>
      <c r="F33" s="145">
        <f>DET!M$25</f>
        <v>14.018834955092442</v>
      </c>
      <c r="G33" s="145">
        <f>DET!N$25</f>
        <v>137.15603263775628</v>
      </c>
      <c r="H33" s="145">
        <f>DET!O$25</f>
        <v>0.98131844685647107</v>
      </c>
      <c r="I33" s="145">
        <f t="shared" si="0"/>
        <v>19.603513944914454</v>
      </c>
      <c r="J33" s="145">
        <f t="shared" si="1"/>
        <v>26.612931422460676</v>
      </c>
      <c r="K33" s="145">
        <f t="shared" si="2"/>
        <v>33.622348900006898</v>
      </c>
      <c r="L33" s="188">
        <f>(TableTEMaster[[#This Row],[TGT]]*TARGETS)+(TableTEMaster[[#This Row],[REC]]*RECEPTIONS_TE)+(TableTEMaster[[#This Row],[RCYD]]*RECV_YARDS)+(TableTEMaster[[#This Row],[RCTD]]*RECV_TDS)</f>
        <v>19.603513944914454</v>
      </c>
      <c r="M33" s="190">
        <v>0</v>
      </c>
    </row>
    <row r="34" spans="1:13" x14ac:dyDescent="0.3">
      <c r="A34" s="196">
        <f>IF(TableTEMaster[[#This Row],[Player]]&lt;&gt;0,A33+1,A33)</f>
        <v>30</v>
      </c>
      <c r="B34" s="144" t="str">
        <f>DET!A$26</f>
        <v>James Mitchell</v>
      </c>
      <c r="C34" s="144" t="s">
        <v>148</v>
      </c>
      <c r="D34" s="146">
        <f>DET!C$26</f>
        <v>6</v>
      </c>
      <c r="E34" s="145">
        <f>DET!L$26</f>
        <v>6.3239060605794117</v>
      </c>
      <c r="F34" s="145">
        <f>DET!M$26</f>
        <v>3.8069914484688052</v>
      </c>
      <c r="G34" s="145">
        <f>DET!N$26</f>
        <v>32.131007825076715</v>
      </c>
      <c r="H34" s="145">
        <f>DET!O$26</f>
        <v>0.16474378027071621</v>
      </c>
      <c r="I34" s="145">
        <f t="shared" ref="I34:I65" si="3">(G34/10)+(H34*6)</f>
        <v>4.2015634641319686</v>
      </c>
      <c r="J34" s="145">
        <f t="shared" ref="J34:J65" si="4">I34+(F34*0.5)</f>
        <v>6.1050591883663712</v>
      </c>
      <c r="K34" s="145">
        <f t="shared" ref="K34:K65" si="5">I34+F34</f>
        <v>8.0085549126007738</v>
      </c>
      <c r="L34" s="188">
        <f>(TableTEMaster[[#This Row],[TGT]]*TARGETS)+(TableTEMaster[[#This Row],[REC]]*RECEPTIONS_TE)+(TableTEMaster[[#This Row],[RCYD]]*RECV_YARDS)+(TableTEMaster[[#This Row],[RCTD]]*RECV_TDS)</f>
        <v>4.2015634641319686</v>
      </c>
      <c r="M34" s="190">
        <v>0</v>
      </c>
    </row>
    <row r="35" spans="1:13" x14ac:dyDescent="0.3">
      <c r="A35" s="196">
        <f>IF(TableTEMaster[[#This Row],[Player]]&lt;&gt;0,A34+1,A34)</f>
        <v>31</v>
      </c>
      <c r="B35" s="144" t="str">
        <f>GB!A$24</f>
        <v>Robert Tonyan</v>
      </c>
      <c r="C35" s="144" t="s">
        <v>149</v>
      </c>
      <c r="D35" s="146">
        <f>GB!C$24</f>
        <v>14</v>
      </c>
      <c r="E35" s="145">
        <f>GB!L$24</f>
        <v>65.768098289999983</v>
      </c>
      <c r="F35" s="145">
        <f>GB!M$24</f>
        <v>46.300741196159983</v>
      </c>
      <c r="G35" s="145">
        <f>GB!N$24</f>
        <v>496.80695303479666</v>
      </c>
      <c r="H35" s="145">
        <f>GB!O$24</f>
        <v>5.2413672484903833</v>
      </c>
      <c r="I35" s="145">
        <f t="shared" si="3"/>
        <v>81.128898794421957</v>
      </c>
      <c r="J35" s="145">
        <f t="shared" si="4"/>
        <v>104.27926939250194</v>
      </c>
      <c r="K35" s="145">
        <f t="shared" si="5"/>
        <v>127.42963999058193</v>
      </c>
      <c r="L35" s="188">
        <f>(TableTEMaster[[#This Row],[TGT]]*TARGETS)+(TableTEMaster[[#This Row],[REC]]*RECEPTIONS_TE)+(TableTEMaster[[#This Row],[RCYD]]*RECV_YARDS)+(TableTEMaster[[#This Row],[RCTD]]*RECV_TDS)</f>
        <v>81.128898794421957</v>
      </c>
      <c r="M35" s="190">
        <v>4.8807128154445154</v>
      </c>
    </row>
    <row r="36" spans="1:13" x14ac:dyDescent="0.3">
      <c r="A36" s="196">
        <f>IF(TableTEMaster[[#This Row],[Player]]&lt;&gt;0,A35+1,A35)</f>
        <v>32</v>
      </c>
      <c r="B36" s="144" t="str">
        <f>GB!A$25</f>
        <v>Marcedes Lewis</v>
      </c>
      <c r="C36" s="144" t="s">
        <v>149</v>
      </c>
      <c r="D36" s="146">
        <f>GB!C$25</f>
        <v>14</v>
      </c>
      <c r="E36" s="145">
        <f>GB!L$25</f>
        <v>17.775161699999991</v>
      </c>
      <c r="F36" s="145">
        <f>GB!M$25</f>
        <v>10.700647343399995</v>
      </c>
      <c r="G36" s="145">
        <f>GB!N$25</f>
        <v>107.43449932773594</v>
      </c>
      <c r="H36" s="145">
        <f>GB!O$25</f>
        <v>0.98445955559279952</v>
      </c>
      <c r="I36" s="145">
        <f t="shared" si="3"/>
        <v>16.650207266330391</v>
      </c>
      <c r="J36" s="145">
        <f t="shared" si="4"/>
        <v>22.000530938030387</v>
      </c>
      <c r="K36" s="145">
        <f t="shared" si="5"/>
        <v>27.350854609730384</v>
      </c>
      <c r="L36" s="188">
        <f>(TableTEMaster[[#This Row],[TGT]]*TARGETS)+(TableTEMaster[[#This Row],[REC]]*RECEPTIONS_TE)+(TableTEMaster[[#This Row],[RCYD]]*RECV_YARDS)+(TableTEMaster[[#This Row],[RCTD]]*RECV_TDS)</f>
        <v>16.650207266330391</v>
      </c>
      <c r="M36" s="190">
        <v>0</v>
      </c>
    </row>
    <row r="37" spans="1:13" x14ac:dyDescent="0.3">
      <c r="A37" s="196">
        <f>IF(TableTEMaster[[#This Row],[Player]]&lt;&gt;0,A36+1,A36)</f>
        <v>33</v>
      </c>
      <c r="B37" s="144" t="str">
        <f>GB!A$26</f>
        <v>Josiah Deguara</v>
      </c>
      <c r="C37" s="144" t="s">
        <v>149</v>
      </c>
      <c r="D37" s="146">
        <f>GB!C$26</f>
        <v>14</v>
      </c>
      <c r="E37" s="145">
        <f>GB!L$26</f>
        <v>20.145183259999996</v>
      </c>
      <c r="F37" s="145">
        <f>GB!M$26</f>
        <v>12.449723254679997</v>
      </c>
      <c r="G37" s="145">
        <f>GB!N$26</f>
        <v>130.38151317585604</v>
      </c>
      <c r="H37" s="145">
        <f>GB!O$26</f>
        <v>1.2191130013996798</v>
      </c>
      <c r="I37" s="145">
        <f t="shared" si="3"/>
        <v>20.352829325983684</v>
      </c>
      <c r="J37" s="145">
        <f t="shared" si="4"/>
        <v>26.577690953323682</v>
      </c>
      <c r="K37" s="145">
        <f t="shared" si="5"/>
        <v>32.802552580663679</v>
      </c>
      <c r="L37" s="188">
        <f>(TableTEMaster[[#This Row],[TGT]]*TARGETS)+(TableTEMaster[[#This Row],[REC]]*RECEPTIONS_TE)+(TableTEMaster[[#This Row],[RCYD]]*RECV_YARDS)+(TableTEMaster[[#This Row],[RCTD]]*RECV_TDS)</f>
        <v>20.352829325983684</v>
      </c>
      <c r="M37" s="190">
        <v>0</v>
      </c>
    </row>
    <row r="38" spans="1:13" x14ac:dyDescent="0.3">
      <c r="A38" s="196">
        <f>IF(TableTEMaster[[#This Row],[Player]]&lt;&gt;0,A37+1,A37)</f>
        <v>34</v>
      </c>
      <c r="B38" s="144" t="str">
        <f>HOU!A$24</f>
        <v>Brevin Jordan</v>
      </c>
      <c r="C38" s="144" t="s">
        <v>150</v>
      </c>
      <c r="D38" s="146">
        <f>HOU!C$24</f>
        <v>6</v>
      </c>
      <c r="E38" s="145">
        <f>HOU!L$24</f>
        <v>85.027608823573715</v>
      </c>
      <c r="F38" s="145">
        <f>HOU!M$24</f>
        <v>53.083122111818199</v>
      </c>
      <c r="G38" s="145">
        <f>HOU!N$24</f>
        <v>549.94114507843653</v>
      </c>
      <c r="H38" s="145">
        <f>HOU!O$24</f>
        <v>5.4144784554054555</v>
      </c>
      <c r="I38" s="145">
        <f t="shared" si="3"/>
        <v>87.480985240276397</v>
      </c>
      <c r="J38" s="145">
        <f t="shared" si="4"/>
        <v>114.0225462961855</v>
      </c>
      <c r="K38" s="145">
        <f t="shared" si="5"/>
        <v>140.5641073520946</v>
      </c>
      <c r="L38" s="188">
        <f>(TableTEMaster[[#This Row],[TGT]]*TARGETS)+(TableTEMaster[[#This Row],[REC]]*RECEPTIONS_TE)+(TableTEMaster[[#This Row],[RCYD]]*RECV_YARDS)+(TableTEMaster[[#This Row],[RCTD]]*RECV_TDS)</f>
        <v>87.480985240276397</v>
      </c>
      <c r="M38" s="190">
        <v>0</v>
      </c>
    </row>
    <row r="39" spans="1:13" x14ac:dyDescent="0.3">
      <c r="A39" s="196">
        <f>IF(TableTEMaster[[#This Row],[Player]]&lt;&gt;0,A38+1,A38)</f>
        <v>35</v>
      </c>
      <c r="B39" s="144" t="str">
        <f>HOU!A$25</f>
        <v>Pharaoh Brown</v>
      </c>
      <c r="C39" s="144" t="s">
        <v>150</v>
      </c>
      <c r="D39" s="146">
        <f>HOU!C$25</f>
        <v>6</v>
      </c>
      <c r="E39" s="145">
        <f>HOU!L$25</f>
        <v>29.939298881540047</v>
      </c>
      <c r="F39" s="145">
        <f>HOU!M$25</f>
        <v>20.179087446157993</v>
      </c>
      <c r="G39" s="145">
        <f>HOU!N$25</f>
        <v>204.81773757850362</v>
      </c>
      <c r="H39" s="145">
        <f>HOU!O$25</f>
        <v>1.3519988588925855</v>
      </c>
      <c r="I39" s="145">
        <f t="shared" si="3"/>
        <v>28.593766911205876</v>
      </c>
      <c r="J39" s="145">
        <f t="shared" si="4"/>
        <v>38.683310634284872</v>
      </c>
      <c r="K39" s="145">
        <f t="shared" si="5"/>
        <v>48.772854357363869</v>
      </c>
      <c r="L39" s="188">
        <f>(TableTEMaster[[#This Row],[TGT]]*TARGETS)+(TableTEMaster[[#This Row],[REC]]*RECEPTIONS_TE)+(TableTEMaster[[#This Row],[RCYD]]*RECV_YARDS)+(TableTEMaster[[#This Row],[RCTD]]*RECV_TDS)</f>
        <v>28.593766911205876</v>
      </c>
      <c r="M39" s="190">
        <v>0</v>
      </c>
    </row>
    <row r="40" spans="1:13" x14ac:dyDescent="0.3">
      <c r="A40" s="196">
        <f>IF(TableTEMaster[[#This Row],[Player]]&lt;&gt;0,A39+1,A39)</f>
        <v>36</v>
      </c>
      <c r="B40" s="144" t="str">
        <f>HOU!A$26</f>
        <v>Teagan Quitoriano</v>
      </c>
      <c r="C40" s="144" t="s">
        <v>150</v>
      </c>
      <c r="D40" s="146">
        <f>HOU!C$26</f>
        <v>6</v>
      </c>
      <c r="E40" s="145">
        <f>HOU!L$26</f>
        <v>5.9878597763080101</v>
      </c>
      <c r="F40" s="145">
        <f>HOU!M$26</f>
        <v>3.9446650202896953</v>
      </c>
      <c r="G40" s="145">
        <f>HOU!N$26</f>
        <v>39.486096853099852</v>
      </c>
      <c r="H40" s="145">
        <f>HOU!O$26</f>
        <v>0.19723325101448477</v>
      </c>
      <c r="I40" s="145">
        <f t="shared" si="3"/>
        <v>5.1320091913968939</v>
      </c>
      <c r="J40" s="145">
        <f t="shared" si="4"/>
        <v>7.1043417015417418</v>
      </c>
      <c r="K40" s="145">
        <f t="shared" si="5"/>
        <v>9.0766742116865888</v>
      </c>
      <c r="L40" s="188">
        <f>(TableTEMaster[[#This Row],[TGT]]*TARGETS)+(TableTEMaster[[#This Row],[REC]]*RECEPTIONS_TE)+(TableTEMaster[[#This Row],[RCYD]]*RECV_YARDS)+(TableTEMaster[[#This Row],[RCTD]]*RECV_TDS)</f>
        <v>5.1320091913968939</v>
      </c>
      <c r="M40" s="190">
        <v>0</v>
      </c>
    </row>
    <row r="41" spans="1:13" x14ac:dyDescent="0.3">
      <c r="A41" s="196">
        <f>IF(TableTEMaster[[#This Row],[Player]]&lt;&gt;0,A40+1,A40)</f>
        <v>37</v>
      </c>
      <c r="B41" s="144" t="str">
        <f>IND!A$24</f>
        <v>Mo Alie-Cox</v>
      </c>
      <c r="C41" s="144" t="s">
        <v>151</v>
      </c>
      <c r="D41" s="146">
        <f>IND!C$24</f>
        <v>14</v>
      </c>
      <c r="E41" s="145">
        <f>IND!L$24</f>
        <v>60.791903207334535</v>
      </c>
      <c r="F41" s="145">
        <f>IND!M$24</f>
        <v>40.365823729670133</v>
      </c>
      <c r="G41" s="145">
        <f>IND!N$24</f>
        <v>506.869552961073</v>
      </c>
      <c r="H41" s="145">
        <f>IND!O$24</f>
        <v>4.9657608252160292</v>
      </c>
      <c r="I41" s="145">
        <f t="shared" si="3"/>
        <v>80.481520247403466</v>
      </c>
      <c r="J41" s="145">
        <f t="shared" si="4"/>
        <v>100.66443211223853</v>
      </c>
      <c r="K41" s="145">
        <f t="shared" si="5"/>
        <v>120.84734397707359</v>
      </c>
      <c r="L41" s="188">
        <f>(TableTEMaster[[#This Row],[TGT]]*TARGETS)+(TableTEMaster[[#This Row],[REC]]*RECEPTIONS_TE)+(TableTEMaster[[#This Row],[RCYD]]*RECV_YARDS)+(TableTEMaster[[#This Row],[RCTD]]*RECV_TDS)</f>
        <v>80.481520247403466</v>
      </c>
      <c r="M41" s="190">
        <v>0</v>
      </c>
    </row>
    <row r="42" spans="1:13" x14ac:dyDescent="0.3">
      <c r="A42" s="196">
        <f>IF(TableTEMaster[[#This Row],[Player]]&lt;&gt;0,A41+1,A41)</f>
        <v>38</v>
      </c>
      <c r="B42" s="144" t="str">
        <f>IND!A$25</f>
        <v>Kylen Granson</v>
      </c>
      <c r="C42" s="144" t="s">
        <v>151</v>
      </c>
      <c r="D42" s="146">
        <f>IND!C$25</f>
        <v>14</v>
      </c>
      <c r="E42" s="145">
        <f>IND!L$25</f>
        <v>29.448516778737893</v>
      </c>
      <c r="F42" s="145">
        <f>IND!M$25</f>
        <v>18.19918336926002</v>
      </c>
      <c r="G42" s="145">
        <f>IND!N$25</f>
        <v>185.86325589332031</v>
      </c>
      <c r="H42" s="145">
        <f>IND!O$25</f>
        <v>1.4745894760651237</v>
      </c>
      <c r="I42" s="145">
        <f t="shared" si="3"/>
        <v>27.433862445722774</v>
      </c>
      <c r="J42" s="145">
        <f t="shared" si="4"/>
        <v>36.53345413035278</v>
      </c>
      <c r="K42" s="145">
        <f t="shared" si="5"/>
        <v>45.633045814982793</v>
      </c>
      <c r="L42" s="188">
        <f>(TableTEMaster[[#This Row],[TGT]]*TARGETS)+(TableTEMaster[[#This Row],[REC]]*RECEPTIONS_TE)+(TableTEMaster[[#This Row],[RCYD]]*RECV_YARDS)+(TableTEMaster[[#This Row],[RCTD]]*RECV_TDS)</f>
        <v>27.433862445722774</v>
      </c>
      <c r="M42" s="190">
        <v>0</v>
      </c>
    </row>
    <row r="43" spans="1:13" x14ac:dyDescent="0.3">
      <c r="A43" s="196">
        <f>IF(TableTEMaster[[#This Row],[Player]]&lt;&gt;0,A42+1,A42)</f>
        <v>39</v>
      </c>
      <c r="B43" s="144" t="str">
        <f>IND!A$26</f>
        <v>Jelani Woods</v>
      </c>
      <c r="C43" s="144" t="s">
        <v>151</v>
      </c>
      <c r="D43" s="146">
        <f>IND!C$26</f>
        <v>14</v>
      </c>
      <c r="E43" s="145">
        <f>IND!L$26</f>
        <v>18.180756099389768</v>
      </c>
      <c r="F43" s="145">
        <f>IND!M$26</f>
        <v>11.235707269422877</v>
      </c>
      <c r="G43" s="145">
        <f>IND!N$26</f>
        <v>120.14582331268096</v>
      </c>
      <c r="H43" s="145">
        <f>IND!O$26</f>
        <v>0.85950729297637485</v>
      </c>
      <c r="I43" s="145">
        <f t="shared" si="3"/>
        <v>17.171626089126345</v>
      </c>
      <c r="J43" s="145">
        <f t="shared" si="4"/>
        <v>22.789479723837783</v>
      </c>
      <c r="K43" s="145">
        <f t="shared" si="5"/>
        <v>28.407333358549224</v>
      </c>
      <c r="L43" s="188">
        <f>(TableTEMaster[[#This Row],[TGT]]*TARGETS)+(TableTEMaster[[#This Row],[REC]]*RECEPTIONS_TE)+(TableTEMaster[[#This Row],[RCYD]]*RECV_YARDS)+(TableTEMaster[[#This Row],[RCTD]]*RECV_TDS)</f>
        <v>17.171626089126345</v>
      </c>
      <c r="M43" s="190">
        <v>0</v>
      </c>
    </row>
    <row r="44" spans="1:13" x14ac:dyDescent="0.3">
      <c r="A44" s="196">
        <f>IF(TableTEMaster[[#This Row],[Player]]&lt;&gt;0,A43+1,A43)</f>
        <v>40</v>
      </c>
      <c r="B44" s="144" t="str">
        <f>JAX!A$24</f>
        <v>Evan Engram</v>
      </c>
      <c r="C44" s="144" t="s">
        <v>170</v>
      </c>
      <c r="D44" s="146">
        <f>JAX!C$24</f>
        <v>11</v>
      </c>
      <c r="E44" s="145">
        <f>JAX!L$24</f>
        <v>79.227030035042574</v>
      </c>
      <c r="F44" s="145">
        <f>JAX!M$24</f>
        <v>47.789744517137677</v>
      </c>
      <c r="G44" s="145">
        <f>JAX!N$24</f>
        <v>535.24513859194201</v>
      </c>
      <c r="H44" s="145">
        <f>JAX!O$24</f>
        <v>4.2532872620252533</v>
      </c>
      <c r="I44" s="145">
        <f t="shared" si="3"/>
        <v>79.044237431345721</v>
      </c>
      <c r="J44" s="145">
        <f t="shared" si="4"/>
        <v>102.93910968991456</v>
      </c>
      <c r="K44" s="145">
        <f t="shared" si="5"/>
        <v>126.8339819484834</v>
      </c>
      <c r="L44" s="188">
        <f>(TableTEMaster[[#This Row],[TGT]]*TARGETS)+(TableTEMaster[[#This Row],[REC]]*RECEPTIONS_TE)+(TableTEMaster[[#This Row],[RCYD]]*RECV_YARDS)+(TableTEMaster[[#This Row],[RCTD]]*RECV_TDS)</f>
        <v>79.044237431345721</v>
      </c>
      <c r="M44" s="190">
        <v>0</v>
      </c>
    </row>
    <row r="45" spans="1:13" x14ac:dyDescent="0.3">
      <c r="A45" s="196">
        <f>IF(TableTEMaster[[#This Row],[Player]]&lt;&gt;0,A44+1,A44)</f>
        <v>41</v>
      </c>
      <c r="B45" s="144" t="str">
        <f>JAX!A$25</f>
        <v>Dan Arnold</v>
      </c>
      <c r="C45" s="144" t="s">
        <v>170</v>
      </c>
      <c r="D45" s="146">
        <f>JAX!C$25</f>
        <v>11</v>
      </c>
      <c r="E45" s="145">
        <f>JAX!L$25</f>
        <v>49.57186802311999</v>
      </c>
      <c r="F45" s="145">
        <f>JAX!M$25</f>
        <v>30.660200372299716</v>
      </c>
      <c r="G45" s="145">
        <f>JAX!N$25</f>
        <v>372.86242107403086</v>
      </c>
      <c r="H45" s="145">
        <f>JAX!O$25</f>
        <v>2.790078233879274</v>
      </c>
      <c r="I45" s="145">
        <f t="shared" si="3"/>
        <v>54.026711510678723</v>
      </c>
      <c r="J45" s="145">
        <f t="shared" si="4"/>
        <v>69.356811696828586</v>
      </c>
      <c r="K45" s="145">
        <f t="shared" si="5"/>
        <v>84.686911882978436</v>
      </c>
      <c r="L45" s="188">
        <f>(TableTEMaster[[#This Row],[TGT]]*TARGETS)+(TableTEMaster[[#This Row],[REC]]*RECEPTIONS_TE)+(TableTEMaster[[#This Row],[RCYD]]*RECV_YARDS)+(TableTEMaster[[#This Row],[RCTD]]*RECV_TDS)</f>
        <v>54.026711510678737</v>
      </c>
      <c r="M45" s="190">
        <v>0</v>
      </c>
    </row>
    <row r="46" spans="1:13" x14ac:dyDescent="0.3">
      <c r="A46" s="196">
        <f>IF(TableTEMaster[[#This Row],[Player]]&lt;&gt;0,A45+1,A45)</f>
        <v>42</v>
      </c>
      <c r="B46" s="144" t="str">
        <f>JAX!A$26</f>
        <v>Chris Manhertz</v>
      </c>
      <c r="C46" s="144" t="s">
        <v>170</v>
      </c>
      <c r="D46" s="146">
        <f>JAX!C$26</f>
        <v>11</v>
      </c>
      <c r="E46" s="145">
        <f>JAX!L$26</f>
        <v>12.893146125440278</v>
      </c>
      <c r="F46" s="145">
        <f>JAX!M$26</f>
        <v>7.6327425062606444</v>
      </c>
      <c r="G46" s="145">
        <f>JAX!N$26</f>
        <v>81.370746207544869</v>
      </c>
      <c r="H46" s="145">
        <f>JAX!O$26</f>
        <v>0.59029362340171898</v>
      </c>
      <c r="I46" s="145">
        <f t="shared" si="3"/>
        <v>11.6788363611648</v>
      </c>
      <c r="J46" s="145">
        <f t="shared" si="4"/>
        <v>15.495207614295122</v>
      </c>
      <c r="K46" s="145">
        <f t="shared" si="5"/>
        <v>19.311578867425446</v>
      </c>
      <c r="L46" s="188">
        <f>(TableTEMaster[[#This Row],[TGT]]*TARGETS)+(TableTEMaster[[#This Row],[REC]]*RECEPTIONS_TE)+(TableTEMaster[[#This Row],[RCYD]]*RECV_YARDS)+(TableTEMaster[[#This Row],[RCTD]]*RECV_TDS)</f>
        <v>11.678836361164802</v>
      </c>
      <c r="M46" s="190">
        <v>0</v>
      </c>
    </row>
    <row r="47" spans="1:13" x14ac:dyDescent="0.3">
      <c r="A47" s="196">
        <f>IF(TableTEMaster[[#This Row],[Player]]&lt;&gt;0,A46+1,A46)</f>
        <v>43</v>
      </c>
      <c r="B47" s="144" t="str">
        <f>KC!A$24</f>
        <v>Travis Kelce</v>
      </c>
      <c r="C47" s="144" t="s">
        <v>153</v>
      </c>
      <c r="D47" s="146">
        <f>KC!C$24</f>
        <v>8</v>
      </c>
      <c r="E47" s="145">
        <f>KC!L$24</f>
        <v>139.66517068724178</v>
      </c>
      <c r="F47" s="145">
        <f>KC!M$24</f>
        <v>101.09143350305139</v>
      </c>
      <c r="G47" s="145">
        <f>KC!N$24</f>
        <v>1146.3768559246028</v>
      </c>
      <c r="H47" s="145">
        <f>KC!O$24</f>
        <v>8.8960461482685211</v>
      </c>
      <c r="I47" s="145">
        <f t="shared" si="3"/>
        <v>168.01396248207141</v>
      </c>
      <c r="J47" s="145">
        <f t="shared" si="4"/>
        <v>218.55967923359711</v>
      </c>
      <c r="K47" s="145">
        <f t="shared" si="5"/>
        <v>269.10539598512281</v>
      </c>
      <c r="L47" s="188">
        <f>(TableTEMaster[[#This Row],[TGT]]*TARGETS)+(TableTEMaster[[#This Row],[REC]]*RECEPTIONS_TE)+(TableTEMaster[[#This Row],[RCYD]]*RECV_YARDS)+(TableTEMaster[[#This Row],[RCTD]]*RECV_TDS)</f>
        <v>168.01396248207141</v>
      </c>
      <c r="M47" s="190">
        <v>30</v>
      </c>
    </row>
    <row r="48" spans="1:13" x14ac:dyDescent="0.3">
      <c r="A48" s="196">
        <f>IF(TableTEMaster[[#This Row],[Player]]&lt;&gt;0,A47+1,A47)</f>
        <v>44</v>
      </c>
      <c r="B48" s="144" t="str">
        <f>KC!A$25</f>
        <v>Noah Gray</v>
      </c>
      <c r="C48" s="144" t="s">
        <v>153</v>
      </c>
      <c r="D48" s="146">
        <f>KC!C$25</f>
        <v>8</v>
      </c>
      <c r="E48" s="145">
        <f>KC!L$25</f>
        <v>15.061930172153525</v>
      </c>
      <c r="F48" s="145">
        <f>KC!M$25</f>
        <v>9.7580482338789487</v>
      </c>
      <c r="G48" s="145">
        <f>KC!N$25</f>
        <v>92.217272862055452</v>
      </c>
      <c r="H48" s="145">
        <f>KC!O$25</f>
        <v>0.77489029824584055</v>
      </c>
      <c r="I48" s="145">
        <f t="shared" si="3"/>
        <v>13.871069075680589</v>
      </c>
      <c r="J48" s="145">
        <f t="shared" si="4"/>
        <v>18.750093192620064</v>
      </c>
      <c r="K48" s="145">
        <f t="shared" si="5"/>
        <v>23.62911730955954</v>
      </c>
      <c r="L48" s="188">
        <f>(TableTEMaster[[#This Row],[TGT]]*TARGETS)+(TableTEMaster[[#This Row],[REC]]*RECEPTIONS_TE)+(TableTEMaster[[#This Row],[RCYD]]*RECV_YARDS)+(TableTEMaster[[#This Row],[RCTD]]*RECV_TDS)</f>
        <v>13.871069075680589</v>
      </c>
      <c r="M48" s="190">
        <v>0</v>
      </c>
    </row>
    <row r="49" spans="1:13" x14ac:dyDescent="0.3">
      <c r="A49" s="196">
        <f>IF(TableTEMaster[[#This Row],[Player]]&lt;&gt;0,A48+1,A48)</f>
        <v>45</v>
      </c>
      <c r="B49" s="144" t="str">
        <f>KC!A$26</f>
        <v>Blake Bell</v>
      </c>
      <c r="C49" s="144" t="s">
        <v>153</v>
      </c>
      <c r="D49" s="146">
        <f>KC!C$26</f>
        <v>8</v>
      </c>
      <c r="E49" s="145">
        <f>KC!L$26</f>
        <v>11.638764223936816</v>
      </c>
      <c r="F49" s="145">
        <f>KC!M$26</f>
        <v>7.2985027767704347</v>
      </c>
      <c r="G49" s="145">
        <f>KC!N$26</f>
        <v>70.67423426507186</v>
      </c>
      <c r="H49" s="145">
        <f>KC!O$26</f>
        <v>0.54008920548101214</v>
      </c>
      <c r="I49" s="145">
        <f t="shared" si="3"/>
        <v>10.307958659393258</v>
      </c>
      <c r="J49" s="145">
        <f t="shared" si="4"/>
        <v>13.957210047778474</v>
      </c>
      <c r="K49" s="145">
        <f t="shared" si="5"/>
        <v>17.606461436163691</v>
      </c>
      <c r="L49" s="188">
        <f>(TableTEMaster[[#This Row],[TGT]]*TARGETS)+(TableTEMaster[[#This Row],[REC]]*RECEPTIONS_TE)+(TableTEMaster[[#This Row],[RCYD]]*RECV_YARDS)+(TableTEMaster[[#This Row],[RCTD]]*RECV_TDS)</f>
        <v>10.307958659393259</v>
      </c>
      <c r="M49" s="190">
        <v>0</v>
      </c>
    </row>
    <row r="50" spans="1:13" x14ac:dyDescent="0.3">
      <c r="A50" s="196">
        <f>IF(TableTEMaster[[#This Row],[Player]]&lt;&gt;0,A49+1,A49)</f>
        <v>46</v>
      </c>
      <c r="B50" s="144" t="str">
        <f>LAC!A$24</f>
        <v>Gerald Everett</v>
      </c>
      <c r="C50" s="144" t="s">
        <v>154</v>
      </c>
      <c r="D50" s="146">
        <f>LAC!C$24</f>
        <v>8</v>
      </c>
      <c r="E50" s="145">
        <f>LAC!L$24</f>
        <v>77.985894349978679</v>
      </c>
      <c r="F50" s="145">
        <f>LAC!M$24</f>
        <v>54.192408952280417</v>
      </c>
      <c r="G50" s="145">
        <f>LAC!N$24</f>
        <v>569.12460424581741</v>
      </c>
      <c r="H50" s="145">
        <f>LAC!O$24</f>
        <v>4.9315092146575177</v>
      </c>
      <c r="I50" s="145">
        <f t="shared" si="3"/>
        <v>86.501515712526839</v>
      </c>
      <c r="J50" s="145">
        <f t="shared" si="4"/>
        <v>113.59772018866704</v>
      </c>
      <c r="K50" s="145">
        <f t="shared" si="5"/>
        <v>140.69392466480724</v>
      </c>
      <c r="L50" s="188">
        <f>(TableTEMaster[[#This Row],[TGT]]*TARGETS)+(TableTEMaster[[#This Row],[REC]]*RECEPTIONS_TE)+(TableTEMaster[[#This Row],[RCYD]]*RECV_YARDS)+(TableTEMaster[[#This Row],[RCTD]]*RECV_TDS)</f>
        <v>86.501515712526853</v>
      </c>
      <c r="M50" s="190">
        <v>0</v>
      </c>
    </row>
    <row r="51" spans="1:13" x14ac:dyDescent="0.3">
      <c r="A51" s="196">
        <f>IF(TableTEMaster[[#This Row],[Player]]&lt;&gt;0,A50+1,A50)</f>
        <v>47</v>
      </c>
      <c r="B51" s="144" t="str">
        <f>LAC!A$25</f>
        <v>Donald Parham</v>
      </c>
      <c r="C51" s="144" t="s">
        <v>154</v>
      </c>
      <c r="D51" s="146">
        <f>LAC!C$25</f>
        <v>8</v>
      </c>
      <c r="E51" s="145">
        <f>LAC!L$25</f>
        <v>28.295766976540936</v>
      </c>
      <c r="F51" s="145">
        <f>LAC!M$25</f>
        <v>18.369941502547089</v>
      </c>
      <c r="G51" s="145">
        <f>LAC!N$25</f>
        <v>183.88311444049637</v>
      </c>
      <c r="H51" s="145">
        <f>LAC!O$25</f>
        <v>2.4053411572600738</v>
      </c>
      <c r="I51" s="145">
        <f t="shared" si="3"/>
        <v>32.820358387610085</v>
      </c>
      <c r="J51" s="145">
        <f t="shared" si="4"/>
        <v>42.005329138883631</v>
      </c>
      <c r="K51" s="145">
        <f t="shared" si="5"/>
        <v>51.190299890157178</v>
      </c>
      <c r="L51" s="188">
        <f>(TableTEMaster[[#This Row],[TGT]]*TARGETS)+(TableTEMaster[[#This Row],[REC]]*RECEPTIONS_TE)+(TableTEMaster[[#This Row],[RCYD]]*RECV_YARDS)+(TableTEMaster[[#This Row],[RCTD]]*RECV_TDS)</f>
        <v>32.820358387610085</v>
      </c>
      <c r="M51" s="190">
        <v>0</v>
      </c>
    </row>
    <row r="52" spans="1:13" x14ac:dyDescent="0.3">
      <c r="A52" s="196">
        <f>IF(TableTEMaster[[#This Row],[Player]]&lt;&gt;0,A51+1,A51)</f>
        <v>48</v>
      </c>
      <c r="B52" s="144" t="str">
        <f>LAC!A$26</f>
        <v>Tre' McKitty</v>
      </c>
      <c r="C52" s="144" t="s">
        <v>154</v>
      </c>
      <c r="D52" s="146">
        <f>LAC!C$26</f>
        <v>8</v>
      </c>
      <c r="E52" s="145">
        <f>LAC!L$26</f>
        <v>13.112672501323846</v>
      </c>
      <c r="F52" s="145">
        <f>LAC!M$26</f>
        <v>8.5494624708631477</v>
      </c>
      <c r="G52" s="145">
        <f>LAC!N$26</f>
        <v>93.189140932408307</v>
      </c>
      <c r="H52" s="145">
        <f>LAC!O$26</f>
        <v>0.73941297045302901</v>
      </c>
      <c r="I52" s="145">
        <f t="shared" si="3"/>
        <v>13.755391915959006</v>
      </c>
      <c r="J52" s="145">
        <f t="shared" si="4"/>
        <v>18.03012315139058</v>
      </c>
      <c r="K52" s="145">
        <f t="shared" si="5"/>
        <v>22.304854386822154</v>
      </c>
      <c r="L52" s="188">
        <f>(TableTEMaster[[#This Row],[TGT]]*TARGETS)+(TableTEMaster[[#This Row],[REC]]*RECEPTIONS_TE)+(TableTEMaster[[#This Row],[RCYD]]*RECV_YARDS)+(TableTEMaster[[#This Row],[RCTD]]*RECV_TDS)</f>
        <v>13.755391915959006</v>
      </c>
      <c r="M52" s="190">
        <v>0</v>
      </c>
    </row>
    <row r="53" spans="1:13" x14ac:dyDescent="0.3">
      <c r="A53" s="196">
        <f>IF(TableTEMaster[[#This Row],[Player]]&lt;&gt;0,A52+1,A52)</f>
        <v>49</v>
      </c>
      <c r="B53" s="144" t="str">
        <f>LAR!A$24</f>
        <v>Tyler Higbee</v>
      </c>
      <c r="C53" s="144" t="s">
        <v>155</v>
      </c>
      <c r="D53" s="146">
        <f>LAR!C$24</f>
        <v>7</v>
      </c>
      <c r="E53" s="145">
        <f>LAR!L$24</f>
        <v>82.390270222675767</v>
      </c>
      <c r="F53" s="145">
        <f>LAR!M$24</f>
        <v>54.70713942785671</v>
      </c>
      <c r="G53" s="145">
        <f>LAR!N$24</f>
        <v>523.54732432458877</v>
      </c>
      <c r="H53" s="145">
        <f>LAR!O$24</f>
        <v>4.2671568753728231</v>
      </c>
      <c r="I53" s="145">
        <f t="shared" si="3"/>
        <v>77.957673684695806</v>
      </c>
      <c r="J53" s="145">
        <f t="shared" si="4"/>
        <v>105.31124339862416</v>
      </c>
      <c r="K53" s="145">
        <f t="shared" si="5"/>
        <v>132.66481311255251</v>
      </c>
      <c r="L53" s="188">
        <f>(TableTEMaster[[#This Row],[TGT]]*TARGETS)+(TableTEMaster[[#This Row],[REC]]*RECEPTIONS_TE)+(TableTEMaster[[#This Row],[RCYD]]*RECV_YARDS)+(TableTEMaster[[#This Row],[RCTD]]*RECV_TDS)</f>
        <v>77.95767368469582</v>
      </c>
      <c r="M53" s="190">
        <v>6.8828272271244249</v>
      </c>
    </row>
    <row r="54" spans="1:13" x14ac:dyDescent="0.3">
      <c r="A54" s="196">
        <f>IF(TableTEMaster[[#This Row],[Player]]&lt;&gt;0,A53+1,A53)</f>
        <v>50</v>
      </c>
      <c r="B54" s="144" t="str">
        <f>LAR!A$25</f>
        <v>Jacob Harris</v>
      </c>
      <c r="C54" s="144" t="s">
        <v>155</v>
      </c>
      <c r="D54" s="146">
        <f>LAR!C$25</f>
        <v>7</v>
      </c>
      <c r="E54" s="145">
        <f>LAR!L$25</f>
        <v>13.295663358821855</v>
      </c>
      <c r="F54" s="145">
        <f>LAR!M$25</f>
        <v>8.5358158763636318</v>
      </c>
      <c r="G54" s="145">
        <f>LAR!N$25</f>
        <v>90.700302033197232</v>
      </c>
      <c r="H54" s="145">
        <f>LAR!O$25</f>
        <v>0.76822342887272688</v>
      </c>
      <c r="I54" s="145">
        <f t="shared" si="3"/>
        <v>13.679370776556084</v>
      </c>
      <c r="J54" s="145">
        <f t="shared" si="4"/>
        <v>17.947278714737898</v>
      </c>
      <c r="K54" s="145">
        <f t="shared" si="5"/>
        <v>22.215186652919716</v>
      </c>
      <c r="L54" s="188">
        <f>(TableTEMaster[[#This Row],[TGT]]*TARGETS)+(TableTEMaster[[#This Row],[REC]]*RECEPTIONS_TE)+(TableTEMaster[[#This Row],[RCYD]]*RECV_YARDS)+(TableTEMaster[[#This Row],[RCTD]]*RECV_TDS)</f>
        <v>13.679370776556084</v>
      </c>
      <c r="M54" s="190">
        <v>0</v>
      </c>
    </row>
    <row r="55" spans="1:13" x14ac:dyDescent="0.3">
      <c r="A55" s="196">
        <f>IF(TableTEMaster[[#This Row],[Player]]&lt;&gt;0,A54+1,A54)</f>
        <v>51</v>
      </c>
      <c r="B55" s="144" t="str">
        <f>LAR!A$26</f>
        <v>Brycen Hopkins</v>
      </c>
      <c r="C55" s="144" t="s">
        <v>155</v>
      </c>
      <c r="D55" s="146">
        <f>LAR!C$26</f>
        <v>7</v>
      </c>
      <c r="E55" s="145">
        <f>LAR!L$26</f>
        <v>14.561917012042981</v>
      </c>
      <c r="F55" s="145">
        <f>LAR!M$26</f>
        <v>9.0496713492534795</v>
      </c>
      <c r="G55" s="145">
        <f>LAR!N$26</f>
        <v>105.19827555489842</v>
      </c>
      <c r="H55" s="145">
        <f>LAR!O$26</f>
        <v>0.7538592422388406</v>
      </c>
      <c r="I55" s="145">
        <f t="shared" si="3"/>
        <v>15.042983008922885</v>
      </c>
      <c r="J55" s="145">
        <f t="shared" si="4"/>
        <v>19.567818683549625</v>
      </c>
      <c r="K55" s="145">
        <f t="shared" si="5"/>
        <v>24.092654358176365</v>
      </c>
      <c r="L55" s="188">
        <f>(TableTEMaster[[#This Row],[TGT]]*TARGETS)+(TableTEMaster[[#This Row],[REC]]*RECEPTIONS_TE)+(TableTEMaster[[#This Row],[RCYD]]*RECV_YARDS)+(TableTEMaster[[#This Row],[RCTD]]*RECV_TDS)</f>
        <v>15.042983008922885</v>
      </c>
      <c r="M55" s="190">
        <v>0</v>
      </c>
    </row>
    <row r="56" spans="1:13" x14ac:dyDescent="0.3">
      <c r="A56" s="196">
        <f>IF(TableTEMaster[[#This Row],[Player]]&lt;&gt;0,A55+1,A55)</f>
        <v>52</v>
      </c>
      <c r="B56" s="144" t="str">
        <f>MIA!A$24</f>
        <v>Mike Gesicki</v>
      </c>
      <c r="C56" s="144" t="s">
        <v>156</v>
      </c>
      <c r="D56" s="146">
        <f>MIA!C$24</f>
        <v>11</v>
      </c>
      <c r="E56" s="145">
        <f>MIA!L$24</f>
        <v>93.238299479999966</v>
      </c>
      <c r="F56" s="145">
        <f>MIA!M$24</f>
        <v>61.341477227891978</v>
      </c>
      <c r="G56" s="145">
        <f>MIA!N$24</f>
        <v>645.92575520970252</v>
      </c>
      <c r="H56" s="145">
        <f>MIA!O$24</f>
        <v>3.5069706518021251</v>
      </c>
      <c r="I56" s="145">
        <f t="shared" si="3"/>
        <v>85.63439943178301</v>
      </c>
      <c r="J56" s="145">
        <f t="shared" si="4"/>
        <v>116.305138045729</v>
      </c>
      <c r="K56" s="145">
        <f t="shared" si="5"/>
        <v>146.97587665967498</v>
      </c>
      <c r="L56" s="188">
        <f>(TableTEMaster[[#This Row],[TGT]]*TARGETS)+(TableTEMaster[[#This Row],[REC]]*RECEPTIONS_TE)+(TableTEMaster[[#This Row],[RCYD]]*RECV_YARDS)+(TableTEMaster[[#This Row],[RCTD]]*RECV_TDS)</f>
        <v>85.63439943178301</v>
      </c>
      <c r="M56" s="190">
        <v>2.0133601251060926</v>
      </c>
    </row>
    <row r="57" spans="1:13" x14ac:dyDescent="0.3">
      <c r="A57" s="196">
        <f>IF(TableTEMaster[[#This Row],[Player]]&lt;&gt;0,A56+1,A56)</f>
        <v>53</v>
      </c>
      <c r="B57" s="144" t="str">
        <f>MIA!A$25</f>
        <v>Hunter Long</v>
      </c>
      <c r="C57" s="144" t="s">
        <v>156</v>
      </c>
      <c r="D57" s="146">
        <f>MIA!C$25</f>
        <v>11</v>
      </c>
      <c r="E57" s="145">
        <f>MIA!L$25</f>
        <v>19.529643809999996</v>
      </c>
      <c r="F57" s="145">
        <f>MIA!M$25</f>
        <v>13.328981900324997</v>
      </c>
      <c r="G57" s="145">
        <f>MIA!N$25</f>
        <v>133.6896884602597</v>
      </c>
      <c r="H57" s="145">
        <f>MIA!O$25</f>
        <v>0.95968669682339969</v>
      </c>
      <c r="I57" s="145">
        <f t="shared" si="3"/>
        <v>19.127089026966367</v>
      </c>
      <c r="J57" s="145">
        <f t="shared" si="4"/>
        <v>25.791579977128865</v>
      </c>
      <c r="K57" s="145">
        <f t="shared" si="5"/>
        <v>32.456070927291364</v>
      </c>
      <c r="L57" s="188">
        <f>(TableTEMaster[[#This Row],[TGT]]*TARGETS)+(TableTEMaster[[#This Row],[REC]]*RECEPTIONS_TE)+(TableTEMaster[[#This Row],[RCYD]]*RECV_YARDS)+(TableTEMaster[[#This Row],[RCTD]]*RECV_TDS)</f>
        <v>19.12708902696637</v>
      </c>
      <c r="M57" s="190">
        <v>0</v>
      </c>
    </row>
    <row r="58" spans="1:13" x14ac:dyDescent="0.3">
      <c r="A58" s="196">
        <f>IF(TableTEMaster[[#This Row],[Player]]&lt;&gt;0,A57+1,A57)</f>
        <v>54</v>
      </c>
      <c r="B58" s="144" t="str">
        <f>MIA!A$26</f>
        <v>Adam Shaheen</v>
      </c>
      <c r="C58" s="144" t="s">
        <v>156</v>
      </c>
      <c r="D58" s="146">
        <f>MIA!C$26</f>
        <v>11</v>
      </c>
      <c r="E58" s="145">
        <f>MIA!L$26</f>
        <v>6.9298736099999978</v>
      </c>
      <c r="F58" s="145">
        <f>MIA!M$26</f>
        <v>4.7580512206259984</v>
      </c>
      <c r="G58" s="145">
        <f>MIA!N$26</f>
        <v>47.055371714976914</v>
      </c>
      <c r="H58" s="145">
        <f>MIA!O$26</f>
        <v>0.32294635513360637</v>
      </c>
      <c r="I58" s="145">
        <f t="shared" si="3"/>
        <v>6.6432153022993292</v>
      </c>
      <c r="J58" s="145">
        <f t="shared" si="4"/>
        <v>9.0222409126123289</v>
      </c>
      <c r="K58" s="145">
        <f t="shared" si="5"/>
        <v>11.401266522925328</v>
      </c>
      <c r="L58" s="188">
        <f>(TableTEMaster[[#This Row],[TGT]]*TARGETS)+(TableTEMaster[[#This Row],[REC]]*RECEPTIONS_TE)+(TableTEMaster[[#This Row],[RCYD]]*RECV_YARDS)+(TableTEMaster[[#This Row],[RCTD]]*RECV_TDS)</f>
        <v>6.6432153022993292</v>
      </c>
      <c r="M58" s="190">
        <v>0</v>
      </c>
    </row>
    <row r="59" spans="1:13" x14ac:dyDescent="0.3">
      <c r="A59" s="196">
        <f>IF(TableTEMaster[[#This Row],[Player]]&lt;&gt;0,A58+1,A58)</f>
        <v>55</v>
      </c>
      <c r="B59" s="144" t="str">
        <f>MIN!A$24</f>
        <v>Irv Smith</v>
      </c>
      <c r="C59" s="144" t="s">
        <v>157</v>
      </c>
      <c r="D59" s="146">
        <f>MIN!C$24</f>
        <v>7</v>
      </c>
      <c r="E59" s="145">
        <f>MIN!L$24</f>
        <v>90.117460091021982</v>
      </c>
      <c r="F59" s="145">
        <f>MIN!M$24</f>
        <v>59.423453184019891</v>
      </c>
      <c r="G59" s="145">
        <f>MIN!N$24</f>
        <v>656.03492315157951</v>
      </c>
      <c r="H59" s="145">
        <f>MIN!O$24</f>
        <v>6.5365798502421883</v>
      </c>
      <c r="I59" s="145">
        <f t="shared" si="3"/>
        <v>104.82297141661108</v>
      </c>
      <c r="J59" s="145">
        <f t="shared" si="4"/>
        <v>134.53469800862104</v>
      </c>
      <c r="K59" s="145">
        <f t="shared" si="5"/>
        <v>164.24642460063097</v>
      </c>
      <c r="L59" s="188">
        <f>(TableTEMaster[[#This Row],[TGT]]*TARGETS)+(TableTEMaster[[#This Row],[REC]]*RECEPTIONS_TE)+(TableTEMaster[[#This Row],[RCYD]]*RECV_YARDS)+(TableTEMaster[[#This Row],[RCTD]]*RECV_TDS)</f>
        <v>104.82297141661108</v>
      </c>
      <c r="M59" s="190">
        <v>2.3510155315424002</v>
      </c>
    </row>
    <row r="60" spans="1:13" x14ac:dyDescent="0.3">
      <c r="A60" s="196">
        <f>IF(TableTEMaster[[#This Row],[Player]]&lt;&gt;0,A59+1,A59)</f>
        <v>56</v>
      </c>
      <c r="B60" s="144" t="str">
        <f>MIN!A$25</f>
        <v>Johnny Mundt</v>
      </c>
      <c r="C60" s="144" t="s">
        <v>157</v>
      </c>
      <c r="D60" s="146">
        <f>MIN!C$25</f>
        <v>7</v>
      </c>
      <c r="E60" s="145">
        <f>MIN!L$25</f>
        <v>9.4113227318124846</v>
      </c>
      <c r="F60" s="145">
        <f>MIN!M$25</f>
        <v>6.0298344742722589</v>
      </c>
      <c r="G60" s="145">
        <f>MIN!N$25</f>
        <v>60.120996669949875</v>
      </c>
      <c r="H60" s="145">
        <f>MIN!O$25</f>
        <v>0.36781990293060779</v>
      </c>
      <c r="I60" s="145">
        <f t="shared" si="3"/>
        <v>8.2190190845786333</v>
      </c>
      <c r="J60" s="145">
        <f t="shared" si="4"/>
        <v>11.233936321714763</v>
      </c>
      <c r="K60" s="145">
        <f t="shared" si="5"/>
        <v>14.248853558850893</v>
      </c>
      <c r="L60" s="188">
        <f>(TableTEMaster[[#This Row],[TGT]]*TARGETS)+(TableTEMaster[[#This Row],[REC]]*RECEPTIONS_TE)+(TableTEMaster[[#This Row],[RCYD]]*RECV_YARDS)+(TableTEMaster[[#This Row],[RCTD]]*RECV_TDS)</f>
        <v>8.2190190845786351</v>
      </c>
      <c r="M60" s="190">
        <v>0</v>
      </c>
    </row>
    <row r="61" spans="1:13" x14ac:dyDescent="0.3">
      <c r="A61" s="196">
        <f>IF(TableTEMaster[[#This Row],[Player]]&lt;&gt;0,A60+1,A60)</f>
        <v>57</v>
      </c>
      <c r="B61" s="144" t="str">
        <f>MIN!A$26</f>
        <v>Ben Ellefson</v>
      </c>
      <c r="C61" s="144" t="s">
        <v>157</v>
      </c>
      <c r="D61" s="146">
        <f>MIN!C$26</f>
        <v>7</v>
      </c>
      <c r="E61" s="145">
        <f>MIN!L$26</f>
        <v>7.8101798745552369</v>
      </c>
      <c r="F61" s="145">
        <f>MIN!M$26</f>
        <v>4.7017282844822521</v>
      </c>
      <c r="G61" s="145">
        <f>MIN!N$26</f>
        <v>51.757216522966374</v>
      </c>
      <c r="H61" s="145">
        <f>MIN!O$26</f>
        <v>0.32912097991375766</v>
      </c>
      <c r="I61" s="145">
        <f t="shared" si="3"/>
        <v>7.1504475317791831</v>
      </c>
      <c r="J61" s="145">
        <f t="shared" si="4"/>
        <v>9.5013116740203092</v>
      </c>
      <c r="K61" s="145">
        <f t="shared" si="5"/>
        <v>11.852175816261436</v>
      </c>
      <c r="L61" s="188">
        <f>(TableTEMaster[[#This Row],[TGT]]*TARGETS)+(TableTEMaster[[#This Row],[REC]]*RECEPTIONS_TE)+(TableTEMaster[[#This Row],[RCYD]]*RECV_YARDS)+(TableTEMaster[[#This Row],[RCTD]]*RECV_TDS)</f>
        <v>7.1504475317791831</v>
      </c>
      <c r="M61" s="190">
        <v>0</v>
      </c>
    </row>
    <row r="62" spans="1:13" x14ac:dyDescent="0.3">
      <c r="A62" s="196">
        <f>IF(TableTEMaster[[#This Row],[Player]]&lt;&gt;0,A61+1,A61)</f>
        <v>58</v>
      </c>
      <c r="B62" s="144" t="str">
        <f>NE!A$24</f>
        <v>Hunter Henry</v>
      </c>
      <c r="C62" s="144" t="s">
        <v>158</v>
      </c>
      <c r="D62" s="146">
        <f>NE!C$24</f>
        <v>10</v>
      </c>
      <c r="E62" s="145">
        <f>NE!L$24</f>
        <v>72.442791560720281</v>
      </c>
      <c r="F62" s="145">
        <f>NE!M$24</f>
        <v>47.01537172290746</v>
      </c>
      <c r="G62" s="145">
        <f>NE!N$24</f>
        <v>542.32098588777001</v>
      </c>
      <c r="H62" s="145">
        <f>NE!O$24</f>
        <v>6.9074502910789626</v>
      </c>
      <c r="I62" s="145">
        <f t="shared" si="3"/>
        <v>95.676800335250775</v>
      </c>
      <c r="J62" s="145">
        <f t="shared" si="4"/>
        <v>119.18448619670451</v>
      </c>
      <c r="K62" s="145">
        <f t="shared" si="5"/>
        <v>142.69217205815823</v>
      </c>
      <c r="L62" s="188">
        <f>(TableTEMaster[[#This Row],[TGT]]*TARGETS)+(TableTEMaster[[#This Row],[REC]]*RECEPTIONS_TE)+(TableTEMaster[[#This Row],[RCYD]]*RECV_YARDS)+(TableTEMaster[[#This Row],[RCTD]]*RECV_TDS)</f>
        <v>95.676800335250789</v>
      </c>
      <c r="M62" s="190">
        <v>0.99153406386620913</v>
      </c>
    </row>
    <row r="63" spans="1:13" x14ac:dyDescent="0.3">
      <c r="A63" s="196">
        <f>IF(TableTEMaster[[#This Row],[Player]]&lt;&gt;0,A62+1,A62)</f>
        <v>59</v>
      </c>
      <c r="B63" s="144" t="str">
        <f>NE!A$25</f>
        <v>Jonnu Smith</v>
      </c>
      <c r="C63" s="144" t="s">
        <v>158</v>
      </c>
      <c r="D63" s="146">
        <f>NE!C$25</f>
        <v>10</v>
      </c>
      <c r="E63" s="145">
        <f>NE!L$25</f>
        <v>41.885031986195834</v>
      </c>
      <c r="F63" s="145">
        <f>NE!M$25</f>
        <v>27.275532829410729</v>
      </c>
      <c r="G63" s="145">
        <f>NE!N$25</f>
        <v>303.57668039134143</v>
      </c>
      <c r="H63" s="145">
        <f>NE!O$25</f>
        <v>1.8547362323999297</v>
      </c>
      <c r="I63" s="145">
        <f t="shared" si="3"/>
        <v>41.486085433533724</v>
      </c>
      <c r="J63" s="145">
        <f t="shared" si="4"/>
        <v>55.123851848239084</v>
      </c>
      <c r="K63" s="145">
        <f t="shared" si="5"/>
        <v>68.761618262944452</v>
      </c>
      <c r="L63" s="188">
        <f>(TableTEMaster[[#This Row],[TGT]]*TARGETS)+(TableTEMaster[[#This Row],[REC]]*RECEPTIONS_TE)+(TableTEMaster[[#This Row],[RCYD]]*RECV_YARDS)+(TableTEMaster[[#This Row],[RCTD]]*RECV_TDS)</f>
        <v>41.486085433533724</v>
      </c>
      <c r="M63" s="190">
        <v>3.6313142252330555</v>
      </c>
    </row>
    <row r="64" spans="1:13" x14ac:dyDescent="0.3">
      <c r="A64" s="196">
        <f>IF(TableTEMaster[[#This Row],[Player]]&lt;&gt;0,A63+1,A63)</f>
        <v>60</v>
      </c>
      <c r="B64" s="144" t="str">
        <f>NE!A$26</f>
        <v>Devin Asiasi</v>
      </c>
      <c r="C64" s="144" t="s">
        <v>158</v>
      </c>
      <c r="D64" s="146">
        <f>NE!C$26</f>
        <v>10</v>
      </c>
      <c r="E64" s="145">
        <f>NE!L$26</f>
        <v>5.2494776493275568</v>
      </c>
      <c r="F64" s="145">
        <f>NE!M$26</f>
        <v>3.1601855448951892</v>
      </c>
      <c r="G64" s="145">
        <f>NE!N$26</f>
        <v>39.897342504301754</v>
      </c>
      <c r="H64" s="145">
        <f>NE!O$26</f>
        <v>0.19593150378350174</v>
      </c>
      <c r="I64" s="145">
        <f t="shared" si="3"/>
        <v>5.165323273131186</v>
      </c>
      <c r="J64" s="145">
        <f t="shared" si="4"/>
        <v>6.7454160455787804</v>
      </c>
      <c r="K64" s="145">
        <f t="shared" si="5"/>
        <v>8.3255088180263748</v>
      </c>
      <c r="L64" s="188">
        <f>(TableTEMaster[[#This Row],[TGT]]*TARGETS)+(TableTEMaster[[#This Row],[REC]]*RECEPTIONS_TE)+(TableTEMaster[[#This Row],[RCYD]]*RECV_YARDS)+(TableTEMaster[[#This Row],[RCTD]]*RECV_TDS)</f>
        <v>5.165323273131186</v>
      </c>
      <c r="M64" s="190">
        <v>0</v>
      </c>
    </row>
    <row r="65" spans="1:13" x14ac:dyDescent="0.3">
      <c r="A65" s="196">
        <f>IF(TableTEMaster[[#This Row],[Player]]&lt;&gt;0,A64+1,A64)</f>
        <v>61</v>
      </c>
      <c r="B65" s="144" t="str">
        <f>NO!A$24</f>
        <v>Adam Trautman</v>
      </c>
      <c r="C65" s="144" t="s">
        <v>159</v>
      </c>
      <c r="D65" s="146">
        <f>NO!C$24</f>
        <v>14</v>
      </c>
      <c r="E65" s="145">
        <f>NO!L$24</f>
        <v>47.018986415021374</v>
      </c>
      <c r="F65" s="145">
        <f>NO!M$24</f>
        <v>29.057733604483207</v>
      </c>
      <c r="G65" s="145">
        <f>NO!N$24</f>
        <v>331.83931776319821</v>
      </c>
      <c r="H65" s="145">
        <f>NO!O$24</f>
        <v>2.8476578932393544</v>
      </c>
      <c r="I65" s="145">
        <f t="shared" si="3"/>
        <v>50.26987913575595</v>
      </c>
      <c r="J65" s="145">
        <f t="shared" si="4"/>
        <v>64.798745937997552</v>
      </c>
      <c r="K65" s="145">
        <f t="shared" si="5"/>
        <v>79.327612740239161</v>
      </c>
      <c r="L65" s="188">
        <f>(TableTEMaster[[#This Row],[TGT]]*TARGETS)+(TableTEMaster[[#This Row],[REC]]*RECEPTIONS_TE)+(TableTEMaster[[#This Row],[RCYD]]*RECV_YARDS)+(TableTEMaster[[#This Row],[RCTD]]*RECV_TDS)</f>
        <v>50.26987913575595</v>
      </c>
      <c r="M65" s="190">
        <v>3.3816406319297219</v>
      </c>
    </row>
    <row r="66" spans="1:13" x14ac:dyDescent="0.3">
      <c r="A66" s="196">
        <f>IF(TableTEMaster[[#This Row],[Player]]&lt;&gt;0,A65+1,A65)</f>
        <v>62</v>
      </c>
      <c r="B66" s="144" t="str">
        <f>NO!A$25</f>
        <v>Nick Vannett</v>
      </c>
      <c r="C66" s="144" t="s">
        <v>159</v>
      </c>
      <c r="D66" s="146">
        <f>NO!C$25</f>
        <v>14</v>
      </c>
      <c r="E66" s="145">
        <f>NO!L$25</f>
        <v>13.749376781285058</v>
      </c>
      <c r="F66" s="145">
        <f>NO!M$25</f>
        <v>8.0708841706143293</v>
      </c>
      <c r="G66" s="145">
        <f>NO!N$25</f>
        <v>110.08686008717946</v>
      </c>
      <c r="H66" s="145">
        <f>NO!O$25</f>
        <v>0.6456707336491464</v>
      </c>
      <c r="I66" s="145">
        <f t="shared" ref="I66:I97" si="6">(G66/10)+(H66*6)</f>
        <v>14.882710410612825</v>
      </c>
      <c r="J66" s="145">
        <f t="shared" ref="J66:J97" si="7">I66+(F66*0.5)</f>
        <v>18.91815249591999</v>
      </c>
      <c r="K66" s="145">
        <f t="shared" ref="K66:K97" si="8">I66+F66</f>
        <v>22.953594581227154</v>
      </c>
      <c r="L66" s="188">
        <f>(TableTEMaster[[#This Row],[TGT]]*TARGETS)+(TableTEMaster[[#This Row],[REC]]*RECEPTIONS_TE)+(TableTEMaster[[#This Row],[RCYD]]*RECV_YARDS)+(TableTEMaster[[#This Row],[RCTD]]*RECV_TDS)</f>
        <v>14.882710410612825</v>
      </c>
      <c r="M66" s="190">
        <v>0</v>
      </c>
    </row>
    <row r="67" spans="1:13" x14ac:dyDescent="0.3">
      <c r="A67" s="196">
        <f>IF(TableTEMaster[[#This Row],[Player]]&lt;&gt;0,A66+1,A66)</f>
        <v>63</v>
      </c>
      <c r="B67" s="144" t="str">
        <f>NO!A$26</f>
        <v>Juwan Johnson</v>
      </c>
      <c r="C67" s="144" t="s">
        <v>159</v>
      </c>
      <c r="D67" s="146">
        <f>NO!C$26</f>
        <v>14</v>
      </c>
      <c r="E67" s="145">
        <f>NO!L$26</f>
        <v>7.8221822082469643</v>
      </c>
      <c r="F67" s="145">
        <f>NO!M$26</f>
        <v>4.5861454286951959</v>
      </c>
      <c r="G67" s="145">
        <f>NO!N$26</f>
        <v>56.776480407246531</v>
      </c>
      <c r="H67" s="145">
        <f>NO!O$26</f>
        <v>0.3714777797243109</v>
      </c>
      <c r="I67" s="145">
        <f t="shared" si="6"/>
        <v>7.9065147190705183</v>
      </c>
      <c r="J67" s="145">
        <f t="shared" si="7"/>
        <v>10.199587433418117</v>
      </c>
      <c r="K67" s="145">
        <f t="shared" si="8"/>
        <v>12.492660147765715</v>
      </c>
      <c r="L67" s="188">
        <f>(TableTEMaster[[#This Row],[TGT]]*TARGETS)+(TableTEMaster[[#This Row],[REC]]*RECEPTIONS_TE)+(TableTEMaster[[#This Row],[RCYD]]*RECV_YARDS)+(TableTEMaster[[#This Row],[RCTD]]*RECV_TDS)</f>
        <v>7.9065147190705183</v>
      </c>
      <c r="M67" s="190">
        <v>0</v>
      </c>
    </row>
    <row r="68" spans="1:13" x14ac:dyDescent="0.3">
      <c r="A68" s="196">
        <f>IF(TableTEMaster[[#This Row],[Player]]&lt;&gt;0,A67+1,A67)</f>
        <v>64</v>
      </c>
      <c r="B68" s="144" t="str">
        <f>NYG!A$24</f>
        <v>Ricky Seals-Jones</v>
      </c>
      <c r="C68" s="144" t="s">
        <v>160</v>
      </c>
      <c r="D68" s="146">
        <f>NYG!C$24</f>
        <v>9</v>
      </c>
      <c r="E68" s="145">
        <f>NYG!L$24</f>
        <v>42.943211815198531</v>
      </c>
      <c r="F68" s="145">
        <f>NYG!M$24</f>
        <v>26.826624420954523</v>
      </c>
      <c r="G68" s="145">
        <f>NYG!N$24</f>
        <v>295.89766736312839</v>
      </c>
      <c r="H68" s="145">
        <f>NYG!O$24</f>
        <v>2.2802630757811349</v>
      </c>
      <c r="I68" s="145">
        <f t="shared" si="6"/>
        <v>43.271345190999646</v>
      </c>
      <c r="J68" s="145">
        <f t="shared" si="7"/>
        <v>56.684657401476912</v>
      </c>
      <c r="K68" s="145">
        <f t="shared" si="8"/>
        <v>70.09796961195417</v>
      </c>
      <c r="L68" s="188">
        <f>(TableTEMaster[[#This Row],[TGT]]*TARGETS)+(TableTEMaster[[#This Row],[REC]]*RECEPTIONS_TE)+(TableTEMaster[[#This Row],[RCYD]]*RECV_YARDS)+(TableTEMaster[[#This Row],[RCTD]]*RECV_TDS)</f>
        <v>43.271345190999646</v>
      </c>
      <c r="M68" s="190">
        <v>1.0370412640107298</v>
      </c>
    </row>
    <row r="69" spans="1:13" x14ac:dyDescent="0.3">
      <c r="A69" s="196">
        <f>IF(TableTEMaster[[#This Row],[Player]]&lt;&gt;0,A68+1,A68)</f>
        <v>65</v>
      </c>
      <c r="B69" s="144" t="str">
        <f>NYG!A$25</f>
        <v>Jordan Akins</v>
      </c>
      <c r="C69" s="144" t="s">
        <v>160</v>
      </c>
      <c r="D69" s="146">
        <f>NYG!C$25</f>
        <v>9</v>
      </c>
      <c r="E69" s="145">
        <f>NYG!L$25</f>
        <v>32.661034338320015</v>
      </c>
      <c r="F69" s="145">
        <f>NYG!M$25</f>
        <v>21.464831767143913</v>
      </c>
      <c r="G69" s="145">
        <f>NYG!N$25</f>
        <v>227.74186504939689</v>
      </c>
      <c r="H69" s="145">
        <f>NYG!O$25</f>
        <v>1.3737492330972105</v>
      </c>
      <c r="I69" s="145">
        <f t="shared" si="6"/>
        <v>31.016681903522951</v>
      </c>
      <c r="J69" s="145">
        <f t="shared" si="7"/>
        <v>41.749097787094911</v>
      </c>
      <c r="K69" s="145">
        <f t="shared" si="8"/>
        <v>52.481513670666864</v>
      </c>
      <c r="L69" s="188">
        <f>(TableTEMaster[[#This Row],[TGT]]*TARGETS)+(TableTEMaster[[#This Row],[REC]]*RECEPTIONS_TE)+(TableTEMaster[[#This Row],[RCYD]]*RECV_YARDS)+(TableTEMaster[[#This Row],[RCTD]]*RECV_TDS)</f>
        <v>31.016681903522954</v>
      </c>
      <c r="M69" s="190">
        <v>0</v>
      </c>
    </row>
    <row r="70" spans="1:13" x14ac:dyDescent="0.3">
      <c r="A70" s="196">
        <f>IF(TableTEMaster[[#This Row],[Player]]&lt;&gt;0,A69+1,A69)</f>
        <v>66</v>
      </c>
      <c r="B70" s="144" t="str">
        <f>NYG!A$26</f>
        <v>Daniel Bellinger</v>
      </c>
      <c r="C70" s="144" t="s">
        <v>160</v>
      </c>
      <c r="D70" s="146">
        <f>NYG!C$26</f>
        <v>9</v>
      </c>
      <c r="E70" s="145">
        <f>NYG!L$26</f>
        <v>22.983690830669641</v>
      </c>
      <c r="F70" s="145">
        <f>NYG!M$26</f>
        <v>14.203920933353837</v>
      </c>
      <c r="G70" s="145">
        <f>NYG!N$26</f>
        <v>148.71505217221468</v>
      </c>
      <c r="H70" s="145">
        <f>NYG!O$26</f>
        <v>1.1363136746683069</v>
      </c>
      <c r="I70" s="145">
        <f t="shared" si="6"/>
        <v>21.689387265231311</v>
      </c>
      <c r="J70" s="145">
        <f t="shared" si="7"/>
        <v>28.791347731908228</v>
      </c>
      <c r="K70" s="145">
        <f t="shared" si="8"/>
        <v>35.893308198585146</v>
      </c>
      <c r="L70" s="188">
        <f>(TableTEMaster[[#This Row],[TGT]]*TARGETS)+(TableTEMaster[[#This Row],[REC]]*RECEPTIONS_TE)+(TableTEMaster[[#This Row],[RCYD]]*RECV_YARDS)+(TableTEMaster[[#This Row],[RCTD]]*RECV_TDS)</f>
        <v>21.689387265231311</v>
      </c>
      <c r="M70" s="190">
        <v>0</v>
      </c>
    </row>
    <row r="71" spans="1:13" x14ac:dyDescent="0.3">
      <c r="A71" s="196">
        <f>IF(TableTEMaster[[#This Row],[Player]]&lt;&gt;0,A70+1,A70)</f>
        <v>67</v>
      </c>
      <c r="B71" s="144" t="str">
        <f>NYJ!A$24</f>
        <v>C.J. Uzomah</v>
      </c>
      <c r="C71" s="144" t="s">
        <v>161</v>
      </c>
      <c r="D71" s="146">
        <f>NYJ!C$24</f>
        <v>10</v>
      </c>
      <c r="E71" s="145">
        <f>NYJ!L$24</f>
        <v>67.192258659604789</v>
      </c>
      <c r="F71" s="145">
        <f>NYJ!M$24</f>
        <v>43.701845032206954</v>
      </c>
      <c r="G71" s="145">
        <f>NYJ!N$24</f>
        <v>449.25496693108744</v>
      </c>
      <c r="H71" s="145">
        <f>NYJ!O$24</f>
        <v>3.3846359000993189</v>
      </c>
      <c r="I71" s="145">
        <f t="shared" si="6"/>
        <v>65.233312093704654</v>
      </c>
      <c r="J71" s="145">
        <f t="shared" si="7"/>
        <v>87.084234609808135</v>
      </c>
      <c r="K71" s="145">
        <f t="shared" si="8"/>
        <v>108.93515712591162</v>
      </c>
      <c r="L71" s="188">
        <f>(TableTEMaster[[#This Row],[TGT]]*TARGETS)+(TableTEMaster[[#This Row],[REC]]*RECEPTIONS_TE)+(TableTEMaster[[#This Row],[RCYD]]*RECV_YARDS)+(TableTEMaster[[#This Row],[RCTD]]*RECV_TDS)</f>
        <v>65.233312093704654</v>
      </c>
      <c r="M71" s="190">
        <v>0</v>
      </c>
    </row>
    <row r="72" spans="1:13" x14ac:dyDescent="0.3">
      <c r="A72" s="196">
        <f>IF(TableTEMaster[[#This Row],[Player]]&lt;&gt;0,A71+1,A71)</f>
        <v>68</v>
      </c>
      <c r="B72" s="144" t="str">
        <f>NYJ!A$25</f>
        <v>Tyler Conklin</v>
      </c>
      <c r="C72" s="144" t="s">
        <v>161</v>
      </c>
      <c r="D72" s="146">
        <f>NYJ!C$25</f>
        <v>10</v>
      </c>
      <c r="E72" s="145">
        <f>NYJ!L$25</f>
        <v>33.898797161602417</v>
      </c>
      <c r="F72" s="145">
        <f>NYJ!M$25</f>
        <v>21.179968466569189</v>
      </c>
      <c r="G72" s="145">
        <f>NYJ!N$25</f>
        <v>214.34128088168018</v>
      </c>
      <c r="H72" s="145">
        <f>NYJ!O$25</f>
        <v>1.2707981079941513</v>
      </c>
      <c r="I72" s="145">
        <f t="shared" si="6"/>
        <v>29.058916736132922</v>
      </c>
      <c r="J72" s="145">
        <f t="shared" si="7"/>
        <v>39.648900969417518</v>
      </c>
      <c r="K72" s="145">
        <f t="shared" si="8"/>
        <v>50.238885202702107</v>
      </c>
      <c r="L72" s="188">
        <f>(TableTEMaster[[#This Row],[TGT]]*TARGETS)+(TableTEMaster[[#This Row],[REC]]*RECEPTIONS_TE)+(TableTEMaster[[#This Row],[RCYD]]*RECV_YARDS)+(TableTEMaster[[#This Row],[RCTD]]*RECV_TDS)</f>
        <v>29.058916736132929</v>
      </c>
      <c r="M72" s="190">
        <v>0</v>
      </c>
    </row>
    <row r="73" spans="1:13" x14ac:dyDescent="0.3">
      <c r="A73" s="196">
        <f>IF(TableTEMaster[[#This Row],[Player]]&lt;&gt;0,A72+1,A72)</f>
        <v>69</v>
      </c>
      <c r="B73" s="144" t="str">
        <f>NYJ!A$26</f>
        <v>Jeremy Ruckert</v>
      </c>
      <c r="C73" s="144" t="s">
        <v>161</v>
      </c>
      <c r="D73" s="146">
        <f>NYJ!C$26</f>
        <v>10</v>
      </c>
      <c r="E73" s="145">
        <f>NYJ!L$26</f>
        <v>11.501377608400819</v>
      </c>
      <c r="F73" s="145">
        <f>NYJ!M$26</f>
        <v>6.9617838663650149</v>
      </c>
      <c r="G73" s="145">
        <f>NYJ!N$26</f>
        <v>70.168177309212595</v>
      </c>
      <c r="H73" s="145">
        <f>NYJ!O$26</f>
        <v>0.494286654511916</v>
      </c>
      <c r="I73" s="145">
        <f t="shared" si="6"/>
        <v>9.9825376579927543</v>
      </c>
      <c r="J73" s="145">
        <f t="shared" si="7"/>
        <v>13.463429591175261</v>
      </c>
      <c r="K73" s="145">
        <f t="shared" si="8"/>
        <v>16.944321524357768</v>
      </c>
      <c r="L73" s="188">
        <f>(TableTEMaster[[#This Row],[TGT]]*TARGETS)+(TableTEMaster[[#This Row],[REC]]*RECEPTIONS_TE)+(TableTEMaster[[#This Row],[RCYD]]*RECV_YARDS)+(TableTEMaster[[#This Row],[RCTD]]*RECV_TDS)</f>
        <v>9.9825376579927561</v>
      </c>
      <c r="M73" s="190">
        <v>0</v>
      </c>
    </row>
    <row r="74" spans="1:13" x14ac:dyDescent="0.3">
      <c r="A74" s="196">
        <f>IF(TableTEMaster[[#This Row],[Player]]&lt;&gt;0,A73+1,A73)</f>
        <v>70</v>
      </c>
      <c r="B74" s="144" t="str">
        <f>LV!A$24</f>
        <v>Darren Waller</v>
      </c>
      <c r="C74" s="144" t="s">
        <v>239</v>
      </c>
      <c r="D74" s="146">
        <f>LV!C$24</f>
        <v>6</v>
      </c>
      <c r="E74" s="145">
        <f>LV!L$24</f>
        <v>114.65790881999996</v>
      </c>
      <c r="F74" s="145">
        <f>LV!M$24</f>
        <v>75.032135531807967</v>
      </c>
      <c r="G74" s="145">
        <f>LV!N$24</f>
        <v>958.16037074118765</v>
      </c>
      <c r="H74" s="145">
        <f>LV!O$24</f>
        <v>6.0025708425446371</v>
      </c>
      <c r="I74" s="145">
        <f t="shared" si="6"/>
        <v>131.83146212938658</v>
      </c>
      <c r="J74" s="145">
        <f t="shared" si="7"/>
        <v>169.34752989529056</v>
      </c>
      <c r="K74" s="145">
        <f t="shared" si="8"/>
        <v>206.86359766119455</v>
      </c>
      <c r="L74" s="188">
        <f>(TableTEMaster[[#This Row],[TGT]]*TARGETS)+(TableTEMaster[[#This Row],[REC]]*RECEPTIONS_TE)+(TableTEMaster[[#This Row],[RCYD]]*RECV_YARDS)+(TableTEMaster[[#This Row],[RCTD]]*RECV_TDS)</f>
        <v>131.83146212938658</v>
      </c>
      <c r="M74" s="190">
        <v>21.587220110897501</v>
      </c>
    </row>
    <row r="75" spans="1:13" x14ac:dyDescent="0.3">
      <c r="A75" s="196">
        <f>IF(TableTEMaster[[#This Row],[Player]]&lt;&gt;0,A74+1,A74)</f>
        <v>71</v>
      </c>
      <c r="B75" s="144" t="str">
        <f>LV!A$25</f>
        <v>Foster Moreau</v>
      </c>
      <c r="C75" s="144" t="s">
        <v>239</v>
      </c>
      <c r="D75" s="146">
        <f>LV!C$25</f>
        <v>6</v>
      </c>
      <c r="E75" s="145">
        <f>LV!L$25</f>
        <v>28.979471459999992</v>
      </c>
      <c r="F75" s="145">
        <f>LV!M$25</f>
        <v>18.894615391919995</v>
      </c>
      <c r="G75" s="145">
        <f>LV!N$25</f>
        <v>207.65182315720074</v>
      </c>
      <c r="H75" s="145">
        <f>LV!O$25</f>
        <v>1.4737800005697597</v>
      </c>
      <c r="I75" s="145">
        <f t="shared" si="6"/>
        <v>29.607862319138633</v>
      </c>
      <c r="J75" s="145">
        <f t="shared" si="7"/>
        <v>39.055170015098632</v>
      </c>
      <c r="K75" s="145">
        <f t="shared" si="8"/>
        <v>48.502477711058631</v>
      </c>
      <c r="L75" s="188">
        <f>(TableTEMaster[[#This Row],[TGT]]*TARGETS)+(TableTEMaster[[#This Row],[REC]]*RECEPTIONS_TE)+(TableTEMaster[[#This Row],[RCYD]]*RECV_YARDS)+(TableTEMaster[[#This Row],[RCTD]]*RECV_TDS)</f>
        <v>29.607862319138633</v>
      </c>
      <c r="M75" s="190">
        <v>0</v>
      </c>
    </row>
    <row r="76" spans="1:13" x14ac:dyDescent="0.3">
      <c r="A76" s="196">
        <f>IF(TableTEMaster[[#This Row],[Player]]&lt;&gt;0,A75+1,A75)</f>
        <v>72</v>
      </c>
      <c r="B76" s="144" t="str">
        <f>LV!A$26</f>
        <v>Jacob Hollister</v>
      </c>
      <c r="C76" s="144" t="s">
        <v>239</v>
      </c>
      <c r="D76" s="146">
        <f>LV!C$26</f>
        <v>6</v>
      </c>
      <c r="E76" s="145">
        <f>LV!L$26</f>
        <v>8.1898506299999969</v>
      </c>
      <c r="F76" s="145">
        <f>LV!M$26</f>
        <v>5.0613276893399979</v>
      </c>
      <c r="G76" s="145">
        <f>LV!N$26</f>
        <v>45.602562480953381</v>
      </c>
      <c r="H76" s="145">
        <f>LV!O$26</f>
        <v>0.35078508737999975</v>
      </c>
      <c r="I76" s="145">
        <f t="shared" si="6"/>
        <v>6.6649667723753367</v>
      </c>
      <c r="J76" s="145">
        <f t="shared" si="7"/>
        <v>9.1956306170453352</v>
      </c>
      <c r="K76" s="145">
        <f t="shared" si="8"/>
        <v>11.726294461715334</v>
      </c>
      <c r="L76" s="188">
        <f>(TableTEMaster[[#This Row],[TGT]]*TARGETS)+(TableTEMaster[[#This Row],[REC]]*RECEPTIONS_TE)+(TableTEMaster[[#This Row],[RCYD]]*RECV_YARDS)+(TableTEMaster[[#This Row],[RCTD]]*RECV_TDS)</f>
        <v>6.6649667723753367</v>
      </c>
      <c r="M76" s="190">
        <v>0</v>
      </c>
    </row>
    <row r="77" spans="1:13" x14ac:dyDescent="0.3">
      <c r="A77" s="196">
        <f>IF(TableTEMaster[[#This Row],[Player]]&lt;&gt;0,A76+1,A76)</f>
        <v>73</v>
      </c>
      <c r="B77" s="144" t="str">
        <f>PHI!A$24</f>
        <v>Dallas Goedert</v>
      </c>
      <c r="C77" s="144" t="s">
        <v>163</v>
      </c>
      <c r="D77" s="146">
        <f>PHI!C$24</f>
        <v>7</v>
      </c>
      <c r="E77" s="145">
        <f>PHI!L$24</f>
        <v>96.403549491289709</v>
      </c>
      <c r="F77" s="145">
        <f>PHI!M$24</f>
        <v>63.867351537979431</v>
      </c>
      <c r="G77" s="145">
        <f>PHI!N$24</f>
        <v>863.48659279348192</v>
      </c>
      <c r="H77" s="145">
        <f>PHI!O$24</f>
        <v>5.5564595838042097</v>
      </c>
      <c r="I77" s="145">
        <f t="shared" si="6"/>
        <v>119.68741678217346</v>
      </c>
      <c r="J77" s="145">
        <f t="shared" si="7"/>
        <v>151.62109255116317</v>
      </c>
      <c r="K77" s="145">
        <f t="shared" si="8"/>
        <v>183.5547683201529</v>
      </c>
      <c r="L77" s="188">
        <f>(TableTEMaster[[#This Row],[TGT]]*TARGETS)+(TableTEMaster[[#This Row],[REC]]*RECEPTIONS_TE)+(TableTEMaster[[#This Row],[RCYD]]*RECV_YARDS)+(TableTEMaster[[#This Row],[RCTD]]*RECV_TDS)</f>
        <v>119.68741678217346</v>
      </c>
      <c r="M77" s="190">
        <v>7.0149645980123587</v>
      </c>
    </row>
    <row r="78" spans="1:13" x14ac:dyDescent="0.3">
      <c r="A78" s="196">
        <f>IF(TableTEMaster[[#This Row],[Player]]&lt;&gt;0,A77+1,A77)</f>
        <v>74</v>
      </c>
      <c r="B78" s="144" t="str">
        <f>PHI!A$25</f>
        <v>Tyree Jackson</v>
      </c>
      <c r="C78" s="144" t="s">
        <v>163</v>
      </c>
      <c r="D78" s="146">
        <f>PHI!C$25</f>
        <v>7</v>
      </c>
      <c r="E78" s="145">
        <f>PHI!L$25</f>
        <v>14.346443153706881</v>
      </c>
      <c r="F78" s="145">
        <f>PHI!M$25</f>
        <v>8.5791730059167151</v>
      </c>
      <c r="G78" s="145">
        <f>PHI!N$25</f>
        <v>85.027733489859585</v>
      </c>
      <c r="H78" s="145">
        <f>PHI!O$25</f>
        <v>0.68011564033314831</v>
      </c>
      <c r="I78" s="145">
        <f t="shared" si="6"/>
        <v>12.583467190984848</v>
      </c>
      <c r="J78" s="145">
        <f t="shared" si="7"/>
        <v>16.873053693943206</v>
      </c>
      <c r="K78" s="145">
        <f t="shared" si="8"/>
        <v>21.162640196901563</v>
      </c>
      <c r="L78" s="188">
        <f>(TableTEMaster[[#This Row],[TGT]]*TARGETS)+(TableTEMaster[[#This Row],[REC]]*RECEPTIONS_TE)+(TableTEMaster[[#This Row],[RCYD]]*RECV_YARDS)+(TableTEMaster[[#This Row],[RCTD]]*RECV_TDS)</f>
        <v>12.58346719098485</v>
      </c>
      <c r="M78" s="190">
        <v>0</v>
      </c>
    </row>
    <row r="79" spans="1:13" x14ac:dyDescent="0.3">
      <c r="A79" s="196">
        <f>IF(TableTEMaster[[#This Row],[Player]]&lt;&gt;0,A78+1,A78)</f>
        <v>75</v>
      </c>
      <c r="B79" s="144" t="str">
        <f>PHI!A$26</f>
        <v>Grant Calcaterra</v>
      </c>
      <c r="C79" s="144" t="s">
        <v>163</v>
      </c>
      <c r="D79" s="146">
        <f>PHI!C$26</f>
        <v>7</v>
      </c>
      <c r="E79" s="145">
        <f>PHI!L$26</f>
        <v>9.2376146313381451</v>
      </c>
      <c r="F79" s="145">
        <f>PHI!M$26</f>
        <v>5.4705153846784489</v>
      </c>
      <c r="G79" s="145">
        <f>PHI!N$26</f>
        <v>52.97282397496965</v>
      </c>
      <c r="H79" s="145">
        <f>PHI!O$26</f>
        <v>0.33430927350812745</v>
      </c>
      <c r="I79" s="145">
        <f t="shared" si="6"/>
        <v>7.3031380385457298</v>
      </c>
      <c r="J79" s="145">
        <f t="shared" si="7"/>
        <v>10.038395730884954</v>
      </c>
      <c r="K79" s="145">
        <f t="shared" si="8"/>
        <v>12.773653423224179</v>
      </c>
      <c r="L79" s="188">
        <f>(TableTEMaster[[#This Row],[TGT]]*TARGETS)+(TableTEMaster[[#This Row],[REC]]*RECEPTIONS_TE)+(TableTEMaster[[#This Row],[RCYD]]*RECV_YARDS)+(TableTEMaster[[#This Row],[RCTD]]*RECV_TDS)</f>
        <v>7.3031380385457298</v>
      </c>
      <c r="M79" s="190">
        <v>0</v>
      </c>
    </row>
    <row r="80" spans="1:13" x14ac:dyDescent="0.3">
      <c r="A80" s="196">
        <f>IF(TableTEMaster[[#This Row],[Player]]&lt;&gt;0,A79+1,A79)</f>
        <v>76</v>
      </c>
      <c r="B80" s="144" t="str">
        <f>PIT!A$24</f>
        <v>Pat Freiermuth</v>
      </c>
      <c r="C80" s="144" t="s">
        <v>164</v>
      </c>
      <c r="D80" s="146">
        <f>PIT!C$24</f>
        <v>9</v>
      </c>
      <c r="E80" s="145">
        <f>PIT!L$24</f>
        <v>98.310197246163298</v>
      </c>
      <c r="F80" s="145">
        <f>PIT!M$24</f>
        <v>62.928357257269127</v>
      </c>
      <c r="G80" s="145">
        <f>PIT!N$24</f>
        <v>596.56082679891131</v>
      </c>
      <c r="H80" s="145">
        <f>PIT!O$24</f>
        <v>6.0322920479128053</v>
      </c>
      <c r="I80" s="145">
        <f t="shared" si="6"/>
        <v>95.849834967367968</v>
      </c>
      <c r="J80" s="145">
        <f t="shared" si="7"/>
        <v>127.31401359600252</v>
      </c>
      <c r="K80" s="145">
        <f t="shared" si="8"/>
        <v>158.77819222463711</v>
      </c>
      <c r="L80" s="188">
        <f>(TableTEMaster[[#This Row],[TGT]]*TARGETS)+(TableTEMaster[[#This Row],[REC]]*RECEPTIONS_TE)+(TableTEMaster[[#This Row],[RCYD]]*RECV_YARDS)+(TableTEMaster[[#This Row],[RCTD]]*RECV_TDS)</f>
        <v>95.849834967367968</v>
      </c>
      <c r="M80" s="190">
        <v>0</v>
      </c>
    </row>
    <row r="81" spans="1:13" x14ac:dyDescent="0.3">
      <c r="A81" s="196">
        <f>IF(TableTEMaster[[#This Row],[Player]]&lt;&gt;0,A80+1,A80)</f>
        <v>77</v>
      </c>
      <c r="B81" s="144" t="str">
        <f>PIT!A$25</f>
        <v>Zach Gentry</v>
      </c>
      <c r="C81" s="144" t="s">
        <v>164</v>
      </c>
      <c r="D81" s="146">
        <f>PIT!C$25</f>
        <v>9</v>
      </c>
      <c r="E81" s="145">
        <f>PIT!L$25</f>
        <v>13.196684142840397</v>
      </c>
      <c r="F81" s="145">
        <f>PIT!M$25</f>
        <v>7.9034941331471131</v>
      </c>
      <c r="G81" s="145">
        <f>PIT!N$25</f>
        <v>79.667220862122903</v>
      </c>
      <c r="H81" s="145">
        <f>PIT!O$25</f>
        <v>0.47457260983191052</v>
      </c>
      <c r="I81" s="145">
        <f t="shared" si="6"/>
        <v>10.814157745203755</v>
      </c>
      <c r="J81" s="145">
        <f t="shared" si="7"/>
        <v>14.765904811777311</v>
      </c>
      <c r="K81" s="145">
        <f t="shared" si="8"/>
        <v>18.717651878350868</v>
      </c>
      <c r="L81" s="188">
        <f>(TableTEMaster[[#This Row],[TGT]]*TARGETS)+(TableTEMaster[[#This Row],[REC]]*RECEPTIONS_TE)+(TableTEMaster[[#This Row],[RCYD]]*RECV_YARDS)+(TableTEMaster[[#This Row],[RCTD]]*RECV_TDS)</f>
        <v>10.814157745203755</v>
      </c>
      <c r="M81" s="190">
        <v>0</v>
      </c>
    </row>
    <row r="82" spans="1:13" x14ac:dyDescent="0.3">
      <c r="A82" s="196">
        <f>IF(TableTEMaster[[#This Row],[Player]]&lt;&gt;0,A81+1,A81)</f>
        <v>77</v>
      </c>
      <c r="B82" s="144">
        <f>PIT!A$26</f>
        <v>0</v>
      </c>
      <c r="C82" s="144" t="s">
        <v>164</v>
      </c>
      <c r="D82" s="146">
        <f>PIT!C$26</f>
        <v>9</v>
      </c>
      <c r="E82" s="145">
        <f>PIT!L$26</f>
        <v>0</v>
      </c>
      <c r="F82" s="145">
        <f>PIT!M$26</f>
        <v>0</v>
      </c>
      <c r="G82" s="145">
        <f>PIT!N$26</f>
        <v>0</v>
      </c>
      <c r="H82" s="145">
        <f>PIT!O$26</f>
        <v>0</v>
      </c>
      <c r="I82" s="145">
        <f t="shared" si="6"/>
        <v>0</v>
      </c>
      <c r="J82" s="145">
        <f t="shared" si="7"/>
        <v>0</v>
      </c>
      <c r="K82" s="145">
        <f t="shared" si="8"/>
        <v>0</v>
      </c>
      <c r="L82" s="188">
        <f>(TableTEMaster[[#This Row],[TGT]]*TARGETS)+(TableTEMaster[[#This Row],[REC]]*RECEPTIONS_TE)+(TableTEMaster[[#This Row],[RCYD]]*RECV_YARDS)+(TableTEMaster[[#This Row],[RCTD]]*RECV_TDS)</f>
        <v>0</v>
      </c>
      <c r="M82" s="190">
        <v>0</v>
      </c>
    </row>
    <row r="83" spans="1:13" x14ac:dyDescent="0.3">
      <c r="A83" s="196">
        <f>IF(TableTEMaster[[#This Row],[Player]]&lt;&gt;0,A82+1,A82)</f>
        <v>78</v>
      </c>
      <c r="B83" s="144" t="str">
        <f>SEA!A$24</f>
        <v>Noah Fant</v>
      </c>
      <c r="C83" s="144" t="s">
        <v>165</v>
      </c>
      <c r="D83" s="146">
        <f>SEA!C$24</f>
        <v>11</v>
      </c>
      <c r="E83" s="145">
        <f>SEA!L$24</f>
        <v>89.61504957256038</v>
      </c>
      <c r="F83" s="145">
        <f>SEA!M$24</f>
        <v>58.509665865924674</v>
      </c>
      <c r="G83" s="145">
        <f>SEA!N$24</f>
        <v>616.10678156818676</v>
      </c>
      <c r="H83" s="145">
        <f>SEA!O$24</f>
        <v>3.8240641668661874</v>
      </c>
      <c r="I83" s="145">
        <f t="shared" si="6"/>
        <v>84.555063158015798</v>
      </c>
      <c r="J83" s="145">
        <f t="shared" si="7"/>
        <v>113.80989609097813</v>
      </c>
      <c r="K83" s="145">
        <f t="shared" si="8"/>
        <v>143.06472902394046</v>
      </c>
      <c r="L83" s="188">
        <f>(TableTEMaster[[#This Row],[TGT]]*TARGETS)+(TableTEMaster[[#This Row],[REC]]*RECEPTIONS_TE)+(TableTEMaster[[#This Row],[RCYD]]*RECV_YARDS)+(TableTEMaster[[#This Row],[RCTD]]*RECV_TDS)</f>
        <v>84.555063158015798</v>
      </c>
      <c r="M83" s="190">
        <v>1.3392541066845682</v>
      </c>
    </row>
    <row r="84" spans="1:13" x14ac:dyDescent="0.3">
      <c r="A84" s="196">
        <f>IF(TableTEMaster[[#This Row],[Player]]&lt;&gt;0,A83+1,A83)</f>
        <v>79</v>
      </c>
      <c r="B84" s="144" t="str">
        <f>SEA!A$25</f>
        <v>Will Dissly</v>
      </c>
      <c r="C84" s="144" t="s">
        <v>165</v>
      </c>
      <c r="D84" s="146">
        <f>SEA!C$25</f>
        <v>11</v>
      </c>
      <c r="E84" s="145">
        <f>SEA!L$25</f>
        <v>28.513879409451036</v>
      </c>
      <c r="F84" s="145">
        <f>SEA!M$25</f>
        <v>18.305910580867565</v>
      </c>
      <c r="G84" s="145">
        <f>SEA!N$25</f>
        <v>190.56452914683135</v>
      </c>
      <c r="H84" s="145">
        <f>SEA!O$25</f>
        <v>0.94979718444263006</v>
      </c>
      <c r="I84" s="145">
        <f t="shared" si="6"/>
        <v>24.755236021338916</v>
      </c>
      <c r="J84" s="145">
        <f t="shared" si="7"/>
        <v>33.908191311772697</v>
      </c>
      <c r="K84" s="145">
        <f t="shared" si="8"/>
        <v>43.061146602206477</v>
      </c>
      <c r="L84" s="188">
        <f>(TableTEMaster[[#This Row],[TGT]]*TARGETS)+(TableTEMaster[[#This Row],[REC]]*RECEPTIONS_TE)+(TableTEMaster[[#This Row],[RCYD]]*RECV_YARDS)+(TableTEMaster[[#This Row],[RCTD]]*RECV_TDS)</f>
        <v>24.755236021338916</v>
      </c>
      <c r="M84" s="190">
        <v>0</v>
      </c>
    </row>
    <row r="85" spans="1:13" x14ac:dyDescent="0.3">
      <c r="A85" s="196">
        <f>IF(TableTEMaster[[#This Row],[Player]]&lt;&gt;0,A84+1,A84)</f>
        <v>80</v>
      </c>
      <c r="B85" s="144" t="str">
        <f>SEA!A$26</f>
        <v>Colby Parkinson</v>
      </c>
      <c r="C85" s="144" t="s">
        <v>165</v>
      </c>
      <c r="D85" s="146">
        <f>SEA!C$26</f>
        <v>11</v>
      </c>
      <c r="E85" s="145">
        <f>SEA!L$26</f>
        <v>6.9829908757839263</v>
      </c>
      <c r="F85" s="145">
        <f>SEA!M$26</f>
        <v>4.3154883612344666</v>
      </c>
      <c r="G85" s="145">
        <f>SEA!N$26</f>
        <v>43.370658030406389</v>
      </c>
      <c r="H85" s="145">
        <f>SEA!O$26</f>
        <v>0.24166734822913014</v>
      </c>
      <c r="I85" s="145">
        <f t="shared" si="6"/>
        <v>5.7870698924154205</v>
      </c>
      <c r="J85" s="145">
        <f t="shared" si="7"/>
        <v>7.9448140730326537</v>
      </c>
      <c r="K85" s="145">
        <f t="shared" si="8"/>
        <v>10.102558253649887</v>
      </c>
      <c r="L85" s="188">
        <f>(TableTEMaster[[#This Row],[TGT]]*TARGETS)+(TableTEMaster[[#This Row],[REC]]*RECEPTIONS_TE)+(TableTEMaster[[#This Row],[RCYD]]*RECV_YARDS)+(TableTEMaster[[#This Row],[RCTD]]*RECV_TDS)</f>
        <v>5.7870698924154205</v>
      </c>
      <c r="M85" s="190">
        <v>0</v>
      </c>
    </row>
    <row r="86" spans="1:13" x14ac:dyDescent="0.3">
      <c r="A86" s="196">
        <f>IF(TableTEMaster[[#This Row],[Player]]&lt;&gt;0,A85+1,A85)</f>
        <v>81</v>
      </c>
      <c r="B86" s="144" t="str">
        <f>SF!A$24</f>
        <v>George Kittle</v>
      </c>
      <c r="C86" s="144" t="s">
        <v>166</v>
      </c>
      <c r="D86" s="146">
        <f>SF!C$24</f>
        <v>9</v>
      </c>
      <c r="E86" s="145">
        <f>SF!L$24</f>
        <v>101.9458117565359</v>
      </c>
      <c r="F86" s="145">
        <f>SF!M$24</f>
        <v>70.403777599063687</v>
      </c>
      <c r="G86" s="145">
        <f>SF!N$24</f>
        <v>891.31182440414625</v>
      </c>
      <c r="H86" s="145">
        <f>SF!O$24</f>
        <v>6.1955324287176046</v>
      </c>
      <c r="I86" s="145">
        <f t="shared" si="6"/>
        <v>126.30437701272024</v>
      </c>
      <c r="J86" s="145">
        <f t="shared" si="7"/>
        <v>161.50626581225208</v>
      </c>
      <c r="K86" s="145">
        <f t="shared" si="8"/>
        <v>196.70815461178393</v>
      </c>
      <c r="L86" s="188">
        <f>(TableTEMaster[[#This Row],[TGT]]*TARGETS)+(TableTEMaster[[#This Row],[REC]]*RECEPTIONS_TE)+(TableTEMaster[[#This Row],[RCYD]]*RECV_YARDS)+(TableTEMaster[[#This Row],[RCTD]]*RECV_TDS)</f>
        <v>126.30437701272027</v>
      </c>
      <c r="M86" s="190">
        <v>20.864054671782846</v>
      </c>
    </row>
    <row r="87" spans="1:13" x14ac:dyDescent="0.3">
      <c r="A87" s="196">
        <f>IF(TableTEMaster[[#This Row],[Player]]&lt;&gt;0,A86+1,A86)</f>
        <v>82</v>
      </c>
      <c r="B87" s="144" t="str">
        <f>SF!A$25</f>
        <v>Ross Dwelley</v>
      </c>
      <c r="C87" s="144" t="s">
        <v>166</v>
      </c>
      <c r="D87" s="146">
        <f>SF!C$25</f>
        <v>9</v>
      </c>
      <c r="E87" s="145">
        <f>SF!L$25</f>
        <v>9.1869374250633182</v>
      </c>
      <c r="F87" s="145">
        <f>SF!M$25</f>
        <v>5.4423417306075104</v>
      </c>
      <c r="G87" s="145">
        <f>SF!N$25</f>
        <v>55.947272990645203</v>
      </c>
      <c r="H87" s="145">
        <f>SF!O$25</f>
        <v>0.41008102270533725</v>
      </c>
      <c r="I87" s="145">
        <f t="shared" si="6"/>
        <v>8.0552134352965439</v>
      </c>
      <c r="J87" s="145">
        <f t="shared" si="7"/>
        <v>10.776384300600299</v>
      </c>
      <c r="K87" s="145">
        <f t="shared" si="8"/>
        <v>13.497555165904053</v>
      </c>
      <c r="L87" s="188">
        <f>(TableTEMaster[[#This Row],[TGT]]*TARGETS)+(TableTEMaster[[#This Row],[REC]]*RECEPTIONS_TE)+(TableTEMaster[[#This Row],[RCYD]]*RECV_YARDS)+(TableTEMaster[[#This Row],[RCTD]]*RECV_TDS)</f>
        <v>8.0552134352965439</v>
      </c>
      <c r="M87" s="190">
        <v>0</v>
      </c>
    </row>
    <row r="88" spans="1:13" x14ac:dyDescent="0.3">
      <c r="A88" s="196">
        <f>IF(TableTEMaster[[#This Row],[Player]]&lt;&gt;0,A87+1,A87)</f>
        <v>83</v>
      </c>
      <c r="B88" s="144" t="str">
        <f>SF!A$26</f>
        <v>Charlie Woerner</v>
      </c>
      <c r="C88" s="144" t="s">
        <v>166</v>
      </c>
      <c r="D88" s="146">
        <f>SF!C$26</f>
        <v>9</v>
      </c>
      <c r="E88" s="145">
        <f>SF!L$26</f>
        <v>6.8067458562703873</v>
      </c>
      <c r="F88" s="145">
        <f>SF!M$26</f>
        <v>4.0091733093432582</v>
      </c>
      <c r="G88" s="145">
        <f>SF!N$26</f>
        <v>41.454852018609287</v>
      </c>
      <c r="H88" s="145">
        <f>SF!O$26</f>
        <v>0.34788545229033141</v>
      </c>
      <c r="I88" s="145">
        <f t="shared" si="6"/>
        <v>6.2327979156029176</v>
      </c>
      <c r="J88" s="145">
        <f t="shared" si="7"/>
        <v>8.2373845702745463</v>
      </c>
      <c r="K88" s="145">
        <f t="shared" si="8"/>
        <v>10.241971224946177</v>
      </c>
      <c r="L88" s="188">
        <f>(TableTEMaster[[#This Row],[TGT]]*TARGETS)+(TableTEMaster[[#This Row],[REC]]*RECEPTIONS_TE)+(TableTEMaster[[#This Row],[RCYD]]*RECV_YARDS)+(TableTEMaster[[#This Row],[RCTD]]*RECV_TDS)</f>
        <v>6.2327979156029176</v>
      </c>
      <c r="M88" s="190">
        <v>0</v>
      </c>
    </row>
    <row r="89" spans="1:13" x14ac:dyDescent="0.3">
      <c r="A89" s="196">
        <f>IF(TableTEMaster[[#This Row],[Player]]&lt;&gt;0,A88+1,A88)</f>
        <v>84</v>
      </c>
      <c r="B89" s="144" t="str">
        <f>TB!A$24</f>
        <v>Cameron Brate</v>
      </c>
      <c r="C89" s="144" t="s">
        <v>167</v>
      </c>
      <c r="D89" s="146">
        <f>TB!C$24</f>
        <v>11</v>
      </c>
      <c r="E89" s="145">
        <f>TB!L$24</f>
        <v>92.668149453278573</v>
      </c>
      <c r="F89" s="145">
        <f>TB!M$24</f>
        <v>61.695222063058196</v>
      </c>
      <c r="G89" s="145">
        <f>TB!N$24</f>
        <v>648.41678388274158</v>
      </c>
      <c r="H89" s="145">
        <f>TB!O$24</f>
        <v>5.7315745106689739</v>
      </c>
      <c r="I89" s="145">
        <f t="shared" si="6"/>
        <v>99.231125452288012</v>
      </c>
      <c r="J89" s="145">
        <f t="shared" si="7"/>
        <v>130.07873648381712</v>
      </c>
      <c r="K89" s="145">
        <f t="shared" si="8"/>
        <v>160.92634751534621</v>
      </c>
      <c r="L89" s="188">
        <f>(TableTEMaster[[#This Row],[TGT]]*TARGETS)+(TableTEMaster[[#This Row],[REC]]*RECEPTIONS_TE)+(TableTEMaster[[#This Row],[RCYD]]*RECV_YARDS)+(TableTEMaster[[#This Row],[RCTD]]*RECV_TDS)</f>
        <v>99.231125452288012</v>
      </c>
      <c r="M89" s="190">
        <v>2.4875712692474092</v>
      </c>
    </row>
    <row r="90" spans="1:13" x14ac:dyDescent="0.3">
      <c r="A90" s="196">
        <f>IF(TableTEMaster[[#This Row],[Player]]&lt;&gt;0,A89+1,A89)</f>
        <v>85</v>
      </c>
      <c r="B90" s="144" t="str">
        <f>TB!A$25</f>
        <v>Cade Otton</v>
      </c>
      <c r="C90" s="144" t="s">
        <v>167</v>
      </c>
      <c r="D90" s="146">
        <f>TB!C$25</f>
        <v>11</v>
      </c>
      <c r="E90" s="145">
        <f>TB!L$25</f>
        <v>37.491694053616513</v>
      </c>
      <c r="F90" s="145">
        <f>TB!M$25</f>
        <v>23.394817089456705</v>
      </c>
      <c r="G90" s="145">
        <f>TB!N$25</f>
        <v>252.43346447786581</v>
      </c>
      <c r="H90" s="145">
        <f>TB!O$25</f>
        <v>2.2225076234983869</v>
      </c>
      <c r="I90" s="145">
        <f t="shared" si="6"/>
        <v>38.578392188776903</v>
      </c>
      <c r="J90" s="145">
        <f t="shared" si="7"/>
        <v>50.275800733505257</v>
      </c>
      <c r="K90" s="145">
        <f t="shared" si="8"/>
        <v>61.973209278233611</v>
      </c>
      <c r="L90" s="188">
        <f>(TableTEMaster[[#This Row],[TGT]]*TARGETS)+(TableTEMaster[[#This Row],[REC]]*RECEPTIONS_TE)+(TableTEMaster[[#This Row],[RCYD]]*RECV_YARDS)+(TableTEMaster[[#This Row],[RCTD]]*RECV_TDS)</f>
        <v>38.578392188776903</v>
      </c>
      <c r="M90" s="190">
        <v>0</v>
      </c>
    </row>
    <row r="91" spans="1:13" x14ac:dyDescent="0.3">
      <c r="A91" s="196">
        <f>IF(TableTEMaster[[#This Row],[Player]]&lt;&gt;0,A90+1,A90)</f>
        <v>86</v>
      </c>
      <c r="B91" s="144" t="str">
        <f>TB!A$26</f>
        <v>Ko Kieft</v>
      </c>
      <c r="C91" s="144" t="s">
        <v>167</v>
      </c>
      <c r="D91" s="146">
        <f>TB!C$26</f>
        <v>11</v>
      </c>
      <c r="E91" s="145">
        <f>TB!L$26</f>
        <v>7.0739045384182111</v>
      </c>
      <c r="F91" s="145">
        <f>TB!M$26</f>
        <v>4.2351466471509829</v>
      </c>
      <c r="G91" s="145">
        <f>TB!N$26</f>
        <v>42.478520870924356</v>
      </c>
      <c r="H91" s="145">
        <f>TB!O$26</f>
        <v>0.30493055859487073</v>
      </c>
      <c r="I91" s="145">
        <f t="shared" si="6"/>
        <v>6.0774354386616594</v>
      </c>
      <c r="J91" s="145">
        <f t="shared" si="7"/>
        <v>8.1950087622371512</v>
      </c>
      <c r="K91" s="145">
        <f t="shared" si="8"/>
        <v>10.312582085812643</v>
      </c>
      <c r="L91" s="188">
        <f>(TableTEMaster[[#This Row],[TGT]]*TARGETS)+(TableTEMaster[[#This Row],[REC]]*RECEPTIONS_TE)+(TableTEMaster[[#This Row],[RCYD]]*RECV_YARDS)+(TableTEMaster[[#This Row],[RCTD]]*RECV_TDS)</f>
        <v>6.0774354386616594</v>
      </c>
      <c r="M91" s="190">
        <v>0</v>
      </c>
    </row>
    <row r="92" spans="1:13" x14ac:dyDescent="0.3">
      <c r="A92" s="196">
        <f>IF(TableTEMaster[[#This Row],[Player]]&lt;&gt;0,A91+1,A91)</f>
        <v>87</v>
      </c>
      <c r="B92" s="144" t="str">
        <f>TEN!A$24</f>
        <v>Austin Hooper</v>
      </c>
      <c r="C92" s="144" t="s">
        <v>168</v>
      </c>
      <c r="D92" s="146">
        <f>TEN!C$24</f>
        <v>6</v>
      </c>
      <c r="E92" s="145">
        <f>TEN!L$24</f>
        <v>73.421316502595076</v>
      </c>
      <c r="F92" s="145">
        <f>TEN!M$24</f>
        <v>51.042499232604101</v>
      </c>
      <c r="G92" s="145">
        <f>TEN!N$24</f>
        <v>498.02703945724369</v>
      </c>
      <c r="H92" s="145">
        <f>TEN!O$24</f>
        <v>4.1344424378409323</v>
      </c>
      <c r="I92" s="145">
        <f t="shared" si="6"/>
        <v>74.609358572769963</v>
      </c>
      <c r="J92" s="145">
        <f t="shared" si="7"/>
        <v>100.13060818907201</v>
      </c>
      <c r="K92" s="145">
        <f t="shared" si="8"/>
        <v>125.65185780537406</v>
      </c>
      <c r="L92" s="188">
        <f>(TableTEMaster[[#This Row],[TGT]]*TARGETS)+(TableTEMaster[[#This Row],[REC]]*RECEPTIONS_TE)+(TableTEMaster[[#This Row],[RCYD]]*RECV_YARDS)+(TableTEMaster[[#This Row],[RCTD]]*RECV_TDS)</f>
        <v>74.609358572769963</v>
      </c>
      <c r="M92" s="190">
        <v>0.26292251074426737</v>
      </c>
    </row>
    <row r="93" spans="1:13" x14ac:dyDescent="0.3">
      <c r="A93" s="196">
        <f>IF(TableTEMaster[[#This Row],[Player]]&lt;&gt;0,A92+1,A92)</f>
        <v>88</v>
      </c>
      <c r="B93" s="144" t="str">
        <f>TEN!A$25</f>
        <v>Geoff Swaim</v>
      </c>
      <c r="C93" s="144" t="s">
        <v>168</v>
      </c>
      <c r="D93" s="146">
        <f>TEN!C$25</f>
        <v>6</v>
      </c>
      <c r="E93" s="145">
        <f>TEN!L$25</f>
        <v>43.059117948890346</v>
      </c>
      <c r="F93" s="145">
        <f>TEN!M$25</f>
        <v>29.021845497552096</v>
      </c>
      <c r="G93" s="145">
        <f>TEN!N$25</f>
        <v>233.81900049940919</v>
      </c>
      <c r="H93" s="145">
        <f>TEN!O$25</f>
        <v>2.4668568672919284</v>
      </c>
      <c r="I93" s="145">
        <f t="shared" si="6"/>
        <v>38.183041253692487</v>
      </c>
      <c r="J93" s="145">
        <f t="shared" si="7"/>
        <v>52.693964002468533</v>
      </c>
      <c r="K93" s="145">
        <f t="shared" si="8"/>
        <v>67.204886751244587</v>
      </c>
      <c r="L93" s="188">
        <f>(TableTEMaster[[#This Row],[TGT]]*TARGETS)+(TableTEMaster[[#This Row],[REC]]*RECEPTIONS_TE)+(TableTEMaster[[#This Row],[RCYD]]*RECV_YARDS)+(TableTEMaster[[#This Row],[RCTD]]*RECV_TDS)</f>
        <v>38.183041253692494</v>
      </c>
      <c r="M93" s="190">
        <v>0</v>
      </c>
    </row>
    <row r="94" spans="1:13" x14ac:dyDescent="0.3">
      <c r="A94" s="196">
        <f>IF(TableTEMaster[[#This Row],[Player]]&lt;&gt;0,A93+1,A93)</f>
        <v>89</v>
      </c>
      <c r="B94" s="144" t="str">
        <f>TEN!A$26</f>
        <v>Chigoziem Okonkwo</v>
      </c>
      <c r="C94" s="144" t="s">
        <v>168</v>
      </c>
      <c r="D94" s="146">
        <f>TEN!C$26</f>
        <v>6</v>
      </c>
      <c r="E94" s="145">
        <f>TEN!L$26</f>
        <v>11.040799474074449</v>
      </c>
      <c r="F94" s="145">
        <f>TEN!M$26</f>
        <v>6.8232140749780097</v>
      </c>
      <c r="G94" s="145">
        <f>TEN!N$26</f>
        <v>65.434622979039105</v>
      </c>
      <c r="H94" s="145">
        <f>TEN!O$26</f>
        <v>0.13646428149956019</v>
      </c>
      <c r="I94" s="145">
        <f t="shared" si="6"/>
        <v>7.3622479869012718</v>
      </c>
      <c r="J94" s="145">
        <f t="shared" si="7"/>
        <v>10.773855024390276</v>
      </c>
      <c r="K94" s="145">
        <f t="shared" si="8"/>
        <v>14.185462061879281</v>
      </c>
      <c r="L94" s="188">
        <f>(TableTEMaster[[#This Row],[TGT]]*TARGETS)+(TableTEMaster[[#This Row],[REC]]*RECEPTIONS_TE)+(TableTEMaster[[#This Row],[RCYD]]*RECV_YARDS)+(TableTEMaster[[#This Row],[RCTD]]*RECV_TDS)</f>
        <v>7.3622479869012727</v>
      </c>
      <c r="M94" s="190">
        <v>0</v>
      </c>
    </row>
    <row r="95" spans="1:13" x14ac:dyDescent="0.3">
      <c r="A95" s="196">
        <f>IF(TableTEMaster[[#This Row],[Player]]&lt;&gt;0,A94+1,A94)</f>
        <v>90</v>
      </c>
      <c r="B95" s="144" t="str">
        <f>WSH!A$24</f>
        <v>Logan Thomas</v>
      </c>
      <c r="C95" s="144" t="s">
        <v>171</v>
      </c>
      <c r="D95" s="146">
        <f>WSH!C$24</f>
        <v>14</v>
      </c>
      <c r="E95" s="145">
        <f>WSH!L$24</f>
        <v>75.849448797866884</v>
      </c>
      <c r="F95" s="145">
        <f>WSH!M$24</f>
        <v>47.861002191454006</v>
      </c>
      <c r="G95" s="145">
        <f>WSH!N$24</f>
        <v>517.85604371153238</v>
      </c>
      <c r="H95" s="145">
        <f>WSH!O$24</f>
        <v>5.4496941743956686</v>
      </c>
      <c r="I95" s="145">
        <f t="shared" si="6"/>
        <v>84.483769417527256</v>
      </c>
      <c r="J95" s="145">
        <f t="shared" si="7"/>
        <v>108.41427051325425</v>
      </c>
      <c r="K95" s="145">
        <f t="shared" si="8"/>
        <v>132.34477160898126</v>
      </c>
      <c r="L95" s="188">
        <f>(TableTEMaster[[#This Row],[TGT]]*TARGETS)+(TableTEMaster[[#This Row],[REC]]*RECEPTIONS_TE)+(TableTEMaster[[#This Row],[RCYD]]*RECV_YARDS)+(TableTEMaster[[#This Row],[RCTD]]*RECV_TDS)</f>
        <v>84.483769417527256</v>
      </c>
      <c r="M95" s="190">
        <v>4.5112693426953232</v>
      </c>
    </row>
    <row r="96" spans="1:13" x14ac:dyDescent="0.3">
      <c r="A96" s="196">
        <f>IF(TableTEMaster[[#This Row],[Player]]&lt;&gt;0,A95+1,A95)</f>
        <v>91</v>
      </c>
      <c r="B96" s="144" t="str">
        <f>WSH!A$25</f>
        <v>John Bates</v>
      </c>
      <c r="C96" s="144" t="s">
        <v>171</v>
      </c>
      <c r="D96" s="146">
        <f>WSH!C$25</f>
        <v>14</v>
      </c>
      <c r="E96" s="145">
        <f>WSH!L$25</f>
        <v>29.599784896728533</v>
      </c>
      <c r="F96" s="145">
        <f>WSH!M$25</f>
        <v>19.00306190369972</v>
      </c>
      <c r="G96" s="145">
        <f>WSH!N$25</f>
        <v>223.8560692255827</v>
      </c>
      <c r="H96" s="145">
        <f>WSH!O$25</f>
        <v>0.9990193511791452</v>
      </c>
      <c r="I96" s="145">
        <f t="shared" si="6"/>
        <v>28.379723029633141</v>
      </c>
      <c r="J96" s="145">
        <f t="shared" si="7"/>
        <v>37.881253981482999</v>
      </c>
      <c r="K96" s="145">
        <f t="shared" si="8"/>
        <v>47.382784933332857</v>
      </c>
      <c r="L96" s="188">
        <f>(TableTEMaster[[#This Row],[TGT]]*TARGETS)+(TableTEMaster[[#This Row],[REC]]*RECEPTIONS_TE)+(TableTEMaster[[#This Row],[RCYD]]*RECV_YARDS)+(TableTEMaster[[#This Row],[RCTD]]*RECV_TDS)</f>
        <v>28.379723029633141</v>
      </c>
      <c r="M96" s="190">
        <v>0</v>
      </c>
    </row>
    <row r="97" spans="1:13" x14ac:dyDescent="0.3">
      <c r="A97" s="196">
        <f>IF(TableTEMaster[[#This Row],[Player]]&lt;&gt;0,A96+1,A96)</f>
        <v>92</v>
      </c>
      <c r="B97" s="144" t="str">
        <f>WSH!A$26</f>
        <v>Cole Turner</v>
      </c>
      <c r="C97" s="144" t="s">
        <v>171</v>
      </c>
      <c r="D97" s="146">
        <f>WSH!C$26</f>
        <v>14</v>
      </c>
      <c r="E97" s="145">
        <f>WSH!L$26</f>
        <v>6.1666218534851112</v>
      </c>
      <c r="F97" s="145">
        <f>WSH!M$26</f>
        <v>3.8109723054537987</v>
      </c>
      <c r="G97" s="145">
        <f>WSH!N$26</f>
        <v>38.730113894960702</v>
      </c>
      <c r="H97" s="145">
        <f>WSH!O$26</f>
        <v>0.17725452583506041</v>
      </c>
      <c r="I97" s="145">
        <f t="shared" si="6"/>
        <v>4.9365385445064325</v>
      </c>
      <c r="J97" s="145">
        <f t="shared" si="7"/>
        <v>6.8420246972333318</v>
      </c>
      <c r="K97" s="145">
        <f t="shared" si="8"/>
        <v>8.7475108499602321</v>
      </c>
      <c r="L97" s="188">
        <f>(TableTEMaster[[#This Row],[TGT]]*TARGETS)+(TableTEMaster[[#This Row],[REC]]*RECEPTIONS_TE)+(TableTEMaster[[#This Row],[RCYD]]*RECV_YARDS)+(TableTEMaster[[#This Row],[RCTD]]*RECV_TDS)</f>
        <v>4.9365385445064334</v>
      </c>
      <c r="M97" s="190">
        <v>0</v>
      </c>
    </row>
  </sheetData>
  <sortState xmlns:xlrd2="http://schemas.microsoft.com/office/spreadsheetml/2017/richdata2" ref="B2:K97">
    <sortCondition ref="C2:C129"/>
  </sortState>
  <phoneticPr fontId="16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5"/>
  <dimension ref="A1:E33"/>
  <sheetViews>
    <sheetView showGridLines="0" zoomScale="85" zoomScaleNormal="85" workbookViewId="0">
      <selection activeCell="K122" sqref="K122"/>
    </sheetView>
  </sheetViews>
  <sheetFormatPr defaultColWidth="9.109375" defaultRowHeight="14.4" x14ac:dyDescent="0.3"/>
  <cols>
    <col min="1" max="1" width="10" style="189" bestFit="1" customWidth="1"/>
    <col min="2" max="2" width="26.6640625" style="189" bestFit="1" customWidth="1"/>
    <col min="3" max="3" width="7" style="189" bestFit="1" customWidth="1"/>
    <col min="4" max="4" width="10" style="189" bestFit="1" customWidth="1"/>
    <col min="5" max="5" width="8.44140625" style="189" bestFit="1" customWidth="1"/>
    <col min="6" max="16384" width="9.109375" style="189"/>
  </cols>
  <sheetData>
    <row r="1" spans="1:5" x14ac:dyDescent="0.3">
      <c r="A1" s="143" t="s">
        <v>546</v>
      </c>
      <c r="B1" s="143" t="s">
        <v>507</v>
      </c>
      <c r="C1" s="143" t="s">
        <v>174</v>
      </c>
      <c r="D1" s="143" t="s">
        <v>503</v>
      </c>
      <c r="E1" s="143" t="s">
        <v>477</v>
      </c>
    </row>
    <row r="2" spans="1:5" x14ac:dyDescent="0.3">
      <c r="A2" s="144">
        <v>1</v>
      </c>
      <c r="B2" s="144" t="str">
        <f>DST!B2</f>
        <v>Arizona Cardinals</v>
      </c>
      <c r="C2" s="146">
        <f>DST!D2</f>
        <v>13</v>
      </c>
      <c r="D2" s="145">
        <f>(DST!E2*Settings!B$16)+(DST!F2*Settings!B$17)+(DST!G2*Settings!B$18)+(DST!H2*Settings!B$19)+(DST!I2*Settings!B$20)+(DST!J2*Settings!B$21)+(DST!L2*Settings!B$22)+(DST!M2*Settings!B$23)+(DST!N2*Settings!B$24)+(DST!O2*Settings!B$25)+(DST!P2*Settings!B$26)+(DST!Q2*Settings!B$27)+(DST!R2*Settings!B$28)</f>
        <v>124.21505030262492</v>
      </c>
      <c r="E2" s="197">
        <v>0.1601309495188814</v>
      </c>
    </row>
    <row r="3" spans="1:5" x14ac:dyDescent="0.3">
      <c r="A3" s="144">
        <v>2</v>
      </c>
      <c r="B3" s="144" t="str">
        <f>DST!B3</f>
        <v>Atlanta Falcons</v>
      </c>
      <c r="C3" s="146">
        <f>DST!D3</f>
        <v>14</v>
      </c>
      <c r="D3" s="145">
        <f>(DST!E3*Settings!B$16)+(DST!F3*Settings!B$17)+(DST!G3*Settings!B$18)+(DST!H3*Settings!B$19)+(DST!I3*Settings!B$20)+(DST!J3*Settings!B$21)+(DST!L3*Settings!B$22)+(DST!M3*Settings!B$23)+(DST!N3*Settings!B$24)+(DST!O3*Settings!B$25)+(DST!P3*Settings!B$26)+(DST!Q3*Settings!B$27)+(DST!R3*Settings!B$28)</f>
        <v>102.28070325616474</v>
      </c>
      <c r="E3" s="197">
        <v>0</v>
      </c>
    </row>
    <row r="4" spans="1:5" x14ac:dyDescent="0.3">
      <c r="A4" s="144">
        <v>3</v>
      </c>
      <c r="B4" s="144" t="str">
        <f>DST!B4</f>
        <v>Baltimore Ravens</v>
      </c>
      <c r="C4" s="146">
        <f>DST!D4</f>
        <v>10</v>
      </c>
      <c r="D4" s="145">
        <f>(DST!E4*Settings!B$16)+(DST!F4*Settings!B$17)+(DST!G4*Settings!B$18)+(DST!H4*Settings!B$19)+(DST!I4*Settings!B$20)+(DST!J4*Settings!B$21)+(DST!L4*Settings!B$22)+(DST!M4*Settings!B$23)+(DST!N4*Settings!B$24)+(DST!O4*Settings!B$25)+(DST!P4*Settings!B$26)+(DST!Q4*Settings!B$27)+(DST!R4*Settings!B$28)</f>
        <v>125.6491890968727</v>
      </c>
      <c r="E4" s="197">
        <v>0.26989971239398014</v>
      </c>
    </row>
    <row r="5" spans="1:5" x14ac:dyDescent="0.3">
      <c r="A5" s="144">
        <v>4</v>
      </c>
      <c r="B5" s="144" t="str">
        <f>DST!B5</f>
        <v>Buffalo Bills</v>
      </c>
      <c r="C5" s="146">
        <f>DST!D5</f>
        <v>7</v>
      </c>
      <c r="D5" s="145">
        <f>(DST!E5*Settings!B$16)+(DST!F5*Settings!B$17)+(DST!G5*Settings!B$18)+(DST!H5*Settings!B$19)+(DST!I5*Settings!B$20)+(DST!J5*Settings!B$21)+(DST!L5*Settings!B$22)+(DST!M5*Settings!B$23)+(DST!N5*Settings!B$24)+(DST!O5*Settings!B$25)+(DST!P5*Settings!B$26)+(DST!Q5*Settings!B$27)+(DST!R5*Settings!B$28)</f>
        <v>135.60936444729785</v>
      </c>
      <c r="E5" s="197">
        <v>0.12648798533843186</v>
      </c>
    </row>
    <row r="6" spans="1:5" x14ac:dyDescent="0.3">
      <c r="A6" s="144">
        <v>5</v>
      </c>
      <c r="B6" s="144" t="str">
        <f>DST!B6</f>
        <v>Carolina Panthers</v>
      </c>
      <c r="C6" s="146">
        <f>DST!D6</f>
        <v>13</v>
      </c>
      <c r="D6" s="145">
        <f>(DST!E6*Settings!B$16)+(DST!F6*Settings!B$17)+(DST!G6*Settings!B$18)+(DST!H6*Settings!B$19)+(DST!I6*Settings!B$20)+(DST!J6*Settings!B$21)+(DST!L6*Settings!B$22)+(DST!M6*Settings!B$23)+(DST!N6*Settings!B$24)+(DST!O6*Settings!B$25)+(DST!P6*Settings!B$26)+(DST!Q6*Settings!B$27)+(DST!R6*Settings!B$28)</f>
        <v>113.06478718285221</v>
      </c>
      <c r="E6" s="197">
        <v>0</v>
      </c>
    </row>
    <row r="7" spans="1:5" x14ac:dyDescent="0.3">
      <c r="A7" s="144">
        <v>6</v>
      </c>
      <c r="B7" s="144" t="str">
        <f>DST!B7</f>
        <v>Chicago Bears</v>
      </c>
      <c r="C7" s="146">
        <f>DST!D7</f>
        <v>14</v>
      </c>
      <c r="D7" s="145">
        <f>(DST!E7*Settings!B$16)+(DST!F7*Settings!B$17)+(DST!G7*Settings!B$18)+(DST!H7*Settings!B$19)+(DST!I7*Settings!B$20)+(DST!J7*Settings!B$21)+(DST!L7*Settings!B$22)+(DST!M7*Settings!B$23)+(DST!N7*Settings!B$24)+(DST!O7*Settings!B$25)+(DST!P7*Settings!B$26)+(DST!Q7*Settings!B$27)+(DST!R7*Settings!B$28)</f>
        <v>118.04415989333287</v>
      </c>
      <c r="E7" s="197">
        <v>0</v>
      </c>
    </row>
    <row r="8" spans="1:5" x14ac:dyDescent="0.3">
      <c r="A8" s="144">
        <v>7</v>
      </c>
      <c r="B8" s="144" t="str">
        <f>DST!B8</f>
        <v>Cincinnati Bengals</v>
      </c>
      <c r="C8" s="146">
        <f>DST!D8</f>
        <v>10</v>
      </c>
      <c r="D8" s="145">
        <f>(DST!E8*Settings!B$16)+(DST!F8*Settings!B$17)+(DST!G8*Settings!B$18)+(DST!H8*Settings!B$19)+(DST!I8*Settings!B$20)+(DST!J8*Settings!B$21)+(DST!L8*Settings!B$22)+(DST!M8*Settings!B$23)+(DST!N8*Settings!B$24)+(DST!O8*Settings!B$25)+(DST!P8*Settings!B$26)+(DST!Q8*Settings!B$27)+(DST!R8*Settings!B$28)</f>
        <v>117.70189775776983</v>
      </c>
      <c r="E8" s="197">
        <v>0</v>
      </c>
    </row>
    <row r="9" spans="1:5" x14ac:dyDescent="0.3">
      <c r="A9" s="144">
        <v>8</v>
      </c>
      <c r="B9" s="144" t="str">
        <f>DST!B9</f>
        <v>Cleveland Browns</v>
      </c>
      <c r="C9" s="146">
        <f>DST!D9</f>
        <v>9</v>
      </c>
      <c r="D9" s="145">
        <f>(DST!E9*Settings!B$16)+(DST!F9*Settings!B$17)+(DST!G9*Settings!B$18)+(DST!H9*Settings!B$19)+(DST!I9*Settings!B$20)+(DST!J9*Settings!B$21)+(DST!L9*Settings!B$22)+(DST!M9*Settings!B$23)+(DST!N9*Settings!B$24)+(DST!O9*Settings!B$25)+(DST!P9*Settings!B$26)+(DST!Q9*Settings!B$27)+(DST!R9*Settings!B$28)</f>
        <v>121.27147995232988</v>
      </c>
      <c r="E9" s="197">
        <v>5.739541041219344E-2</v>
      </c>
    </row>
    <row r="10" spans="1:5" x14ac:dyDescent="0.3">
      <c r="A10" s="144">
        <v>9</v>
      </c>
      <c r="B10" s="144" t="str">
        <f>DST!B10</f>
        <v>Dallas Cowboys</v>
      </c>
      <c r="C10" s="146">
        <f>DST!D10</f>
        <v>9</v>
      </c>
      <c r="D10" s="145">
        <f>(DST!E10*Settings!B$16)+(DST!F10*Settings!B$17)+(DST!G10*Settings!B$18)+(DST!H10*Settings!B$19)+(DST!I10*Settings!B$20)+(DST!J10*Settings!B$21)+(DST!L10*Settings!B$22)+(DST!M10*Settings!B$23)+(DST!N10*Settings!B$24)+(DST!O10*Settings!B$25)+(DST!P10*Settings!B$26)+(DST!Q10*Settings!B$27)+(DST!R10*Settings!B$28)</f>
        <v>126.65112288747655</v>
      </c>
      <c r="E10" s="197">
        <v>0</v>
      </c>
    </row>
    <row r="11" spans="1:5" x14ac:dyDescent="0.3">
      <c r="A11" s="144">
        <v>10</v>
      </c>
      <c r="B11" s="144" t="str">
        <f>DST!B11</f>
        <v>Denver Broncos</v>
      </c>
      <c r="C11" s="146">
        <f>DST!D11</f>
        <v>9</v>
      </c>
      <c r="D11" s="145">
        <f>(DST!E11*Settings!B$16)+(DST!F11*Settings!B$17)+(DST!G11*Settings!B$18)+(DST!H11*Settings!B$19)+(DST!I11*Settings!B$20)+(DST!J11*Settings!B$21)+(DST!L11*Settings!B$22)+(DST!M11*Settings!B$23)+(DST!N11*Settings!B$24)+(DST!O11*Settings!B$25)+(DST!P11*Settings!B$26)+(DST!Q11*Settings!B$27)+(DST!R11*Settings!B$28)</f>
        <v>120.32839499657774</v>
      </c>
      <c r="E11" s="197">
        <v>0</v>
      </c>
    </row>
    <row r="12" spans="1:5" x14ac:dyDescent="0.3">
      <c r="A12" s="144">
        <v>11</v>
      </c>
      <c r="B12" s="144" t="str">
        <f>DST!B12</f>
        <v>Detroit Lions</v>
      </c>
      <c r="C12" s="146">
        <f>DST!D12</f>
        <v>6</v>
      </c>
      <c r="D12" s="145">
        <f>(DST!E12*Settings!B$16)+(DST!F12*Settings!B$17)+(DST!G12*Settings!B$18)+(DST!H12*Settings!B$19)+(DST!I12*Settings!B$20)+(DST!J12*Settings!B$21)+(DST!L12*Settings!B$22)+(DST!M12*Settings!B$23)+(DST!N12*Settings!B$24)+(DST!O12*Settings!B$25)+(DST!P12*Settings!B$26)+(DST!Q12*Settings!B$27)+(DST!R12*Settings!B$28)</f>
        <v>105.66883121378228</v>
      </c>
      <c r="E12" s="197">
        <v>0</v>
      </c>
    </row>
    <row r="13" spans="1:5" x14ac:dyDescent="0.3">
      <c r="A13" s="144">
        <v>12</v>
      </c>
      <c r="B13" s="144" t="str">
        <f>DST!B13</f>
        <v>Green Bay Packers</v>
      </c>
      <c r="C13" s="146">
        <f>DST!D13</f>
        <v>14</v>
      </c>
      <c r="D13" s="145">
        <f>(DST!E13*Settings!B$16)+(DST!F13*Settings!B$17)+(DST!G13*Settings!B$18)+(DST!H13*Settings!B$19)+(DST!I13*Settings!B$20)+(DST!J13*Settings!B$21)+(DST!L13*Settings!B$22)+(DST!M13*Settings!B$23)+(DST!N13*Settings!B$24)+(DST!O13*Settings!B$25)+(DST!P13*Settings!B$26)+(DST!Q13*Settings!B$27)+(DST!R13*Settings!B$28)</f>
        <v>123.90086431811162</v>
      </c>
      <c r="E13" s="197">
        <v>0.11135103317964741</v>
      </c>
    </row>
    <row r="14" spans="1:5" x14ac:dyDescent="0.3">
      <c r="A14" s="144">
        <v>13</v>
      </c>
      <c r="B14" s="144" t="str">
        <f>DST!B14</f>
        <v>Houston Texans</v>
      </c>
      <c r="C14" s="146">
        <f>DST!D14</f>
        <v>6</v>
      </c>
      <c r="D14" s="145">
        <f>(DST!E14*Settings!B$16)+(DST!F14*Settings!B$17)+(DST!G14*Settings!B$18)+(DST!H14*Settings!B$19)+(DST!I14*Settings!B$20)+(DST!J14*Settings!B$21)+(DST!L14*Settings!B$22)+(DST!M14*Settings!B$23)+(DST!N14*Settings!B$24)+(DST!O14*Settings!B$25)+(DST!P14*Settings!B$26)+(DST!Q14*Settings!B$27)+(DST!R14*Settings!B$28)</f>
        <v>106.81867080778713</v>
      </c>
      <c r="E14" s="197">
        <v>0</v>
      </c>
    </row>
    <row r="15" spans="1:5" x14ac:dyDescent="0.3">
      <c r="A15" s="144">
        <v>14</v>
      </c>
      <c r="B15" s="144" t="str">
        <f>DST!B15</f>
        <v>Indianapolis Colts</v>
      </c>
      <c r="C15" s="146">
        <f>DST!D15</f>
        <v>14</v>
      </c>
      <c r="D15" s="145">
        <f>(DST!E15*Settings!B$16)+(DST!F15*Settings!B$17)+(DST!G15*Settings!B$18)+(DST!H15*Settings!B$19)+(DST!I15*Settings!B$20)+(DST!J15*Settings!B$21)+(DST!L15*Settings!B$22)+(DST!M15*Settings!B$23)+(DST!N15*Settings!B$24)+(DST!O15*Settings!B$25)+(DST!P15*Settings!B$26)+(DST!Q15*Settings!B$27)+(DST!R15*Settings!B$28)</f>
        <v>124.55475841840658</v>
      </c>
      <c r="E15" s="197">
        <v>0.30436492593653164</v>
      </c>
    </row>
    <row r="16" spans="1:5" x14ac:dyDescent="0.3">
      <c r="A16" s="144">
        <v>15</v>
      </c>
      <c r="B16" s="144" t="str">
        <f>DST!B16</f>
        <v>Jacksonville Jaguars</v>
      </c>
      <c r="C16" s="146">
        <f>DST!D16</f>
        <v>11</v>
      </c>
      <c r="D16" s="145">
        <f>(DST!E16*Settings!B$16)+(DST!F16*Settings!B$17)+(DST!G16*Settings!B$18)+(DST!H16*Settings!B$19)+(DST!I16*Settings!B$20)+(DST!J16*Settings!B$21)+(DST!L16*Settings!B$22)+(DST!M16*Settings!B$23)+(DST!N16*Settings!B$24)+(DST!O16*Settings!B$25)+(DST!P16*Settings!B$26)+(DST!Q16*Settings!B$27)+(DST!R16*Settings!B$28)</f>
        <v>98.455899727230161</v>
      </c>
      <c r="E16" s="197">
        <v>0</v>
      </c>
    </row>
    <row r="17" spans="1:5" x14ac:dyDescent="0.3">
      <c r="A17" s="144">
        <v>16</v>
      </c>
      <c r="B17" s="144" t="str">
        <f>DST!B17</f>
        <v>Kansas City Chiefs</v>
      </c>
      <c r="C17" s="146">
        <f>DST!D17</f>
        <v>8</v>
      </c>
      <c r="D17" s="145">
        <f>(DST!E17*Settings!B$16)+(DST!F17*Settings!B$17)+(DST!G17*Settings!B$18)+(DST!H17*Settings!B$19)+(DST!I17*Settings!B$20)+(DST!J17*Settings!B$21)+(DST!L17*Settings!B$22)+(DST!M17*Settings!B$23)+(DST!N17*Settings!B$24)+(DST!O17*Settings!B$25)+(DST!P17*Settings!B$26)+(DST!Q17*Settings!B$27)+(DST!R17*Settings!B$28)</f>
        <v>119.51396935667663</v>
      </c>
      <c r="E17" s="197">
        <v>0</v>
      </c>
    </row>
    <row r="18" spans="1:5" x14ac:dyDescent="0.3">
      <c r="A18" s="144">
        <v>17</v>
      </c>
      <c r="B18" s="144" t="str">
        <f>DST!B18</f>
        <v>Las Vegas Raiders</v>
      </c>
      <c r="C18" s="146">
        <f>DST!D18</f>
        <v>6</v>
      </c>
      <c r="D18" s="145">
        <f>(DST!E18*Settings!B$16)+(DST!F18*Settings!B$17)+(DST!G18*Settings!B$18)+(DST!H18*Settings!B$19)+(DST!I18*Settings!B$20)+(DST!J18*Settings!B$21)+(DST!L18*Settings!B$22)+(DST!M18*Settings!B$23)+(DST!N18*Settings!B$24)+(DST!O18*Settings!B$25)+(DST!P18*Settings!B$26)+(DST!Q18*Settings!B$27)+(DST!R18*Settings!B$28)</f>
        <v>105.71020167625841</v>
      </c>
      <c r="E18" s="197">
        <v>0</v>
      </c>
    </row>
    <row r="19" spans="1:5" x14ac:dyDescent="0.3">
      <c r="A19" s="144">
        <v>18</v>
      </c>
      <c r="B19" s="144" t="str">
        <f>DST!B19</f>
        <v>Los Angeles Chargers</v>
      </c>
      <c r="C19" s="146">
        <f>DST!D19</f>
        <v>8</v>
      </c>
      <c r="D19" s="145">
        <f>(DST!E19*Settings!B$16)+(DST!F19*Settings!B$17)+(DST!G19*Settings!B$18)+(DST!H19*Settings!B$19)+(DST!I19*Settings!B$20)+(DST!J19*Settings!B$21)+(DST!L19*Settings!B$22)+(DST!M19*Settings!B$23)+(DST!N19*Settings!B$24)+(DST!O19*Settings!B$25)+(DST!P19*Settings!B$26)+(DST!Q19*Settings!B$27)+(DST!R19*Settings!B$28)</f>
        <v>127.27911970423864</v>
      </c>
      <c r="E19" s="197">
        <v>0</v>
      </c>
    </row>
    <row r="20" spans="1:5" x14ac:dyDescent="0.3">
      <c r="A20" s="144">
        <v>19</v>
      </c>
      <c r="B20" s="144" t="str">
        <f>DST!B20</f>
        <v>Los Angeles Rams</v>
      </c>
      <c r="C20" s="146">
        <f>DST!D20</f>
        <v>7</v>
      </c>
      <c r="D20" s="145">
        <f>(DST!E20*Settings!B$16)+(DST!F20*Settings!B$17)+(DST!G20*Settings!B$18)+(DST!H20*Settings!B$19)+(DST!I20*Settings!B$20)+(DST!J20*Settings!B$21)+(DST!L20*Settings!B$22)+(DST!M20*Settings!B$23)+(DST!N20*Settings!B$24)+(DST!O20*Settings!B$25)+(DST!P20*Settings!B$26)+(DST!Q20*Settings!B$27)+(DST!R20*Settings!B$28)</f>
        <v>122.17576203614043</v>
      </c>
      <c r="E20" s="197">
        <v>1.4689537351671356</v>
      </c>
    </row>
    <row r="21" spans="1:5" x14ac:dyDescent="0.3">
      <c r="A21" s="144">
        <v>20</v>
      </c>
      <c r="B21" s="144" t="str">
        <f>DST!B21</f>
        <v>Miami Dolphins</v>
      </c>
      <c r="C21" s="146">
        <f>DST!D21</f>
        <v>11</v>
      </c>
      <c r="D21" s="145">
        <f>(DST!E21*Settings!B$16)+(DST!F21*Settings!B$17)+(DST!G21*Settings!B$18)+(DST!H21*Settings!B$19)+(DST!I21*Settings!B$20)+(DST!J21*Settings!B$21)+(DST!L21*Settings!B$22)+(DST!M21*Settings!B$23)+(DST!N21*Settings!B$24)+(DST!O21*Settings!B$25)+(DST!P21*Settings!B$26)+(DST!Q21*Settings!B$27)+(DST!R21*Settings!B$28)</f>
        <v>124.74974042430634</v>
      </c>
      <c r="E21" s="197">
        <v>0</v>
      </c>
    </row>
    <row r="22" spans="1:5" x14ac:dyDescent="0.3">
      <c r="A22" s="144">
        <v>21</v>
      </c>
      <c r="B22" s="144" t="str">
        <f>DST!B22</f>
        <v>Minnesota Vikings</v>
      </c>
      <c r="C22" s="146">
        <f>DST!D22</f>
        <v>7</v>
      </c>
      <c r="D22" s="145">
        <f>(DST!E22*Settings!B$16)+(DST!F22*Settings!B$17)+(DST!G22*Settings!B$18)+(DST!H22*Settings!B$19)+(DST!I22*Settings!B$20)+(DST!J22*Settings!B$21)+(DST!L22*Settings!B$22)+(DST!M22*Settings!B$23)+(DST!N22*Settings!B$24)+(DST!O22*Settings!B$25)+(DST!P22*Settings!B$26)+(DST!Q22*Settings!B$27)+(DST!R22*Settings!B$28)</f>
        <v>122.84825294894627</v>
      </c>
      <c r="E22" s="197">
        <v>0</v>
      </c>
    </row>
    <row r="23" spans="1:5" x14ac:dyDescent="0.3">
      <c r="A23" s="144">
        <v>22</v>
      </c>
      <c r="B23" s="144" t="str">
        <f>DST!B23</f>
        <v>New England Patriots</v>
      </c>
      <c r="C23" s="146">
        <f>DST!D23</f>
        <v>10</v>
      </c>
      <c r="D23" s="145">
        <f>(DST!E23*Settings!B$16)+(DST!F23*Settings!B$17)+(DST!G23*Settings!B$18)+(DST!H23*Settings!B$19)+(DST!I23*Settings!B$20)+(DST!J23*Settings!B$21)+(DST!L23*Settings!B$22)+(DST!M23*Settings!B$23)+(DST!N23*Settings!B$24)+(DST!O23*Settings!B$25)+(DST!P23*Settings!B$26)+(DST!Q23*Settings!B$27)+(DST!R23*Settings!B$28)</f>
        <v>114.99775930336239</v>
      </c>
      <c r="E23" s="197">
        <v>0</v>
      </c>
    </row>
    <row r="24" spans="1:5" x14ac:dyDescent="0.3">
      <c r="A24" s="144">
        <v>23</v>
      </c>
      <c r="B24" s="144" t="str">
        <f>DST!B24</f>
        <v>New Orleans Saints</v>
      </c>
      <c r="C24" s="146">
        <f>DST!D24</f>
        <v>14</v>
      </c>
      <c r="D24" s="145">
        <f>(DST!E24*Settings!B$16)+(DST!F24*Settings!B$17)+(DST!G24*Settings!B$18)+(DST!H24*Settings!B$19)+(DST!I24*Settings!B$20)+(DST!J24*Settings!B$21)+(DST!L24*Settings!B$22)+(DST!M24*Settings!B$23)+(DST!N24*Settings!B$24)+(DST!O24*Settings!B$25)+(DST!P24*Settings!B$26)+(DST!Q24*Settings!B$27)+(DST!R24*Settings!B$28)</f>
        <v>124.01003127976355</v>
      </c>
      <c r="E24" s="197">
        <v>0</v>
      </c>
    </row>
    <row r="25" spans="1:5" x14ac:dyDescent="0.3">
      <c r="A25" s="144">
        <v>24</v>
      </c>
      <c r="B25" s="144" t="str">
        <f>DST!B25</f>
        <v>New York Giants</v>
      </c>
      <c r="C25" s="146">
        <f>DST!D25</f>
        <v>9</v>
      </c>
      <c r="D25" s="145">
        <f>(DST!E25*Settings!B$16)+(DST!F25*Settings!B$17)+(DST!G25*Settings!B$18)+(DST!H25*Settings!B$19)+(DST!I25*Settings!B$20)+(DST!J25*Settings!B$21)+(DST!L25*Settings!B$22)+(DST!M25*Settings!B$23)+(DST!N25*Settings!B$24)+(DST!O25*Settings!B$25)+(DST!P25*Settings!B$26)+(DST!Q25*Settings!B$27)+(DST!R25*Settings!B$28)</f>
        <v>107.09996773317323</v>
      </c>
      <c r="E25" s="197">
        <v>0</v>
      </c>
    </row>
    <row r="26" spans="1:5" x14ac:dyDescent="0.3">
      <c r="A26" s="144">
        <v>25</v>
      </c>
      <c r="B26" s="144" t="str">
        <f>DST!B26</f>
        <v>New York Jets</v>
      </c>
      <c r="C26" s="146">
        <f>DST!D26</f>
        <v>10</v>
      </c>
      <c r="D26" s="145">
        <f>(DST!E26*Settings!B$16)+(DST!F26*Settings!B$17)+(DST!G26*Settings!B$18)+(DST!H26*Settings!B$19)+(DST!I26*Settings!B$20)+(DST!J26*Settings!B$21)+(DST!L26*Settings!B$22)+(DST!M26*Settings!B$23)+(DST!N26*Settings!B$24)+(DST!O26*Settings!B$25)+(DST!P26*Settings!B$26)+(DST!Q26*Settings!B$27)+(DST!R26*Settings!B$28)</f>
        <v>103.40260220970457</v>
      </c>
      <c r="E26" s="197">
        <v>0</v>
      </c>
    </row>
    <row r="27" spans="1:5" x14ac:dyDescent="0.3">
      <c r="A27" s="144">
        <v>26</v>
      </c>
      <c r="B27" s="144" t="str">
        <f>DST!B27</f>
        <v>Philadelphia Eagles</v>
      </c>
      <c r="C27" s="146">
        <f>DST!D27</f>
        <v>7</v>
      </c>
      <c r="D27" s="145">
        <f>(DST!E27*Settings!B$16)+(DST!F27*Settings!B$17)+(DST!G27*Settings!B$18)+(DST!H27*Settings!B$19)+(DST!I27*Settings!B$20)+(DST!J27*Settings!B$21)+(DST!L27*Settings!B$22)+(DST!M27*Settings!B$23)+(DST!N27*Settings!B$24)+(DST!O27*Settings!B$25)+(DST!P27*Settings!B$26)+(DST!Q27*Settings!B$27)+(DST!R27*Settings!B$28)</f>
        <v>104.57762063361568</v>
      </c>
      <c r="E27" s="197">
        <v>0</v>
      </c>
    </row>
    <row r="28" spans="1:5" x14ac:dyDescent="0.3">
      <c r="A28" s="144">
        <v>27</v>
      </c>
      <c r="B28" s="144" t="str">
        <f>DST!B28</f>
        <v>Pittsburgh Steelers</v>
      </c>
      <c r="C28" s="146">
        <f>DST!D28</f>
        <v>9</v>
      </c>
      <c r="D28" s="145">
        <f>(DST!E28*Settings!B$16)+(DST!F28*Settings!B$17)+(DST!G28*Settings!B$18)+(DST!H28*Settings!B$19)+(DST!I28*Settings!B$20)+(DST!J28*Settings!B$21)+(DST!L28*Settings!B$22)+(DST!M28*Settings!B$23)+(DST!N28*Settings!B$24)+(DST!O28*Settings!B$25)+(DST!P28*Settings!B$26)+(DST!Q28*Settings!B$27)+(DST!R28*Settings!B$28)</f>
        <v>132.78874750395235</v>
      </c>
      <c r="E28" s="197">
        <v>0.69174930560247694</v>
      </c>
    </row>
    <row r="29" spans="1:5" x14ac:dyDescent="0.3">
      <c r="A29" s="144">
        <v>28</v>
      </c>
      <c r="B29" s="144" t="str">
        <f>DST!B29</f>
        <v>San Francisco 49ers</v>
      </c>
      <c r="C29" s="146">
        <f>DST!D29</f>
        <v>9</v>
      </c>
      <c r="D29" s="145">
        <f>(DST!E29*Settings!B$16)+(DST!F29*Settings!B$17)+(DST!G29*Settings!B$18)+(DST!H29*Settings!B$19)+(DST!I29*Settings!B$20)+(DST!J29*Settings!B$21)+(DST!L29*Settings!B$22)+(DST!M29*Settings!B$23)+(DST!N29*Settings!B$24)+(DST!O29*Settings!B$25)+(DST!P29*Settings!B$26)+(DST!Q29*Settings!B$27)+(DST!R29*Settings!B$28)</f>
        <v>128.12190975763966</v>
      </c>
      <c r="E29" s="197">
        <v>0.21909806626723186</v>
      </c>
    </row>
    <row r="30" spans="1:5" x14ac:dyDescent="0.3">
      <c r="A30" s="144">
        <v>29</v>
      </c>
      <c r="B30" s="144" t="str">
        <f>DST!B30</f>
        <v>Seattle Seahawks</v>
      </c>
      <c r="C30" s="146">
        <f>DST!D30</f>
        <v>11</v>
      </c>
      <c r="D30" s="145">
        <f>(DST!E30*Settings!B$16)+(DST!F30*Settings!B$17)+(DST!G30*Settings!B$18)+(DST!H30*Settings!B$19)+(DST!I30*Settings!B$20)+(DST!J30*Settings!B$21)+(DST!L30*Settings!B$22)+(DST!M30*Settings!B$23)+(DST!N30*Settings!B$24)+(DST!O30*Settings!B$25)+(DST!P30*Settings!B$26)+(DST!Q30*Settings!B$27)+(DST!R30*Settings!B$28)</f>
        <v>102.70111851865825</v>
      </c>
      <c r="E30" s="197">
        <v>0</v>
      </c>
    </row>
    <row r="31" spans="1:5" x14ac:dyDescent="0.3">
      <c r="A31" s="144">
        <v>30</v>
      </c>
      <c r="B31" s="144" t="str">
        <f>DST!B31</f>
        <v>Tampa Bay Buccaneers</v>
      </c>
      <c r="C31" s="146">
        <f>DST!D31</f>
        <v>11</v>
      </c>
      <c r="D31" s="145">
        <f>(DST!E31*Settings!B$16)+(DST!F31*Settings!B$17)+(DST!G31*Settings!B$18)+(DST!H31*Settings!B$19)+(DST!I31*Settings!B$20)+(DST!J31*Settings!B$21)+(DST!L31*Settings!B$22)+(DST!M31*Settings!B$23)+(DST!N31*Settings!B$24)+(DST!O31*Settings!B$25)+(DST!P31*Settings!B$26)+(DST!Q31*Settings!B$27)+(DST!R31*Settings!B$28)</f>
        <v>131.23538113227093</v>
      </c>
      <c r="E31" s="197">
        <v>2</v>
      </c>
    </row>
    <row r="32" spans="1:5" x14ac:dyDescent="0.3">
      <c r="A32" s="144">
        <v>31</v>
      </c>
      <c r="B32" s="144" t="str">
        <f>DST!B32</f>
        <v>Tennessee Titans</v>
      </c>
      <c r="C32" s="146">
        <f>DST!D32</f>
        <v>6</v>
      </c>
      <c r="D32" s="145">
        <f>(DST!E32*Settings!B$16)+(DST!F32*Settings!B$17)+(DST!G32*Settings!B$18)+(DST!H32*Settings!B$19)+(DST!I32*Settings!B$20)+(DST!J32*Settings!B$21)+(DST!L32*Settings!B$22)+(DST!M32*Settings!B$23)+(DST!N32*Settings!B$24)+(DST!O32*Settings!B$25)+(DST!P32*Settings!B$26)+(DST!Q32*Settings!B$27)+(DST!R32*Settings!B$28)</f>
        <v>114.80594377867905</v>
      </c>
      <c r="E32" s="197">
        <v>0</v>
      </c>
    </row>
    <row r="33" spans="1:5" x14ac:dyDescent="0.3">
      <c r="A33" s="144">
        <v>32</v>
      </c>
      <c r="B33" s="144" t="str">
        <f>DST!B33</f>
        <v>Washington Commanders</v>
      </c>
      <c r="C33" s="146">
        <f>DST!D33</f>
        <v>14</v>
      </c>
      <c r="D33" s="145">
        <f>(DST!E33*Settings!B$16)+(DST!F33*Settings!B$17)+(DST!G33*Settings!B$18)+(DST!H33*Settings!B$19)+(DST!I33*Settings!B$20)+(DST!J33*Settings!B$21)+(DST!L33*Settings!B$22)+(DST!M33*Settings!B$23)+(DST!N33*Settings!B$24)+(DST!O33*Settings!B$25)+(DST!P33*Settings!B$26)+(DST!Q33*Settings!B$27)+(DST!R33*Settings!B$28)</f>
        <v>118.755400011327</v>
      </c>
      <c r="E33" s="197">
        <v>1.1054705371824296</v>
      </c>
    </row>
  </sheetData>
  <phoneticPr fontId="16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4"/>
  <sheetViews>
    <sheetView workbookViewId="0">
      <selection activeCell="A3" sqref="A3"/>
    </sheetView>
  </sheetViews>
  <sheetFormatPr defaultColWidth="9.109375" defaultRowHeight="12" x14ac:dyDescent="0.25"/>
  <cols>
    <col min="1" max="1" width="4.88671875" style="222" bestFit="1" customWidth="1"/>
    <col min="2" max="2" width="22.5546875" style="222" bestFit="1" customWidth="1"/>
    <col min="3" max="3" width="4.44140625" style="222" bestFit="1" customWidth="1"/>
    <col min="4" max="4" width="6.109375" style="222" bestFit="1" customWidth="1"/>
    <col min="5" max="5" width="8" style="222" bestFit="1" customWidth="1"/>
    <col min="6" max="7" width="5" style="222" bestFit="1" customWidth="1"/>
    <col min="8" max="8" width="6.109375" style="222" bestFit="1" customWidth="1"/>
    <col min="9" max="9" width="4.88671875" style="222" bestFit="1" customWidth="1"/>
    <col min="10" max="10" width="6.5546875" style="222" bestFit="1" customWidth="1"/>
    <col min="11" max="11" width="4" style="222" bestFit="1" customWidth="1"/>
    <col min="12" max="12" width="5.88671875" style="222" bestFit="1" customWidth="1"/>
    <col min="13" max="13" width="4.44140625" style="222" bestFit="1" customWidth="1"/>
    <col min="14" max="16384" width="9.109375" style="223"/>
  </cols>
  <sheetData>
    <row r="1" spans="1:13" x14ac:dyDescent="0.25">
      <c r="A1" s="222" t="s">
        <v>680</v>
      </c>
      <c r="B1" s="222" t="s">
        <v>681</v>
      </c>
      <c r="C1" s="222" t="s">
        <v>136</v>
      </c>
      <c r="D1" s="222" t="s">
        <v>682</v>
      </c>
      <c r="E1" s="222" t="s">
        <v>683</v>
      </c>
      <c r="F1" s="222" t="s">
        <v>684</v>
      </c>
      <c r="G1" s="222" t="s">
        <v>685</v>
      </c>
      <c r="H1" s="222" t="s">
        <v>686</v>
      </c>
      <c r="I1" s="222" t="s">
        <v>687</v>
      </c>
      <c r="J1" s="222" t="s">
        <v>688</v>
      </c>
      <c r="L1" s="222" t="s">
        <v>689</v>
      </c>
    </row>
    <row r="2" spans="1:13" x14ac:dyDescent="0.25">
      <c r="A2" s="222">
        <v>1</v>
      </c>
      <c r="B2" s="222" t="s">
        <v>378</v>
      </c>
      <c r="C2" s="222" t="s">
        <v>137</v>
      </c>
      <c r="D2" s="224">
        <v>0.55900000000000005</v>
      </c>
      <c r="E2" s="224">
        <v>0.49299999999999999</v>
      </c>
      <c r="F2" s="222">
        <v>2209</v>
      </c>
      <c r="G2" s="222">
        <v>66.900000000000006</v>
      </c>
      <c r="H2" s="224">
        <v>0.441</v>
      </c>
      <c r="I2" s="222">
        <v>975</v>
      </c>
      <c r="J2" s="222">
        <v>4313</v>
      </c>
      <c r="K2" s="225">
        <v>4.4235897435897433</v>
      </c>
      <c r="L2" s="222">
        <v>45</v>
      </c>
      <c r="M2" s="226">
        <v>4.6153846153846156E-2</v>
      </c>
    </row>
    <row r="3" spans="1:13" x14ac:dyDescent="0.25">
      <c r="A3" s="222">
        <v>2</v>
      </c>
      <c r="B3" s="222" t="s">
        <v>379</v>
      </c>
      <c r="C3" s="222" t="s">
        <v>138</v>
      </c>
      <c r="D3" s="224">
        <v>0.61499999999999999</v>
      </c>
      <c r="E3" s="224">
        <v>0.46</v>
      </c>
      <c r="F3" s="222">
        <v>2084</v>
      </c>
      <c r="G3" s="222">
        <v>63.2</v>
      </c>
      <c r="H3" s="224">
        <v>0.38500000000000001</v>
      </c>
      <c r="I3" s="222">
        <v>802</v>
      </c>
      <c r="J3" s="222">
        <v>2983</v>
      </c>
      <c r="K3" s="225">
        <v>3.7194513715710724</v>
      </c>
      <c r="L3" s="222">
        <v>24</v>
      </c>
      <c r="M3" s="226">
        <v>2.9925187032418952E-2</v>
      </c>
    </row>
    <row r="4" spans="1:13" x14ac:dyDescent="0.25">
      <c r="A4" s="222">
        <v>3</v>
      </c>
      <c r="B4" s="222" t="s">
        <v>380</v>
      </c>
      <c r="C4" s="222" t="s">
        <v>139</v>
      </c>
      <c r="D4" s="224">
        <v>0.50800000000000001</v>
      </c>
      <c r="E4" s="224">
        <v>0.44700000000000001</v>
      </c>
      <c r="F4" s="222">
        <v>2178</v>
      </c>
      <c r="G4" s="222">
        <v>66</v>
      </c>
      <c r="H4" s="224">
        <v>0.49199999999999999</v>
      </c>
      <c r="I4" s="222">
        <v>1072</v>
      </c>
      <c r="J4" s="222">
        <v>5550</v>
      </c>
      <c r="K4" s="225">
        <v>5.1772388059701493</v>
      </c>
      <c r="L4" s="222">
        <v>42</v>
      </c>
      <c r="M4" s="226">
        <v>3.9179104477611942E-2</v>
      </c>
    </row>
    <row r="5" spans="1:13" x14ac:dyDescent="0.25">
      <c r="A5" s="222">
        <v>4</v>
      </c>
      <c r="B5" s="222" t="s">
        <v>381</v>
      </c>
      <c r="C5" s="222" t="s">
        <v>140</v>
      </c>
      <c r="D5" s="224">
        <v>0.59899999999999998</v>
      </c>
      <c r="E5" s="224">
        <v>0.69499999999999995</v>
      </c>
      <c r="F5" s="222">
        <v>2177</v>
      </c>
      <c r="G5" s="222">
        <v>66</v>
      </c>
      <c r="H5" s="224">
        <v>0.40100000000000002</v>
      </c>
      <c r="I5" s="222">
        <v>872</v>
      </c>
      <c r="J5" s="222">
        <v>3932</v>
      </c>
      <c r="K5" s="225">
        <v>4.5091743119266052</v>
      </c>
      <c r="L5" s="222">
        <v>36</v>
      </c>
      <c r="M5" s="226">
        <v>4.1284403669724773E-2</v>
      </c>
    </row>
    <row r="6" spans="1:13" x14ac:dyDescent="0.25">
      <c r="A6" s="222">
        <v>5</v>
      </c>
      <c r="B6" s="222" t="s">
        <v>382</v>
      </c>
      <c r="C6" s="222" t="s">
        <v>141</v>
      </c>
      <c r="D6" s="224">
        <v>0.58899999999999997</v>
      </c>
      <c r="E6" s="224">
        <v>0.60499999999999998</v>
      </c>
      <c r="F6" s="222">
        <v>2099</v>
      </c>
      <c r="G6" s="222">
        <v>63.6</v>
      </c>
      <c r="H6" s="224">
        <v>0.41099999999999998</v>
      </c>
      <c r="I6" s="222">
        <v>862</v>
      </c>
      <c r="J6" s="222">
        <v>3546</v>
      </c>
      <c r="K6" s="225">
        <v>4.1136890951276106</v>
      </c>
      <c r="L6" s="222">
        <v>36</v>
      </c>
      <c r="M6" s="226">
        <v>4.1763341067285381E-2</v>
      </c>
    </row>
    <row r="7" spans="1:13" x14ac:dyDescent="0.25">
      <c r="A7" s="222">
        <v>6</v>
      </c>
      <c r="B7" s="222" t="s">
        <v>383</v>
      </c>
      <c r="C7" s="222" t="s">
        <v>142</v>
      </c>
      <c r="D7" s="224">
        <v>0.59</v>
      </c>
      <c r="E7" s="224">
        <v>0.626</v>
      </c>
      <c r="F7" s="222">
        <v>2118</v>
      </c>
      <c r="G7" s="222">
        <v>64.2</v>
      </c>
      <c r="H7" s="224">
        <v>0.41</v>
      </c>
      <c r="I7" s="222">
        <v>868</v>
      </c>
      <c r="J7" s="222">
        <v>3665</v>
      </c>
      <c r="K7" s="225">
        <v>4.2223502304147464</v>
      </c>
      <c r="L7" s="222">
        <v>26</v>
      </c>
      <c r="M7" s="226">
        <v>2.9953917050691243E-2</v>
      </c>
    </row>
    <row r="8" spans="1:13" x14ac:dyDescent="0.25">
      <c r="A8" s="222">
        <v>7</v>
      </c>
      <c r="B8" s="222" t="s">
        <v>384</v>
      </c>
      <c r="C8" s="222" t="s">
        <v>144</v>
      </c>
      <c r="D8" s="224">
        <v>0.59399999999999997</v>
      </c>
      <c r="E8" s="224">
        <v>0.76</v>
      </c>
      <c r="F8" s="222">
        <v>2086</v>
      </c>
      <c r="G8" s="222">
        <v>63.2</v>
      </c>
      <c r="H8" s="224">
        <v>0.40600000000000003</v>
      </c>
      <c r="I8" s="222">
        <v>847</v>
      </c>
      <c r="J8" s="222">
        <v>3410</v>
      </c>
      <c r="K8" s="225">
        <v>4.0259740259740262</v>
      </c>
      <c r="L8" s="222">
        <v>29</v>
      </c>
      <c r="M8" s="226">
        <v>3.4238488783943331E-2</v>
      </c>
    </row>
    <row r="9" spans="1:13" x14ac:dyDescent="0.25">
      <c r="A9" s="222">
        <v>8</v>
      </c>
      <c r="B9" s="222" t="s">
        <v>385</v>
      </c>
      <c r="C9" s="222" t="s">
        <v>145</v>
      </c>
      <c r="D9" s="224">
        <v>0.52800000000000002</v>
      </c>
      <c r="E9" s="224">
        <v>0.432</v>
      </c>
      <c r="F9" s="222">
        <v>2076</v>
      </c>
      <c r="G9" s="222">
        <v>62.9</v>
      </c>
      <c r="H9" s="224">
        <v>0.47199999999999998</v>
      </c>
      <c r="I9" s="222">
        <v>980</v>
      </c>
      <c r="J9" s="222">
        <v>4845</v>
      </c>
      <c r="K9" s="225">
        <v>4.9438775510204085</v>
      </c>
      <c r="L9" s="222">
        <v>41</v>
      </c>
      <c r="M9" s="226">
        <v>4.1836734693877553E-2</v>
      </c>
    </row>
    <row r="10" spans="1:13" x14ac:dyDescent="0.25">
      <c r="A10" s="222">
        <v>9</v>
      </c>
      <c r="B10" s="222" t="s">
        <v>386</v>
      </c>
      <c r="C10" s="222" t="s">
        <v>146</v>
      </c>
      <c r="D10" s="224">
        <v>0.60199999999999998</v>
      </c>
      <c r="E10" s="224">
        <v>0.66800000000000004</v>
      </c>
      <c r="F10" s="222">
        <v>2266</v>
      </c>
      <c r="G10" s="222">
        <v>68.7</v>
      </c>
      <c r="H10" s="224">
        <v>0.39800000000000002</v>
      </c>
      <c r="I10" s="222">
        <v>903</v>
      </c>
      <c r="J10" s="222">
        <v>3907</v>
      </c>
      <c r="K10" s="225">
        <v>4.3266888150609084</v>
      </c>
      <c r="L10" s="222">
        <v>29</v>
      </c>
      <c r="M10" s="226">
        <v>3.2115171650055369E-2</v>
      </c>
    </row>
    <row r="11" spans="1:13" x14ac:dyDescent="0.25">
      <c r="A11" s="222">
        <v>10</v>
      </c>
      <c r="B11" s="222" t="s">
        <v>387</v>
      </c>
      <c r="C11" s="222" t="s">
        <v>147</v>
      </c>
      <c r="D11" s="224">
        <v>0.56599999999999995</v>
      </c>
      <c r="E11" s="224">
        <v>0.63600000000000001</v>
      </c>
      <c r="F11" s="222">
        <v>2066</v>
      </c>
      <c r="G11" s="222">
        <v>62.6</v>
      </c>
      <c r="H11" s="224">
        <v>0.434</v>
      </c>
      <c r="I11" s="222">
        <v>897</v>
      </c>
      <c r="J11" s="222">
        <v>3943</v>
      </c>
      <c r="K11" s="225">
        <v>4.3957636566332221</v>
      </c>
      <c r="L11" s="222">
        <v>29</v>
      </c>
      <c r="M11" s="226">
        <v>3.2329988851727984E-2</v>
      </c>
    </row>
    <row r="12" spans="1:13" x14ac:dyDescent="0.25">
      <c r="A12" s="222">
        <v>11</v>
      </c>
      <c r="B12" s="222" t="s">
        <v>388</v>
      </c>
      <c r="C12" s="222" t="s">
        <v>148</v>
      </c>
      <c r="D12" s="224">
        <v>0.61199999999999999</v>
      </c>
      <c r="E12" s="224">
        <v>0.623</v>
      </c>
      <c r="F12" s="222">
        <v>2047</v>
      </c>
      <c r="G12" s="222">
        <v>62</v>
      </c>
      <c r="H12" s="224">
        <v>0.38800000000000001</v>
      </c>
      <c r="I12" s="222">
        <v>794</v>
      </c>
      <c r="J12" s="222">
        <v>3385</v>
      </c>
      <c r="K12" s="225">
        <v>4.2632241813602016</v>
      </c>
      <c r="L12" s="222">
        <v>29</v>
      </c>
      <c r="M12" s="226">
        <v>3.6523929471032744E-2</v>
      </c>
    </row>
    <row r="13" spans="1:13" x14ac:dyDescent="0.25">
      <c r="A13" s="222">
        <v>12</v>
      </c>
      <c r="B13" s="222" t="s">
        <v>389</v>
      </c>
      <c r="C13" s="222" t="s">
        <v>149</v>
      </c>
      <c r="D13" s="224">
        <v>0.56899999999999995</v>
      </c>
      <c r="E13" s="224">
        <v>0.56699999999999995</v>
      </c>
      <c r="F13" s="222">
        <v>2062</v>
      </c>
      <c r="G13" s="222">
        <v>62.5</v>
      </c>
      <c r="H13" s="224">
        <v>0.43099999999999999</v>
      </c>
      <c r="I13" s="222">
        <v>889</v>
      </c>
      <c r="J13" s="222">
        <v>4018</v>
      </c>
      <c r="K13" s="225">
        <v>4.5196850393700787</v>
      </c>
      <c r="L13" s="222">
        <v>29</v>
      </c>
      <c r="M13" s="226">
        <v>3.2620922384701913E-2</v>
      </c>
    </row>
    <row r="14" spans="1:13" x14ac:dyDescent="0.25">
      <c r="A14" s="222">
        <v>13</v>
      </c>
      <c r="B14" s="222" t="s">
        <v>390</v>
      </c>
      <c r="C14" s="222" t="s">
        <v>150</v>
      </c>
      <c r="D14" s="224">
        <v>0.60799999999999998</v>
      </c>
      <c r="E14" s="224">
        <v>0.60799999999999998</v>
      </c>
      <c r="F14" s="222">
        <v>1950</v>
      </c>
      <c r="G14" s="222">
        <v>59.1</v>
      </c>
      <c r="H14" s="224">
        <v>0.39200000000000002</v>
      </c>
      <c r="I14" s="222">
        <v>764</v>
      </c>
      <c r="J14" s="222">
        <v>2888</v>
      </c>
      <c r="K14" s="225">
        <v>3.7801047120418847</v>
      </c>
      <c r="L14" s="222">
        <v>18</v>
      </c>
      <c r="M14" s="226">
        <v>2.356020942408377E-2</v>
      </c>
    </row>
    <row r="15" spans="1:13" x14ac:dyDescent="0.25">
      <c r="A15" s="222">
        <v>14</v>
      </c>
      <c r="B15" s="222" t="s">
        <v>391</v>
      </c>
      <c r="C15" s="222" t="s">
        <v>151</v>
      </c>
      <c r="D15" s="224">
        <v>0.54</v>
      </c>
      <c r="E15" s="224">
        <v>0.65300000000000002</v>
      </c>
      <c r="F15" s="222">
        <v>2084</v>
      </c>
      <c r="G15" s="222">
        <v>63.2</v>
      </c>
      <c r="H15" s="224">
        <v>0.46</v>
      </c>
      <c r="I15" s="222">
        <v>958</v>
      </c>
      <c r="J15" s="222">
        <v>4536</v>
      </c>
      <c r="K15" s="225">
        <v>4.7348643006263051</v>
      </c>
      <c r="L15" s="222">
        <v>42</v>
      </c>
      <c r="M15" s="226">
        <v>4.3841336116910233E-2</v>
      </c>
    </row>
    <row r="16" spans="1:13" x14ac:dyDescent="0.25">
      <c r="A16" s="222">
        <v>15</v>
      </c>
      <c r="B16" s="222" t="s">
        <v>392</v>
      </c>
      <c r="C16" s="222" t="s">
        <v>170</v>
      </c>
      <c r="D16" s="224">
        <v>0.64</v>
      </c>
      <c r="E16" s="224">
        <v>0.7</v>
      </c>
      <c r="F16" s="222">
        <v>2025</v>
      </c>
      <c r="G16" s="222">
        <v>61.4</v>
      </c>
      <c r="H16" s="224">
        <v>0.36</v>
      </c>
      <c r="I16" s="222">
        <v>729</v>
      </c>
      <c r="J16" s="222">
        <v>3274</v>
      </c>
      <c r="K16" s="225">
        <v>4.4910836762688611</v>
      </c>
      <c r="L16" s="222">
        <v>22</v>
      </c>
      <c r="M16" s="226">
        <v>3.017832647462277E-2</v>
      </c>
    </row>
    <row r="17" spans="1:13" x14ac:dyDescent="0.25">
      <c r="A17" s="222">
        <v>16</v>
      </c>
      <c r="B17" s="222" t="s">
        <v>393</v>
      </c>
      <c r="C17" s="222" t="s">
        <v>153</v>
      </c>
      <c r="D17" s="224">
        <v>0.61899999999999999</v>
      </c>
      <c r="E17" s="224">
        <v>0.68899999999999995</v>
      </c>
      <c r="F17" s="222">
        <v>2191</v>
      </c>
      <c r="G17" s="222">
        <v>66.400000000000006</v>
      </c>
      <c r="H17" s="224">
        <v>0.38100000000000001</v>
      </c>
      <c r="I17" s="222">
        <v>834</v>
      </c>
      <c r="J17" s="222">
        <v>3754</v>
      </c>
      <c r="K17" s="225">
        <v>4.5011990407673865</v>
      </c>
      <c r="L17" s="222">
        <v>29</v>
      </c>
      <c r="M17" s="226">
        <v>3.4772182254196642E-2</v>
      </c>
    </row>
    <row r="18" spans="1:13" x14ac:dyDescent="0.25">
      <c r="A18" s="222">
        <v>17</v>
      </c>
      <c r="B18" s="222" t="s">
        <v>394</v>
      </c>
      <c r="C18" s="222" t="s">
        <v>239</v>
      </c>
      <c r="D18" s="224">
        <v>0.58899999999999997</v>
      </c>
      <c r="E18" s="224">
        <v>0.55000000000000004</v>
      </c>
      <c r="F18" s="222">
        <v>2118</v>
      </c>
      <c r="G18" s="222">
        <v>64.2</v>
      </c>
      <c r="H18" s="224">
        <v>0.41099999999999998</v>
      </c>
      <c r="I18" s="222">
        <v>871</v>
      </c>
      <c r="J18" s="222">
        <v>3533</v>
      </c>
      <c r="K18" s="225">
        <v>4.0562571756601606</v>
      </c>
      <c r="L18" s="222">
        <v>34</v>
      </c>
      <c r="M18" s="226">
        <v>3.9035591274397242E-2</v>
      </c>
    </row>
    <row r="19" spans="1:13" x14ac:dyDescent="0.25">
      <c r="A19" s="222">
        <v>18</v>
      </c>
      <c r="B19" s="222" t="s">
        <v>395</v>
      </c>
      <c r="C19" s="222" t="s">
        <v>154</v>
      </c>
      <c r="D19" s="224">
        <v>0.60599999999999998</v>
      </c>
      <c r="E19" s="224">
        <v>0.64900000000000002</v>
      </c>
      <c r="F19" s="222">
        <v>2255</v>
      </c>
      <c r="G19" s="222">
        <v>68.3</v>
      </c>
      <c r="H19" s="224">
        <v>0.39400000000000002</v>
      </c>
      <c r="I19" s="222">
        <v>889</v>
      </c>
      <c r="J19" s="222">
        <v>3618</v>
      </c>
      <c r="K19" s="225">
        <v>4.0697412823397077</v>
      </c>
      <c r="L19" s="222">
        <v>30</v>
      </c>
      <c r="M19" s="226">
        <v>3.3745781777277842E-2</v>
      </c>
    </row>
    <row r="20" spans="1:13" x14ac:dyDescent="0.25">
      <c r="A20" s="222">
        <v>19</v>
      </c>
      <c r="B20" s="222" t="s">
        <v>396</v>
      </c>
      <c r="C20" s="222" t="s">
        <v>690</v>
      </c>
      <c r="D20" s="224">
        <v>0.58399999999999996</v>
      </c>
      <c r="E20" s="224">
        <v>0.73699999999999999</v>
      </c>
      <c r="F20" s="222">
        <v>2146</v>
      </c>
      <c r="G20" s="222">
        <v>65</v>
      </c>
      <c r="H20" s="224">
        <v>0.41599999999999998</v>
      </c>
      <c r="I20" s="222">
        <v>893</v>
      </c>
      <c r="J20" s="222">
        <v>3701</v>
      </c>
      <c r="K20" s="225">
        <v>4.1444568868980962</v>
      </c>
      <c r="L20" s="222">
        <v>29</v>
      </c>
      <c r="M20" s="226">
        <v>3.2474804031354984E-2</v>
      </c>
    </row>
    <row r="21" spans="1:13" x14ac:dyDescent="0.25">
      <c r="A21" s="222">
        <v>20</v>
      </c>
      <c r="B21" s="222" t="s">
        <v>397</v>
      </c>
      <c r="C21" s="222" t="s">
        <v>156</v>
      </c>
      <c r="D21" s="224">
        <v>0.58899999999999997</v>
      </c>
      <c r="E21" s="224">
        <v>0.40100000000000002</v>
      </c>
      <c r="F21" s="222">
        <v>2118</v>
      </c>
      <c r="G21" s="222">
        <v>64.2</v>
      </c>
      <c r="H21" s="224">
        <v>0.41099999999999998</v>
      </c>
      <c r="I21" s="222">
        <v>870</v>
      </c>
      <c r="J21" s="222">
        <v>3256</v>
      </c>
      <c r="K21" s="225">
        <v>3.7425287356321837</v>
      </c>
      <c r="L21" s="222">
        <v>27</v>
      </c>
      <c r="M21" s="226">
        <v>3.1034482758620689E-2</v>
      </c>
    </row>
    <row r="22" spans="1:13" x14ac:dyDescent="0.25">
      <c r="A22" s="222">
        <v>21</v>
      </c>
      <c r="B22" s="222" t="s">
        <v>398</v>
      </c>
      <c r="C22" s="222" t="s">
        <v>157</v>
      </c>
      <c r="D22" s="224">
        <v>0.56499999999999995</v>
      </c>
      <c r="E22" s="224">
        <v>0.34899999999999998</v>
      </c>
      <c r="F22" s="222">
        <v>2106</v>
      </c>
      <c r="G22" s="222">
        <v>63.8</v>
      </c>
      <c r="H22" s="224">
        <v>0.435</v>
      </c>
      <c r="I22" s="222">
        <v>917</v>
      </c>
      <c r="J22" s="222">
        <v>4213</v>
      </c>
      <c r="K22" s="225">
        <v>4.5943293347873499</v>
      </c>
      <c r="L22" s="222">
        <v>30</v>
      </c>
      <c r="M22" s="226">
        <v>3.271537622682661E-2</v>
      </c>
    </row>
    <row r="23" spans="1:13" x14ac:dyDescent="0.25">
      <c r="A23" s="222">
        <v>22</v>
      </c>
      <c r="B23" s="222" t="s">
        <v>399</v>
      </c>
      <c r="C23" s="222" t="s">
        <v>158</v>
      </c>
      <c r="D23" s="224">
        <v>0.51200000000000001</v>
      </c>
      <c r="E23" s="224">
        <v>0.53100000000000003</v>
      </c>
      <c r="F23" s="222">
        <v>2031</v>
      </c>
      <c r="G23" s="222">
        <v>61.5</v>
      </c>
      <c r="H23" s="224">
        <v>0.48799999999999999</v>
      </c>
      <c r="I23" s="222">
        <v>991</v>
      </c>
      <c r="J23" s="222">
        <v>4497</v>
      </c>
      <c r="K23" s="225">
        <v>4.537840565085772</v>
      </c>
      <c r="L23" s="222">
        <v>44</v>
      </c>
      <c r="M23" s="226">
        <v>4.4399596367305755E-2</v>
      </c>
    </row>
    <row r="24" spans="1:13" x14ac:dyDescent="0.25">
      <c r="A24" s="222">
        <v>23</v>
      </c>
      <c r="B24" s="222" t="s">
        <v>400</v>
      </c>
      <c r="C24" s="222" t="s">
        <v>159</v>
      </c>
      <c r="D24" s="224">
        <v>0.52100000000000002</v>
      </c>
      <c r="E24" s="224">
        <v>0.4</v>
      </c>
      <c r="F24" s="222">
        <v>2096</v>
      </c>
      <c r="G24" s="222">
        <v>63.5</v>
      </c>
      <c r="H24" s="224">
        <v>0.47899999999999998</v>
      </c>
      <c r="I24" s="222">
        <v>1004</v>
      </c>
      <c r="J24" s="222">
        <v>4256</v>
      </c>
      <c r="K24" s="225">
        <v>4.239043824701195</v>
      </c>
      <c r="L24" s="222">
        <v>42</v>
      </c>
      <c r="M24" s="226">
        <v>4.1832669322709161E-2</v>
      </c>
    </row>
    <row r="25" spans="1:13" x14ac:dyDescent="0.25">
      <c r="A25" s="222">
        <v>24</v>
      </c>
      <c r="B25" s="222" t="s">
        <v>401</v>
      </c>
      <c r="C25" s="222" t="s">
        <v>160</v>
      </c>
      <c r="D25" s="224">
        <v>0.59399999999999997</v>
      </c>
      <c r="E25" s="224">
        <v>0.55800000000000005</v>
      </c>
      <c r="F25" s="222">
        <v>2016</v>
      </c>
      <c r="G25" s="222">
        <v>61.1</v>
      </c>
      <c r="H25" s="224">
        <v>0.40600000000000003</v>
      </c>
      <c r="I25" s="222">
        <v>818</v>
      </c>
      <c r="J25" s="222">
        <v>3456</v>
      </c>
      <c r="K25" s="225">
        <v>4.2249388753056234</v>
      </c>
      <c r="L25" s="222">
        <v>21</v>
      </c>
      <c r="M25" s="226">
        <v>2.567237163814181E-2</v>
      </c>
    </row>
    <row r="26" spans="1:13" x14ac:dyDescent="0.25">
      <c r="A26" s="222">
        <v>25</v>
      </c>
      <c r="B26" s="222" t="s">
        <v>402</v>
      </c>
      <c r="C26" s="222" t="s">
        <v>161</v>
      </c>
      <c r="D26" s="224">
        <v>0.60399999999999998</v>
      </c>
      <c r="E26" s="224">
        <v>0.65</v>
      </c>
      <c r="F26" s="222">
        <v>1984</v>
      </c>
      <c r="G26" s="222">
        <v>60.1</v>
      </c>
      <c r="H26" s="224">
        <v>0.39600000000000002</v>
      </c>
      <c r="I26" s="222">
        <v>786</v>
      </c>
      <c r="J26" s="222">
        <v>3350</v>
      </c>
      <c r="K26" s="225">
        <v>4.2620865139949107</v>
      </c>
      <c r="L26" s="222">
        <v>23</v>
      </c>
      <c r="M26" s="226">
        <v>2.9262086513994912E-2</v>
      </c>
    </row>
    <row r="27" spans="1:13" x14ac:dyDescent="0.25">
      <c r="A27" s="222">
        <v>26</v>
      </c>
      <c r="B27" s="222" t="s">
        <v>403</v>
      </c>
      <c r="C27" s="222" t="s">
        <v>163</v>
      </c>
      <c r="D27" s="224">
        <v>0.55500000000000005</v>
      </c>
      <c r="E27" s="224">
        <v>0.59699999999999998</v>
      </c>
      <c r="F27" s="222">
        <v>2141</v>
      </c>
      <c r="G27" s="222">
        <v>64.900000000000006</v>
      </c>
      <c r="H27" s="224">
        <v>0.44500000000000001</v>
      </c>
      <c r="I27" s="222">
        <v>953</v>
      </c>
      <c r="J27" s="222">
        <v>4742</v>
      </c>
      <c r="K27" s="225">
        <v>4.9758656873032532</v>
      </c>
      <c r="L27" s="222">
        <v>41</v>
      </c>
      <c r="M27" s="226">
        <v>4.3022035676810073E-2</v>
      </c>
    </row>
    <row r="28" spans="1:13" x14ac:dyDescent="0.25">
      <c r="A28" s="222">
        <v>27</v>
      </c>
      <c r="B28" s="222" t="s">
        <v>404</v>
      </c>
      <c r="C28" s="222" t="s">
        <v>164</v>
      </c>
      <c r="D28" s="224">
        <v>0.63600000000000001</v>
      </c>
      <c r="E28" s="224">
        <v>0.72899999999999998</v>
      </c>
      <c r="F28" s="222">
        <v>2156</v>
      </c>
      <c r="G28" s="222">
        <v>65.3</v>
      </c>
      <c r="H28" s="224">
        <v>0.36399999999999999</v>
      </c>
      <c r="I28" s="222">
        <v>784</v>
      </c>
      <c r="J28" s="222">
        <v>2934</v>
      </c>
      <c r="K28" s="225">
        <v>3.7423469387755102</v>
      </c>
      <c r="L28" s="222">
        <v>22</v>
      </c>
      <c r="M28" s="226">
        <v>2.8061224489795918E-2</v>
      </c>
    </row>
    <row r="29" spans="1:13" x14ac:dyDescent="0.25">
      <c r="A29" s="222">
        <v>28</v>
      </c>
      <c r="B29" s="222" t="s">
        <v>405</v>
      </c>
      <c r="C29" s="222" t="s">
        <v>166</v>
      </c>
      <c r="D29" s="224">
        <v>0.55300000000000005</v>
      </c>
      <c r="E29" s="224">
        <v>0.45800000000000002</v>
      </c>
      <c r="F29" s="222">
        <v>2092</v>
      </c>
      <c r="G29" s="222">
        <v>63.4</v>
      </c>
      <c r="H29" s="224">
        <v>0.44700000000000001</v>
      </c>
      <c r="I29" s="222">
        <v>936</v>
      </c>
      <c r="J29" s="222">
        <v>4055</v>
      </c>
      <c r="K29" s="225">
        <v>4.3322649572649574</v>
      </c>
      <c r="L29" s="222">
        <v>41</v>
      </c>
      <c r="M29" s="226">
        <v>4.38034188034188E-2</v>
      </c>
    </row>
    <row r="30" spans="1:13" x14ac:dyDescent="0.25">
      <c r="A30" s="222">
        <v>29</v>
      </c>
      <c r="B30" s="222" t="s">
        <v>406</v>
      </c>
      <c r="C30" s="222" t="s">
        <v>165</v>
      </c>
      <c r="D30" s="224">
        <v>0.58299999999999996</v>
      </c>
      <c r="E30" s="224">
        <v>0.64200000000000002</v>
      </c>
      <c r="F30" s="222">
        <v>1976</v>
      </c>
      <c r="G30" s="222">
        <v>59.9</v>
      </c>
      <c r="H30" s="224">
        <v>0.41699999999999998</v>
      </c>
      <c r="I30" s="222">
        <v>824</v>
      </c>
      <c r="J30" s="222">
        <v>4045</v>
      </c>
      <c r="K30" s="225">
        <v>4.9089805825242721</v>
      </c>
      <c r="L30" s="222">
        <v>33</v>
      </c>
      <c r="M30" s="226">
        <v>4.0048543689320391E-2</v>
      </c>
    </row>
    <row r="31" spans="1:13" x14ac:dyDescent="0.25">
      <c r="A31" s="222">
        <v>30</v>
      </c>
      <c r="B31" s="222" t="s">
        <v>407</v>
      </c>
      <c r="C31" s="222" t="s">
        <v>167</v>
      </c>
      <c r="D31" s="224">
        <v>0.65</v>
      </c>
      <c r="E31" s="224">
        <v>0.61699999999999999</v>
      </c>
      <c r="F31" s="222">
        <v>2156</v>
      </c>
      <c r="G31" s="222">
        <v>65.3</v>
      </c>
      <c r="H31" s="224">
        <v>0.35</v>
      </c>
      <c r="I31" s="222">
        <v>754</v>
      </c>
      <c r="J31" s="222">
        <v>3191</v>
      </c>
      <c r="K31" s="225">
        <v>4.2320954907161807</v>
      </c>
      <c r="L31" s="222">
        <v>34</v>
      </c>
      <c r="M31" s="226">
        <v>4.5092838196286469E-2</v>
      </c>
    </row>
    <row r="32" spans="1:13" x14ac:dyDescent="0.25">
      <c r="A32" s="222">
        <v>31</v>
      </c>
      <c r="B32" s="222" t="s">
        <v>408</v>
      </c>
      <c r="C32" s="222" t="s">
        <v>168</v>
      </c>
      <c r="D32" s="224">
        <v>0.505</v>
      </c>
      <c r="E32" s="224">
        <v>0.48299999999999998</v>
      </c>
      <c r="F32" s="222">
        <v>2164</v>
      </c>
      <c r="G32" s="222">
        <v>65.599999999999994</v>
      </c>
      <c r="H32" s="224">
        <v>0.495</v>
      </c>
      <c r="I32" s="222">
        <v>1072</v>
      </c>
      <c r="J32" s="222">
        <v>5094</v>
      </c>
      <c r="K32" s="225">
        <v>4.7518656716417906</v>
      </c>
      <c r="L32" s="222">
        <v>49</v>
      </c>
      <c r="M32" s="226">
        <v>4.5708955223880597E-2</v>
      </c>
    </row>
    <row r="33" spans="1:13" x14ac:dyDescent="0.25">
      <c r="A33" s="222">
        <v>32</v>
      </c>
      <c r="B33" s="222" t="s">
        <v>409</v>
      </c>
      <c r="C33" s="222" t="s">
        <v>691</v>
      </c>
      <c r="D33" s="224">
        <v>0.58699999999999997</v>
      </c>
      <c r="E33" s="224">
        <v>0.70099999999999996</v>
      </c>
      <c r="F33" s="222">
        <v>2121</v>
      </c>
      <c r="G33" s="222">
        <v>64.3</v>
      </c>
      <c r="H33" s="224">
        <v>0.41299999999999998</v>
      </c>
      <c r="I33" s="222">
        <v>877</v>
      </c>
      <c r="J33" s="222">
        <v>3672</v>
      </c>
      <c r="K33" s="225">
        <v>4.1870011402508549</v>
      </c>
      <c r="L33" s="222">
        <v>31</v>
      </c>
      <c r="M33" s="226">
        <v>3.5347776510832381E-2</v>
      </c>
    </row>
    <row r="34" spans="1:13" x14ac:dyDescent="0.25">
      <c r="M34" s="23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74"/>
  <sheetViews>
    <sheetView zoomScale="85" zoomScaleNormal="85" workbookViewId="0">
      <selection activeCell="K122" sqref="K122"/>
    </sheetView>
  </sheetViews>
  <sheetFormatPr defaultColWidth="3.6640625" defaultRowHeight="13.8" x14ac:dyDescent="0.3"/>
  <cols>
    <col min="1" max="1" width="16.109375" style="227" bestFit="1" customWidth="1"/>
    <col min="2" max="2" width="5.33203125" style="227" bestFit="1" customWidth="1"/>
    <col min="3" max="4" width="5.6640625" style="228" bestFit="1" customWidth="1"/>
    <col min="5" max="5" width="6.6640625" style="228" bestFit="1" customWidth="1"/>
    <col min="6" max="7" width="4.6640625" style="228" bestFit="1" customWidth="1"/>
    <col min="8" max="9" width="5.6640625" style="228" bestFit="1" customWidth="1"/>
    <col min="10" max="10" width="4" style="228" bestFit="1" customWidth="1"/>
    <col min="11" max="11" width="3.6640625" style="228"/>
    <col min="12" max="12" width="7" style="227" bestFit="1" customWidth="1"/>
    <col min="13" max="13" width="7.88671875" style="227" bestFit="1" customWidth="1"/>
    <col min="14" max="14" width="7.6640625" style="227" bestFit="1" customWidth="1"/>
    <col min="15" max="15" width="7.44140625" style="227" bestFit="1" customWidth="1"/>
    <col min="16" max="16" width="7.109375" style="227" bestFit="1" customWidth="1"/>
    <col min="17" max="17" width="7" style="227" bestFit="1" customWidth="1"/>
    <col min="18" max="18" width="3.6640625" style="227"/>
    <col min="19" max="19" width="6.6640625" style="239" bestFit="1" customWidth="1"/>
    <col min="20" max="16384" width="3.6640625" style="227"/>
  </cols>
  <sheetData>
    <row r="1" spans="1:19" s="231" customFormat="1" x14ac:dyDescent="0.3">
      <c r="A1" s="231" t="s">
        <v>507</v>
      </c>
      <c r="B1" s="231" t="s">
        <v>711</v>
      </c>
      <c r="C1" s="232" t="s">
        <v>709</v>
      </c>
      <c r="D1" s="232" t="s">
        <v>178</v>
      </c>
      <c r="E1" s="232" t="s">
        <v>445</v>
      </c>
      <c r="F1" s="232" t="s">
        <v>708</v>
      </c>
      <c r="G1" s="232" t="s">
        <v>710</v>
      </c>
      <c r="H1" s="232" t="s">
        <v>709</v>
      </c>
      <c r="I1" s="232" t="s">
        <v>445</v>
      </c>
      <c r="J1" s="232" t="s">
        <v>708</v>
      </c>
      <c r="K1" s="232"/>
      <c r="L1" s="231" t="s">
        <v>707</v>
      </c>
      <c r="M1" s="231" t="s">
        <v>706</v>
      </c>
      <c r="N1" s="231" t="s">
        <v>705</v>
      </c>
      <c r="O1" s="231" t="s">
        <v>704</v>
      </c>
      <c r="P1" s="231" t="s">
        <v>703</v>
      </c>
      <c r="Q1" s="231" t="s">
        <v>702</v>
      </c>
      <c r="S1" s="238" t="s">
        <v>832</v>
      </c>
    </row>
    <row r="2" spans="1:19" x14ac:dyDescent="0.3">
      <c r="A2" s="227" t="s">
        <v>135</v>
      </c>
      <c r="B2" s="227" t="s">
        <v>137</v>
      </c>
      <c r="C2" s="228">
        <v>560.2886666666667</v>
      </c>
      <c r="D2" s="228">
        <v>376.78833333333336</v>
      </c>
      <c r="E2" s="228">
        <v>4188.8432000000003</v>
      </c>
      <c r="F2" s="228">
        <v>25.6632</v>
      </c>
      <c r="G2" s="228">
        <v>12.5632</v>
      </c>
      <c r="H2" s="228">
        <v>95.569000000000003</v>
      </c>
      <c r="I2" s="228">
        <v>478.3</v>
      </c>
      <c r="J2" s="228">
        <v>5.4776000000000007</v>
      </c>
      <c r="L2" s="229">
        <f t="shared" ref="L2:L33" si="0">D2/C2</f>
        <v>0.67248965711722408</v>
      </c>
      <c r="M2" s="230">
        <f t="shared" ref="M2:M33" si="1">E2/D2</f>
        <v>11.117231690648596</v>
      </c>
      <c r="N2" s="229">
        <f t="shared" ref="N2:N33" si="2">F2/D2</f>
        <v>6.8110389122097728E-2</v>
      </c>
      <c r="O2" s="229">
        <f t="shared" ref="O2:O33" si="3">G2/C2</f>
        <v>2.2422727332220414E-2</v>
      </c>
      <c r="P2" s="230">
        <f t="shared" ref="P2:P33" si="4">I2/H2</f>
        <v>5.0047609580512509</v>
      </c>
      <c r="Q2" s="229">
        <f t="shared" ref="Q2:Q33" si="5">J2/H2</f>
        <v>5.7315656750619975E-2</v>
      </c>
      <c r="S2" s="239">
        <f>H2/ARI!D$37</f>
        <v>0.1942635667470998</v>
      </c>
    </row>
    <row r="3" spans="1:19" x14ac:dyDescent="0.3">
      <c r="A3" s="227" t="s">
        <v>263</v>
      </c>
      <c r="B3" s="227" t="s">
        <v>137</v>
      </c>
      <c r="C3" s="228">
        <v>40</v>
      </c>
      <c r="D3" s="228">
        <v>25.711666666666662</v>
      </c>
      <c r="E3" s="228">
        <v>270.92099999999999</v>
      </c>
      <c r="F3" s="228">
        <v>1.4460000000000002</v>
      </c>
      <c r="G3" s="228">
        <v>0.92100000000000004</v>
      </c>
      <c r="H3" s="228">
        <v>1.5</v>
      </c>
      <c r="I3" s="228">
        <v>5.8</v>
      </c>
      <c r="J3" s="228">
        <v>0</v>
      </c>
      <c r="L3" s="229">
        <f t="shared" si="0"/>
        <v>0.64279166666666654</v>
      </c>
      <c r="M3" s="230">
        <f t="shared" si="1"/>
        <v>10.536889868412525</v>
      </c>
      <c r="N3" s="229">
        <f t="shared" si="2"/>
        <v>5.623906138588191E-2</v>
      </c>
      <c r="O3" s="229">
        <f t="shared" si="3"/>
        <v>2.3025E-2</v>
      </c>
      <c r="P3" s="230">
        <f t="shared" si="4"/>
        <v>3.8666666666666667</v>
      </c>
      <c r="Q3" s="229">
        <f t="shared" si="5"/>
        <v>0</v>
      </c>
      <c r="S3" s="239">
        <f>H3/ARI!D$37</f>
        <v>3.049057226931847E-3</v>
      </c>
    </row>
    <row r="4" spans="1:19" x14ac:dyDescent="0.3">
      <c r="A4" s="227" t="s">
        <v>272</v>
      </c>
      <c r="B4" s="227" t="s">
        <v>138</v>
      </c>
      <c r="C4" s="228">
        <v>388.41733333333332</v>
      </c>
      <c r="D4" s="228">
        <v>245.03600000000003</v>
      </c>
      <c r="E4" s="228">
        <v>2795.2599999999998</v>
      </c>
      <c r="F4" s="228">
        <v>14.412000000000001</v>
      </c>
      <c r="G4" s="228">
        <v>10.936</v>
      </c>
      <c r="H4" s="228">
        <v>34.314750000000004</v>
      </c>
      <c r="I4" s="228">
        <v>206.07839999999996</v>
      </c>
      <c r="J4" s="228">
        <v>1.536</v>
      </c>
      <c r="L4" s="229">
        <f t="shared" si="0"/>
        <v>0.63085753124646005</v>
      </c>
      <c r="M4" s="230">
        <f t="shared" si="1"/>
        <v>11.407548278620283</v>
      </c>
      <c r="N4" s="229">
        <f t="shared" si="2"/>
        <v>5.8815847467310924E-2</v>
      </c>
      <c r="O4" s="229">
        <f t="shared" si="3"/>
        <v>2.8155283149052739E-2</v>
      </c>
      <c r="P4" s="230">
        <f t="shared" si="4"/>
        <v>6.0055340633401073</v>
      </c>
      <c r="Q4" s="229">
        <f t="shared" si="5"/>
        <v>4.4762092103250058E-2</v>
      </c>
      <c r="S4" s="239">
        <f>H4/ATL!D$37</f>
        <v>8.4689782386519433E-2</v>
      </c>
    </row>
    <row r="5" spans="1:19" x14ac:dyDescent="0.3">
      <c r="A5" s="227" t="s">
        <v>677</v>
      </c>
      <c r="B5" s="227" t="s">
        <v>138</v>
      </c>
      <c r="C5" s="228">
        <v>165.28266666666664</v>
      </c>
      <c r="D5" s="228">
        <v>99.697333333333333</v>
      </c>
      <c r="E5" s="228">
        <v>1111.1399999999999</v>
      </c>
      <c r="F5" s="228">
        <v>5.968</v>
      </c>
      <c r="G5" s="228">
        <v>4.1040000000000001</v>
      </c>
      <c r="H5" s="228">
        <v>17.6495</v>
      </c>
      <c r="I5" s="228">
        <v>82.596199999999996</v>
      </c>
      <c r="J5" s="228">
        <v>0.65800000000000003</v>
      </c>
      <c r="L5" s="229">
        <f t="shared" si="0"/>
        <v>0.60319291395750319</v>
      </c>
      <c r="M5" s="230">
        <f t="shared" si="1"/>
        <v>11.145132601340055</v>
      </c>
      <c r="N5" s="229">
        <f t="shared" si="2"/>
        <v>5.9861179837641929E-2</v>
      </c>
      <c r="O5" s="229">
        <f t="shared" si="3"/>
        <v>2.4830189896903894E-2</v>
      </c>
      <c r="P5" s="230">
        <f t="shared" si="4"/>
        <v>4.6798039604521371</v>
      </c>
      <c r="Q5" s="229">
        <f t="shared" si="5"/>
        <v>3.7281509391200889E-2</v>
      </c>
      <c r="S5" s="239">
        <f>H5/ATL!D$37</f>
        <v>4.3559469739131849E-2</v>
      </c>
    </row>
    <row r="6" spans="1:19" x14ac:dyDescent="0.3">
      <c r="A6" s="227" t="s">
        <v>22</v>
      </c>
      <c r="B6" s="227" t="s">
        <v>139</v>
      </c>
      <c r="C6" s="228">
        <v>498.25533333333334</v>
      </c>
      <c r="D6" s="228">
        <v>323.40066666666667</v>
      </c>
      <c r="E6" s="228">
        <v>3737.4160000000002</v>
      </c>
      <c r="F6" s="228">
        <v>23.122399999999999</v>
      </c>
      <c r="G6" s="228">
        <v>14.693599999999998</v>
      </c>
      <c r="H6" s="228">
        <v>169.0215</v>
      </c>
      <c r="I6" s="228">
        <v>964.46</v>
      </c>
      <c r="J6" s="228">
        <v>4.0635999999999992</v>
      </c>
      <c r="L6" s="229">
        <f t="shared" si="0"/>
        <v>0.64906614145625463</v>
      </c>
      <c r="M6" s="230">
        <f t="shared" si="1"/>
        <v>11.556611922053346</v>
      </c>
      <c r="N6" s="229">
        <f t="shared" si="2"/>
        <v>7.1497688110311042E-2</v>
      </c>
      <c r="O6" s="229">
        <f t="shared" si="3"/>
        <v>2.9490100791695818E-2</v>
      </c>
      <c r="P6" s="230">
        <f t="shared" si="4"/>
        <v>5.7061379765296136</v>
      </c>
      <c r="Q6" s="229">
        <f t="shared" si="5"/>
        <v>2.4041911827785218E-2</v>
      </c>
      <c r="S6" s="239">
        <f>H6/BAL!D$37</f>
        <v>0.2939248760977306</v>
      </c>
    </row>
    <row r="7" spans="1:19" x14ac:dyDescent="0.3">
      <c r="A7" s="227" t="s">
        <v>586</v>
      </c>
      <c r="B7" s="227" t="s">
        <v>139</v>
      </c>
      <c r="C7" s="228">
        <v>45.044666666666672</v>
      </c>
      <c r="D7" s="228">
        <v>29.332666666666665</v>
      </c>
      <c r="E7" s="228">
        <v>338.98400000000004</v>
      </c>
      <c r="F7" s="228">
        <v>1.4376</v>
      </c>
      <c r="G7" s="228">
        <v>0.90639999999999998</v>
      </c>
      <c r="H7" s="228">
        <v>48.346000000000004</v>
      </c>
      <c r="I7" s="228">
        <v>235.71999999999997</v>
      </c>
      <c r="J7" s="228">
        <v>0.63300000000000001</v>
      </c>
      <c r="L7" s="229">
        <f t="shared" si="0"/>
        <v>0.65119067000162789</v>
      </c>
      <c r="M7" s="230">
        <f t="shared" si="1"/>
        <v>11.556535375803998</v>
      </c>
      <c r="N7" s="229">
        <f t="shared" si="2"/>
        <v>4.9010204777381307E-2</v>
      </c>
      <c r="O7" s="229">
        <f t="shared" si="3"/>
        <v>2.0122249026891824E-2</v>
      </c>
      <c r="P7" s="230">
        <f t="shared" si="4"/>
        <v>4.8756877507963416</v>
      </c>
      <c r="Q7" s="229">
        <f t="shared" si="5"/>
        <v>1.3093120423613122E-2</v>
      </c>
      <c r="S7" s="239">
        <f>H7/BAL!D$37</f>
        <v>8.4072689331362485E-2</v>
      </c>
    </row>
    <row r="8" spans="1:19" x14ac:dyDescent="0.3">
      <c r="A8" s="227" t="s">
        <v>31</v>
      </c>
      <c r="B8" s="227" t="s">
        <v>140</v>
      </c>
      <c r="C8" s="228">
        <v>585.39433333333329</v>
      </c>
      <c r="D8" s="228">
        <v>377.2283333333333</v>
      </c>
      <c r="E8" s="228">
        <v>4297.5088000000005</v>
      </c>
      <c r="F8" s="228">
        <v>33.265599999999999</v>
      </c>
      <c r="G8" s="228">
        <v>14.110399999999998</v>
      </c>
      <c r="H8" s="228">
        <v>120.51075</v>
      </c>
      <c r="I8" s="228">
        <v>700.34739999999999</v>
      </c>
      <c r="J8" s="228">
        <v>5.8448000000000011</v>
      </c>
      <c r="L8" s="229">
        <f t="shared" si="0"/>
        <v>0.64440038424241664</v>
      </c>
      <c r="M8" s="230">
        <f t="shared" si="1"/>
        <v>11.392327723704037</v>
      </c>
      <c r="N8" s="229">
        <f t="shared" si="2"/>
        <v>8.8184256219707782E-2</v>
      </c>
      <c r="O8" s="229">
        <f t="shared" si="3"/>
        <v>2.4104093935540884E-2</v>
      </c>
      <c r="P8" s="230">
        <f t="shared" si="4"/>
        <v>5.8114931655474722</v>
      </c>
      <c r="Q8" s="229">
        <f t="shared" si="5"/>
        <v>4.8500237530676733E-2</v>
      </c>
      <c r="S8" s="239">
        <f>H8/BUF!D$37</f>
        <v>0.2733578874527639</v>
      </c>
    </row>
    <row r="9" spans="1:19" x14ac:dyDescent="0.3">
      <c r="A9" s="227" t="s">
        <v>266</v>
      </c>
      <c r="B9" s="227" t="s">
        <v>140</v>
      </c>
      <c r="C9" s="228">
        <v>39.705666666666666</v>
      </c>
      <c r="D9" s="228">
        <v>26.338333333333335</v>
      </c>
      <c r="E9" s="228">
        <v>291.98899999999998</v>
      </c>
      <c r="F9" s="228">
        <v>2.2430000000000003</v>
      </c>
      <c r="G9" s="228">
        <v>0.96199999999999997</v>
      </c>
      <c r="H9" s="228">
        <v>0.83333333333333337</v>
      </c>
      <c r="I9" s="228">
        <v>4.4499999999999993</v>
      </c>
      <c r="J9" s="228">
        <v>0</v>
      </c>
      <c r="L9" s="229">
        <f t="shared" si="0"/>
        <v>0.66333940579430317</v>
      </c>
      <c r="M9" s="230">
        <f t="shared" si="1"/>
        <v>11.086084920584698</v>
      </c>
      <c r="N9" s="229">
        <f t="shared" si="2"/>
        <v>8.5161045371132074E-2</v>
      </c>
      <c r="O9" s="229">
        <f t="shared" si="3"/>
        <v>2.4228279758556712E-2</v>
      </c>
      <c r="P9" s="230">
        <f t="shared" si="4"/>
        <v>5.339999999999999</v>
      </c>
      <c r="Q9" s="229">
        <f t="shared" si="5"/>
        <v>0</v>
      </c>
      <c r="S9" s="239">
        <f>H9/BUF!D$37</f>
        <v>1.8902731876116441E-3</v>
      </c>
    </row>
    <row r="10" spans="1:19" x14ac:dyDescent="0.3">
      <c r="A10" s="227" t="s">
        <v>111</v>
      </c>
      <c r="B10" s="227" t="s">
        <v>141</v>
      </c>
      <c r="C10" s="228">
        <v>431.96533333333332</v>
      </c>
      <c r="D10" s="228">
        <v>264.66066666666671</v>
      </c>
      <c r="E10" s="228">
        <v>2595.652</v>
      </c>
      <c r="F10" s="228">
        <v>11.616</v>
      </c>
      <c r="G10" s="228">
        <v>13.12</v>
      </c>
      <c r="H10" s="228">
        <v>40.4925</v>
      </c>
      <c r="I10" s="228">
        <v>190.32840000000002</v>
      </c>
      <c r="J10" s="228">
        <v>2.9016000000000002</v>
      </c>
      <c r="L10" s="229">
        <f t="shared" si="0"/>
        <v>0.61268959854803173</v>
      </c>
      <c r="M10" s="230">
        <f t="shared" si="1"/>
        <v>9.8074717059076892</v>
      </c>
      <c r="N10" s="229">
        <f t="shared" si="2"/>
        <v>4.389016375686098E-2</v>
      </c>
      <c r="O10" s="229">
        <f t="shared" si="3"/>
        <v>3.0372807694444615E-2</v>
      </c>
      <c r="P10" s="230">
        <f t="shared" si="4"/>
        <v>4.7003370994628639</v>
      </c>
      <c r="Q10" s="229">
        <f t="shared" si="5"/>
        <v>7.1657714391553995E-2</v>
      </c>
      <c r="S10" s="239">
        <f>H10/CAR!D$37</f>
        <v>9.2945625036173735E-2</v>
      </c>
    </row>
    <row r="11" spans="1:19" x14ac:dyDescent="0.3">
      <c r="A11" s="227" t="s">
        <v>675</v>
      </c>
      <c r="B11" s="227" t="s">
        <v>141</v>
      </c>
      <c r="C11" s="228">
        <v>177.20133333333334</v>
      </c>
      <c r="D11" s="228">
        <v>105.47266666666667</v>
      </c>
      <c r="E11" s="228">
        <v>1114.008</v>
      </c>
      <c r="F11" s="228">
        <v>5.6240000000000006</v>
      </c>
      <c r="G11" s="228">
        <v>4.7200000000000006</v>
      </c>
      <c r="H11" s="228">
        <v>12.2</v>
      </c>
      <c r="I11" s="228">
        <v>58.2</v>
      </c>
      <c r="J11" s="228">
        <v>0.52</v>
      </c>
      <c r="L11" s="229">
        <f t="shared" si="0"/>
        <v>0.59521373052121507</v>
      </c>
      <c r="M11" s="230">
        <f t="shared" si="1"/>
        <v>10.562053991871512</v>
      </c>
      <c r="N11" s="229">
        <f t="shared" si="2"/>
        <v>5.3321871701357069E-2</v>
      </c>
      <c r="O11" s="229">
        <f t="shared" si="3"/>
        <v>2.6636368424616821E-2</v>
      </c>
      <c r="P11" s="230">
        <f t="shared" si="4"/>
        <v>4.7704918032786887</v>
      </c>
      <c r="Q11" s="229">
        <f t="shared" si="5"/>
        <v>4.2622950819672135E-2</v>
      </c>
      <c r="S11" s="239">
        <f>H11/CAR!D$37</f>
        <v>2.8003621051832302E-2</v>
      </c>
    </row>
    <row r="12" spans="1:19" x14ac:dyDescent="0.3">
      <c r="A12" s="227" t="s">
        <v>264</v>
      </c>
      <c r="B12" s="227" t="s">
        <v>142</v>
      </c>
      <c r="C12" s="228">
        <v>522.05000000000007</v>
      </c>
      <c r="D12" s="228">
        <v>322.69766666666669</v>
      </c>
      <c r="E12" s="228">
        <v>3568.7983999999997</v>
      </c>
      <c r="F12" s="228">
        <v>18.301600000000001</v>
      </c>
      <c r="G12" s="228">
        <v>15.4168</v>
      </c>
      <c r="H12" s="228">
        <v>105.68774999999999</v>
      </c>
      <c r="I12" s="228">
        <v>584.85519999999997</v>
      </c>
      <c r="J12" s="228">
        <v>2.7890000000000001</v>
      </c>
      <c r="L12" s="229">
        <f t="shared" si="0"/>
        <v>0.61813555534271936</v>
      </c>
      <c r="M12" s="230">
        <f t="shared" si="1"/>
        <v>11.059263107986524</v>
      </c>
      <c r="N12" s="229">
        <f t="shared" si="2"/>
        <v>5.6714385911270919E-2</v>
      </c>
      <c r="O12" s="229">
        <f t="shared" si="3"/>
        <v>2.9531270951058324E-2</v>
      </c>
      <c r="P12" s="230">
        <f t="shared" si="4"/>
        <v>5.5338031134166448</v>
      </c>
      <c r="Q12" s="229">
        <f t="shared" si="5"/>
        <v>2.6389056442208299E-2</v>
      </c>
      <c r="S12" s="239">
        <f>H12/CHI!D$37</f>
        <v>0.21812684429615881</v>
      </c>
    </row>
    <row r="13" spans="1:19" x14ac:dyDescent="0.3">
      <c r="A13" s="227" t="s">
        <v>590</v>
      </c>
      <c r="B13" s="227" t="s">
        <v>142</v>
      </c>
      <c r="C13" s="228">
        <v>37.983333333333334</v>
      </c>
      <c r="D13" s="228">
        <v>23.102333333333334</v>
      </c>
      <c r="E13" s="228">
        <v>259.80200000000002</v>
      </c>
      <c r="F13" s="228">
        <v>1.3980000000000001</v>
      </c>
      <c r="G13" s="228">
        <v>1.004</v>
      </c>
      <c r="H13" s="228">
        <v>1</v>
      </c>
      <c r="I13" s="228">
        <v>4.1500000000000004</v>
      </c>
      <c r="J13" s="228">
        <v>0</v>
      </c>
      <c r="L13" s="229">
        <f t="shared" si="0"/>
        <v>0.6082229047827995</v>
      </c>
      <c r="M13" s="230">
        <f t="shared" si="1"/>
        <v>11.245703897153247</v>
      </c>
      <c r="N13" s="229">
        <f t="shared" si="2"/>
        <v>6.051336805806052E-2</v>
      </c>
      <c r="O13" s="229">
        <f t="shared" si="3"/>
        <v>2.6432645897323387E-2</v>
      </c>
      <c r="P13" s="230">
        <f t="shared" si="4"/>
        <v>4.1500000000000004</v>
      </c>
      <c r="Q13" s="229">
        <f t="shared" si="5"/>
        <v>0</v>
      </c>
      <c r="S13" s="239">
        <f>H13/CHI!D$37</f>
        <v>2.063880102435323E-3</v>
      </c>
    </row>
    <row r="14" spans="1:19" x14ac:dyDescent="0.3">
      <c r="A14" s="227" t="s">
        <v>701</v>
      </c>
      <c r="B14" s="227" t="s">
        <v>142</v>
      </c>
      <c r="C14" s="228">
        <v>16</v>
      </c>
      <c r="D14" s="228">
        <v>9</v>
      </c>
      <c r="E14" s="228">
        <v>92.65</v>
      </c>
      <c r="F14" s="228">
        <v>0.7</v>
      </c>
      <c r="G14" s="228">
        <v>1</v>
      </c>
      <c r="H14" s="228">
        <v>5</v>
      </c>
      <c r="I14" s="228">
        <v>17.75</v>
      </c>
      <c r="J14" s="228">
        <v>0</v>
      </c>
      <c r="L14" s="229">
        <f t="shared" si="0"/>
        <v>0.5625</v>
      </c>
      <c r="M14" s="230">
        <f t="shared" si="1"/>
        <v>10.294444444444444</v>
      </c>
      <c r="N14" s="229">
        <f t="shared" si="2"/>
        <v>7.7777777777777779E-2</v>
      </c>
      <c r="O14" s="229">
        <f t="shared" si="3"/>
        <v>6.25E-2</v>
      </c>
      <c r="P14" s="230">
        <f t="shared" si="4"/>
        <v>3.55</v>
      </c>
      <c r="Q14" s="229">
        <f t="shared" si="5"/>
        <v>0</v>
      </c>
      <c r="S14" s="239">
        <f>H14/CHI!D$37</f>
        <v>1.0319400512176615E-2</v>
      </c>
    </row>
    <row r="15" spans="1:19" x14ac:dyDescent="0.3">
      <c r="A15" s="227" t="s">
        <v>201</v>
      </c>
      <c r="B15" s="227" t="s">
        <v>144</v>
      </c>
      <c r="C15" s="228">
        <v>538.52733333333333</v>
      </c>
      <c r="D15" s="228">
        <v>365.25266666666658</v>
      </c>
      <c r="E15" s="228">
        <v>4385.4384000000009</v>
      </c>
      <c r="F15" s="228">
        <v>30.867200000000004</v>
      </c>
      <c r="G15" s="228">
        <v>12.764800000000001</v>
      </c>
      <c r="H15" s="228">
        <v>40.224249999999998</v>
      </c>
      <c r="I15" s="228">
        <v>142.13659999999999</v>
      </c>
      <c r="J15" s="228">
        <v>2.1680000000000001</v>
      </c>
      <c r="L15" s="229">
        <f t="shared" si="0"/>
        <v>0.67824350605540284</v>
      </c>
      <c r="M15" s="230">
        <f t="shared" si="1"/>
        <v>12.006588316033289</v>
      </c>
      <c r="N15" s="229">
        <f t="shared" si="2"/>
        <v>8.450917082056443E-2</v>
      </c>
      <c r="O15" s="229">
        <f t="shared" si="3"/>
        <v>2.37031608423466E-2</v>
      </c>
      <c r="P15" s="230">
        <f t="shared" si="4"/>
        <v>3.5336047284908978</v>
      </c>
      <c r="Q15" s="229">
        <f t="shared" si="5"/>
        <v>5.3897835261067645E-2</v>
      </c>
      <c r="S15" s="239">
        <f>H15/CIN!D$37</f>
        <v>9.4049445515281077E-2</v>
      </c>
    </row>
    <row r="16" spans="1:19" x14ac:dyDescent="0.3">
      <c r="A16" s="227" t="s">
        <v>265</v>
      </c>
      <c r="B16" s="227" t="s">
        <v>144</v>
      </c>
      <c r="C16" s="228">
        <v>46.872666666666667</v>
      </c>
      <c r="D16" s="228">
        <v>28.013999999999999</v>
      </c>
      <c r="E16" s="228">
        <v>284.15199999999999</v>
      </c>
      <c r="F16" s="228">
        <v>1.9910000000000001</v>
      </c>
      <c r="G16" s="228">
        <v>0.91900000000000004</v>
      </c>
      <c r="H16" s="228">
        <v>1.2333333333333334</v>
      </c>
      <c r="I16" s="228">
        <v>4.5750000000000002</v>
      </c>
      <c r="J16" s="228">
        <v>0</v>
      </c>
      <c r="L16" s="229">
        <f t="shared" si="0"/>
        <v>0.59766175027379143</v>
      </c>
      <c r="M16" s="230">
        <f t="shared" si="1"/>
        <v>10.143214107232097</v>
      </c>
      <c r="N16" s="229">
        <f t="shared" si="2"/>
        <v>7.1071607053616051E-2</v>
      </c>
      <c r="O16" s="229">
        <f t="shared" si="3"/>
        <v>1.9606309291840304E-2</v>
      </c>
      <c r="P16" s="230">
        <f t="shared" si="4"/>
        <v>3.7094594594594592</v>
      </c>
      <c r="Q16" s="229">
        <f t="shared" si="5"/>
        <v>0</v>
      </c>
      <c r="S16" s="239">
        <f>H16/CIN!D$37</f>
        <v>2.8836912095443253E-3</v>
      </c>
    </row>
    <row r="17" spans="1:19" x14ac:dyDescent="0.3">
      <c r="A17" s="227" t="s">
        <v>61</v>
      </c>
      <c r="B17" s="227" t="s">
        <v>145</v>
      </c>
      <c r="C17" s="228">
        <v>371.53800000000001</v>
      </c>
      <c r="D17" s="228">
        <v>244.93166666666664</v>
      </c>
      <c r="E17" s="228">
        <v>3041.2</v>
      </c>
      <c r="F17" s="228">
        <v>21.357999999999997</v>
      </c>
      <c r="G17" s="228">
        <v>7.0330000000000013</v>
      </c>
      <c r="H17" s="228">
        <v>86.030749999999998</v>
      </c>
      <c r="I17" s="228">
        <v>390.20680000000004</v>
      </c>
      <c r="J17" s="228">
        <v>3.5504000000000007</v>
      </c>
      <c r="L17" s="229">
        <f t="shared" si="0"/>
        <v>0.65923718883846771</v>
      </c>
      <c r="M17" s="230">
        <f t="shared" si="1"/>
        <v>12.416524336719766</v>
      </c>
      <c r="N17" s="229">
        <f t="shared" si="2"/>
        <v>8.7199831245449402E-2</v>
      </c>
      <c r="O17" s="229">
        <f t="shared" si="3"/>
        <v>1.8929423100732635E-2</v>
      </c>
      <c r="P17" s="230">
        <f t="shared" si="4"/>
        <v>4.5356666075792678</v>
      </c>
      <c r="Q17" s="229">
        <f t="shared" si="5"/>
        <v>4.1268964875931E-2</v>
      </c>
      <c r="S17" s="239">
        <f>H17/CLE!D$37</f>
        <v>0.17385732094812301</v>
      </c>
    </row>
    <row r="18" spans="1:19" x14ac:dyDescent="0.3">
      <c r="A18" s="227" t="s">
        <v>175</v>
      </c>
      <c r="B18" s="227" t="s">
        <v>145</v>
      </c>
      <c r="C18" s="228">
        <v>170.1</v>
      </c>
      <c r="D18" s="228">
        <v>110.26833333333333</v>
      </c>
      <c r="E18" s="228">
        <v>1271.2968000000001</v>
      </c>
      <c r="F18" s="228">
        <v>7.4421999999999997</v>
      </c>
      <c r="G18" s="228">
        <v>3.2271999999999998</v>
      </c>
      <c r="H18" s="228">
        <v>15.630500000000001</v>
      </c>
      <c r="I18" s="228">
        <v>62.845199999999998</v>
      </c>
      <c r="J18" s="228">
        <v>0.69359999999999999</v>
      </c>
      <c r="L18" s="229">
        <f t="shared" si="0"/>
        <v>0.64825592788555753</v>
      </c>
      <c r="M18" s="230">
        <f t="shared" si="1"/>
        <v>11.529119571953267</v>
      </c>
      <c r="N18" s="229">
        <f t="shared" si="2"/>
        <v>6.7491724732092917E-2</v>
      </c>
      <c r="O18" s="229">
        <f t="shared" si="3"/>
        <v>1.8972369194591415E-2</v>
      </c>
      <c r="P18" s="230">
        <f t="shared" si="4"/>
        <v>4.0206775215124271</v>
      </c>
      <c r="Q18" s="229">
        <f t="shared" si="5"/>
        <v>4.4374780077412745E-2</v>
      </c>
      <c r="S18" s="239">
        <f>H18/CLE!D$37</f>
        <v>3.1587273795470071E-2</v>
      </c>
    </row>
    <row r="19" spans="1:19" x14ac:dyDescent="0.3">
      <c r="A19" s="227" t="s">
        <v>700</v>
      </c>
      <c r="B19" s="227" t="s">
        <v>145</v>
      </c>
      <c r="C19" s="228">
        <v>3.3</v>
      </c>
      <c r="D19" s="228">
        <v>2</v>
      </c>
      <c r="E19" s="228">
        <v>21.7</v>
      </c>
      <c r="F19" s="228">
        <v>0.1</v>
      </c>
      <c r="G19" s="228">
        <v>0.1</v>
      </c>
      <c r="H19" s="228">
        <v>0.1</v>
      </c>
      <c r="I19" s="228">
        <v>0.6</v>
      </c>
      <c r="J19" s="228">
        <v>0</v>
      </c>
      <c r="L19" s="229">
        <f t="shared" si="0"/>
        <v>0.60606060606060608</v>
      </c>
      <c r="M19" s="230">
        <f t="shared" si="1"/>
        <v>10.85</v>
      </c>
      <c r="N19" s="229">
        <f t="shared" si="2"/>
        <v>0.05</v>
      </c>
      <c r="O19" s="229">
        <f t="shared" si="3"/>
        <v>3.0303030303030307E-2</v>
      </c>
      <c r="P19" s="230">
        <f t="shared" si="4"/>
        <v>5.9999999999999991</v>
      </c>
      <c r="Q19" s="229">
        <f t="shared" si="5"/>
        <v>0</v>
      </c>
      <c r="S19" s="239">
        <f>H19/CLE!D$37</f>
        <v>2.020874175200414E-4</v>
      </c>
    </row>
    <row r="20" spans="1:19" x14ac:dyDescent="0.3">
      <c r="A20" s="227" t="s">
        <v>50</v>
      </c>
      <c r="B20" s="227" t="s">
        <v>146</v>
      </c>
      <c r="C20" s="228">
        <v>600.25</v>
      </c>
      <c r="D20" s="228">
        <v>402.90599999999995</v>
      </c>
      <c r="E20" s="228">
        <v>4374.5551999999998</v>
      </c>
      <c r="F20" s="228">
        <v>31.671199999999999</v>
      </c>
      <c r="G20" s="228">
        <v>11.7912</v>
      </c>
      <c r="H20" s="228">
        <v>45.016249999999999</v>
      </c>
      <c r="I20" s="228">
        <v>163.9282</v>
      </c>
      <c r="J20" s="228">
        <v>2.1152000000000002</v>
      </c>
      <c r="L20" s="229">
        <f t="shared" si="0"/>
        <v>0.67123032069970834</v>
      </c>
      <c r="M20" s="230">
        <f t="shared" si="1"/>
        <v>10.857508202905889</v>
      </c>
      <c r="N20" s="229">
        <f t="shared" si="2"/>
        <v>7.8606920720962217E-2</v>
      </c>
      <c r="O20" s="229">
        <f t="shared" si="3"/>
        <v>1.9643815077051228E-2</v>
      </c>
      <c r="P20" s="230">
        <f t="shared" si="4"/>
        <v>3.6415338905395274</v>
      </c>
      <c r="Q20" s="229">
        <f t="shared" si="5"/>
        <v>4.6987476744508934E-2</v>
      </c>
      <c r="S20" s="239">
        <f>H20/DAL!D$37</f>
        <v>9.5584831704023307E-2</v>
      </c>
    </row>
    <row r="21" spans="1:19" x14ac:dyDescent="0.3">
      <c r="A21" s="227" t="s">
        <v>567</v>
      </c>
      <c r="B21" s="227" t="s">
        <v>146</v>
      </c>
      <c r="C21" s="228">
        <v>36.016666666666666</v>
      </c>
      <c r="D21" s="228">
        <v>22.593999999999998</v>
      </c>
      <c r="E21" s="228">
        <v>270.7</v>
      </c>
      <c r="F21" s="228">
        <v>1.9860000000000002</v>
      </c>
      <c r="G21" s="228">
        <v>0.91099999999999992</v>
      </c>
      <c r="H21" s="228">
        <v>4.0629999999999997</v>
      </c>
      <c r="I21" s="228">
        <v>11.36575</v>
      </c>
      <c r="J21" s="228">
        <v>0</v>
      </c>
      <c r="L21" s="229">
        <f t="shared" si="0"/>
        <v>0.62732068486811654</v>
      </c>
      <c r="M21" s="230">
        <f t="shared" si="1"/>
        <v>11.981056917765779</v>
      </c>
      <c r="N21" s="229">
        <f t="shared" si="2"/>
        <v>8.7899442329822094E-2</v>
      </c>
      <c r="O21" s="229">
        <f t="shared" si="3"/>
        <v>2.5293845441925034E-2</v>
      </c>
      <c r="P21" s="230">
        <f t="shared" si="4"/>
        <v>2.7973787841496436</v>
      </c>
      <c r="Q21" s="229">
        <f t="shared" si="5"/>
        <v>0</v>
      </c>
      <c r="S21" s="239">
        <f>H21/DAL!D$37</f>
        <v>8.6271328956420545E-3</v>
      </c>
    </row>
    <row r="22" spans="1:19" x14ac:dyDescent="0.3">
      <c r="A22" s="227" t="s">
        <v>94</v>
      </c>
      <c r="B22" s="227" t="s">
        <v>147</v>
      </c>
      <c r="C22" s="228">
        <v>537.48066666666671</v>
      </c>
      <c r="D22" s="228">
        <v>350.7286666666667</v>
      </c>
      <c r="E22" s="228">
        <v>4021.0832</v>
      </c>
      <c r="F22" s="228">
        <v>28.936799999999998</v>
      </c>
      <c r="G22" s="228">
        <v>10.256</v>
      </c>
      <c r="H22" s="228">
        <v>64.075749999999999</v>
      </c>
      <c r="I22" s="228">
        <v>292.83679999999998</v>
      </c>
      <c r="J22" s="228">
        <v>2.2689999999999997</v>
      </c>
      <c r="L22" s="229">
        <f t="shared" si="0"/>
        <v>0.65254192088769702</v>
      </c>
      <c r="M22" s="230">
        <f t="shared" si="1"/>
        <v>11.464940229199019</v>
      </c>
      <c r="N22" s="229">
        <f t="shared" si="2"/>
        <v>8.2504804283653255E-2</v>
      </c>
      <c r="O22" s="229">
        <f t="shared" si="3"/>
        <v>1.9081616579076952E-2</v>
      </c>
      <c r="P22" s="230">
        <f t="shared" si="4"/>
        <v>4.5701657803459188</v>
      </c>
      <c r="Q22" s="229">
        <f t="shared" si="5"/>
        <v>3.541121251019301E-2</v>
      </c>
      <c r="S22" s="239">
        <f>H22/DEN!D$37</f>
        <v>0.14150841723953622</v>
      </c>
    </row>
    <row r="23" spans="1:19" x14ac:dyDescent="0.3">
      <c r="A23" s="227" t="s">
        <v>699</v>
      </c>
      <c r="B23" s="227" t="s">
        <v>147</v>
      </c>
      <c r="C23" s="228">
        <v>41.519333333333329</v>
      </c>
      <c r="D23" s="228">
        <v>24.438000000000002</v>
      </c>
      <c r="E23" s="228">
        <v>276.67099999999999</v>
      </c>
      <c r="F23" s="228">
        <v>2.0289999999999999</v>
      </c>
      <c r="G23" s="228">
        <v>1.0050000000000001</v>
      </c>
      <c r="H23" s="228">
        <v>0.79999999999999993</v>
      </c>
      <c r="I23" s="228">
        <v>2.9249999999999998</v>
      </c>
      <c r="J23" s="228">
        <v>2.5000000000000001E-2</v>
      </c>
      <c r="L23" s="229">
        <f t="shared" si="0"/>
        <v>0.58859326578782589</v>
      </c>
      <c r="M23" s="230">
        <f t="shared" si="1"/>
        <v>11.321343808822325</v>
      </c>
      <c r="N23" s="229">
        <f t="shared" si="2"/>
        <v>8.3026434241754626E-2</v>
      </c>
      <c r="O23" s="229">
        <f t="shared" si="3"/>
        <v>2.4205590969668754E-2</v>
      </c>
      <c r="P23" s="230">
        <f t="shared" si="4"/>
        <v>3.65625</v>
      </c>
      <c r="Q23" s="229">
        <f t="shared" si="5"/>
        <v>3.1250000000000007E-2</v>
      </c>
      <c r="S23" s="239">
        <f>H23/DEN!D$37</f>
        <v>1.766764084565986E-3</v>
      </c>
    </row>
    <row r="24" spans="1:19" x14ac:dyDescent="0.3">
      <c r="A24" s="227" t="s">
        <v>598</v>
      </c>
      <c r="B24" s="227" t="s">
        <v>147</v>
      </c>
      <c r="C24" s="228">
        <v>24</v>
      </c>
      <c r="D24" s="228">
        <v>16</v>
      </c>
      <c r="E24" s="228">
        <v>179.85</v>
      </c>
      <c r="F24" s="228">
        <v>1</v>
      </c>
      <c r="G24" s="228">
        <v>0.25</v>
      </c>
      <c r="H24" s="228">
        <v>4</v>
      </c>
      <c r="I24" s="228">
        <v>19.55</v>
      </c>
      <c r="J24" s="228">
        <v>0</v>
      </c>
      <c r="L24" s="229">
        <f t="shared" si="0"/>
        <v>0.66666666666666663</v>
      </c>
      <c r="M24" s="230">
        <f t="shared" si="1"/>
        <v>11.240625</v>
      </c>
      <c r="N24" s="229">
        <f t="shared" si="2"/>
        <v>6.25E-2</v>
      </c>
      <c r="O24" s="229">
        <f t="shared" si="3"/>
        <v>1.0416666666666666E-2</v>
      </c>
      <c r="P24" s="230">
        <f t="shared" si="4"/>
        <v>4.8875000000000002</v>
      </c>
      <c r="Q24" s="229">
        <f t="shared" si="5"/>
        <v>0</v>
      </c>
      <c r="S24" s="239">
        <f>H24/DEN!D$37</f>
        <v>8.83382042282993E-3</v>
      </c>
    </row>
    <row r="25" spans="1:19" x14ac:dyDescent="0.3">
      <c r="A25" s="227" t="s">
        <v>80</v>
      </c>
      <c r="B25" s="227" t="s">
        <v>148</v>
      </c>
      <c r="C25" s="228">
        <v>544.77599999999995</v>
      </c>
      <c r="D25" s="228">
        <v>360.73199999999997</v>
      </c>
      <c r="E25" s="228">
        <v>3603.6207999999997</v>
      </c>
      <c r="F25" s="228">
        <v>21.953600000000002</v>
      </c>
      <c r="G25" s="228">
        <v>11.231199999999999</v>
      </c>
      <c r="H25" s="228">
        <v>22.622250000000001</v>
      </c>
      <c r="I25" s="228">
        <v>91.825999999999993</v>
      </c>
      <c r="J25" s="228">
        <v>0.63860000000000006</v>
      </c>
      <c r="L25" s="229">
        <f t="shared" si="0"/>
        <v>0.66216573417331159</v>
      </c>
      <c r="M25" s="230">
        <f t="shared" si="1"/>
        <v>9.9897452956765687</v>
      </c>
      <c r="N25" s="229">
        <f t="shared" si="2"/>
        <v>6.0858476653027745E-2</v>
      </c>
      <c r="O25" s="229">
        <f t="shared" si="3"/>
        <v>2.0616179861080518E-2</v>
      </c>
      <c r="P25" s="230">
        <f t="shared" si="4"/>
        <v>4.0591011062118039</v>
      </c>
      <c r="Q25" s="229">
        <f t="shared" si="5"/>
        <v>2.8228845495032545E-2</v>
      </c>
      <c r="S25" s="239">
        <f>H25/DET!D$37</f>
        <v>5.6402045051427221E-2</v>
      </c>
    </row>
    <row r="26" spans="1:19" x14ac:dyDescent="0.3">
      <c r="A26" s="227" t="s">
        <v>601</v>
      </c>
      <c r="B26" s="227" t="s">
        <v>148</v>
      </c>
      <c r="C26" s="228">
        <v>38.490666666666669</v>
      </c>
      <c r="D26" s="228">
        <v>24.534666666666666</v>
      </c>
      <c r="E26" s="228">
        <v>250.94900000000001</v>
      </c>
      <c r="F26" s="228">
        <v>1.4079999999999999</v>
      </c>
      <c r="G26" s="228">
        <v>0.96100000000000008</v>
      </c>
      <c r="H26" s="228">
        <v>1.2</v>
      </c>
      <c r="I26" s="228">
        <v>4.05</v>
      </c>
      <c r="J26" s="228">
        <v>0</v>
      </c>
      <c r="L26" s="229">
        <f t="shared" si="0"/>
        <v>0.63741859498406539</v>
      </c>
      <c r="M26" s="230">
        <f t="shared" si="1"/>
        <v>10.228343568284332</v>
      </c>
      <c r="N26" s="229">
        <f t="shared" si="2"/>
        <v>5.7388185424705175E-2</v>
      </c>
      <c r="O26" s="229">
        <f t="shared" si="3"/>
        <v>2.4967091589303034E-2</v>
      </c>
      <c r="P26" s="230">
        <f t="shared" si="4"/>
        <v>3.375</v>
      </c>
      <c r="Q26" s="229">
        <f t="shared" si="5"/>
        <v>0</v>
      </c>
      <c r="S26" s="239">
        <f>H26/DET!D$37</f>
        <v>2.9918533329669973E-3</v>
      </c>
    </row>
    <row r="27" spans="1:19" x14ac:dyDescent="0.3">
      <c r="A27" s="227" t="s">
        <v>57</v>
      </c>
      <c r="B27" s="227" t="s">
        <v>149</v>
      </c>
      <c r="C27" s="228">
        <v>552.39400000000001</v>
      </c>
      <c r="D27" s="228">
        <v>375.42333333333335</v>
      </c>
      <c r="E27" s="228">
        <v>4019.3703999999998</v>
      </c>
      <c r="F27" s="228">
        <v>33.947199999999995</v>
      </c>
      <c r="G27" s="228">
        <v>7.3400000000000007</v>
      </c>
      <c r="H27" s="228">
        <v>32.153750000000002</v>
      </c>
      <c r="I27" s="228">
        <v>117.09960000000001</v>
      </c>
      <c r="J27" s="228">
        <v>2.2329999999999997</v>
      </c>
      <c r="L27" s="229">
        <f t="shared" si="0"/>
        <v>0.67962963633445217</v>
      </c>
      <c r="M27" s="230">
        <f t="shared" si="1"/>
        <v>10.706234917027</v>
      </c>
      <c r="N27" s="229">
        <f t="shared" si="2"/>
        <v>9.0423788256812299E-2</v>
      </c>
      <c r="O27" s="229">
        <f t="shared" si="3"/>
        <v>1.3287617171801288E-2</v>
      </c>
      <c r="P27" s="230">
        <f t="shared" si="4"/>
        <v>3.6418644792598065</v>
      </c>
      <c r="Q27" s="229">
        <f t="shared" si="5"/>
        <v>6.9447576099210803E-2</v>
      </c>
      <c r="S27" s="239">
        <f>H27/GB!D$37</f>
        <v>7.1643092079646864E-2</v>
      </c>
    </row>
    <row r="28" spans="1:19" x14ac:dyDescent="0.3">
      <c r="A28" s="227" t="s">
        <v>208</v>
      </c>
      <c r="B28" s="227" t="s">
        <v>149</v>
      </c>
      <c r="C28" s="228">
        <v>38.405999999999999</v>
      </c>
      <c r="D28" s="228">
        <v>23.343333333333334</v>
      </c>
      <c r="E28" s="228">
        <v>264</v>
      </c>
      <c r="F28" s="228">
        <v>2</v>
      </c>
      <c r="G28" s="228">
        <v>1.1199999999999999</v>
      </c>
      <c r="H28" s="228">
        <v>2.7250000000000001</v>
      </c>
      <c r="I28" s="228">
        <v>11.64</v>
      </c>
      <c r="J28" s="228">
        <v>0.06</v>
      </c>
      <c r="L28" s="229">
        <f t="shared" si="0"/>
        <v>0.60780433612803553</v>
      </c>
      <c r="M28" s="230">
        <f t="shared" si="1"/>
        <v>11.30943881193774</v>
      </c>
      <c r="N28" s="229">
        <f t="shared" si="2"/>
        <v>8.5677566757104098E-2</v>
      </c>
      <c r="O28" s="229">
        <f t="shared" si="3"/>
        <v>2.9162110086965575E-2</v>
      </c>
      <c r="P28" s="230">
        <f t="shared" si="4"/>
        <v>4.2715596330275227</v>
      </c>
      <c r="Q28" s="229">
        <f t="shared" si="5"/>
        <v>2.2018348623853209E-2</v>
      </c>
      <c r="S28" s="239">
        <f>H28/GB!D$37</f>
        <v>6.0716845132228027E-3</v>
      </c>
    </row>
    <row r="29" spans="1:19" x14ac:dyDescent="0.3">
      <c r="A29" s="227" t="s">
        <v>267</v>
      </c>
      <c r="B29" s="227" t="s">
        <v>150</v>
      </c>
      <c r="C29" s="228">
        <v>562.81633333333332</v>
      </c>
      <c r="D29" s="228">
        <v>369.673</v>
      </c>
      <c r="E29" s="228">
        <v>3697.7152000000001</v>
      </c>
      <c r="F29" s="228">
        <v>20.6248</v>
      </c>
      <c r="G29" s="228">
        <v>14.081599999999998</v>
      </c>
      <c r="H29" s="228">
        <v>20.99325</v>
      </c>
      <c r="I29" s="228">
        <v>77.772200000000012</v>
      </c>
      <c r="J29" s="228">
        <v>0.45179999999999998</v>
      </c>
      <c r="L29" s="229">
        <f t="shared" si="0"/>
        <v>0.65682706436498828</v>
      </c>
      <c r="M29" s="230">
        <f t="shared" si="1"/>
        <v>10.002665058037779</v>
      </c>
      <c r="N29" s="229">
        <f t="shared" si="2"/>
        <v>5.5792010777092185E-2</v>
      </c>
      <c r="O29" s="229">
        <f t="shared" si="3"/>
        <v>2.5019885113497651E-2</v>
      </c>
      <c r="P29" s="230">
        <f t="shared" si="4"/>
        <v>3.7046288688030682</v>
      </c>
      <c r="Q29" s="229">
        <f t="shared" si="5"/>
        <v>2.1521203243899823E-2</v>
      </c>
      <c r="S29" s="239">
        <f>H29/HOU!D$37</f>
        <v>5.4383558450036527E-2</v>
      </c>
    </row>
    <row r="30" spans="1:19" x14ac:dyDescent="0.3">
      <c r="A30" s="227" t="s">
        <v>605</v>
      </c>
      <c r="B30" s="227" t="s">
        <v>150</v>
      </c>
      <c r="C30" s="228">
        <v>37.75033333333333</v>
      </c>
      <c r="D30" s="228">
        <v>23.927000000000003</v>
      </c>
      <c r="E30" s="228">
        <v>269.10599999999999</v>
      </c>
      <c r="F30" s="228">
        <v>1.4690000000000001</v>
      </c>
      <c r="G30" s="228">
        <v>1.0230000000000001</v>
      </c>
      <c r="H30" s="228">
        <v>0.9</v>
      </c>
      <c r="I30" s="228">
        <v>4.4749999999999996</v>
      </c>
      <c r="J30" s="228">
        <v>0</v>
      </c>
      <c r="L30" s="229">
        <f t="shared" si="0"/>
        <v>0.63382221790536075</v>
      </c>
      <c r="M30" s="230">
        <f t="shared" si="1"/>
        <v>11.246959501818028</v>
      </c>
      <c r="N30" s="229">
        <f t="shared" si="2"/>
        <v>6.1395076691603621E-2</v>
      </c>
      <c r="O30" s="229">
        <f t="shared" si="3"/>
        <v>2.7099098462706736E-2</v>
      </c>
      <c r="P30" s="230">
        <f t="shared" si="4"/>
        <v>4.9722222222222214</v>
      </c>
      <c r="Q30" s="229">
        <f t="shared" si="5"/>
        <v>0</v>
      </c>
      <c r="S30" s="239">
        <f>H30/HOU!D$37</f>
        <v>2.3314733357166174E-3</v>
      </c>
    </row>
    <row r="31" spans="1:19" x14ac:dyDescent="0.3">
      <c r="A31" s="227" t="s">
        <v>20</v>
      </c>
      <c r="B31" s="227" t="s">
        <v>151</v>
      </c>
      <c r="C31" s="228">
        <v>509.62933333333331</v>
      </c>
      <c r="D31" s="228">
        <v>335.6033333333333</v>
      </c>
      <c r="E31" s="228">
        <v>3828.1559999999999</v>
      </c>
      <c r="F31" s="228">
        <v>22.64</v>
      </c>
      <c r="G31" s="228">
        <v>11.348800000000001</v>
      </c>
      <c r="H31" s="228">
        <v>37.237499999999997</v>
      </c>
      <c r="I31" s="228">
        <v>119.81980000000001</v>
      </c>
      <c r="J31" s="228">
        <v>2.0190000000000001</v>
      </c>
      <c r="L31" s="229">
        <f t="shared" si="0"/>
        <v>0.65852436542114268</v>
      </c>
      <c r="M31" s="230">
        <f t="shared" si="1"/>
        <v>11.406787775250544</v>
      </c>
      <c r="N31" s="229">
        <f t="shared" si="2"/>
        <v>6.7460593359223692E-2</v>
      </c>
      <c r="O31" s="229">
        <f t="shared" si="3"/>
        <v>2.2268733877170863E-2</v>
      </c>
      <c r="P31" s="230">
        <f t="shared" si="4"/>
        <v>3.2177186975495138</v>
      </c>
      <c r="Q31" s="229">
        <f t="shared" si="5"/>
        <v>5.4219536757301116E-2</v>
      </c>
      <c r="S31" s="239">
        <f>H31/IND!D$37</f>
        <v>7.691899332635424E-2</v>
      </c>
    </row>
    <row r="32" spans="1:19" x14ac:dyDescent="0.3">
      <c r="A32" s="227" t="s">
        <v>607</v>
      </c>
      <c r="B32" s="227" t="s">
        <v>151</v>
      </c>
      <c r="C32" s="228">
        <v>34.170666666666669</v>
      </c>
      <c r="D32" s="228">
        <v>19.329999999999998</v>
      </c>
      <c r="E32" s="228">
        <v>231.68</v>
      </c>
      <c r="F32" s="228">
        <v>1.3250000000000002</v>
      </c>
      <c r="G32" s="228">
        <v>0.71399999999999997</v>
      </c>
      <c r="H32" s="228">
        <v>3.7639999999999998</v>
      </c>
      <c r="I32" s="228">
        <v>13.861499999999999</v>
      </c>
      <c r="J32" s="228">
        <v>0</v>
      </c>
      <c r="L32" s="229">
        <f t="shared" si="0"/>
        <v>0.56568987045419061</v>
      </c>
      <c r="M32" s="230">
        <f t="shared" si="1"/>
        <v>11.985514743921367</v>
      </c>
      <c r="N32" s="229">
        <f t="shared" si="2"/>
        <v>6.8546301086394215E-2</v>
      </c>
      <c r="O32" s="229">
        <f t="shared" si="3"/>
        <v>2.0895114718276882E-2</v>
      </c>
      <c r="P32" s="230">
        <f t="shared" si="4"/>
        <v>3.6826514346439958</v>
      </c>
      <c r="Q32" s="229">
        <f t="shared" si="5"/>
        <v>0</v>
      </c>
      <c r="S32" s="239">
        <f>H32/IND!D$37</f>
        <v>7.7750410441194328E-3</v>
      </c>
    </row>
    <row r="33" spans="1:19" x14ac:dyDescent="0.3">
      <c r="A33" s="227" t="s">
        <v>268</v>
      </c>
      <c r="B33" s="227" t="s">
        <v>698</v>
      </c>
      <c r="C33" s="228">
        <v>581.14399999999989</v>
      </c>
      <c r="D33" s="228">
        <v>365.64966666666669</v>
      </c>
      <c r="E33" s="228">
        <v>3926.1632</v>
      </c>
      <c r="F33" s="228">
        <v>19.896800000000002</v>
      </c>
      <c r="G33" s="228">
        <v>14.9192</v>
      </c>
      <c r="H33" s="228">
        <v>67.65424999999999</v>
      </c>
      <c r="I33" s="228">
        <v>333.59059999999999</v>
      </c>
      <c r="J33" s="228">
        <v>2.0996000000000001</v>
      </c>
      <c r="L33" s="229">
        <f t="shared" si="0"/>
        <v>0.62918943784443571</v>
      </c>
      <c r="M33" s="230">
        <f t="shared" si="1"/>
        <v>10.737499737909419</v>
      </c>
      <c r="N33" s="229">
        <f t="shared" si="2"/>
        <v>5.4414927220864419E-2</v>
      </c>
      <c r="O33" s="229">
        <f t="shared" si="3"/>
        <v>2.5672122572030345E-2</v>
      </c>
      <c r="P33" s="230">
        <f t="shared" si="4"/>
        <v>4.9308151372604092</v>
      </c>
      <c r="Q33" s="229">
        <f t="shared" si="5"/>
        <v>3.1034266139969041E-2</v>
      </c>
      <c r="S33" s="239">
        <f>H33/JAX!D$37</f>
        <v>0.18377066101671893</v>
      </c>
    </row>
    <row r="34" spans="1:19" x14ac:dyDescent="0.3">
      <c r="A34" s="227" t="s">
        <v>569</v>
      </c>
      <c r="B34" s="227" t="s">
        <v>698</v>
      </c>
      <c r="C34" s="228">
        <v>33.299999999999997</v>
      </c>
      <c r="D34" s="228">
        <v>20.117000000000001</v>
      </c>
      <c r="E34" s="228">
        <v>239.2</v>
      </c>
      <c r="F34" s="228">
        <v>1.379</v>
      </c>
      <c r="G34" s="228">
        <v>0.80100000000000005</v>
      </c>
      <c r="H34" s="228">
        <v>1.2666666666666666</v>
      </c>
      <c r="I34" s="228">
        <v>6.0749999999999993</v>
      </c>
      <c r="J34" s="228">
        <v>0</v>
      </c>
      <c r="L34" s="229">
        <f t="shared" ref="L34:L65" si="6">D34/C34</f>
        <v>0.6041141141141142</v>
      </c>
      <c r="M34" s="230">
        <f t="shared" ref="M34:M65" si="7">E34/D34</f>
        <v>11.890440920614404</v>
      </c>
      <c r="N34" s="229">
        <f t="shared" ref="N34:N65" si="8">F34/D34</f>
        <v>6.8548988417756127E-2</v>
      </c>
      <c r="O34" s="229">
        <f t="shared" ref="O34:O65" si="9">G34/C34</f>
        <v>2.4054054054054058E-2</v>
      </c>
      <c r="P34" s="230">
        <f t="shared" ref="P34:P65" si="10">I34/H34</f>
        <v>4.7960526315789469</v>
      </c>
      <c r="Q34" s="229">
        <f t="shared" ref="Q34:Q65" si="11">J34/H34</f>
        <v>0</v>
      </c>
      <c r="S34" s="239">
        <f>H34/JAX!D$37</f>
        <v>3.4406732854355393E-3</v>
      </c>
    </row>
    <row r="35" spans="1:19" x14ac:dyDescent="0.3">
      <c r="A35" s="227" t="s">
        <v>68</v>
      </c>
      <c r="B35" s="227" t="s">
        <v>153</v>
      </c>
      <c r="C35" s="228">
        <v>615.12366666666674</v>
      </c>
      <c r="D35" s="228">
        <v>403.03066666666672</v>
      </c>
      <c r="E35" s="228">
        <v>4693.0504000000001</v>
      </c>
      <c r="F35" s="228">
        <v>34.4512</v>
      </c>
      <c r="G35" s="228">
        <v>12.3384</v>
      </c>
      <c r="H35" s="228">
        <v>64.313500000000005</v>
      </c>
      <c r="I35" s="228">
        <v>364.27499999999998</v>
      </c>
      <c r="J35" s="228">
        <v>2.3440000000000003</v>
      </c>
      <c r="L35" s="229">
        <f t="shared" si="6"/>
        <v>0.65520266656406756</v>
      </c>
      <c r="M35" s="230">
        <f t="shared" si="7"/>
        <v>11.644400260691492</v>
      </c>
      <c r="N35" s="229">
        <f t="shared" si="8"/>
        <v>8.5480343927509223E-2</v>
      </c>
      <c r="O35" s="229">
        <f t="shared" si="9"/>
        <v>2.0058405599741189E-2</v>
      </c>
      <c r="P35" s="230">
        <f t="shared" si="10"/>
        <v>5.6640518709135712</v>
      </c>
      <c r="Q35" s="229">
        <f t="shared" si="11"/>
        <v>3.6446469248291577E-2</v>
      </c>
      <c r="S35" s="239">
        <f>H35/KC!D$37</f>
        <v>0.1525609602472231</v>
      </c>
    </row>
    <row r="36" spans="1:19" x14ac:dyDescent="0.3">
      <c r="A36" s="227" t="s">
        <v>269</v>
      </c>
      <c r="B36" s="227" t="s">
        <v>153</v>
      </c>
      <c r="C36" s="228">
        <v>47.476333333333336</v>
      </c>
      <c r="D36" s="228">
        <v>30.635999999999999</v>
      </c>
      <c r="E36" s="228">
        <v>306.23699999999997</v>
      </c>
      <c r="F36" s="228">
        <v>2.1109999999999998</v>
      </c>
      <c r="G36" s="228">
        <v>0.877</v>
      </c>
      <c r="H36" s="228">
        <v>1.5999999999999999</v>
      </c>
      <c r="I36" s="228">
        <v>3.8499999999999996</v>
      </c>
      <c r="J36" s="228">
        <v>2.5000000000000001E-2</v>
      </c>
      <c r="L36" s="229">
        <f t="shared" si="6"/>
        <v>0.64528993393199408</v>
      </c>
      <c r="M36" s="230">
        <f t="shared" si="7"/>
        <v>9.995985115550333</v>
      </c>
      <c r="N36" s="229">
        <f t="shared" si="8"/>
        <v>6.8905862384123245E-2</v>
      </c>
      <c r="O36" s="229">
        <f t="shared" si="9"/>
        <v>1.8472361667918751E-2</v>
      </c>
      <c r="P36" s="230">
        <f t="shared" si="10"/>
        <v>2.40625</v>
      </c>
      <c r="Q36" s="229">
        <f t="shared" si="11"/>
        <v>1.5625000000000003E-2</v>
      </c>
      <c r="S36" s="239">
        <f>H36/KC!D$37</f>
        <v>3.7954323181844702E-3</v>
      </c>
    </row>
    <row r="37" spans="1:19" x14ac:dyDescent="0.3">
      <c r="A37" s="227" t="s">
        <v>213</v>
      </c>
      <c r="B37" s="227" t="s">
        <v>154</v>
      </c>
      <c r="C37" s="228">
        <v>609.7600000000001</v>
      </c>
      <c r="D37" s="228">
        <v>404.68433333333337</v>
      </c>
      <c r="E37" s="228">
        <v>4601.2647999999999</v>
      </c>
      <c r="F37" s="228">
        <v>33.1432</v>
      </c>
      <c r="G37" s="228">
        <v>13.768799999999999</v>
      </c>
      <c r="H37" s="228">
        <v>56.339249999999993</v>
      </c>
      <c r="I37" s="228">
        <v>283.98019999999997</v>
      </c>
      <c r="J37" s="228">
        <v>3.1150000000000002</v>
      </c>
      <c r="L37" s="229">
        <f t="shared" si="6"/>
        <v>0.66367805912708822</v>
      </c>
      <c r="M37" s="230">
        <f t="shared" si="7"/>
        <v>11.3700097112729</v>
      </c>
      <c r="N37" s="229">
        <f t="shared" si="8"/>
        <v>8.1898895682478434E-2</v>
      </c>
      <c r="O37" s="229">
        <f t="shared" si="9"/>
        <v>2.25806874836001E-2</v>
      </c>
      <c r="P37" s="230">
        <f t="shared" si="10"/>
        <v>5.0405392333053776</v>
      </c>
      <c r="Q37" s="229">
        <f t="shared" si="11"/>
        <v>5.529005089702118E-2</v>
      </c>
      <c r="S37" s="239">
        <f>H37/LAC!D$37</f>
        <v>0.12556740383707798</v>
      </c>
    </row>
    <row r="38" spans="1:19" x14ac:dyDescent="0.3">
      <c r="A38" s="227" t="s">
        <v>270</v>
      </c>
      <c r="B38" s="227" t="s">
        <v>154</v>
      </c>
      <c r="C38" s="228">
        <v>43.406666666666666</v>
      </c>
      <c r="D38" s="228">
        <v>25.615666666666669</v>
      </c>
      <c r="E38" s="228">
        <v>288.69400000000002</v>
      </c>
      <c r="F38" s="228">
        <v>2.0209999999999999</v>
      </c>
      <c r="G38" s="228">
        <v>1.0390000000000001</v>
      </c>
      <c r="H38" s="228">
        <v>1.2333333333333334</v>
      </c>
      <c r="I38" s="228">
        <v>4.6749999999999998</v>
      </c>
      <c r="J38" s="228">
        <v>0</v>
      </c>
      <c r="L38" s="229">
        <f t="shared" si="6"/>
        <v>0.59013208416525886</v>
      </c>
      <c r="M38" s="230">
        <f t="shared" si="7"/>
        <v>11.270212239905266</v>
      </c>
      <c r="N38" s="229">
        <f t="shared" si="8"/>
        <v>7.8897029161841048E-2</v>
      </c>
      <c r="O38" s="229">
        <f t="shared" si="9"/>
        <v>2.3936415297189376E-2</v>
      </c>
      <c r="P38" s="230">
        <f t="shared" si="10"/>
        <v>3.7905405405405403</v>
      </c>
      <c r="Q38" s="229">
        <f t="shared" si="11"/>
        <v>0</v>
      </c>
      <c r="S38" s="239">
        <f>H38/LAC!D$37</f>
        <v>2.7488201339633776E-3</v>
      </c>
    </row>
    <row r="39" spans="1:19" x14ac:dyDescent="0.3">
      <c r="A39" s="227" t="s">
        <v>56</v>
      </c>
      <c r="B39" s="227" t="s">
        <v>155</v>
      </c>
      <c r="C39" s="228">
        <v>562.26800000000003</v>
      </c>
      <c r="D39" s="228">
        <v>375.19900000000001</v>
      </c>
      <c r="E39" s="228">
        <v>4484.0896000000002</v>
      </c>
      <c r="F39" s="228">
        <v>32.429600000000001</v>
      </c>
      <c r="G39" s="228">
        <v>14.744800000000001</v>
      </c>
      <c r="H39" s="228">
        <v>26.393249999999998</v>
      </c>
      <c r="I39" s="228">
        <v>69.57759999999999</v>
      </c>
      <c r="J39" s="228">
        <v>0.98520000000000008</v>
      </c>
      <c r="L39" s="229">
        <f t="shared" si="6"/>
        <v>0.66729566683503239</v>
      </c>
      <c r="M39" s="230">
        <f t="shared" si="7"/>
        <v>11.951230147201885</v>
      </c>
      <c r="N39" s="229">
        <f t="shared" si="8"/>
        <v>8.6433066186210522E-2</v>
      </c>
      <c r="O39" s="229">
        <f t="shared" si="9"/>
        <v>2.6223793635775112E-2</v>
      </c>
      <c r="P39" s="230">
        <f t="shared" si="10"/>
        <v>2.6361891771570378</v>
      </c>
      <c r="Q39" s="229">
        <f t="shared" si="11"/>
        <v>3.732772583899293E-2</v>
      </c>
      <c r="S39" s="239">
        <f>H39/LAR!D$37</f>
        <v>5.8543467930204006E-2</v>
      </c>
    </row>
    <row r="40" spans="1:19" x14ac:dyDescent="0.3">
      <c r="A40" s="227" t="s">
        <v>271</v>
      </c>
      <c r="B40" s="227" t="s">
        <v>155</v>
      </c>
      <c r="C40" s="228">
        <v>45.632000000000005</v>
      </c>
      <c r="D40" s="228">
        <v>28.000999999999994</v>
      </c>
      <c r="E40" s="228">
        <v>277.66300000000001</v>
      </c>
      <c r="F40" s="228">
        <v>1.9630000000000001</v>
      </c>
      <c r="G40" s="228">
        <v>1.044</v>
      </c>
      <c r="H40" s="228">
        <v>1.2333333333333334</v>
      </c>
      <c r="I40" s="228">
        <v>5.3249999999999993</v>
      </c>
      <c r="J40" s="228">
        <v>0</v>
      </c>
      <c r="L40" s="229">
        <f t="shared" si="6"/>
        <v>0.61362640252454403</v>
      </c>
      <c r="M40" s="230">
        <f t="shared" si="7"/>
        <v>9.916181564944111</v>
      </c>
      <c r="N40" s="229">
        <f t="shared" si="8"/>
        <v>7.0104639120031439E-2</v>
      </c>
      <c r="O40" s="229">
        <f t="shared" si="9"/>
        <v>2.2878681626928469E-2</v>
      </c>
      <c r="P40" s="230">
        <f t="shared" si="10"/>
        <v>4.3175675675675667</v>
      </c>
      <c r="Q40" s="229">
        <f t="shared" si="11"/>
        <v>0</v>
      </c>
      <c r="S40" s="239">
        <f>H40/LAR!D$37</f>
        <v>2.7356847090544596E-3</v>
      </c>
    </row>
    <row r="41" spans="1:19" x14ac:dyDescent="0.3">
      <c r="A41" s="227" t="s">
        <v>107</v>
      </c>
      <c r="B41" s="227" t="s">
        <v>239</v>
      </c>
      <c r="C41" s="228">
        <v>566.16233333333332</v>
      </c>
      <c r="D41" s="228">
        <v>382.91766666666672</v>
      </c>
      <c r="E41" s="228">
        <v>4432.0648000000001</v>
      </c>
      <c r="F41" s="228">
        <v>26.5288</v>
      </c>
      <c r="G41" s="228">
        <v>13.1296</v>
      </c>
      <c r="H41" s="228">
        <v>31.358750000000001</v>
      </c>
      <c r="I41" s="228">
        <v>108.5316</v>
      </c>
      <c r="J41" s="228">
        <v>0.70799999999999996</v>
      </c>
      <c r="L41" s="229">
        <f t="shared" si="6"/>
        <v>0.67633900053400475</v>
      </c>
      <c r="M41" s="230">
        <f t="shared" si="7"/>
        <v>11.574458913273784</v>
      </c>
      <c r="N41" s="229">
        <f t="shared" si="8"/>
        <v>6.928068958252992E-2</v>
      </c>
      <c r="O41" s="229">
        <f t="shared" si="9"/>
        <v>2.3190521917447707E-2</v>
      </c>
      <c r="P41" s="230">
        <f t="shared" si="10"/>
        <v>3.460967034719177</v>
      </c>
      <c r="Q41" s="229">
        <f t="shared" si="11"/>
        <v>2.2577430541714832E-2</v>
      </c>
      <c r="S41" s="239">
        <f>H41/LV!D$37</f>
        <v>7.1334494339407264E-2</v>
      </c>
    </row>
    <row r="42" spans="1:19" x14ac:dyDescent="0.3">
      <c r="A42" s="227" t="s">
        <v>619</v>
      </c>
      <c r="B42" s="227" t="s">
        <v>239</v>
      </c>
      <c r="C42" s="228">
        <v>44.971000000000004</v>
      </c>
      <c r="D42" s="228">
        <v>28.98233333333333</v>
      </c>
      <c r="E42" s="228">
        <v>290.99400000000003</v>
      </c>
      <c r="F42" s="228">
        <v>1.964</v>
      </c>
      <c r="G42" s="228">
        <v>0.98799999999999999</v>
      </c>
      <c r="H42" s="228">
        <v>0.73333333333333339</v>
      </c>
      <c r="I42" s="228">
        <v>1.575</v>
      </c>
      <c r="J42" s="228">
        <v>0</v>
      </c>
      <c r="L42" s="229">
        <f t="shared" si="6"/>
        <v>0.64446717514249907</v>
      </c>
      <c r="M42" s="230">
        <f t="shared" si="7"/>
        <v>10.040392422970317</v>
      </c>
      <c r="N42" s="229">
        <f t="shared" si="8"/>
        <v>6.7765420313524338E-2</v>
      </c>
      <c r="O42" s="229">
        <f t="shared" si="9"/>
        <v>2.1969713815570033E-2</v>
      </c>
      <c r="P42" s="230">
        <f t="shared" si="10"/>
        <v>2.1477272727272725</v>
      </c>
      <c r="Q42" s="229">
        <f t="shared" si="11"/>
        <v>0</v>
      </c>
      <c r="S42" s="239">
        <f>H42/LV!D$37</f>
        <v>1.6681775426496698E-3</v>
      </c>
    </row>
    <row r="43" spans="1:19" x14ac:dyDescent="0.3">
      <c r="A43" s="227" t="s">
        <v>697</v>
      </c>
      <c r="B43" s="227" t="s">
        <v>239</v>
      </c>
      <c r="C43" s="228">
        <v>28</v>
      </c>
      <c r="D43" s="228">
        <v>18</v>
      </c>
      <c r="E43" s="228">
        <v>201.9</v>
      </c>
      <c r="F43" s="228">
        <v>1</v>
      </c>
      <c r="G43" s="228">
        <v>1</v>
      </c>
      <c r="H43" s="228">
        <v>4</v>
      </c>
      <c r="I43" s="228">
        <v>6.75</v>
      </c>
      <c r="J43" s="228">
        <v>0</v>
      </c>
      <c r="L43" s="229">
        <f t="shared" si="6"/>
        <v>0.6428571428571429</v>
      </c>
      <c r="M43" s="230">
        <f t="shared" si="7"/>
        <v>11.216666666666667</v>
      </c>
      <c r="N43" s="229">
        <f t="shared" si="8"/>
        <v>5.5555555555555552E-2</v>
      </c>
      <c r="O43" s="229">
        <f t="shared" si="9"/>
        <v>3.5714285714285712E-2</v>
      </c>
      <c r="P43" s="230">
        <f t="shared" si="10"/>
        <v>1.6875</v>
      </c>
      <c r="Q43" s="229">
        <f t="shared" si="11"/>
        <v>0</v>
      </c>
      <c r="S43" s="239">
        <f>H43/LV!D$37</f>
        <v>9.0991502326345612E-3</v>
      </c>
    </row>
    <row r="44" spans="1:19" x14ac:dyDescent="0.3">
      <c r="A44" s="227" t="s">
        <v>216</v>
      </c>
      <c r="B44" s="227" t="s">
        <v>156</v>
      </c>
      <c r="C44" s="228">
        <v>548.63666666666666</v>
      </c>
      <c r="D44" s="228">
        <v>364.45100000000002</v>
      </c>
      <c r="E44" s="228">
        <v>3688.6767999999997</v>
      </c>
      <c r="F44" s="228">
        <v>24.215199999999999</v>
      </c>
      <c r="G44" s="228">
        <v>13.02</v>
      </c>
      <c r="H44" s="228">
        <v>53.20975</v>
      </c>
      <c r="I44" s="228">
        <v>172.18</v>
      </c>
      <c r="J44" s="228">
        <v>3.5099999999999993</v>
      </c>
      <c r="L44" s="229">
        <f t="shared" si="6"/>
        <v>0.66428480293576209</v>
      </c>
      <c r="M44" s="230">
        <f t="shared" si="7"/>
        <v>10.121187210352007</v>
      </c>
      <c r="N44" s="229">
        <f t="shared" si="8"/>
        <v>6.6442951178622089E-2</v>
      </c>
      <c r="O44" s="229">
        <f t="shared" si="9"/>
        <v>2.3731552758048738E-2</v>
      </c>
      <c r="P44" s="230">
        <f t="shared" si="10"/>
        <v>3.2358731247562713</v>
      </c>
      <c r="Q44" s="229">
        <f t="shared" si="11"/>
        <v>6.5965354093939541E-2</v>
      </c>
      <c r="S44" s="239">
        <f>H44/MIA!D$37</f>
        <v>0.12104087727273172</v>
      </c>
    </row>
    <row r="45" spans="1:19" x14ac:dyDescent="0.3">
      <c r="A45" s="227" t="s">
        <v>199</v>
      </c>
      <c r="B45" s="227" t="s">
        <v>156</v>
      </c>
      <c r="C45" s="228">
        <v>52.896666666666668</v>
      </c>
      <c r="D45" s="228">
        <v>34.949000000000005</v>
      </c>
      <c r="E45" s="228">
        <v>388</v>
      </c>
      <c r="F45" s="228">
        <v>2.9248000000000003</v>
      </c>
      <c r="G45" s="228">
        <v>1.42</v>
      </c>
      <c r="H45" s="228">
        <v>4.7249999999999996</v>
      </c>
      <c r="I45" s="228">
        <v>17.860000000000003</v>
      </c>
      <c r="J45" s="228">
        <v>0.18</v>
      </c>
      <c r="L45" s="229">
        <f t="shared" si="6"/>
        <v>0.66070325792425488</v>
      </c>
      <c r="M45" s="230">
        <f t="shared" si="7"/>
        <v>11.101891327362727</v>
      </c>
      <c r="N45" s="229">
        <f t="shared" si="8"/>
        <v>8.3687659160490993E-2</v>
      </c>
      <c r="O45" s="229">
        <f t="shared" si="9"/>
        <v>2.6844791732308273E-2</v>
      </c>
      <c r="P45" s="230">
        <f t="shared" si="10"/>
        <v>3.779894179894181</v>
      </c>
      <c r="Q45" s="229">
        <f t="shared" si="11"/>
        <v>3.8095238095238099E-2</v>
      </c>
      <c r="S45" s="239">
        <f>H45/MIA!D$37</f>
        <v>1.0748371212299575E-2</v>
      </c>
    </row>
    <row r="46" spans="1:19" x14ac:dyDescent="0.3">
      <c r="A46" s="227" t="s">
        <v>127</v>
      </c>
      <c r="B46" s="227" t="s">
        <v>157</v>
      </c>
      <c r="C46" s="228">
        <v>550.53300000000002</v>
      </c>
      <c r="D46" s="228">
        <v>364.76800000000003</v>
      </c>
      <c r="E46" s="228">
        <v>4075.3455999999996</v>
      </c>
      <c r="F46" s="228">
        <v>28.733600000000003</v>
      </c>
      <c r="G46" s="228">
        <v>10.263999999999999</v>
      </c>
      <c r="H46" s="228">
        <v>26.522500000000001</v>
      </c>
      <c r="I46" s="228">
        <v>105.61879999999999</v>
      </c>
      <c r="J46" s="228">
        <v>0.91220000000000012</v>
      </c>
      <c r="L46" s="229">
        <f t="shared" si="6"/>
        <v>0.66257245251419994</v>
      </c>
      <c r="M46" s="230">
        <f t="shared" si="7"/>
        <v>11.172431792262477</v>
      </c>
      <c r="N46" s="229">
        <f t="shared" si="8"/>
        <v>7.8772260724624968E-2</v>
      </c>
      <c r="O46" s="229">
        <f t="shared" si="9"/>
        <v>1.8643750692510709E-2</v>
      </c>
      <c r="P46" s="230">
        <f t="shared" si="10"/>
        <v>3.9822339523046466</v>
      </c>
      <c r="Q46" s="229">
        <f t="shared" si="11"/>
        <v>3.4393439532472432E-2</v>
      </c>
      <c r="S46" s="239">
        <f>H46/MIN!D$37</f>
        <v>5.7329143858486448E-2</v>
      </c>
    </row>
    <row r="47" spans="1:19" x14ac:dyDescent="0.3">
      <c r="A47" s="227" t="s">
        <v>696</v>
      </c>
      <c r="B47" s="227" t="s">
        <v>157</v>
      </c>
      <c r="C47" s="228">
        <v>44.8005</v>
      </c>
      <c r="D47" s="228">
        <v>26.898</v>
      </c>
      <c r="E47" s="228">
        <v>259.69066666666669</v>
      </c>
      <c r="F47" s="228">
        <v>1.7106666666666666</v>
      </c>
      <c r="G47" s="228">
        <v>0.92666666666666664</v>
      </c>
      <c r="H47" s="228">
        <v>2.5</v>
      </c>
      <c r="I47" s="228">
        <v>7.9333333333333336</v>
      </c>
      <c r="J47" s="228">
        <v>0</v>
      </c>
      <c r="L47" s="229">
        <f t="shared" si="6"/>
        <v>0.6003950848762849</v>
      </c>
      <c r="M47" s="230">
        <f t="shared" si="7"/>
        <v>9.6546459464148526</v>
      </c>
      <c r="N47" s="229">
        <f t="shared" si="8"/>
        <v>6.3598284878677469E-2</v>
      </c>
      <c r="O47" s="229">
        <f t="shared" si="9"/>
        <v>2.0684292958039901E-2</v>
      </c>
      <c r="P47" s="230">
        <f t="shared" si="10"/>
        <v>3.1733333333333333</v>
      </c>
      <c r="Q47" s="229">
        <f t="shared" si="11"/>
        <v>0</v>
      </c>
      <c r="S47" s="239">
        <f>H47/MIN!D$37</f>
        <v>5.4038216475149822E-3</v>
      </c>
    </row>
    <row r="48" spans="1:19" x14ac:dyDescent="0.3">
      <c r="A48" s="227" t="s">
        <v>273</v>
      </c>
      <c r="B48" s="227" t="s">
        <v>157</v>
      </c>
      <c r="C48" s="228">
        <v>28.95</v>
      </c>
      <c r="D48" s="228">
        <v>17.649999999999999</v>
      </c>
      <c r="E48" s="228">
        <v>175.69999999999996</v>
      </c>
      <c r="F48" s="228">
        <v>1.1000000000000001</v>
      </c>
      <c r="G48" s="228">
        <v>0.73333333333333339</v>
      </c>
      <c r="H48" s="228">
        <v>1.1000000000000001</v>
      </c>
      <c r="I48" s="228">
        <v>6.6</v>
      </c>
      <c r="J48" s="228">
        <v>0</v>
      </c>
      <c r="L48" s="229">
        <f t="shared" si="6"/>
        <v>0.60967184801381691</v>
      </c>
      <c r="M48" s="230">
        <f t="shared" si="7"/>
        <v>9.954674220963172</v>
      </c>
      <c r="N48" s="229">
        <f t="shared" si="8"/>
        <v>6.2322946175637405E-2</v>
      </c>
      <c r="O48" s="229">
        <f t="shared" si="9"/>
        <v>2.5331030512377666E-2</v>
      </c>
      <c r="P48" s="230">
        <f t="shared" si="10"/>
        <v>5.9999999999999991</v>
      </c>
      <c r="Q48" s="229">
        <f t="shared" si="11"/>
        <v>0</v>
      </c>
      <c r="S48" s="239">
        <f>H48/MIN!D$37</f>
        <v>2.3776815249065921E-3</v>
      </c>
    </row>
    <row r="49" spans="1:19" x14ac:dyDescent="0.3">
      <c r="A49" s="227" t="s">
        <v>274</v>
      </c>
      <c r="B49" s="227" t="s">
        <v>158</v>
      </c>
      <c r="C49" s="228">
        <v>522.26866666666672</v>
      </c>
      <c r="D49" s="228">
        <v>345.25600000000003</v>
      </c>
      <c r="E49" s="228">
        <v>3790.5824000000002</v>
      </c>
      <c r="F49" s="228">
        <v>23.6144</v>
      </c>
      <c r="G49" s="228">
        <v>13.765600000000001</v>
      </c>
      <c r="H49" s="228">
        <v>36.005499999999998</v>
      </c>
      <c r="I49" s="228">
        <v>127.3844</v>
      </c>
      <c r="J49" s="228">
        <v>0.43180000000000007</v>
      </c>
      <c r="L49" s="229">
        <f t="shared" si="6"/>
        <v>0.66106971762936828</v>
      </c>
      <c r="M49" s="230">
        <f t="shared" si="7"/>
        <v>10.979048590031745</v>
      </c>
      <c r="N49" s="229">
        <f t="shared" si="8"/>
        <v>6.8396783835762448E-2</v>
      </c>
      <c r="O49" s="229">
        <f t="shared" si="9"/>
        <v>2.6357315455774358E-2</v>
      </c>
      <c r="P49" s="230">
        <f t="shared" si="10"/>
        <v>3.5379150407576621</v>
      </c>
      <c r="Q49" s="229">
        <f t="shared" si="11"/>
        <v>1.1992612239796701E-2</v>
      </c>
      <c r="S49" s="239">
        <f>H49/NE!D$37</f>
        <v>7.1936238106460715E-2</v>
      </c>
    </row>
    <row r="50" spans="1:19" x14ac:dyDescent="0.3">
      <c r="A50" s="227" t="s">
        <v>637</v>
      </c>
      <c r="B50" s="227" t="s">
        <v>158</v>
      </c>
      <c r="C50" s="228">
        <v>30.4</v>
      </c>
      <c r="D50" s="228">
        <v>19.377333333333336</v>
      </c>
      <c r="E50" s="228">
        <v>214.8</v>
      </c>
      <c r="F50" s="228">
        <v>1.5569999999999999</v>
      </c>
      <c r="G50" s="228">
        <v>1.0180000000000002</v>
      </c>
      <c r="H50" s="228">
        <v>1.3666666666666665</v>
      </c>
      <c r="I50" s="228">
        <v>2.2250000000000001</v>
      </c>
      <c r="J50" s="228">
        <v>0</v>
      </c>
      <c r="L50" s="229">
        <f t="shared" si="6"/>
        <v>0.63741228070175449</v>
      </c>
      <c r="M50" s="230">
        <f t="shared" si="7"/>
        <v>11.085116631115392</v>
      </c>
      <c r="N50" s="229">
        <f t="shared" si="8"/>
        <v>8.0351613569118546E-2</v>
      </c>
      <c r="O50" s="229">
        <f t="shared" si="9"/>
        <v>3.3486842105263169E-2</v>
      </c>
      <c r="P50" s="230">
        <f t="shared" si="10"/>
        <v>1.6280487804878052</v>
      </c>
      <c r="Q50" s="229">
        <f t="shared" si="11"/>
        <v>0</v>
      </c>
      <c r="S50" s="239">
        <f>H50/NE!D$37</f>
        <v>2.7304955838829154E-3</v>
      </c>
    </row>
    <row r="51" spans="1:19" x14ac:dyDescent="0.3">
      <c r="A51" s="227" t="s">
        <v>275</v>
      </c>
      <c r="B51" s="227" t="s">
        <v>159</v>
      </c>
      <c r="C51" s="228">
        <v>493.46666666666664</v>
      </c>
      <c r="D51" s="228">
        <v>305.03399999999993</v>
      </c>
      <c r="E51" s="228">
        <v>3738.7</v>
      </c>
      <c r="F51" s="228">
        <v>18.918399999999998</v>
      </c>
      <c r="G51" s="228">
        <v>10.972800000000001</v>
      </c>
      <c r="H51" s="228">
        <v>26.967749999999995</v>
      </c>
      <c r="I51" s="228">
        <v>154.78299999999999</v>
      </c>
      <c r="J51" s="228">
        <v>1.4545999999999999</v>
      </c>
      <c r="L51" s="229">
        <f t="shared" si="6"/>
        <v>0.61814509592002154</v>
      </c>
      <c r="M51" s="230">
        <f t="shared" si="7"/>
        <v>12.256666469967284</v>
      </c>
      <c r="N51" s="229">
        <f t="shared" si="8"/>
        <v>6.2020627208770177E-2</v>
      </c>
      <c r="O51" s="229">
        <f t="shared" si="9"/>
        <v>2.2236152391245614E-2</v>
      </c>
      <c r="P51" s="230">
        <f t="shared" si="10"/>
        <v>5.7395592884093043</v>
      </c>
      <c r="Q51" s="229">
        <f t="shared" si="11"/>
        <v>5.3938500616477092E-2</v>
      </c>
      <c r="S51" s="239">
        <f>H51/NO!D$37</f>
        <v>5.3189577870279649E-2</v>
      </c>
    </row>
    <row r="52" spans="1:19" x14ac:dyDescent="0.3">
      <c r="A52" s="227" t="s">
        <v>41</v>
      </c>
      <c r="B52" s="227" t="s">
        <v>159</v>
      </c>
      <c r="C52" s="228">
        <v>50.033333333333339</v>
      </c>
      <c r="D52" s="228">
        <v>32.099333333333334</v>
      </c>
      <c r="E52" s="228">
        <v>388.2</v>
      </c>
      <c r="F52" s="228">
        <v>2.8216000000000001</v>
      </c>
      <c r="G52" s="228">
        <v>1.7672000000000001</v>
      </c>
      <c r="H52" s="228">
        <v>5.8685</v>
      </c>
      <c r="I52" s="228">
        <v>29.685199999999998</v>
      </c>
      <c r="J52" s="228">
        <v>0.04</v>
      </c>
      <c r="L52" s="229">
        <f t="shared" si="6"/>
        <v>0.64155896069287133</v>
      </c>
      <c r="M52" s="230">
        <f t="shared" si="7"/>
        <v>12.093709111300338</v>
      </c>
      <c r="N52" s="229">
        <f t="shared" si="8"/>
        <v>8.7902137116035645E-2</v>
      </c>
      <c r="O52" s="229">
        <f t="shared" si="9"/>
        <v>3.5320453031312454E-2</v>
      </c>
      <c r="P52" s="230">
        <f t="shared" si="10"/>
        <v>5.0583965238135811</v>
      </c>
      <c r="Q52" s="229">
        <f t="shared" si="11"/>
        <v>6.8160518019936955E-3</v>
      </c>
      <c r="S52" s="239">
        <f>H52/NO!D$37</f>
        <v>1.1574678559825576E-2</v>
      </c>
    </row>
    <row r="53" spans="1:19" x14ac:dyDescent="0.3">
      <c r="A53" s="227" t="s">
        <v>118</v>
      </c>
      <c r="B53" s="227" t="s">
        <v>159</v>
      </c>
      <c r="C53" s="228">
        <v>5</v>
      </c>
      <c r="D53" s="228">
        <v>3</v>
      </c>
      <c r="E53" s="228">
        <v>33</v>
      </c>
      <c r="F53" s="228">
        <v>0.2</v>
      </c>
      <c r="G53" s="228">
        <v>0.25</v>
      </c>
      <c r="H53" s="228">
        <v>29</v>
      </c>
      <c r="I53" s="228">
        <v>128.80000000000001</v>
      </c>
      <c r="J53" s="228">
        <v>2.0499999999999998</v>
      </c>
      <c r="L53" s="229">
        <f t="shared" si="6"/>
        <v>0.6</v>
      </c>
      <c r="M53" s="230">
        <f t="shared" si="7"/>
        <v>11</v>
      </c>
      <c r="N53" s="229">
        <f t="shared" si="8"/>
        <v>6.6666666666666666E-2</v>
      </c>
      <c r="O53" s="229">
        <f t="shared" si="9"/>
        <v>0.05</v>
      </c>
      <c r="P53" s="230">
        <f t="shared" si="10"/>
        <v>4.4413793103448276</v>
      </c>
      <c r="Q53" s="229">
        <f t="shared" si="11"/>
        <v>7.0689655172413782E-2</v>
      </c>
      <c r="S53" s="239">
        <f>H53/NO!D$37</f>
        <v>5.7197866275017759E-2</v>
      </c>
    </row>
    <row r="54" spans="1:19" x14ac:dyDescent="0.3">
      <c r="A54" s="227" t="s">
        <v>117</v>
      </c>
      <c r="B54" s="227" t="s">
        <v>160</v>
      </c>
      <c r="C54" s="228">
        <v>529.53766666666672</v>
      </c>
      <c r="D54" s="228">
        <v>331.38633333333331</v>
      </c>
      <c r="E54" s="228">
        <v>3346.0296000000003</v>
      </c>
      <c r="F54" s="228">
        <v>17.735199999999999</v>
      </c>
      <c r="G54" s="228">
        <v>13.068400000000002</v>
      </c>
      <c r="H54" s="228">
        <v>74.349500000000006</v>
      </c>
      <c r="I54" s="228">
        <v>376.80259999999998</v>
      </c>
      <c r="J54" s="228">
        <v>3.1279999999999997</v>
      </c>
      <c r="L54" s="229">
        <f t="shared" si="6"/>
        <v>0.62580313770565887</v>
      </c>
      <c r="M54" s="230">
        <f t="shared" si="7"/>
        <v>10.097065761110649</v>
      </c>
      <c r="N54" s="229">
        <f t="shared" si="8"/>
        <v>5.3518199805061367E-2</v>
      </c>
      <c r="O54" s="229">
        <f t="shared" si="9"/>
        <v>2.4678886550720661E-2</v>
      </c>
      <c r="P54" s="230">
        <f t="shared" si="10"/>
        <v>5.0679910423069412</v>
      </c>
      <c r="Q54" s="229">
        <f t="shared" si="11"/>
        <v>4.2071567394535263E-2</v>
      </c>
      <c r="S54" s="239">
        <f>H54/NYG!D$37</f>
        <v>0.17987471248884213</v>
      </c>
    </row>
    <row r="55" spans="1:19" x14ac:dyDescent="0.3">
      <c r="A55" s="227" t="s">
        <v>695</v>
      </c>
      <c r="B55" s="227" t="s">
        <v>160</v>
      </c>
      <c r="C55" s="228">
        <v>65.029000000000011</v>
      </c>
      <c r="D55" s="228">
        <v>39.280333333333331</v>
      </c>
      <c r="E55" s="228">
        <v>446.46299999999997</v>
      </c>
      <c r="F55" s="228">
        <v>2.4060000000000001</v>
      </c>
      <c r="G55" s="228">
        <v>1.7395</v>
      </c>
      <c r="H55" s="228">
        <v>5.5666666666666664</v>
      </c>
      <c r="I55" s="228">
        <v>28.8</v>
      </c>
      <c r="J55" s="228">
        <v>0.4</v>
      </c>
      <c r="L55" s="229">
        <f t="shared" si="6"/>
        <v>0.60404332426045804</v>
      </c>
      <c r="M55" s="230">
        <f t="shared" si="7"/>
        <v>11.366069534372587</v>
      </c>
      <c r="N55" s="229">
        <f t="shared" si="8"/>
        <v>6.1252026035081175E-2</v>
      </c>
      <c r="O55" s="229">
        <f t="shared" si="9"/>
        <v>2.6749604022820585E-2</v>
      </c>
      <c r="P55" s="230">
        <f t="shared" si="10"/>
        <v>5.1736526946107784</v>
      </c>
      <c r="Q55" s="229">
        <f t="shared" si="11"/>
        <v>7.1856287425149712E-2</v>
      </c>
      <c r="S55" s="239">
        <f>H55/NYG!D$37</f>
        <v>1.3467509077907553E-2</v>
      </c>
    </row>
    <row r="56" spans="1:19" x14ac:dyDescent="0.3">
      <c r="A56" s="227" t="s">
        <v>276</v>
      </c>
      <c r="B56" s="227" t="s">
        <v>161</v>
      </c>
      <c r="C56" s="228">
        <v>570.23966666666672</v>
      </c>
      <c r="D56" s="228">
        <v>336.01400000000001</v>
      </c>
      <c r="E56" s="228">
        <v>3599.5975999999996</v>
      </c>
      <c r="F56" s="228">
        <v>20.086400000000001</v>
      </c>
      <c r="G56" s="228">
        <v>14.989600000000001</v>
      </c>
      <c r="H56" s="228">
        <v>41.986750000000001</v>
      </c>
      <c r="I56" s="228">
        <v>250.1</v>
      </c>
      <c r="J56" s="228">
        <v>3.5</v>
      </c>
      <c r="L56" s="229">
        <f t="shared" si="6"/>
        <v>0.58925048473770381</v>
      </c>
      <c r="M56" s="230">
        <f t="shared" si="7"/>
        <v>10.712641735165795</v>
      </c>
      <c r="N56" s="229">
        <f t="shared" si="8"/>
        <v>5.9778461611718563E-2</v>
      </c>
      <c r="O56" s="229">
        <f t="shared" si="9"/>
        <v>2.628649123555651E-2</v>
      </c>
      <c r="P56" s="230">
        <f t="shared" si="10"/>
        <v>5.9566410831988659</v>
      </c>
      <c r="Q56" s="229">
        <f t="shared" si="11"/>
        <v>8.3359631312259222E-2</v>
      </c>
      <c r="S56" s="239">
        <f>H56/NYJ!D$37</f>
        <v>0.10582396445289691</v>
      </c>
    </row>
    <row r="57" spans="1:19" x14ac:dyDescent="0.3">
      <c r="A57" s="227" t="s">
        <v>694</v>
      </c>
      <c r="B57" s="227" t="s">
        <v>161</v>
      </c>
      <c r="C57" s="228">
        <v>34.193666666666665</v>
      </c>
      <c r="D57" s="228">
        <v>21.452666666666669</v>
      </c>
      <c r="E57" s="228">
        <v>259.75299999999999</v>
      </c>
      <c r="F57" s="228">
        <v>1.3919999999999999</v>
      </c>
      <c r="G57" s="228">
        <v>0.98799999999999999</v>
      </c>
      <c r="H57" s="228">
        <v>1.1333333333333333</v>
      </c>
      <c r="I57" s="228">
        <v>4.45</v>
      </c>
      <c r="J57" s="228">
        <v>0</v>
      </c>
      <c r="L57" s="229">
        <f t="shared" si="6"/>
        <v>0.62738713796901968</v>
      </c>
      <c r="M57" s="230">
        <f t="shared" si="7"/>
        <v>12.10819167780229</v>
      </c>
      <c r="N57" s="229">
        <f t="shared" si="8"/>
        <v>6.4887038130457736E-2</v>
      </c>
      <c r="O57" s="229">
        <f t="shared" si="9"/>
        <v>2.8894239674013708E-2</v>
      </c>
      <c r="P57" s="230">
        <f t="shared" si="10"/>
        <v>3.9264705882352944</v>
      </c>
      <c r="Q57" s="229">
        <f t="shared" si="11"/>
        <v>0</v>
      </c>
      <c r="S57" s="239">
        <f>H57/NYJ!D$37</f>
        <v>2.8564684425431792E-3</v>
      </c>
    </row>
    <row r="58" spans="1:19" x14ac:dyDescent="0.3">
      <c r="A58" s="227" t="s">
        <v>574</v>
      </c>
      <c r="B58" s="227" t="s">
        <v>161</v>
      </c>
      <c r="C58" s="228">
        <v>25</v>
      </c>
      <c r="D58" s="228">
        <v>14</v>
      </c>
      <c r="E58" s="228">
        <v>159.44999999999999</v>
      </c>
      <c r="F58" s="228">
        <v>1.05</v>
      </c>
      <c r="G58" s="228">
        <v>1</v>
      </c>
      <c r="H58" s="228">
        <v>4</v>
      </c>
      <c r="I58" s="228">
        <v>3.95</v>
      </c>
      <c r="J58" s="228">
        <v>0</v>
      </c>
      <c r="L58" s="229">
        <f t="shared" si="6"/>
        <v>0.56000000000000005</v>
      </c>
      <c r="M58" s="230">
        <f t="shared" si="7"/>
        <v>11.389285714285714</v>
      </c>
      <c r="N58" s="229">
        <f t="shared" si="8"/>
        <v>7.4999999999999997E-2</v>
      </c>
      <c r="O58" s="229">
        <f t="shared" si="9"/>
        <v>0.04</v>
      </c>
      <c r="P58" s="230">
        <f t="shared" si="10"/>
        <v>0.98750000000000004</v>
      </c>
      <c r="Q58" s="229">
        <f t="shared" si="11"/>
        <v>0</v>
      </c>
      <c r="S58" s="239">
        <f>H58/NYJ!D$37</f>
        <v>1.0081653326622985E-2</v>
      </c>
    </row>
    <row r="59" spans="1:19" x14ac:dyDescent="0.3">
      <c r="A59" s="227" t="s">
        <v>222</v>
      </c>
      <c r="B59" s="227" t="s">
        <v>163</v>
      </c>
      <c r="C59" s="228">
        <v>489.44633333333331</v>
      </c>
      <c r="D59" s="228">
        <v>295.41399999999999</v>
      </c>
      <c r="E59" s="228">
        <v>3536.7695999999996</v>
      </c>
      <c r="F59" s="228">
        <v>21.4848</v>
      </c>
      <c r="G59" s="228">
        <v>11.74</v>
      </c>
      <c r="H59" s="228">
        <v>138.69399999999999</v>
      </c>
      <c r="I59" s="228">
        <v>728.69799999999998</v>
      </c>
      <c r="J59" s="228">
        <v>8.4719999999999995</v>
      </c>
      <c r="L59" s="229">
        <f t="shared" si="6"/>
        <v>0.60356770473303512</v>
      </c>
      <c r="M59" s="230">
        <f t="shared" si="7"/>
        <v>11.972247760769632</v>
      </c>
      <c r="N59" s="229">
        <f t="shared" si="8"/>
        <v>7.2727765102534078E-2</v>
      </c>
      <c r="O59" s="229">
        <f t="shared" si="9"/>
        <v>2.3986286545545684E-2</v>
      </c>
      <c r="P59" s="230">
        <f t="shared" si="10"/>
        <v>5.2539980100076429</v>
      </c>
      <c r="Q59" s="229">
        <f t="shared" si="11"/>
        <v>6.1084113227681085E-2</v>
      </c>
      <c r="S59" s="239">
        <f>H59/PHI!D$37</f>
        <v>0.2895648898886049</v>
      </c>
    </row>
    <row r="60" spans="1:19" x14ac:dyDescent="0.3">
      <c r="A60" s="227" t="s">
        <v>566</v>
      </c>
      <c r="B60" s="227" t="s">
        <v>163</v>
      </c>
      <c r="C60" s="228">
        <v>48.520333333333333</v>
      </c>
      <c r="D60" s="228">
        <v>30.786000000000001</v>
      </c>
      <c r="E60" s="228">
        <v>372.8</v>
      </c>
      <c r="F60" s="228">
        <v>2.6951999999999998</v>
      </c>
      <c r="G60" s="228">
        <v>1.1400000000000001</v>
      </c>
      <c r="H60" s="228">
        <v>8.8015000000000008</v>
      </c>
      <c r="I60" s="228">
        <v>36.597999999999999</v>
      </c>
      <c r="J60" s="228">
        <v>0.08</v>
      </c>
      <c r="L60" s="229">
        <f t="shared" si="6"/>
        <v>0.63449687759770823</v>
      </c>
      <c r="M60" s="230">
        <f t="shared" si="7"/>
        <v>12.109400376794646</v>
      </c>
      <c r="N60" s="229">
        <f t="shared" si="8"/>
        <v>8.7546287273435969E-2</v>
      </c>
      <c r="O60" s="229">
        <f t="shared" si="9"/>
        <v>2.3495304374111198E-2</v>
      </c>
      <c r="P60" s="230">
        <f t="shared" si="10"/>
        <v>4.158154859967051</v>
      </c>
      <c r="Q60" s="229">
        <f t="shared" si="11"/>
        <v>9.0893597682213251E-3</v>
      </c>
      <c r="S60" s="239">
        <f>H60/PHI!D$37</f>
        <v>1.8375743567526762E-2</v>
      </c>
    </row>
    <row r="61" spans="1:19" x14ac:dyDescent="0.3">
      <c r="A61" s="227" t="s">
        <v>630</v>
      </c>
      <c r="B61" s="227" t="s">
        <v>164</v>
      </c>
      <c r="C61" s="228">
        <v>379.392</v>
      </c>
      <c r="D61" s="228">
        <v>223.48533333333333</v>
      </c>
      <c r="E61" s="228">
        <v>2334.5</v>
      </c>
      <c r="F61" s="228">
        <v>13.108000000000001</v>
      </c>
      <c r="G61" s="228">
        <v>8.84</v>
      </c>
      <c r="H61" s="228">
        <v>25.889250000000001</v>
      </c>
      <c r="I61" s="228">
        <v>125.1048</v>
      </c>
      <c r="J61" s="228">
        <v>1.0264</v>
      </c>
      <c r="L61" s="229">
        <f t="shared" si="6"/>
        <v>0.58906179712100759</v>
      </c>
      <c r="M61" s="230">
        <f t="shared" si="7"/>
        <v>10.445875642846064</v>
      </c>
      <c r="N61" s="229">
        <f t="shared" si="8"/>
        <v>5.8652618516353054E-2</v>
      </c>
      <c r="O61" s="229">
        <f t="shared" si="9"/>
        <v>2.3300438596491228E-2</v>
      </c>
      <c r="P61" s="230">
        <f t="shared" si="10"/>
        <v>4.8323068455053733</v>
      </c>
      <c r="Q61" s="229">
        <f t="shared" si="11"/>
        <v>3.9645798931989142E-2</v>
      </c>
      <c r="S61" s="239">
        <f>H61/PIT!D$37</f>
        <v>6.0350811316498887E-2</v>
      </c>
    </row>
    <row r="62" spans="1:19" x14ac:dyDescent="0.3">
      <c r="A62" s="227" t="s">
        <v>32</v>
      </c>
      <c r="B62" s="227" t="s">
        <v>164</v>
      </c>
      <c r="C62" s="228">
        <v>383.4</v>
      </c>
      <c r="D62" s="228">
        <v>244.4</v>
      </c>
      <c r="E62" s="228">
        <v>1957.6000000000001</v>
      </c>
      <c r="F62" s="228">
        <v>12.866666666666667</v>
      </c>
      <c r="G62" s="228">
        <v>6.8999999999999995</v>
      </c>
      <c r="H62" s="228">
        <v>30.1</v>
      </c>
      <c r="I62" s="228">
        <v>107.83333333333333</v>
      </c>
      <c r="J62" s="228">
        <v>0.8666666666666667</v>
      </c>
      <c r="L62" s="229">
        <f t="shared" si="6"/>
        <v>0.63745435576421494</v>
      </c>
      <c r="M62" s="230">
        <f t="shared" si="7"/>
        <v>8.0098199672667754</v>
      </c>
      <c r="N62" s="229">
        <f t="shared" si="8"/>
        <v>5.2645935624659031E-2</v>
      </c>
      <c r="O62" s="229">
        <f t="shared" si="9"/>
        <v>1.7996870109546165E-2</v>
      </c>
      <c r="P62" s="230">
        <f t="shared" si="10"/>
        <v>3.5825027685492801</v>
      </c>
      <c r="Q62" s="229">
        <f t="shared" si="11"/>
        <v>2.8792912513842746E-2</v>
      </c>
      <c r="S62" s="239">
        <f>H62/PIT!D$37</f>
        <v>7.0166552550831582E-2</v>
      </c>
    </row>
    <row r="63" spans="1:19" x14ac:dyDescent="0.3">
      <c r="A63" s="227" t="s">
        <v>693</v>
      </c>
      <c r="B63" s="227" t="s">
        <v>164</v>
      </c>
      <c r="C63" s="228">
        <v>27</v>
      </c>
      <c r="D63" s="228">
        <v>17</v>
      </c>
      <c r="E63" s="228">
        <v>178.7</v>
      </c>
      <c r="F63" s="228">
        <v>1</v>
      </c>
      <c r="G63" s="228">
        <v>0.25</v>
      </c>
      <c r="H63" s="228">
        <v>4</v>
      </c>
      <c r="I63" s="228">
        <v>14.15</v>
      </c>
      <c r="J63" s="228">
        <v>0</v>
      </c>
      <c r="L63" s="229">
        <f t="shared" si="6"/>
        <v>0.62962962962962965</v>
      </c>
      <c r="M63" s="230">
        <f t="shared" si="7"/>
        <v>10.511764705882353</v>
      </c>
      <c r="N63" s="229">
        <f t="shared" si="8"/>
        <v>5.8823529411764705E-2</v>
      </c>
      <c r="O63" s="229">
        <f t="shared" si="9"/>
        <v>9.2592592592592587E-3</v>
      </c>
      <c r="P63" s="230">
        <f t="shared" si="10"/>
        <v>3.5375000000000001</v>
      </c>
      <c r="Q63" s="229">
        <f t="shared" si="11"/>
        <v>0</v>
      </c>
      <c r="S63" s="239">
        <f>H63/PIT!D$37</f>
        <v>9.3244588107417384E-3</v>
      </c>
    </row>
    <row r="64" spans="1:19" x14ac:dyDescent="0.3">
      <c r="A64" s="227" t="s">
        <v>205</v>
      </c>
      <c r="B64" s="227" t="s">
        <v>165</v>
      </c>
      <c r="C64" s="228">
        <v>413.68066666666664</v>
      </c>
      <c r="D64" s="228">
        <v>251.50033333333337</v>
      </c>
      <c r="E64" s="228">
        <v>2687.0720000000001</v>
      </c>
      <c r="F64" s="228">
        <v>13.843999999999999</v>
      </c>
      <c r="G64" s="228">
        <v>11.18</v>
      </c>
      <c r="H64" s="228">
        <v>30.393999999999998</v>
      </c>
      <c r="I64" s="228">
        <v>140.02000000000001</v>
      </c>
      <c r="J64" s="228">
        <v>2.3760000000000003</v>
      </c>
      <c r="L64" s="229">
        <f t="shared" si="6"/>
        <v>0.60795766783074234</v>
      </c>
      <c r="M64" s="230">
        <f t="shared" si="7"/>
        <v>10.684168741989737</v>
      </c>
      <c r="N64" s="229">
        <f t="shared" si="8"/>
        <v>5.5045652689658449E-2</v>
      </c>
      <c r="O64" s="229">
        <f t="shared" si="9"/>
        <v>2.7025676810293286E-2</v>
      </c>
      <c r="P64" s="230">
        <f t="shared" si="10"/>
        <v>4.6068302954530509</v>
      </c>
      <c r="Q64" s="229">
        <f t="shared" si="11"/>
        <v>7.8173323682305729E-2</v>
      </c>
      <c r="S64" s="239">
        <f>H64/SEA!D$37</f>
        <v>7.3042139503613365E-2</v>
      </c>
    </row>
    <row r="65" spans="1:19" x14ac:dyDescent="0.3">
      <c r="A65" s="227" t="s">
        <v>277</v>
      </c>
      <c r="B65" s="227" t="s">
        <v>165</v>
      </c>
      <c r="C65" s="228">
        <v>178.78599999999997</v>
      </c>
      <c r="D65" s="228">
        <v>115.83300000000001</v>
      </c>
      <c r="E65" s="228">
        <v>1279.4880000000001</v>
      </c>
      <c r="F65" s="228">
        <v>6.6560000000000006</v>
      </c>
      <c r="G65" s="228">
        <v>3.72</v>
      </c>
      <c r="H65" s="228">
        <v>15.36975</v>
      </c>
      <c r="I65" s="228">
        <v>61.031999999999996</v>
      </c>
      <c r="J65" s="228">
        <v>0.84000000000000008</v>
      </c>
      <c r="L65" s="229">
        <f t="shared" si="6"/>
        <v>0.64788629982213386</v>
      </c>
      <c r="M65" s="230">
        <f t="shared" si="7"/>
        <v>11.045971355313252</v>
      </c>
      <c r="N65" s="229">
        <f t="shared" si="8"/>
        <v>5.7462035861973702E-2</v>
      </c>
      <c r="O65" s="229">
        <f t="shared" si="9"/>
        <v>2.0806998310829713E-2</v>
      </c>
      <c r="P65" s="230">
        <f t="shared" si="10"/>
        <v>3.97091689845313</v>
      </c>
      <c r="Q65" s="229">
        <f t="shared" si="11"/>
        <v>5.4652808275996688E-2</v>
      </c>
      <c r="S65" s="239">
        <f>H65/SEA!D$37</f>
        <v>3.6936218452183374E-2</v>
      </c>
    </row>
    <row r="66" spans="1:19" x14ac:dyDescent="0.3">
      <c r="A66" s="227" t="s">
        <v>278</v>
      </c>
      <c r="B66" s="227" t="s">
        <v>166</v>
      </c>
      <c r="C66" s="228">
        <v>478.26033333333334</v>
      </c>
      <c r="D66" s="228">
        <v>293.80633333333327</v>
      </c>
      <c r="E66" s="228">
        <v>3334.6824000000001</v>
      </c>
      <c r="F66" s="228">
        <v>21.127199999999998</v>
      </c>
      <c r="G66" s="228">
        <v>12.360000000000001</v>
      </c>
      <c r="H66" s="228">
        <v>121.04974999999999</v>
      </c>
      <c r="I66" s="228">
        <v>570.58500000000004</v>
      </c>
      <c r="J66" s="228">
        <v>5.2013999999999996</v>
      </c>
      <c r="L66" s="229">
        <f t="shared" ref="L66:L74" si="12">D66/C66</f>
        <v>0.61432302211975198</v>
      </c>
      <c r="M66" s="230">
        <f t="shared" ref="M66:M74" si="13">E66/D66</f>
        <v>11.349933686476016</v>
      </c>
      <c r="N66" s="229">
        <f t="shared" ref="N66:N74" si="14">F66/D66</f>
        <v>7.1908592848577133E-2</v>
      </c>
      <c r="O66" s="229">
        <f t="shared" ref="O66:O74" si="15">G66/C66</f>
        <v>2.5843665339867202E-2</v>
      </c>
      <c r="P66" s="230">
        <f t="shared" ref="P66:P74" si="16">I66/H66</f>
        <v>4.7136404660067459</v>
      </c>
      <c r="Q66" s="229">
        <f t="shared" ref="Q66:Q74" si="17">J66/H66</f>
        <v>4.2969109808157394E-2</v>
      </c>
      <c r="S66" s="239">
        <f>H66/SF!D$37</f>
        <v>0.2382131665303768</v>
      </c>
    </row>
    <row r="67" spans="1:19" x14ac:dyDescent="0.3">
      <c r="A67" s="227" t="s">
        <v>11</v>
      </c>
      <c r="B67" s="227" t="s">
        <v>166</v>
      </c>
      <c r="C67" s="228">
        <v>31.839666666666663</v>
      </c>
      <c r="D67" s="228">
        <v>21.360333333333333</v>
      </c>
      <c r="E67" s="228">
        <v>259.2</v>
      </c>
      <c r="F67" s="228">
        <v>1.9</v>
      </c>
      <c r="G67" s="228">
        <v>1.9600000000000002</v>
      </c>
      <c r="H67" s="228">
        <v>2.6727499999999997</v>
      </c>
      <c r="I67" s="228">
        <v>10.325799999999999</v>
      </c>
      <c r="J67" s="228">
        <v>0.2</v>
      </c>
      <c r="L67" s="229">
        <f t="shared" si="12"/>
        <v>0.67087176373286994</v>
      </c>
      <c r="M67" s="230">
        <f t="shared" si="13"/>
        <v>12.134642093600286</v>
      </c>
      <c r="N67" s="229">
        <f t="shared" si="14"/>
        <v>8.8949922754014449E-2</v>
      </c>
      <c r="O67" s="229">
        <f t="shared" si="15"/>
        <v>6.1558433400684696E-2</v>
      </c>
      <c r="P67" s="230">
        <f t="shared" si="16"/>
        <v>3.8633617061079413</v>
      </c>
      <c r="Q67" s="229">
        <f t="shared" si="17"/>
        <v>7.4829295669254531E-2</v>
      </c>
      <c r="S67" s="239">
        <f>H67/SF!D$37</f>
        <v>5.2596906713484716E-3</v>
      </c>
    </row>
    <row r="68" spans="1:19" x14ac:dyDescent="0.3">
      <c r="A68" s="227" t="s">
        <v>122</v>
      </c>
      <c r="B68" s="227" t="s">
        <v>167</v>
      </c>
      <c r="C68" s="228">
        <v>639.33500000000004</v>
      </c>
      <c r="D68" s="228">
        <v>426.58300000000003</v>
      </c>
      <c r="E68" s="228">
        <v>4604.6120000000001</v>
      </c>
      <c r="F68" s="228">
        <v>34.3904</v>
      </c>
      <c r="G68" s="228">
        <v>12.3032</v>
      </c>
      <c r="H68" s="228">
        <v>21.318249999999999</v>
      </c>
      <c r="I68" s="228">
        <v>52.509599999999999</v>
      </c>
      <c r="J68" s="228">
        <v>1.706</v>
      </c>
      <c r="L68" s="229">
        <f t="shared" si="12"/>
        <v>0.66722923037218362</v>
      </c>
      <c r="M68" s="230">
        <f t="shared" si="13"/>
        <v>10.794176045458913</v>
      </c>
      <c r="N68" s="229">
        <f t="shared" si="14"/>
        <v>8.0618308746480752E-2</v>
      </c>
      <c r="O68" s="229">
        <f t="shared" si="15"/>
        <v>1.9243745454261069E-2</v>
      </c>
      <c r="P68" s="230">
        <f t="shared" si="16"/>
        <v>2.4631290091822735</v>
      </c>
      <c r="Q68" s="229">
        <f t="shared" si="17"/>
        <v>8.0025330409391013E-2</v>
      </c>
      <c r="S68" s="239">
        <f>H68/TB!D$37</f>
        <v>5.5942693394703903E-2</v>
      </c>
    </row>
    <row r="69" spans="1:19" x14ac:dyDescent="0.3">
      <c r="A69" s="227" t="s">
        <v>692</v>
      </c>
      <c r="B69" s="227" t="s">
        <v>167</v>
      </c>
      <c r="C69" s="228">
        <v>31.6</v>
      </c>
      <c r="D69" s="228">
        <v>19.5</v>
      </c>
      <c r="E69" s="228">
        <v>195.33333333333334</v>
      </c>
      <c r="F69" s="228">
        <v>1.5999999999999999</v>
      </c>
      <c r="G69" s="228">
        <v>0.70000000000000007</v>
      </c>
      <c r="H69" s="228">
        <v>1.65</v>
      </c>
      <c r="I69" s="228">
        <v>5.4666666666666659</v>
      </c>
      <c r="J69" s="228">
        <v>0</v>
      </c>
      <c r="L69" s="229">
        <f t="shared" si="12"/>
        <v>0.61708860759493667</v>
      </c>
      <c r="M69" s="230">
        <f t="shared" si="13"/>
        <v>10.017094017094017</v>
      </c>
      <c r="N69" s="229">
        <f t="shared" si="14"/>
        <v>8.2051282051282051E-2</v>
      </c>
      <c r="O69" s="229">
        <f t="shared" si="15"/>
        <v>2.2151898734177215E-2</v>
      </c>
      <c r="P69" s="230">
        <f t="shared" si="16"/>
        <v>3.3131313131313127</v>
      </c>
      <c r="Q69" s="229">
        <f t="shared" si="17"/>
        <v>0</v>
      </c>
      <c r="S69" s="239">
        <f>H69/TB!D$37</f>
        <v>4.329879052045146E-3</v>
      </c>
    </row>
    <row r="70" spans="1:19" x14ac:dyDescent="0.3">
      <c r="A70" s="227" t="s">
        <v>176</v>
      </c>
      <c r="B70" s="227" t="s">
        <v>168</v>
      </c>
      <c r="C70" s="228">
        <v>492.98566666666665</v>
      </c>
      <c r="D70" s="228">
        <v>327.9306666666667</v>
      </c>
      <c r="E70" s="228">
        <v>3417.0759999999996</v>
      </c>
      <c r="F70" s="228">
        <v>20.8216</v>
      </c>
      <c r="G70" s="228">
        <v>11.847200000000001</v>
      </c>
      <c r="H70" s="228">
        <v>48.023249999999997</v>
      </c>
      <c r="I70" s="228">
        <v>238.35999999999999</v>
      </c>
      <c r="J70" s="228">
        <v>4.0999999999999996</v>
      </c>
      <c r="L70" s="229">
        <f t="shared" si="12"/>
        <v>0.6651931056819097</v>
      </c>
      <c r="M70" s="230">
        <f t="shared" si="13"/>
        <v>10.42011726055914</v>
      </c>
      <c r="N70" s="229">
        <f t="shared" si="14"/>
        <v>6.3493909281636757E-2</v>
      </c>
      <c r="O70" s="229">
        <f t="shared" si="15"/>
        <v>2.403153032846797E-2</v>
      </c>
      <c r="P70" s="230">
        <f t="shared" si="16"/>
        <v>4.9634291723279871</v>
      </c>
      <c r="Q70" s="229">
        <f t="shared" si="17"/>
        <v>8.5375312999432559E-2</v>
      </c>
      <c r="S70" s="239">
        <f>H70/TEN!D$37</f>
        <v>8.8776437717708934E-2</v>
      </c>
    </row>
    <row r="71" spans="1:19" x14ac:dyDescent="0.3">
      <c r="A71" s="227" t="s">
        <v>660</v>
      </c>
      <c r="B71" s="227" t="s">
        <v>168</v>
      </c>
      <c r="C71" s="228">
        <v>34.881</v>
      </c>
      <c r="D71" s="228">
        <v>20.236000000000001</v>
      </c>
      <c r="E71" s="228">
        <v>243</v>
      </c>
      <c r="F71" s="228">
        <v>1.8</v>
      </c>
      <c r="G71" s="228">
        <v>1.3128</v>
      </c>
      <c r="H71" s="228">
        <v>3.15</v>
      </c>
      <c r="I71" s="228">
        <v>19.919999999999998</v>
      </c>
      <c r="J71" s="228">
        <v>0.13999999999999999</v>
      </c>
      <c r="L71" s="229">
        <f t="shared" si="12"/>
        <v>0.58014391789226227</v>
      </c>
      <c r="M71" s="230">
        <f t="shared" si="13"/>
        <v>12.008302035975488</v>
      </c>
      <c r="N71" s="229">
        <f t="shared" si="14"/>
        <v>8.8950385451670291E-2</v>
      </c>
      <c r="O71" s="229">
        <f t="shared" si="15"/>
        <v>3.7636535649780679E-2</v>
      </c>
      <c r="P71" s="230">
        <f t="shared" si="16"/>
        <v>6.3238095238095235</v>
      </c>
      <c r="Q71" s="229">
        <f t="shared" si="17"/>
        <v>4.4444444444444439E-2</v>
      </c>
      <c r="S71" s="239">
        <f>H71/TEN!D$37</f>
        <v>5.8231331451074871E-3</v>
      </c>
    </row>
    <row r="72" spans="1:19" x14ac:dyDescent="0.3">
      <c r="A72" s="227" t="s">
        <v>102</v>
      </c>
      <c r="B72" s="227" t="s">
        <v>691</v>
      </c>
      <c r="C72" s="228">
        <v>529.72466666666662</v>
      </c>
      <c r="D72" s="228">
        <v>334.31933333333336</v>
      </c>
      <c r="E72" s="228">
        <v>3445.7215999999999</v>
      </c>
      <c r="F72" s="228">
        <v>22.315200000000001</v>
      </c>
      <c r="G72" s="228">
        <v>11.182399999999999</v>
      </c>
      <c r="H72" s="228">
        <v>47.769999999999996</v>
      </c>
      <c r="I72" s="228">
        <v>195.554</v>
      </c>
      <c r="J72" s="228">
        <v>1.2307999999999999</v>
      </c>
      <c r="L72" s="229">
        <f t="shared" si="12"/>
        <v>0.63111905933522705</v>
      </c>
      <c r="M72" s="230">
        <f t="shared" si="13"/>
        <v>10.306677647518638</v>
      </c>
      <c r="N72" s="229">
        <f t="shared" si="14"/>
        <v>6.6748158945838201E-2</v>
      </c>
      <c r="O72" s="229">
        <f t="shared" si="15"/>
        <v>2.110983441712487E-2</v>
      </c>
      <c r="P72" s="230">
        <f t="shared" si="16"/>
        <v>4.0936571069709027</v>
      </c>
      <c r="Q72" s="229">
        <f t="shared" si="17"/>
        <v>2.5765124555160144E-2</v>
      </c>
      <c r="S72" s="239">
        <f>H72/WSH!D$37</f>
        <v>0.10798741445905362</v>
      </c>
    </row>
    <row r="73" spans="1:19" x14ac:dyDescent="0.3">
      <c r="A73" s="227" t="s">
        <v>656</v>
      </c>
      <c r="B73" s="227" t="s">
        <v>691</v>
      </c>
      <c r="C73" s="228">
        <v>30.663</v>
      </c>
      <c r="D73" s="228">
        <v>16.571000000000002</v>
      </c>
      <c r="E73" s="228">
        <v>198.26399999999998</v>
      </c>
      <c r="F73" s="228">
        <v>1.208</v>
      </c>
      <c r="G73" s="228">
        <v>0.72933333333333339</v>
      </c>
      <c r="H73" s="228">
        <v>0.2</v>
      </c>
      <c r="I73" s="228">
        <v>1.21</v>
      </c>
      <c r="J73" s="228">
        <v>0</v>
      </c>
      <c r="L73" s="229">
        <f t="shared" si="12"/>
        <v>0.54042331148289469</v>
      </c>
      <c r="M73" s="230">
        <f t="shared" si="13"/>
        <v>11.964516323698025</v>
      </c>
      <c r="N73" s="229">
        <f t="shared" si="14"/>
        <v>7.289843702854383E-2</v>
      </c>
      <c r="O73" s="229">
        <f t="shared" si="15"/>
        <v>2.3785452608464056E-2</v>
      </c>
      <c r="P73" s="230">
        <f t="shared" si="16"/>
        <v>6.05</v>
      </c>
      <c r="Q73" s="229">
        <f t="shared" si="17"/>
        <v>0</v>
      </c>
      <c r="S73" s="239">
        <f>H73/WSH!D$37</f>
        <v>4.5211393953968447E-4</v>
      </c>
    </row>
    <row r="74" spans="1:19" x14ac:dyDescent="0.3">
      <c r="A74" s="227" t="s">
        <v>279</v>
      </c>
      <c r="B74" s="227" t="s">
        <v>691</v>
      </c>
      <c r="C74" s="228">
        <v>22.85</v>
      </c>
      <c r="D74" s="228">
        <v>14.8</v>
      </c>
      <c r="E74" s="228">
        <v>173.5</v>
      </c>
      <c r="F74" s="228">
        <v>1.3</v>
      </c>
      <c r="G74" s="228">
        <v>1.25</v>
      </c>
      <c r="H74" s="228">
        <v>4.8</v>
      </c>
      <c r="I74" s="228">
        <v>23.975000000000001</v>
      </c>
      <c r="J74" s="228">
        <v>0.17499999999999999</v>
      </c>
      <c r="L74" s="229">
        <f t="shared" si="12"/>
        <v>0.64770240700218817</v>
      </c>
      <c r="M74" s="230">
        <f t="shared" si="13"/>
        <v>11.722972972972972</v>
      </c>
      <c r="N74" s="229">
        <f t="shared" si="14"/>
        <v>8.7837837837837843E-2</v>
      </c>
      <c r="O74" s="229">
        <f t="shared" si="15"/>
        <v>5.4704595185995623E-2</v>
      </c>
      <c r="P74" s="230">
        <f t="shared" si="16"/>
        <v>4.994791666666667</v>
      </c>
      <c r="Q74" s="229">
        <f t="shared" si="17"/>
        <v>3.6458333333333336E-2</v>
      </c>
      <c r="S74" s="239">
        <f>H74/WSH!D$37</f>
        <v>1.0850734548952426E-2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51"/>
  <sheetViews>
    <sheetView zoomScale="85" zoomScaleNormal="85" workbookViewId="0">
      <selection activeCell="A3" sqref="A3"/>
    </sheetView>
  </sheetViews>
  <sheetFormatPr defaultColWidth="3.6640625" defaultRowHeight="13.8" x14ac:dyDescent="0.3"/>
  <cols>
    <col min="1" max="1" width="19.33203125" style="227" bestFit="1" customWidth="1"/>
    <col min="2" max="2" width="5.33203125" style="227" bestFit="1" customWidth="1"/>
    <col min="3" max="3" width="5.6640625" style="228" bestFit="1" customWidth="1"/>
    <col min="4" max="4" width="6.6640625" style="228" bestFit="1" customWidth="1"/>
    <col min="5" max="5" width="4.6640625" style="228" bestFit="1" customWidth="1"/>
    <col min="6" max="6" width="5.6640625" style="228" bestFit="1" customWidth="1"/>
    <col min="7" max="7" width="4.6640625" style="228" bestFit="1" customWidth="1"/>
    <col min="8" max="8" width="5.6640625" style="228" bestFit="1" customWidth="1"/>
    <col min="9" max="9" width="4" style="228" bestFit="1" customWidth="1"/>
    <col min="10" max="10" width="3.6640625" style="228"/>
    <col min="11" max="12" width="7" style="227" bestFit="1" customWidth="1"/>
    <col min="13" max="13" width="6" style="227" bestFit="1" customWidth="1"/>
    <col min="14" max="14" width="4.6640625" style="227" bestFit="1" customWidth="1"/>
    <col min="15" max="15" width="6.88671875" style="227" bestFit="1" customWidth="1"/>
    <col min="16" max="16" width="3.6640625" style="227"/>
    <col min="17" max="17" width="6.6640625" style="239" bestFit="1" customWidth="1"/>
    <col min="18" max="18" width="7.44140625" style="239" bestFit="1" customWidth="1"/>
    <col min="19" max="16384" width="3.6640625" style="227"/>
  </cols>
  <sheetData>
    <row r="1" spans="1:18" s="231" customFormat="1" x14ac:dyDescent="0.3">
      <c r="A1" s="231" t="s">
        <v>507</v>
      </c>
      <c r="B1" s="231" t="s">
        <v>711</v>
      </c>
      <c r="C1" s="232" t="s">
        <v>709</v>
      </c>
      <c r="D1" s="232" t="s">
        <v>445</v>
      </c>
      <c r="E1" s="232" t="s">
        <v>708</v>
      </c>
      <c r="F1" s="232" t="s">
        <v>3</v>
      </c>
      <c r="G1" s="232" t="s">
        <v>4</v>
      </c>
      <c r="H1" s="232" t="s">
        <v>445</v>
      </c>
      <c r="I1" s="232" t="s">
        <v>708</v>
      </c>
      <c r="J1" s="232"/>
      <c r="K1" s="231" t="s">
        <v>756</v>
      </c>
      <c r="L1" s="231" t="s">
        <v>755</v>
      </c>
      <c r="M1" s="231" t="s">
        <v>754</v>
      </c>
      <c r="N1" s="231" t="s">
        <v>753</v>
      </c>
      <c r="O1" s="231" t="s">
        <v>752</v>
      </c>
      <c r="Q1" s="238" t="s">
        <v>832</v>
      </c>
      <c r="R1" s="238" t="s">
        <v>833</v>
      </c>
    </row>
    <row r="2" spans="1:18" x14ac:dyDescent="0.3">
      <c r="A2" s="227" t="s">
        <v>101</v>
      </c>
      <c r="B2" s="227" t="s">
        <v>137</v>
      </c>
      <c r="C2" s="228">
        <v>216.74825000000001</v>
      </c>
      <c r="D2" s="228">
        <v>860.45</v>
      </c>
      <c r="E2" s="228">
        <v>11.09</v>
      </c>
      <c r="F2" s="228">
        <v>63.953661373657589</v>
      </c>
      <c r="G2" s="228">
        <v>42.984999999999999</v>
      </c>
      <c r="H2" s="228">
        <v>345.16220000000004</v>
      </c>
      <c r="I2" s="228">
        <v>2.1271999999999998</v>
      </c>
      <c r="K2" s="230">
        <f t="shared" ref="K2:K34" si="0">D2/C2</f>
        <v>3.969812905063824</v>
      </c>
      <c r="L2" s="229">
        <f t="shared" ref="L2:L34" si="1">E2/C2</f>
        <v>5.1165349662569359E-2</v>
      </c>
      <c r="M2" s="233">
        <f t="shared" ref="M2:M34" si="2">G2/F2</f>
        <v>0.67212727272727268</v>
      </c>
      <c r="N2" s="230">
        <f t="shared" ref="N2:N34" si="3">H2/G2</f>
        <v>8.0298290101198102</v>
      </c>
      <c r="O2" s="229">
        <f t="shared" ref="O2:O34" si="4">I2/G2</f>
        <v>4.9487030359427704E-2</v>
      </c>
      <c r="Q2" s="239">
        <f>C2/ARI!D$37</f>
        <v>0.44058521205822049</v>
      </c>
      <c r="R2" s="239">
        <f>F2/ARI!D$34</f>
        <v>0.10255728404227228</v>
      </c>
    </row>
    <row r="3" spans="1:18" x14ac:dyDescent="0.3">
      <c r="A3" s="227" t="s">
        <v>236</v>
      </c>
      <c r="B3" s="227" t="s">
        <v>137</v>
      </c>
      <c r="C3" s="228">
        <v>43.648833333333336</v>
      </c>
      <c r="D3" s="228">
        <v>162.47500000000002</v>
      </c>
      <c r="E3" s="228">
        <v>1.082875</v>
      </c>
      <c r="F3" s="228">
        <v>15</v>
      </c>
      <c r="G3" s="228">
        <v>9.972999999999999</v>
      </c>
      <c r="H3" s="228">
        <v>75.132000000000005</v>
      </c>
      <c r="I3" s="228">
        <v>0.30549999999999999</v>
      </c>
      <c r="K3" s="230">
        <f t="shared" si="0"/>
        <v>3.7223217115386822</v>
      </c>
      <c r="L3" s="229">
        <f t="shared" si="1"/>
        <v>2.4808795958654869E-2</v>
      </c>
      <c r="M3" s="233">
        <f t="shared" si="2"/>
        <v>0.66486666666666661</v>
      </c>
      <c r="N3" s="230">
        <f t="shared" si="3"/>
        <v>7.5335405595106799</v>
      </c>
      <c r="O3" s="229">
        <f t="shared" si="4"/>
        <v>3.06327083124436E-2</v>
      </c>
      <c r="Q3" s="239">
        <f>C3/ARI!D$37</f>
        <v>8.8725193814762474E-2</v>
      </c>
      <c r="R3" s="239">
        <f>F3/ARI!D$34</f>
        <v>2.4054279733040147E-2</v>
      </c>
    </row>
    <row r="4" spans="1:18" x14ac:dyDescent="0.3">
      <c r="A4" s="227" t="s">
        <v>817</v>
      </c>
      <c r="B4" s="227" t="s">
        <v>137</v>
      </c>
      <c r="C4" s="228">
        <v>87.297666666666672</v>
      </c>
      <c r="D4" s="228">
        <v>355</v>
      </c>
      <c r="E4" s="228">
        <v>3.2</v>
      </c>
      <c r="F4" s="228">
        <v>30</v>
      </c>
      <c r="G4" s="228">
        <v>21.8</v>
      </c>
      <c r="H4" s="228">
        <v>180.3</v>
      </c>
      <c r="I4" s="228">
        <v>1.2</v>
      </c>
      <c r="K4" s="230">
        <f t="shared" ref="K4" si="5">D4/C4</f>
        <v>4.0665462612593695</v>
      </c>
      <c r="L4" s="229">
        <f t="shared" ref="L4" si="6">E4/C4</f>
        <v>3.6656191650788678E-2</v>
      </c>
      <c r="M4" s="233">
        <f t="shared" ref="M4" si="7">G4/F4</f>
        <v>0.72666666666666668</v>
      </c>
      <c r="N4" s="230">
        <f t="shared" ref="N4" si="8">H4/G4</f>
        <v>8.2706422018348622</v>
      </c>
      <c r="O4" s="229">
        <f t="shared" ref="O4" si="9">I4/G4</f>
        <v>5.5045871559633024E-2</v>
      </c>
      <c r="Q4" s="239">
        <f>C4/ARI!D$37</f>
        <v>0.17745038762952495</v>
      </c>
      <c r="R4" s="239">
        <f>F4/ARI!D$34</f>
        <v>4.8108559466080295E-2</v>
      </c>
    </row>
    <row r="5" spans="1:18" x14ac:dyDescent="0.3">
      <c r="A5" s="227" t="s">
        <v>751</v>
      </c>
      <c r="B5" s="227" t="s">
        <v>137</v>
      </c>
      <c r="C5" s="228">
        <v>21.155000000000001</v>
      </c>
      <c r="D5" s="228">
        <v>100.15</v>
      </c>
      <c r="E5" s="228">
        <v>0.51249999999999996</v>
      </c>
      <c r="F5" s="228">
        <v>6</v>
      </c>
      <c r="G5" s="228">
        <v>4.61775</v>
      </c>
      <c r="H5" s="228">
        <v>30.53425</v>
      </c>
      <c r="I5" s="228">
        <v>0</v>
      </c>
      <c r="K5" s="230">
        <f t="shared" si="0"/>
        <v>4.734105412432049</v>
      </c>
      <c r="L5" s="229">
        <f t="shared" si="1"/>
        <v>2.4225951311746628E-2</v>
      </c>
      <c r="M5" s="233">
        <f t="shared" si="2"/>
        <v>0.769625</v>
      </c>
      <c r="N5" s="230">
        <f t="shared" si="3"/>
        <v>6.6123653294353311</v>
      </c>
      <c r="O5" s="229">
        <f t="shared" si="4"/>
        <v>0</v>
      </c>
      <c r="Q5" s="239">
        <f>C5/ARI!D$37</f>
        <v>4.3001870423828817E-2</v>
      </c>
      <c r="R5" s="239">
        <f>F5/ARI!D$34</f>
        <v>9.6217118932160582E-3</v>
      </c>
    </row>
    <row r="6" spans="1:18" x14ac:dyDescent="0.3">
      <c r="A6" s="227" t="s">
        <v>638</v>
      </c>
      <c r="B6" s="227" t="s">
        <v>138</v>
      </c>
      <c r="C6" s="228">
        <v>143.51325</v>
      </c>
      <c r="D6" s="228">
        <v>521.76799999999992</v>
      </c>
      <c r="E6" s="228">
        <v>3.4199999999999995</v>
      </c>
      <c r="F6" s="228">
        <v>29.827089025346933</v>
      </c>
      <c r="G6" s="228">
        <v>20.047599999999999</v>
      </c>
      <c r="H6" s="228">
        <v>143.99499999999998</v>
      </c>
      <c r="I6" s="228">
        <v>0.72</v>
      </c>
      <c r="K6" s="230">
        <f t="shared" si="0"/>
        <v>3.6356782387688935</v>
      </c>
      <c r="L6" s="229">
        <f t="shared" si="1"/>
        <v>2.383055223123997E-2</v>
      </c>
      <c r="M6" s="233">
        <f t="shared" si="2"/>
        <v>0.67212727272727268</v>
      </c>
      <c r="N6" s="230">
        <f t="shared" si="3"/>
        <v>7.1826552804325692</v>
      </c>
      <c r="O6" s="229">
        <f t="shared" si="4"/>
        <v>3.591452343422654E-2</v>
      </c>
      <c r="Q6" s="239">
        <f>C6/ATL!D$37</f>
        <v>0.35419479705031098</v>
      </c>
      <c r="R6" s="239">
        <f>F6/ATL!D$34</f>
        <v>4.6083627970327057E-2</v>
      </c>
    </row>
    <row r="7" spans="1:18" x14ac:dyDescent="0.3">
      <c r="A7" s="227" t="s">
        <v>34</v>
      </c>
      <c r="B7" s="227" t="s">
        <v>138</v>
      </c>
      <c r="C7" s="228">
        <v>108.304</v>
      </c>
      <c r="D7" s="228">
        <v>423.06059999999997</v>
      </c>
      <c r="E7" s="228">
        <v>3.8560000000000003</v>
      </c>
      <c r="F7" s="228">
        <v>57.8</v>
      </c>
      <c r="G7" s="228">
        <v>46.55319999999999</v>
      </c>
      <c r="H7" s="228">
        <v>433.77999999999992</v>
      </c>
      <c r="I7" s="228">
        <v>2.9904000000000002</v>
      </c>
      <c r="K7" s="230">
        <f t="shared" si="0"/>
        <v>3.9062324567882993</v>
      </c>
      <c r="L7" s="229">
        <f t="shared" si="1"/>
        <v>3.5603486482493722E-2</v>
      </c>
      <c r="M7" s="233">
        <f t="shared" si="2"/>
        <v>0.80541868512110715</v>
      </c>
      <c r="N7" s="230">
        <f t="shared" si="3"/>
        <v>9.3179416237766688</v>
      </c>
      <c r="O7" s="229">
        <f t="shared" si="4"/>
        <v>6.4236185697223835E-2</v>
      </c>
      <c r="Q7" s="239">
        <f>C7/ATL!D$37</f>
        <v>0.26729736313362623</v>
      </c>
      <c r="R7" s="239">
        <f>F7/ATL!D$34</f>
        <v>8.9302502648560808E-2</v>
      </c>
    </row>
    <row r="8" spans="1:18" x14ac:dyDescent="0.3">
      <c r="A8" s="227" t="s">
        <v>300</v>
      </c>
      <c r="B8" s="227" t="s">
        <v>138</v>
      </c>
      <c r="C8" s="228">
        <v>80.516750000000002</v>
      </c>
      <c r="D8" s="228">
        <v>313.89080000000001</v>
      </c>
      <c r="E8" s="228">
        <v>1.9899999999999998</v>
      </c>
      <c r="F8" s="228">
        <v>28.4</v>
      </c>
      <c r="G8" s="228">
        <v>22.616599999999998</v>
      </c>
      <c r="H8" s="228">
        <v>153.58260000000001</v>
      </c>
      <c r="I8" s="228">
        <v>0.97519999999999984</v>
      </c>
      <c r="K8" s="230">
        <f t="shared" si="0"/>
        <v>3.8984534273924369</v>
      </c>
      <c r="L8" s="229">
        <f t="shared" si="1"/>
        <v>2.4715354258585943E-2</v>
      </c>
      <c r="M8" s="233">
        <f t="shared" si="2"/>
        <v>0.79635915492957743</v>
      </c>
      <c r="N8" s="230">
        <f t="shared" si="3"/>
        <v>6.7907024044286066</v>
      </c>
      <c r="O8" s="229">
        <f t="shared" si="4"/>
        <v>4.3118771168080078E-2</v>
      </c>
      <c r="Q8" s="239">
        <f>C8/ATL!D$37</f>
        <v>0.1987176370502419</v>
      </c>
      <c r="R8" s="239">
        <f>F8/ATL!D$34</f>
        <v>4.3878738325590437E-2</v>
      </c>
    </row>
    <row r="9" spans="1:18" x14ac:dyDescent="0.3">
      <c r="A9" s="227" t="s">
        <v>750</v>
      </c>
      <c r="B9" s="227" t="s">
        <v>138</v>
      </c>
      <c r="C9" s="228">
        <v>16.436</v>
      </c>
      <c r="D9" s="228">
        <v>70.982500000000002</v>
      </c>
      <c r="E9" s="228">
        <v>0.15000000000000002</v>
      </c>
      <c r="F9" s="228">
        <v>5</v>
      </c>
      <c r="G9" s="228">
        <v>4.4509999999999996</v>
      </c>
      <c r="H9" s="228">
        <v>31.518749999999997</v>
      </c>
      <c r="I9" s="228">
        <v>2.5000000000000001E-2</v>
      </c>
      <c r="K9" s="230">
        <f t="shared" si="0"/>
        <v>4.3187211000243373</v>
      </c>
      <c r="L9" s="229">
        <f t="shared" si="1"/>
        <v>9.1263081041615974E-3</v>
      </c>
      <c r="M9" s="233">
        <f t="shared" si="2"/>
        <v>0.89019999999999988</v>
      </c>
      <c r="N9" s="230">
        <f t="shared" si="3"/>
        <v>7.0812738710402154</v>
      </c>
      <c r="O9" s="229">
        <f t="shared" si="4"/>
        <v>5.6167153448663226E-3</v>
      </c>
      <c r="Q9" s="239">
        <f>C9/ATL!D$37</f>
        <v>4.0564517104301596E-2</v>
      </c>
      <c r="R9" s="239">
        <f>F9/ATL!D$34</f>
        <v>7.725129986899725E-3</v>
      </c>
    </row>
    <row r="10" spans="1:18" x14ac:dyDescent="0.3">
      <c r="A10" s="227" t="s">
        <v>749</v>
      </c>
      <c r="B10" s="227" t="s">
        <v>138</v>
      </c>
      <c r="C10" s="228">
        <v>7.9</v>
      </c>
      <c r="D10" s="228">
        <v>31.966666666666669</v>
      </c>
      <c r="E10" s="228">
        <v>0.13333333333333333</v>
      </c>
      <c r="F10" s="228">
        <v>13.244047619047619</v>
      </c>
      <c r="G10" s="228">
        <v>8.9</v>
      </c>
      <c r="H10" s="228">
        <v>56.9</v>
      </c>
      <c r="I10" s="228">
        <v>0.19999999999999998</v>
      </c>
      <c r="K10" s="230">
        <f t="shared" si="0"/>
        <v>4.0464135021097043</v>
      </c>
      <c r="L10" s="229">
        <f t="shared" si="1"/>
        <v>1.6877637130801686E-2</v>
      </c>
      <c r="M10" s="233">
        <f t="shared" si="2"/>
        <v>0.67200000000000004</v>
      </c>
      <c r="N10" s="230">
        <f t="shared" si="3"/>
        <v>6.393258426966292</v>
      </c>
      <c r="O10" s="229">
        <f t="shared" si="4"/>
        <v>2.2471910112359546E-2</v>
      </c>
      <c r="Q10" s="239">
        <f>C10/ATL!D$37</f>
        <v>1.9497425476027175E-2</v>
      </c>
      <c r="R10" s="239">
        <f>F10/ATL!D$34</f>
        <v>2.0462397881966531E-2</v>
      </c>
    </row>
    <row r="11" spans="1:18" x14ac:dyDescent="0.3">
      <c r="A11" s="227" t="s">
        <v>587</v>
      </c>
      <c r="B11" s="227" t="s">
        <v>139</v>
      </c>
      <c r="C11" s="228">
        <v>188.99399999999997</v>
      </c>
      <c r="D11" s="228">
        <v>918.05999999999983</v>
      </c>
      <c r="E11" s="228">
        <v>9.1205999999999996</v>
      </c>
      <c r="F11" s="228">
        <v>46.057348445911224</v>
      </c>
      <c r="G11" s="228">
        <v>30.956400000000002</v>
      </c>
      <c r="H11" s="228">
        <v>213.62100000000001</v>
      </c>
      <c r="I11" s="228">
        <v>0.64160000000000006</v>
      </c>
      <c r="K11" s="230">
        <f t="shared" si="0"/>
        <v>4.8576145274453157</v>
      </c>
      <c r="L11" s="229">
        <f t="shared" si="1"/>
        <v>4.8258674878567581E-2</v>
      </c>
      <c r="M11" s="233">
        <f t="shared" si="2"/>
        <v>0.67212727272727268</v>
      </c>
      <c r="N11" s="230">
        <f t="shared" si="3"/>
        <v>6.9007055083924485</v>
      </c>
      <c r="O11" s="229">
        <f t="shared" si="4"/>
        <v>2.0725924203072708E-2</v>
      </c>
      <c r="Q11" s="239">
        <f>C11/BAL!D$37</f>
        <v>0.32865663855316918</v>
      </c>
      <c r="R11" s="239">
        <f>F11/BAL!D$34</f>
        <v>9.0317381009728845E-2</v>
      </c>
    </row>
    <row r="12" spans="1:18" x14ac:dyDescent="0.3">
      <c r="A12" s="227" t="s">
        <v>23</v>
      </c>
      <c r="B12" s="227" t="s">
        <v>139</v>
      </c>
      <c r="C12" s="228">
        <v>128.37</v>
      </c>
      <c r="D12" s="228">
        <v>597.31999999999994</v>
      </c>
      <c r="E12" s="228">
        <v>4.4272</v>
      </c>
      <c r="F12" s="228">
        <v>21.331674195904455</v>
      </c>
      <c r="G12" s="228">
        <v>14.337599999999998</v>
      </c>
      <c r="H12" s="228">
        <v>130.33200000000002</v>
      </c>
      <c r="I12" s="228">
        <v>0.32720000000000005</v>
      </c>
      <c r="K12" s="230">
        <f t="shared" si="0"/>
        <v>4.6531120978421745</v>
      </c>
      <c r="L12" s="229">
        <f t="shared" si="1"/>
        <v>3.4487808678040043E-2</v>
      </c>
      <c r="M12" s="233">
        <f t="shared" si="2"/>
        <v>0.67212727272727268</v>
      </c>
      <c r="N12" s="230">
        <f t="shared" si="3"/>
        <v>9.0902243053230691</v>
      </c>
      <c r="O12" s="229">
        <f t="shared" si="4"/>
        <v>2.2821113714987174E-2</v>
      </c>
      <c r="Q12" s="239">
        <f>C12/BAL!D$37</f>
        <v>0.22323276236848968</v>
      </c>
      <c r="R12" s="239">
        <f>F12/BAL!D$34</f>
        <v>4.1830913218755671E-2</v>
      </c>
    </row>
    <row r="13" spans="1:18" x14ac:dyDescent="0.3">
      <c r="A13" s="227" t="s">
        <v>748</v>
      </c>
      <c r="B13" s="227" t="s">
        <v>139</v>
      </c>
      <c r="C13" s="228">
        <v>38.65</v>
      </c>
      <c r="D13" s="228">
        <v>144.6</v>
      </c>
      <c r="E13" s="228">
        <v>0.80000000000000016</v>
      </c>
      <c r="F13" s="228">
        <v>11.359126984126982</v>
      </c>
      <c r="G13" s="228">
        <v>7.6333333333333329</v>
      </c>
      <c r="H13" s="228">
        <v>59.366666666666667</v>
      </c>
      <c r="I13" s="228">
        <v>9.9999999999999992E-2</v>
      </c>
      <c r="K13" s="230">
        <f t="shared" si="0"/>
        <v>3.7412677878395861</v>
      </c>
      <c r="L13" s="229">
        <f t="shared" si="1"/>
        <v>2.0698576972833123E-2</v>
      </c>
      <c r="M13" s="233">
        <f t="shared" si="2"/>
        <v>0.67200000000000004</v>
      </c>
      <c r="N13" s="230">
        <f t="shared" si="3"/>
        <v>7.7772925764192147</v>
      </c>
      <c r="O13" s="229">
        <f t="shared" si="4"/>
        <v>1.3100436681222707E-2</v>
      </c>
      <c r="Q13" s="239">
        <f>C13/BAL!D$37</f>
        <v>6.7211546822015467E-2</v>
      </c>
      <c r="R13" s="239">
        <f>F13/BAL!D$34</f>
        <v>2.2274981829840147E-2</v>
      </c>
    </row>
    <row r="14" spans="1:18" x14ac:dyDescent="0.3">
      <c r="A14" s="227" t="s">
        <v>143</v>
      </c>
      <c r="B14" s="227" t="s">
        <v>139</v>
      </c>
      <c r="C14" s="228">
        <v>27.6</v>
      </c>
      <c r="D14" s="228">
        <v>142.65</v>
      </c>
      <c r="E14" s="228">
        <v>1.1499999999999999</v>
      </c>
      <c r="F14" s="228">
        <v>13.999999999999998</v>
      </c>
      <c r="G14" s="228">
        <v>8.9</v>
      </c>
      <c r="H14" s="228">
        <v>58.7</v>
      </c>
      <c r="I14" s="228">
        <v>0.05</v>
      </c>
      <c r="K14" s="230">
        <f t="shared" si="0"/>
        <v>5.1684782608695654</v>
      </c>
      <c r="L14" s="229">
        <f t="shared" si="1"/>
        <v>4.1666666666666664E-2</v>
      </c>
      <c r="M14" s="233">
        <f t="shared" si="2"/>
        <v>0.63571428571428579</v>
      </c>
      <c r="N14" s="230">
        <f t="shared" si="3"/>
        <v>6.595505617977528</v>
      </c>
      <c r="O14" s="229">
        <f t="shared" si="4"/>
        <v>5.6179775280898875E-3</v>
      </c>
      <c r="Q14" s="239">
        <f>C14/BAL!D$37</f>
        <v>4.7995826449873921E-2</v>
      </c>
      <c r="R14" s="239">
        <f>F14/BAL!D$34</f>
        <v>2.745367192862045E-2</v>
      </c>
    </row>
    <row r="15" spans="1:18" x14ac:dyDescent="0.3">
      <c r="A15" s="227" t="s">
        <v>747</v>
      </c>
      <c r="B15" s="227" t="s">
        <v>139</v>
      </c>
      <c r="C15" s="228">
        <v>0.5</v>
      </c>
      <c r="D15" s="228">
        <v>1.3</v>
      </c>
      <c r="E15" s="228">
        <v>0</v>
      </c>
      <c r="F15" s="228">
        <v>17</v>
      </c>
      <c r="G15" s="228">
        <v>10.91075</v>
      </c>
      <c r="H15" s="228">
        <v>78.069999999999993</v>
      </c>
      <c r="I15" s="228">
        <v>0.375</v>
      </c>
      <c r="K15" s="230">
        <f t="shared" si="0"/>
        <v>2.6</v>
      </c>
      <c r="L15" s="229">
        <f t="shared" si="1"/>
        <v>0</v>
      </c>
      <c r="M15" s="233">
        <f t="shared" si="2"/>
        <v>0.64180882352941182</v>
      </c>
      <c r="N15" s="230">
        <f t="shared" si="3"/>
        <v>7.1553284604633038</v>
      </c>
      <c r="O15" s="229">
        <f t="shared" si="4"/>
        <v>3.4369772930366839E-2</v>
      </c>
      <c r="Q15" s="239">
        <f>C15/BAL!D$37</f>
        <v>8.6948960959916518E-4</v>
      </c>
      <c r="R15" s="239">
        <f>F15/BAL!D$34</f>
        <v>3.3336601627610554E-2</v>
      </c>
    </row>
    <row r="16" spans="1:18" x14ac:dyDescent="0.3">
      <c r="A16" s="227" t="s">
        <v>30</v>
      </c>
      <c r="B16" s="227" t="s">
        <v>140</v>
      </c>
      <c r="C16" s="228">
        <v>173.5385</v>
      </c>
      <c r="D16" s="228">
        <v>787.04960000000005</v>
      </c>
      <c r="E16" s="228">
        <v>6.1235999999999997</v>
      </c>
      <c r="F16" s="228">
        <v>45.582438390997382</v>
      </c>
      <c r="G16" s="228">
        <v>30.6372</v>
      </c>
      <c r="H16" s="228">
        <v>181.95359999999999</v>
      </c>
      <c r="I16" s="228">
        <v>0.82020000000000004</v>
      </c>
      <c r="K16" s="230">
        <f t="shared" si="0"/>
        <v>4.5353025409347207</v>
      </c>
      <c r="L16" s="229">
        <f t="shared" si="1"/>
        <v>3.5286694307026967E-2</v>
      </c>
      <c r="M16" s="233">
        <f t="shared" si="2"/>
        <v>0.67212727272727268</v>
      </c>
      <c r="N16" s="230">
        <f t="shared" si="3"/>
        <v>5.9389761466452544</v>
      </c>
      <c r="O16" s="229">
        <f t="shared" si="4"/>
        <v>2.6771375974305747E-2</v>
      </c>
      <c r="Q16" s="239">
        <f>C16/BUF!D$37</f>
        <v>0.39364220828201196</v>
      </c>
      <c r="R16" s="239">
        <f>F16/BUF!D$34</f>
        <v>6.9218299247481657E-2</v>
      </c>
    </row>
    <row r="17" spans="1:18" x14ac:dyDescent="0.3">
      <c r="A17" s="227" t="s">
        <v>676</v>
      </c>
      <c r="B17" s="227" t="s">
        <v>140</v>
      </c>
      <c r="C17" s="228">
        <v>101.7765</v>
      </c>
      <c r="D17" s="228">
        <v>427.68040000000002</v>
      </c>
      <c r="E17" s="228">
        <v>2.9944000000000002</v>
      </c>
      <c r="F17" s="228">
        <v>57.327083333333334</v>
      </c>
      <c r="G17" s="228">
        <v>38.523800000000001</v>
      </c>
      <c r="H17" s="228">
        <v>273.74059999999997</v>
      </c>
      <c r="I17" s="228">
        <v>1.3939999999999999</v>
      </c>
      <c r="K17" s="230">
        <f t="shared" si="0"/>
        <v>4.2021527562846046</v>
      </c>
      <c r="L17" s="229">
        <f t="shared" si="1"/>
        <v>2.9421330071283648E-2</v>
      </c>
      <c r="M17" s="233">
        <f t="shared" si="2"/>
        <v>0.67200000000000004</v>
      </c>
      <c r="N17" s="230">
        <f t="shared" si="3"/>
        <v>7.1057528073554517</v>
      </c>
      <c r="O17" s="229">
        <f t="shared" si="4"/>
        <v>3.61854230371874E-2</v>
      </c>
      <c r="Q17" s="239">
        <f>C17/BUF!D$37</f>
        <v>0.23086246689474779</v>
      </c>
      <c r="R17" s="239">
        <f>F17/BUF!D$34</f>
        <v>8.7052894694104141E-2</v>
      </c>
    </row>
    <row r="18" spans="1:18" x14ac:dyDescent="0.3">
      <c r="A18" s="227" t="s">
        <v>582</v>
      </c>
      <c r="B18" s="227" t="s">
        <v>140</v>
      </c>
      <c r="C18" s="228">
        <v>29.953000000000003</v>
      </c>
      <c r="D18" s="228">
        <v>147.73624999999998</v>
      </c>
      <c r="E18" s="228">
        <v>1.0499999999999998</v>
      </c>
      <c r="F18" s="228">
        <v>10.607737982524956</v>
      </c>
      <c r="G18" s="228">
        <v>7.1297500000000005</v>
      </c>
      <c r="H18" s="228">
        <v>55.888500000000008</v>
      </c>
      <c r="I18" s="228">
        <v>0.24175000000000002</v>
      </c>
      <c r="K18" s="230">
        <f t="shared" si="0"/>
        <v>4.9322688879244136</v>
      </c>
      <c r="L18" s="229">
        <f t="shared" si="1"/>
        <v>3.5054919373685434E-2</v>
      </c>
      <c r="M18" s="233">
        <f t="shared" si="2"/>
        <v>0.67212727272727268</v>
      </c>
      <c r="N18" s="230">
        <f t="shared" si="3"/>
        <v>7.83877415056629</v>
      </c>
      <c r="O18" s="229">
        <f t="shared" si="4"/>
        <v>3.3907219748238016E-2</v>
      </c>
      <c r="Q18" s="239">
        <f>C18/BUF!D$37</f>
        <v>6.7943223346237896E-2</v>
      </c>
      <c r="R18" s="239">
        <f>F18/BUF!D$34</f>
        <v>1.6108168143946978E-2</v>
      </c>
    </row>
    <row r="19" spans="1:18" x14ac:dyDescent="0.3">
      <c r="A19" s="227" t="s">
        <v>240</v>
      </c>
      <c r="B19" s="227" t="s">
        <v>140</v>
      </c>
      <c r="C19" s="228">
        <v>21.77333333333333</v>
      </c>
      <c r="D19" s="228">
        <v>88.539249999999996</v>
      </c>
      <c r="E19" s="228">
        <v>0.99299999999999999</v>
      </c>
      <c r="F19" s="228">
        <v>6.4910714285714279</v>
      </c>
      <c r="G19" s="228">
        <v>4.3620000000000001</v>
      </c>
      <c r="H19" s="228">
        <v>29.590250000000001</v>
      </c>
      <c r="I19" s="228">
        <v>0.20850000000000002</v>
      </c>
      <c r="K19" s="230">
        <f t="shared" si="0"/>
        <v>4.0664076852418862</v>
      </c>
      <c r="L19" s="229">
        <f t="shared" si="1"/>
        <v>4.5606246172688311E-2</v>
      </c>
      <c r="M19" s="233">
        <f t="shared" si="2"/>
        <v>0.67200000000000004</v>
      </c>
      <c r="N19" s="230">
        <f t="shared" si="3"/>
        <v>6.7836428243924809</v>
      </c>
      <c r="O19" s="229">
        <f t="shared" si="4"/>
        <v>4.7799174690508942E-2</v>
      </c>
      <c r="Q19" s="239">
        <f>C19/BUF!D$37</f>
        <v>4.9389057845917024E-2</v>
      </c>
      <c r="R19" s="239">
        <f>F19/BUF!D$34</f>
        <v>9.8568865650761929E-3</v>
      </c>
    </row>
    <row r="20" spans="1:18" x14ac:dyDescent="0.3">
      <c r="A20" s="227" t="s">
        <v>746</v>
      </c>
      <c r="B20" s="227" t="s">
        <v>140</v>
      </c>
      <c r="C20" s="228">
        <v>0</v>
      </c>
      <c r="D20" s="228">
        <v>0</v>
      </c>
      <c r="E20" s="228">
        <v>0</v>
      </c>
      <c r="F20" s="228">
        <v>9</v>
      </c>
      <c r="G20" s="228">
        <v>5.15</v>
      </c>
      <c r="H20" s="228">
        <v>32.5</v>
      </c>
      <c r="I20" s="228">
        <v>0.1</v>
      </c>
      <c r="K20" s="230" t="e">
        <f t="shared" si="0"/>
        <v>#DIV/0!</v>
      </c>
      <c r="L20" s="229" t="e">
        <f t="shared" si="1"/>
        <v>#DIV/0!</v>
      </c>
      <c r="M20" s="233">
        <f t="shared" si="2"/>
        <v>0.5722222222222223</v>
      </c>
      <c r="N20" s="230">
        <f t="shared" si="3"/>
        <v>6.3106796116504853</v>
      </c>
      <c r="O20" s="229">
        <f t="shared" si="4"/>
        <v>1.9417475728155338E-2</v>
      </c>
      <c r="Q20" s="239">
        <f>C20/BUF!D$37</f>
        <v>0</v>
      </c>
      <c r="R20" s="239">
        <f>F20/BUF!D$34</f>
        <v>1.366676981787731E-2</v>
      </c>
    </row>
    <row r="21" spans="1:18" x14ac:dyDescent="0.3">
      <c r="A21" s="227" t="s">
        <v>5</v>
      </c>
      <c r="B21" s="227" t="s">
        <v>141</v>
      </c>
      <c r="C21" s="228">
        <v>208.86175</v>
      </c>
      <c r="D21" s="228">
        <v>928.57360000000006</v>
      </c>
      <c r="E21" s="228">
        <v>6.1134000000000004</v>
      </c>
      <c r="F21" s="228">
        <v>108.99999999999999</v>
      </c>
      <c r="G21" s="228">
        <v>83.846800000000002</v>
      </c>
      <c r="H21" s="228">
        <v>670.90120000000002</v>
      </c>
      <c r="I21" s="228">
        <v>2.6128</v>
      </c>
      <c r="K21" s="230">
        <f t="shared" si="0"/>
        <v>4.4458767581905256</v>
      </c>
      <c r="L21" s="229">
        <f t="shared" si="1"/>
        <v>2.92700793706842E-2</v>
      </c>
      <c r="M21" s="233">
        <f t="shared" si="2"/>
        <v>0.76923669724770649</v>
      </c>
      <c r="N21" s="230">
        <f t="shared" si="3"/>
        <v>8.0015122819236986</v>
      </c>
      <c r="O21" s="229">
        <f t="shared" si="4"/>
        <v>3.1161594717985658E-2</v>
      </c>
      <c r="Q21" s="239">
        <f>C21/CAR!D$37</f>
        <v>0.4794168278051259</v>
      </c>
      <c r="R21" s="239">
        <f>F21/CAR!D$34</f>
        <v>0.17458518460032779</v>
      </c>
    </row>
    <row r="22" spans="1:18" x14ac:dyDescent="0.3">
      <c r="A22" s="227" t="s">
        <v>589</v>
      </c>
      <c r="B22" s="227" t="s">
        <v>141</v>
      </c>
      <c r="C22" s="228">
        <v>95.845500000000001</v>
      </c>
      <c r="D22" s="228">
        <v>400.41639999999995</v>
      </c>
      <c r="E22" s="228">
        <v>2.8649999999999998</v>
      </c>
      <c r="F22" s="228">
        <v>17.100000000000001</v>
      </c>
      <c r="G22" s="228">
        <v>13.265800000000002</v>
      </c>
      <c r="H22" s="228">
        <v>100.89359999999999</v>
      </c>
      <c r="I22" s="228">
        <v>0.16259999999999999</v>
      </c>
      <c r="K22" s="230">
        <f t="shared" si="0"/>
        <v>4.1777276971793142</v>
      </c>
      <c r="L22" s="229">
        <f t="shared" si="1"/>
        <v>2.989185720769363E-2</v>
      </c>
      <c r="M22" s="233">
        <f t="shared" si="2"/>
        <v>0.7757777777777779</v>
      </c>
      <c r="N22" s="230">
        <f t="shared" si="3"/>
        <v>7.6055420705875241</v>
      </c>
      <c r="O22" s="229">
        <f t="shared" si="4"/>
        <v>1.2257082120942571E-2</v>
      </c>
      <c r="Q22" s="239">
        <f>C22/CAR!D$37</f>
        <v>0.22000172635437648</v>
      </c>
      <c r="R22" s="239">
        <f>F22/CAR!D$34</f>
        <v>2.7389051896014736E-2</v>
      </c>
    </row>
    <row r="23" spans="1:18" x14ac:dyDescent="0.3">
      <c r="A23" s="227" t="s">
        <v>299</v>
      </c>
      <c r="B23" s="227" t="s">
        <v>141</v>
      </c>
      <c r="C23" s="228">
        <v>72.912000000000006</v>
      </c>
      <c r="D23" s="228">
        <v>260.33100000000002</v>
      </c>
      <c r="E23" s="228">
        <v>2.0602</v>
      </c>
      <c r="F23" s="228">
        <v>23</v>
      </c>
      <c r="G23" s="228">
        <v>18.207000000000001</v>
      </c>
      <c r="H23" s="228">
        <v>114.8202</v>
      </c>
      <c r="I23" s="228">
        <v>0.36840000000000001</v>
      </c>
      <c r="K23" s="230">
        <f t="shared" si="0"/>
        <v>3.5704822251481239</v>
      </c>
      <c r="L23" s="229">
        <f t="shared" si="1"/>
        <v>2.825597981127935E-2</v>
      </c>
      <c r="M23" s="233">
        <f t="shared" si="2"/>
        <v>0.79160869565217395</v>
      </c>
      <c r="N23" s="230">
        <f t="shared" si="3"/>
        <v>6.3063766683143845</v>
      </c>
      <c r="O23" s="229">
        <f t="shared" si="4"/>
        <v>2.0233975943318504E-2</v>
      </c>
      <c r="Q23" s="239">
        <f>C23/CAR!D$37</f>
        <v>0.16736065722386861</v>
      </c>
      <c r="R23" s="239">
        <f>F23/CAR!D$34</f>
        <v>3.6839075649610462E-2</v>
      </c>
    </row>
    <row r="24" spans="1:18" x14ac:dyDescent="0.3">
      <c r="A24" s="227" t="s">
        <v>745</v>
      </c>
      <c r="B24" s="227" t="s">
        <v>141</v>
      </c>
      <c r="C24" s="228">
        <v>0</v>
      </c>
      <c r="D24" s="228">
        <v>0</v>
      </c>
      <c r="E24" s="228">
        <v>0</v>
      </c>
      <c r="F24" s="228">
        <v>8</v>
      </c>
      <c r="G24" s="228">
        <v>5.15</v>
      </c>
      <c r="H24" s="228">
        <v>31.95</v>
      </c>
      <c r="I24" s="228">
        <v>0.15</v>
      </c>
      <c r="K24" s="230" t="e">
        <f t="shared" si="0"/>
        <v>#DIV/0!</v>
      </c>
      <c r="L24" s="229" t="e">
        <f t="shared" si="1"/>
        <v>#DIV/0!</v>
      </c>
      <c r="M24" s="233">
        <f t="shared" si="2"/>
        <v>0.64375000000000004</v>
      </c>
      <c r="N24" s="230">
        <f t="shared" si="3"/>
        <v>6.2038834951456305</v>
      </c>
      <c r="O24" s="229">
        <f t="shared" si="4"/>
        <v>2.9126213592233007E-2</v>
      </c>
      <c r="Q24" s="239">
        <f>C24/CAR!D$37</f>
        <v>0</v>
      </c>
      <c r="R24" s="239">
        <f>F24/CAR!D$34</f>
        <v>1.281359153029929E-2</v>
      </c>
    </row>
    <row r="25" spans="1:18" x14ac:dyDescent="0.3">
      <c r="A25" s="227" t="s">
        <v>33</v>
      </c>
      <c r="B25" s="227" t="s">
        <v>142</v>
      </c>
      <c r="C25" s="228">
        <v>245.69325000000001</v>
      </c>
      <c r="D25" s="228">
        <v>956.61320000000001</v>
      </c>
      <c r="E25" s="228">
        <v>7.9388000000000005</v>
      </c>
      <c r="F25" s="228">
        <v>71.981307652771392</v>
      </c>
      <c r="G25" s="228">
        <v>48.380600000000001</v>
      </c>
      <c r="H25" s="228">
        <v>343.6268</v>
      </c>
      <c r="I25" s="228">
        <v>1.3136000000000001</v>
      </c>
      <c r="K25" s="230">
        <f t="shared" si="0"/>
        <v>3.8935265824356184</v>
      </c>
      <c r="L25" s="229">
        <f t="shared" si="1"/>
        <v>3.2311835998750475E-2</v>
      </c>
      <c r="M25" s="233">
        <f t="shared" si="2"/>
        <v>0.67212727272727268</v>
      </c>
      <c r="N25" s="230">
        <f t="shared" si="3"/>
        <v>7.1025741722921998</v>
      </c>
      <c r="O25" s="229">
        <f t="shared" si="4"/>
        <v>2.7151378858468064E-2</v>
      </c>
      <c r="Q25" s="239">
        <f>C25/CHI!D$37</f>
        <v>0.50708140997766749</v>
      </c>
      <c r="R25" s="239">
        <f>F25/CHI!D$34</f>
        <v>0.12303114669316111</v>
      </c>
    </row>
    <row r="26" spans="1:18" x14ac:dyDescent="0.3">
      <c r="A26" s="227" t="s">
        <v>301</v>
      </c>
      <c r="B26" s="227" t="s">
        <v>142</v>
      </c>
      <c r="C26" s="228">
        <v>93.895499999999998</v>
      </c>
      <c r="D26" s="228">
        <v>413.38359999999994</v>
      </c>
      <c r="E26" s="228">
        <v>2.4264000000000001</v>
      </c>
      <c r="F26" s="228">
        <v>27.270430383855874</v>
      </c>
      <c r="G26" s="228">
        <v>18.3292</v>
      </c>
      <c r="H26" s="228">
        <v>125.33340000000001</v>
      </c>
      <c r="I26" s="228">
        <v>0.45679999999999998</v>
      </c>
      <c r="K26" s="230">
        <f t="shared" si="0"/>
        <v>4.4025922435047464</v>
      </c>
      <c r="L26" s="229">
        <f t="shared" si="1"/>
        <v>2.5841494001309969E-2</v>
      </c>
      <c r="M26" s="233">
        <f t="shared" si="2"/>
        <v>0.67212727272727268</v>
      </c>
      <c r="N26" s="230">
        <f t="shared" si="3"/>
        <v>6.837908910372521</v>
      </c>
      <c r="O26" s="229">
        <f t="shared" si="4"/>
        <v>2.492198241057984E-2</v>
      </c>
      <c r="Q26" s="239">
        <f>C26/CHI!D$37</f>
        <v>0.19378905415821587</v>
      </c>
      <c r="R26" s="239">
        <f>F26/CHI!D$34</f>
        <v>4.6610883163257351E-2</v>
      </c>
    </row>
    <row r="27" spans="1:18" x14ac:dyDescent="0.3">
      <c r="A27" s="227" t="s">
        <v>744</v>
      </c>
      <c r="B27" s="227" t="s">
        <v>142</v>
      </c>
      <c r="C27" s="228">
        <v>16.899999999999999</v>
      </c>
      <c r="D27" s="228">
        <v>75.333333333333329</v>
      </c>
      <c r="E27" s="228">
        <v>0.33333333333333331</v>
      </c>
      <c r="F27" s="228">
        <v>7.7876984126984121</v>
      </c>
      <c r="G27" s="228">
        <v>5.2333333333333334</v>
      </c>
      <c r="H27" s="228">
        <v>40</v>
      </c>
      <c r="I27" s="228">
        <v>0.19999999999999998</v>
      </c>
      <c r="K27" s="230">
        <f t="shared" si="0"/>
        <v>4.4575936883629188</v>
      </c>
      <c r="L27" s="229">
        <f t="shared" si="1"/>
        <v>1.9723865877712032E-2</v>
      </c>
      <c r="M27" s="233">
        <f t="shared" si="2"/>
        <v>0.67200000000000004</v>
      </c>
      <c r="N27" s="230">
        <f t="shared" si="3"/>
        <v>7.6433121019108281</v>
      </c>
      <c r="O27" s="229">
        <f t="shared" si="4"/>
        <v>3.8216560509554139E-2</v>
      </c>
      <c r="Q27" s="239">
        <f>C27/CHI!D$37</f>
        <v>3.4879573731156958E-2</v>
      </c>
      <c r="R27" s="239">
        <f>F27/CHI!D$34</f>
        <v>1.3310809390080686E-2</v>
      </c>
    </row>
    <row r="28" spans="1:18" x14ac:dyDescent="0.3">
      <c r="A28" s="227" t="s">
        <v>229</v>
      </c>
      <c r="B28" s="227" t="s">
        <v>142</v>
      </c>
      <c r="C28" s="228">
        <v>17.061666666666667</v>
      </c>
      <c r="D28" s="228">
        <v>68.739499999999992</v>
      </c>
      <c r="E28" s="228">
        <v>0.58224999999999993</v>
      </c>
      <c r="F28" s="228">
        <v>9.6190476190476186</v>
      </c>
      <c r="G28" s="228">
        <v>6.4640000000000004</v>
      </c>
      <c r="H28" s="228">
        <v>41.456500000000005</v>
      </c>
      <c r="I28" s="228">
        <v>7.5000000000000011E-2</v>
      </c>
      <c r="K28" s="230">
        <f t="shared" si="0"/>
        <v>4.028885415649115</v>
      </c>
      <c r="L28" s="229">
        <f t="shared" si="1"/>
        <v>3.4126208850249092E-2</v>
      </c>
      <c r="M28" s="233">
        <f t="shared" si="2"/>
        <v>0.67200000000000004</v>
      </c>
      <c r="N28" s="230">
        <f t="shared" si="3"/>
        <v>6.4134436881188126</v>
      </c>
      <c r="O28" s="229">
        <f t="shared" si="4"/>
        <v>1.1602722772277229E-2</v>
      </c>
      <c r="Q28" s="239">
        <f>C28/CHI!D$37</f>
        <v>3.5213234347717337E-2</v>
      </c>
      <c r="R28" s="239">
        <f>F28/CHI!D$34</f>
        <v>1.6440969152385011E-2</v>
      </c>
    </row>
    <row r="29" spans="1:18" x14ac:dyDescent="0.3">
      <c r="A29" s="227" t="s">
        <v>743</v>
      </c>
      <c r="B29" s="227" t="s">
        <v>142</v>
      </c>
      <c r="C29" s="228">
        <v>0</v>
      </c>
      <c r="D29" s="228">
        <v>0</v>
      </c>
      <c r="E29" s="228">
        <v>0</v>
      </c>
      <c r="F29" s="228">
        <v>7.5</v>
      </c>
      <c r="G29" s="228">
        <v>4.333333333333333</v>
      </c>
      <c r="H29" s="228">
        <v>29.366666666666664</v>
      </c>
      <c r="I29" s="228">
        <v>0.13333333333333333</v>
      </c>
      <c r="K29" s="230" t="e">
        <f t="shared" si="0"/>
        <v>#DIV/0!</v>
      </c>
      <c r="L29" s="229" t="e">
        <f t="shared" si="1"/>
        <v>#DIV/0!</v>
      </c>
      <c r="M29" s="233">
        <f t="shared" si="2"/>
        <v>0.57777777777777772</v>
      </c>
      <c r="N29" s="230">
        <f t="shared" si="3"/>
        <v>6.7769230769230768</v>
      </c>
      <c r="O29" s="229">
        <f t="shared" si="4"/>
        <v>3.0769230769230771E-2</v>
      </c>
      <c r="Q29" s="239">
        <f>C29/CHI!D$37</f>
        <v>0</v>
      </c>
      <c r="R29" s="239">
        <f>F29/CHI!D$34</f>
        <v>1.2819072482676433E-2</v>
      </c>
    </row>
    <row r="30" spans="1:18" x14ac:dyDescent="0.3">
      <c r="A30" s="227" t="s">
        <v>39</v>
      </c>
      <c r="B30" s="227" t="s">
        <v>144</v>
      </c>
      <c r="C30" s="228">
        <v>270.10249999999996</v>
      </c>
      <c r="D30" s="228">
        <v>1123.9712</v>
      </c>
      <c r="E30" s="228">
        <v>10.180000000000001</v>
      </c>
      <c r="F30" s="228">
        <v>55.9</v>
      </c>
      <c r="G30" s="228">
        <v>43.742600000000003</v>
      </c>
      <c r="H30" s="228">
        <v>293.68619999999999</v>
      </c>
      <c r="I30" s="228">
        <v>2.4262000000000001</v>
      </c>
      <c r="K30" s="230">
        <f t="shared" si="0"/>
        <v>4.1612765524199151</v>
      </c>
      <c r="L30" s="229">
        <f t="shared" si="1"/>
        <v>3.7689395692376053E-2</v>
      </c>
      <c r="M30" s="233">
        <f t="shared" si="2"/>
        <v>0.78251520572450817</v>
      </c>
      <c r="N30" s="230">
        <f t="shared" si="3"/>
        <v>6.7139630474640271</v>
      </c>
      <c r="O30" s="229">
        <f t="shared" si="4"/>
        <v>5.5465381573111795E-2</v>
      </c>
      <c r="Q30" s="239">
        <f>C30/CIN!D$37</f>
        <v>0.63153422021022654</v>
      </c>
      <c r="R30" s="239">
        <f>F30/CIN!D$34</f>
        <v>8.9334596610827585E-2</v>
      </c>
    </row>
    <row r="31" spans="1:18" x14ac:dyDescent="0.3">
      <c r="A31" s="227" t="s">
        <v>302</v>
      </c>
      <c r="B31" s="227" t="s">
        <v>144</v>
      </c>
      <c r="C31" s="228">
        <v>66.868500000000012</v>
      </c>
      <c r="D31" s="228">
        <v>294.18400000000003</v>
      </c>
      <c r="E31" s="228">
        <v>1.552</v>
      </c>
      <c r="F31" s="228">
        <v>36.749404761904756</v>
      </c>
      <c r="G31" s="228">
        <v>24.695599999999999</v>
      </c>
      <c r="H31" s="228">
        <v>167.80080000000001</v>
      </c>
      <c r="I31" s="228">
        <v>0.94660000000000011</v>
      </c>
      <c r="K31" s="230">
        <f t="shared" si="0"/>
        <v>4.399440693301031</v>
      </c>
      <c r="L31" s="229">
        <f t="shared" si="1"/>
        <v>2.3209732534751039E-2</v>
      </c>
      <c r="M31" s="233">
        <f t="shared" si="2"/>
        <v>0.67200000000000004</v>
      </c>
      <c r="N31" s="230">
        <f t="shared" si="3"/>
        <v>6.7947650593628017</v>
      </c>
      <c r="O31" s="229">
        <f t="shared" si="4"/>
        <v>3.833071478320025E-2</v>
      </c>
      <c r="Q31" s="239">
        <f>C31/CIN!D$37</f>
        <v>0.15634711268547141</v>
      </c>
      <c r="R31" s="239">
        <f>F31/CIN!D$34</f>
        <v>5.8729754026704613E-2</v>
      </c>
    </row>
    <row r="32" spans="1:18" x14ac:dyDescent="0.3">
      <c r="A32" s="227" t="s">
        <v>303</v>
      </c>
      <c r="B32" s="227" t="s">
        <v>144</v>
      </c>
      <c r="C32" s="228">
        <v>31.988</v>
      </c>
      <c r="D32" s="228">
        <v>132.40525</v>
      </c>
      <c r="E32" s="228">
        <v>0.65499999999999992</v>
      </c>
      <c r="F32" s="228">
        <v>28</v>
      </c>
      <c r="G32" s="228">
        <v>18.03575</v>
      </c>
      <c r="H32" s="228">
        <v>139.80725000000001</v>
      </c>
      <c r="I32" s="228">
        <v>0.93325000000000002</v>
      </c>
      <c r="K32" s="230">
        <f t="shared" si="0"/>
        <v>4.139216268600725</v>
      </c>
      <c r="L32" s="229">
        <f t="shared" si="1"/>
        <v>2.0476428660747777E-2</v>
      </c>
      <c r="M32" s="233">
        <f t="shared" si="2"/>
        <v>0.64413392857142859</v>
      </c>
      <c r="N32" s="230">
        <f t="shared" si="3"/>
        <v>7.7516737590618634</v>
      </c>
      <c r="O32" s="229">
        <f t="shared" si="4"/>
        <v>5.1744451991184173E-2</v>
      </c>
      <c r="Q32" s="239">
        <f>C32/CIN!D$37</f>
        <v>7.479203871154369E-2</v>
      </c>
      <c r="R32" s="239">
        <f>F32/CIN!D$34</f>
        <v>4.4747204026890385E-2</v>
      </c>
    </row>
    <row r="33" spans="1:18" x14ac:dyDescent="0.3">
      <c r="A33" s="227" t="s">
        <v>742</v>
      </c>
      <c r="B33" s="227" t="s">
        <v>144</v>
      </c>
      <c r="C33" s="228">
        <v>12.351999999999999</v>
      </c>
      <c r="D33" s="228">
        <v>52.670749999999998</v>
      </c>
      <c r="E33" s="228">
        <v>0.14499999999999999</v>
      </c>
      <c r="F33" s="228">
        <v>7</v>
      </c>
      <c r="G33" s="228">
        <v>4.1385000000000005</v>
      </c>
      <c r="H33" s="228">
        <v>26.168999999999997</v>
      </c>
      <c r="I33" s="228">
        <v>7.5000000000000011E-2</v>
      </c>
      <c r="K33" s="230">
        <f t="shared" si="0"/>
        <v>4.2641475064766841</v>
      </c>
      <c r="L33" s="229">
        <f t="shared" si="1"/>
        <v>1.17389896373057E-2</v>
      </c>
      <c r="M33" s="233">
        <f t="shared" si="2"/>
        <v>0.5912142857142858</v>
      </c>
      <c r="N33" s="230">
        <f t="shared" si="3"/>
        <v>6.3233055454874938</v>
      </c>
      <c r="O33" s="229">
        <f t="shared" si="4"/>
        <v>1.8122508155128669E-2</v>
      </c>
      <c r="Q33" s="239">
        <f>C33/CIN!D$37</f>
        <v>2.8880557151587705E-2</v>
      </c>
      <c r="R33" s="239">
        <f>F33/CIN!D$34</f>
        <v>1.1186801006722596E-2</v>
      </c>
    </row>
    <row r="34" spans="1:18" x14ac:dyDescent="0.3">
      <c r="A34" s="227" t="s">
        <v>42</v>
      </c>
      <c r="B34" s="227" t="s">
        <v>145</v>
      </c>
      <c r="C34" s="228">
        <v>229.57375000000002</v>
      </c>
      <c r="D34" s="228">
        <v>1224.6314</v>
      </c>
      <c r="E34" s="228">
        <v>7.258799999999999</v>
      </c>
      <c r="F34" s="228">
        <v>39.100035166499858</v>
      </c>
      <c r="G34" s="228">
        <v>26.280200000000001</v>
      </c>
      <c r="H34" s="228">
        <v>215.37299999999999</v>
      </c>
      <c r="I34" s="228">
        <v>1.1072</v>
      </c>
      <c r="K34" s="230">
        <f t="shared" si="0"/>
        <v>5.3343703276180303</v>
      </c>
      <c r="L34" s="229">
        <f t="shared" si="1"/>
        <v>3.1618597509514908E-2</v>
      </c>
      <c r="M34" s="233">
        <f t="shared" si="2"/>
        <v>0.67212727272727268</v>
      </c>
      <c r="N34" s="230">
        <f t="shared" si="3"/>
        <v>8.195257265926438</v>
      </c>
      <c r="O34" s="229">
        <f t="shared" si="4"/>
        <v>4.213057739286611E-2</v>
      </c>
      <c r="Q34" s="239">
        <f>C34/CLE!D$37</f>
        <v>0.46393966267891606</v>
      </c>
      <c r="R34" s="239">
        <f>F34/CLE!D$34</f>
        <v>7.0635739814046167E-2</v>
      </c>
    </row>
    <row r="35" spans="1:18" x14ac:dyDescent="0.3">
      <c r="A35" s="227" t="s">
        <v>43</v>
      </c>
      <c r="B35" s="227" t="s">
        <v>145</v>
      </c>
      <c r="C35" s="228">
        <v>118.88575</v>
      </c>
      <c r="D35" s="228">
        <v>569.36239999999998</v>
      </c>
      <c r="E35" s="228">
        <v>4.6432000000000002</v>
      </c>
      <c r="F35" s="228">
        <v>62</v>
      </c>
      <c r="G35" s="228">
        <v>43.607999999999997</v>
      </c>
      <c r="H35" s="228">
        <v>343.79820000000001</v>
      </c>
      <c r="I35" s="228">
        <v>1.5710000000000002</v>
      </c>
      <c r="K35" s="230">
        <f t="shared" ref="K35:K66" si="10">D35/C35</f>
        <v>4.7891559753797237</v>
      </c>
      <c r="L35" s="229">
        <f t="shared" ref="L35:L66" si="11">E35/C35</f>
        <v>3.9055984422018623E-2</v>
      </c>
      <c r="M35" s="233">
        <f t="shared" ref="M35:M66" si="12">G35/F35</f>
        <v>0.70335483870967741</v>
      </c>
      <c r="N35" s="230">
        <f t="shared" ref="N35:N66" si="13">H35/G35</f>
        <v>7.8838332416070456</v>
      </c>
      <c r="O35" s="229">
        <f t="shared" ref="O35:O66" si="14">I35/G35</f>
        <v>3.6025499908273716E-2</v>
      </c>
      <c r="Q35" s="239">
        <f>C35/CLE!D$37</f>
        <v>0.24025314197433262</v>
      </c>
      <c r="R35" s="239">
        <f>F35/CLE!D$34</f>
        <v>0.1120054201951987</v>
      </c>
    </row>
    <row r="36" spans="1:18" x14ac:dyDescent="0.3">
      <c r="A36" s="227" t="s">
        <v>241</v>
      </c>
      <c r="B36" s="227" t="s">
        <v>145</v>
      </c>
      <c r="C36" s="228">
        <v>37.72925</v>
      </c>
      <c r="D36" s="228">
        <v>197.4144</v>
      </c>
      <c r="E36" s="228">
        <v>1.1940000000000002</v>
      </c>
      <c r="F36" s="228">
        <v>14.000000000000002</v>
      </c>
      <c r="G36" s="228">
        <v>9.1123999999999992</v>
      </c>
      <c r="H36" s="228">
        <v>68.605199999999996</v>
      </c>
      <c r="I36" s="228">
        <v>0.1038</v>
      </c>
      <c r="K36" s="230">
        <f t="shared" si="10"/>
        <v>5.2323966153581107</v>
      </c>
      <c r="L36" s="229">
        <f t="shared" si="11"/>
        <v>3.1646534187666074E-2</v>
      </c>
      <c r="M36" s="233">
        <f t="shared" si="12"/>
        <v>0.65088571428571418</v>
      </c>
      <c r="N36" s="230">
        <f t="shared" si="13"/>
        <v>7.5287739783152627</v>
      </c>
      <c r="O36" s="229">
        <f t="shared" si="14"/>
        <v>1.1391071506957553E-2</v>
      </c>
      <c r="Q36" s="239">
        <f>C36/CLE!D$37</f>
        <v>7.6246066974680227E-2</v>
      </c>
      <c r="R36" s="239">
        <f>F36/CLE!D$34</f>
        <v>2.5291546495690032E-2</v>
      </c>
    </row>
    <row r="37" spans="1:18" x14ac:dyDescent="0.3">
      <c r="A37" s="227" t="s">
        <v>642</v>
      </c>
      <c r="B37" s="227" t="s">
        <v>145</v>
      </c>
      <c r="C37" s="228">
        <v>17</v>
      </c>
      <c r="D37" s="228">
        <v>74.349999999999994</v>
      </c>
      <c r="E37" s="228">
        <v>0.35</v>
      </c>
      <c r="F37" s="228">
        <v>4.3146590202072117</v>
      </c>
      <c r="G37" s="228">
        <v>2.9</v>
      </c>
      <c r="H37" s="228">
        <v>23.75</v>
      </c>
      <c r="I37" s="228">
        <v>0</v>
      </c>
      <c r="K37" s="230">
        <f t="shared" si="10"/>
        <v>4.3735294117647054</v>
      </c>
      <c r="L37" s="229">
        <f t="shared" si="11"/>
        <v>2.0588235294117647E-2</v>
      </c>
      <c r="M37" s="233">
        <f t="shared" si="12"/>
        <v>0.67212727272727268</v>
      </c>
      <c r="N37" s="230">
        <f t="shared" si="13"/>
        <v>8.1896551724137936</v>
      </c>
      <c r="O37" s="229">
        <f t="shared" si="14"/>
        <v>0</v>
      </c>
      <c r="Q37" s="239">
        <f>C37/CLE!D$37</f>
        <v>3.4354860978407037E-2</v>
      </c>
      <c r="R37" s="239">
        <f>F37/CLE!D$34</f>
        <v>7.7945999444727909E-3</v>
      </c>
    </row>
    <row r="38" spans="1:18" x14ac:dyDescent="0.3">
      <c r="A38" s="227" t="s">
        <v>741</v>
      </c>
      <c r="B38" s="227" t="s">
        <v>145</v>
      </c>
      <c r="C38" s="228">
        <v>6.05</v>
      </c>
      <c r="D38" s="228">
        <v>30.333333333333332</v>
      </c>
      <c r="E38" s="228">
        <v>0</v>
      </c>
      <c r="F38" s="228">
        <v>10.416666666666666</v>
      </c>
      <c r="G38" s="228">
        <v>7</v>
      </c>
      <c r="H38" s="228">
        <v>45.6</v>
      </c>
      <c r="I38" s="228">
        <v>0.4</v>
      </c>
      <c r="K38" s="230">
        <f t="shared" si="10"/>
        <v>5.0137741046831952</v>
      </c>
      <c r="L38" s="229">
        <f t="shared" si="11"/>
        <v>0</v>
      </c>
      <c r="M38" s="233">
        <f t="shared" si="12"/>
        <v>0.67200000000000004</v>
      </c>
      <c r="N38" s="230">
        <f t="shared" si="13"/>
        <v>6.5142857142857142</v>
      </c>
      <c r="O38" s="229">
        <f t="shared" si="14"/>
        <v>5.7142857142857148E-2</v>
      </c>
      <c r="Q38" s="239">
        <f>C38/CLE!D$37</f>
        <v>1.2226288759962504E-2</v>
      </c>
      <c r="R38" s="239">
        <f>F38/CLE!D$34</f>
        <v>1.8818114952150317E-2</v>
      </c>
    </row>
    <row r="39" spans="1:18" x14ac:dyDescent="0.3">
      <c r="A39" s="227" t="s">
        <v>304</v>
      </c>
      <c r="B39" s="227" t="s">
        <v>145</v>
      </c>
      <c r="C39" s="228">
        <v>4.3666666666666663</v>
      </c>
      <c r="D39" s="228">
        <v>19.5</v>
      </c>
      <c r="E39" s="228">
        <v>2.5000000000000001E-2</v>
      </c>
      <c r="F39" s="228">
        <v>20.879464285714281</v>
      </c>
      <c r="G39" s="228">
        <v>14.030999999999999</v>
      </c>
      <c r="H39" s="228">
        <v>131.4</v>
      </c>
      <c r="I39" s="228">
        <v>0.97375000000000012</v>
      </c>
      <c r="K39" s="230">
        <f t="shared" si="10"/>
        <v>4.4656488549618327</v>
      </c>
      <c r="L39" s="229">
        <f t="shared" si="11"/>
        <v>5.7251908396946573E-3</v>
      </c>
      <c r="M39" s="233">
        <f t="shared" si="12"/>
        <v>0.67200000000000004</v>
      </c>
      <c r="N39" s="230">
        <f t="shared" si="13"/>
        <v>9.3649775497113552</v>
      </c>
      <c r="O39" s="229">
        <f t="shared" si="14"/>
        <v>6.9399900220939365E-2</v>
      </c>
      <c r="Q39" s="239">
        <f>C39/CLE!D$37</f>
        <v>8.8244838983751409E-3</v>
      </c>
      <c r="R39" s="239">
        <f>F39/CLE!D$34</f>
        <v>3.7719567270517292E-2</v>
      </c>
    </row>
    <row r="40" spans="1:18" x14ac:dyDescent="0.3">
      <c r="A40" s="227" t="s">
        <v>48</v>
      </c>
      <c r="B40" s="227" t="s">
        <v>146</v>
      </c>
      <c r="C40" s="228">
        <v>212.44374999999999</v>
      </c>
      <c r="D40" s="228">
        <v>886.0995999999999</v>
      </c>
      <c r="E40" s="228">
        <v>8.541599999999999</v>
      </c>
      <c r="F40" s="228">
        <v>59.044642857142847</v>
      </c>
      <c r="G40" s="228">
        <v>39.677999999999997</v>
      </c>
      <c r="H40" s="228">
        <v>244.738</v>
      </c>
      <c r="I40" s="228">
        <v>1.5544</v>
      </c>
      <c r="K40" s="230">
        <f t="shared" si="10"/>
        <v>4.1709845547350763</v>
      </c>
      <c r="L40" s="229">
        <f t="shared" si="11"/>
        <v>4.0206407578476655E-2</v>
      </c>
      <c r="M40" s="233">
        <f t="shared" si="12"/>
        <v>0.67200000000000004</v>
      </c>
      <c r="N40" s="230">
        <f t="shared" si="13"/>
        <v>6.1681032310096278</v>
      </c>
      <c r="O40" s="229">
        <f t="shared" si="14"/>
        <v>3.9175361661374065E-2</v>
      </c>
      <c r="Q40" s="239">
        <f>C40/DAL!D$37</f>
        <v>0.45109044156991307</v>
      </c>
      <c r="R40" s="239">
        <f>F40/DAL!D$34</f>
        <v>9.0414494057280748E-2</v>
      </c>
    </row>
    <row r="41" spans="1:18" x14ac:dyDescent="0.3">
      <c r="A41" s="227" t="s">
        <v>49</v>
      </c>
      <c r="B41" s="227" t="s">
        <v>146</v>
      </c>
      <c r="C41" s="228">
        <v>135.13900000000001</v>
      </c>
      <c r="D41" s="228">
        <v>694.96839999999997</v>
      </c>
      <c r="E41" s="228">
        <v>3.0867999999999998</v>
      </c>
      <c r="F41" s="228">
        <v>59.994589769253658</v>
      </c>
      <c r="G41" s="228">
        <v>40.323999999999998</v>
      </c>
      <c r="H41" s="228">
        <v>300.12580000000003</v>
      </c>
      <c r="I41" s="228">
        <v>1.1544000000000001</v>
      </c>
      <c r="K41" s="230">
        <f t="shared" si="10"/>
        <v>5.1426190810942805</v>
      </c>
      <c r="L41" s="229">
        <f t="shared" si="11"/>
        <v>2.2841666728331565E-2</v>
      </c>
      <c r="M41" s="233">
        <f t="shared" si="12"/>
        <v>0.67212727272727268</v>
      </c>
      <c r="N41" s="230">
        <f t="shared" si="13"/>
        <v>7.4428578514036312</v>
      </c>
      <c r="O41" s="229">
        <f t="shared" si="14"/>
        <v>2.8628112290447379E-2</v>
      </c>
      <c r="Q41" s="239">
        <f>C41/DAL!D$37</f>
        <v>0.28694612660206048</v>
      </c>
      <c r="R41" s="239">
        <f>F41/DAL!D$34</f>
        <v>9.1869138632701103E-2</v>
      </c>
    </row>
    <row r="42" spans="1:18" x14ac:dyDescent="0.3">
      <c r="A42" s="227" t="s">
        <v>740</v>
      </c>
      <c r="B42" s="227" t="s">
        <v>146</v>
      </c>
      <c r="C42" s="228">
        <v>109</v>
      </c>
      <c r="D42" s="228">
        <v>299.64999999999998</v>
      </c>
      <c r="E42" s="228">
        <v>2</v>
      </c>
      <c r="F42" s="228">
        <v>14.803743879676468</v>
      </c>
      <c r="G42" s="228">
        <v>9.9499999999999993</v>
      </c>
      <c r="H42" s="228">
        <v>62.7</v>
      </c>
      <c r="I42" s="228">
        <v>0.6</v>
      </c>
      <c r="K42" s="230">
        <f t="shared" si="10"/>
        <v>2.749082568807339</v>
      </c>
      <c r="L42" s="229">
        <f t="shared" si="11"/>
        <v>1.834862385321101E-2</v>
      </c>
      <c r="M42" s="233">
        <f t="shared" si="12"/>
        <v>0.67212727272727268</v>
      </c>
      <c r="N42" s="230">
        <f t="shared" si="13"/>
        <v>6.3015075376884431</v>
      </c>
      <c r="O42" s="229">
        <f t="shared" si="14"/>
        <v>6.0301507537688447E-2</v>
      </c>
      <c r="Q42" s="239">
        <f>C42/DAL!D$37</f>
        <v>0.23144412641520651</v>
      </c>
      <c r="R42" s="239">
        <f>F42/DAL!D$34</f>
        <v>2.2668830706164468E-2</v>
      </c>
    </row>
    <row r="43" spans="1:18" x14ac:dyDescent="0.3">
      <c r="A43" s="227" t="s">
        <v>739</v>
      </c>
      <c r="B43" s="227" t="s">
        <v>146</v>
      </c>
      <c r="C43" s="228">
        <v>26.882666666666665</v>
      </c>
      <c r="D43" s="228">
        <v>107.94649999999999</v>
      </c>
      <c r="E43" s="228">
        <v>0.7955000000000001</v>
      </c>
      <c r="F43" s="228">
        <v>5.2</v>
      </c>
      <c r="G43" s="228">
        <v>4.6749999999999998</v>
      </c>
      <c r="H43" s="228">
        <v>29.774999999999999</v>
      </c>
      <c r="I43" s="228">
        <v>0.1</v>
      </c>
      <c r="K43" s="230">
        <f t="shared" si="10"/>
        <v>4.0154684555103657</v>
      </c>
      <c r="L43" s="229">
        <f t="shared" si="11"/>
        <v>2.9591558377145128E-2</v>
      </c>
      <c r="M43" s="233">
        <f t="shared" si="12"/>
        <v>0.89903846153846145</v>
      </c>
      <c r="N43" s="230">
        <f t="shared" si="13"/>
        <v>6.3689839572192515</v>
      </c>
      <c r="O43" s="229">
        <f t="shared" si="14"/>
        <v>2.1390374331550804E-2</v>
      </c>
      <c r="Q43" s="239">
        <f>C43/DAL!D$37</f>
        <v>5.7081057819980345E-2</v>
      </c>
      <c r="R43" s="239">
        <f>F43/DAL!D$34</f>
        <v>7.9627100164766859E-3</v>
      </c>
    </row>
    <row r="44" spans="1:18" x14ac:dyDescent="0.3">
      <c r="A44" s="227" t="s">
        <v>738</v>
      </c>
      <c r="B44" s="227" t="s">
        <v>146</v>
      </c>
      <c r="C44" s="228">
        <v>12.8</v>
      </c>
      <c r="D44" s="228">
        <v>54.699999999999996</v>
      </c>
      <c r="E44" s="228">
        <v>0.33333333333333331</v>
      </c>
      <c r="F44" s="228">
        <v>3.6203460744267408</v>
      </c>
      <c r="G44" s="228">
        <v>2.4333333333333331</v>
      </c>
      <c r="H44" s="228">
        <v>15.766666666666666</v>
      </c>
      <c r="I44" s="228">
        <v>6.6666666666666666E-2</v>
      </c>
      <c r="K44" s="230">
        <f t="shared" si="10"/>
        <v>4.2734374999999991</v>
      </c>
      <c r="L44" s="229">
        <f t="shared" si="11"/>
        <v>2.6041666666666664E-2</v>
      </c>
      <c r="M44" s="233">
        <f t="shared" si="12"/>
        <v>0.67212727272727268</v>
      </c>
      <c r="N44" s="230">
        <f t="shared" si="13"/>
        <v>6.4794520547945211</v>
      </c>
      <c r="O44" s="229">
        <f t="shared" si="14"/>
        <v>2.7397260273972605E-2</v>
      </c>
      <c r="Q44" s="239">
        <f>C44/DAL!D$37</f>
        <v>2.7178759799216912E-2</v>
      </c>
      <c r="R44" s="239">
        <f>F44/DAL!D$34</f>
        <v>5.5438011442211256E-3</v>
      </c>
    </row>
    <row r="45" spans="1:18" x14ac:dyDescent="0.3">
      <c r="A45" s="227" t="s">
        <v>305</v>
      </c>
      <c r="B45" s="227" t="s">
        <v>147</v>
      </c>
      <c r="C45" s="228">
        <v>207.39525</v>
      </c>
      <c r="D45" s="228">
        <v>919.13640000000009</v>
      </c>
      <c r="E45" s="228">
        <v>6.3724000000000007</v>
      </c>
      <c r="F45" s="228">
        <v>69.457142857142856</v>
      </c>
      <c r="G45" s="228">
        <v>46.675200000000004</v>
      </c>
      <c r="H45" s="228">
        <v>321.70760000000001</v>
      </c>
      <c r="I45" s="228">
        <v>2.7640000000000002</v>
      </c>
      <c r="K45" s="230">
        <f t="shared" si="10"/>
        <v>4.4318102753076554</v>
      </c>
      <c r="L45" s="229">
        <f t="shared" si="11"/>
        <v>3.0725872458506165E-2</v>
      </c>
      <c r="M45" s="233">
        <f t="shared" si="12"/>
        <v>0.67200000000000004</v>
      </c>
      <c r="N45" s="230">
        <f t="shared" si="13"/>
        <v>6.8924739476210064</v>
      </c>
      <c r="O45" s="229">
        <f t="shared" si="14"/>
        <v>5.9217743041272454E-2</v>
      </c>
      <c r="Q45" s="239">
        <f>C45/DEN!D$37</f>
        <v>0.45802309876197983</v>
      </c>
      <c r="R45" s="239">
        <f>F45/DEN!D$34</f>
        <v>0.11761935351323084</v>
      </c>
    </row>
    <row r="46" spans="1:18" x14ac:dyDescent="0.3">
      <c r="A46" s="227" t="s">
        <v>737</v>
      </c>
      <c r="B46" s="227" t="s">
        <v>147</v>
      </c>
      <c r="C46" s="228">
        <v>156.66125</v>
      </c>
      <c r="D46" s="228">
        <v>699.53359999999998</v>
      </c>
      <c r="E46" s="228">
        <v>6.1785999999999994</v>
      </c>
      <c r="F46" s="228">
        <v>34</v>
      </c>
      <c r="G46" s="228">
        <v>24.593200000000003</v>
      </c>
      <c r="H46" s="228">
        <v>167.01619999999997</v>
      </c>
      <c r="I46" s="228">
        <v>1.1114000000000002</v>
      </c>
      <c r="K46" s="230">
        <f t="shared" si="10"/>
        <v>4.4652624691811154</v>
      </c>
      <c r="L46" s="229">
        <f t="shared" si="11"/>
        <v>3.9439235931029527E-2</v>
      </c>
      <c r="M46" s="233">
        <f t="shared" si="12"/>
        <v>0.723329411764706</v>
      </c>
      <c r="N46" s="230">
        <f t="shared" si="13"/>
        <v>6.7911536522290694</v>
      </c>
      <c r="O46" s="229">
        <f t="shared" si="14"/>
        <v>4.5191353707528914E-2</v>
      </c>
      <c r="Q46" s="239">
        <f>C46/DEN!D$37</f>
        <v>0.34597933742901638</v>
      </c>
      <c r="R46" s="239">
        <f>F46/DEN!D$34</f>
        <v>5.757590731416895E-2</v>
      </c>
    </row>
    <row r="47" spans="1:18" x14ac:dyDescent="0.3">
      <c r="A47" s="227" t="s">
        <v>196</v>
      </c>
      <c r="B47" s="227" t="s">
        <v>147</v>
      </c>
      <c r="C47" s="228">
        <v>16.048999999999999</v>
      </c>
      <c r="D47" s="228">
        <v>91.907000000000011</v>
      </c>
      <c r="E47" s="228">
        <v>0.375</v>
      </c>
      <c r="F47" s="228">
        <v>4.0550595238095237</v>
      </c>
      <c r="G47" s="228">
        <v>2.7250000000000001</v>
      </c>
      <c r="H47" s="228">
        <v>17.100000000000001</v>
      </c>
      <c r="I47" s="228">
        <v>2.5000000000000001E-2</v>
      </c>
      <c r="K47" s="230">
        <f t="shared" si="10"/>
        <v>5.7266496354913086</v>
      </c>
      <c r="L47" s="229">
        <f t="shared" si="11"/>
        <v>2.3365941803227618E-2</v>
      </c>
      <c r="M47" s="233">
        <f t="shared" si="12"/>
        <v>0.67200000000000004</v>
      </c>
      <c r="N47" s="230">
        <f t="shared" si="13"/>
        <v>6.2752293577981657</v>
      </c>
      <c r="O47" s="229">
        <f t="shared" si="14"/>
        <v>9.1743119266055051E-3</v>
      </c>
      <c r="Q47" s="239">
        <f>C47/DEN!D$37</f>
        <v>3.5443495991499388E-2</v>
      </c>
      <c r="R47" s="239">
        <f>F47/DEN!D$34</f>
        <v>6.8668744498910353E-3</v>
      </c>
    </row>
    <row r="48" spans="1:18" x14ac:dyDescent="0.3">
      <c r="A48" s="227" t="s">
        <v>242</v>
      </c>
      <c r="B48" s="227" t="s">
        <v>148</v>
      </c>
      <c r="C48" s="228">
        <v>188.60750000000002</v>
      </c>
      <c r="D48" s="228">
        <v>804.50399999999991</v>
      </c>
      <c r="E48" s="228">
        <v>6.1528000000000009</v>
      </c>
      <c r="F48" s="228">
        <v>100.48690476190477</v>
      </c>
      <c r="G48" s="228">
        <v>67.527200000000008</v>
      </c>
      <c r="H48" s="228">
        <v>507.33360000000005</v>
      </c>
      <c r="I48" s="228">
        <v>3.0244</v>
      </c>
      <c r="K48" s="230">
        <f t="shared" si="10"/>
        <v>4.2654931537717209</v>
      </c>
      <c r="L48" s="229">
        <f t="shared" si="11"/>
        <v>3.2622244608512388E-2</v>
      </c>
      <c r="M48" s="233">
        <f t="shared" si="12"/>
        <v>0.67200000000000004</v>
      </c>
      <c r="N48" s="230">
        <f t="shared" si="13"/>
        <v>7.5130258621710952</v>
      </c>
      <c r="O48" s="229">
        <f t="shared" si="14"/>
        <v>4.4787878069874061E-2</v>
      </c>
      <c r="Q48" s="239">
        <f>C48/DET!D$37</f>
        <v>0.47023831458131088</v>
      </c>
      <c r="R48" s="239">
        <f>F48/DET!D$34</f>
        <v>0.15883595779057669</v>
      </c>
    </row>
    <row r="49" spans="1:18" x14ac:dyDescent="0.3">
      <c r="A49" s="227" t="s">
        <v>243</v>
      </c>
      <c r="B49" s="227" t="s">
        <v>148</v>
      </c>
      <c r="C49" s="228">
        <v>150.65575000000001</v>
      </c>
      <c r="D49" s="228">
        <v>598.43200000000002</v>
      </c>
      <c r="E49" s="228">
        <v>3.7597999999999998</v>
      </c>
      <c r="F49" s="228">
        <v>36.905654761904756</v>
      </c>
      <c r="G49" s="228">
        <v>24.800599999999999</v>
      </c>
      <c r="H49" s="228">
        <v>142.41720000000001</v>
      </c>
      <c r="I49" s="228">
        <v>0.67159999999999997</v>
      </c>
      <c r="K49" s="230">
        <f t="shared" si="10"/>
        <v>3.9721816127164078</v>
      </c>
      <c r="L49" s="229">
        <f t="shared" si="11"/>
        <v>2.4956233001395562E-2</v>
      </c>
      <c r="M49" s="233">
        <f t="shared" si="12"/>
        <v>0.67200000000000004</v>
      </c>
      <c r="N49" s="230">
        <f t="shared" si="13"/>
        <v>5.7424901010459433</v>
      </c>
      <c r="O49" s="229">
        <f t="shared" si="14"/>
        <v>2.707999000024193E-2</v>
      </c>
      <c r="Q49" s="239">
        <f>C49/DET!D$37</f>
        <v>0.37561658980678564</v>
      </c>
      <c r="R49" s="239">
        <f>F49/DET!D$34</f>
        <v>5.8335412319494594E-2</v>
      </c>
    </row>
    <row r="50" spans="1:18" x14ac:dyDescent="0.3">
      <c r="A50" s="227" t="s">
        <v>736</v>
      </c>
      <c r="B50" s="227" t="s">
        <v>148</v>
      </c>
      <c r="C50" s="228">
        <v>38.317666666666668</v>
      </c>
      <c r="D50" s="228">
        <v>161.13249999999999</v>
      </c>
      <c r="E50" s="228">
        <v>1.1447499999999999</v>
      </c>
      <c r="F50" s="228">
        <v>17.407738095238095</v>
      </c>
      <c r="G50" s="228">
        <v>11.698</v>
      </c>
      <c r="H50" s="228">
        <v>76.515500000000003</v>
      </c>
      <c r="I50" s="228">
        <v>0.30724999999999997</v>
      </c>
      <c r="K50" s="230">
        <f t="shared" si="10"/>
        <v>4.2051751585430566</v>
      </c>
      <c r="L50" s="229">
        <f t="shared" si="11"/>
        <v>2.98752533644185E-2</v>
      </c>
      <c r="M50" s="233">
        <f t="shared" si="12"/>
        <v>0.67200000000000004</v>
      </c>
      <c r="N50" s="230">
        <f t="shared" si="13"/>
        <v>6.5409044281073685</v>
      </c>
      <c r="O50" s="229">
        <f t="shared" si="14"/>
        <v>2.6265173533937421E-2</v>
      </c>
      <c r="Q50" s="239">
        <f>C50/DET!D$37</f>
        <v>9.5534032273487571E-2</v>
      </c>
      <c r="R50" s="239">
        <f>F50/DET!D$34</f>
        <v>2.7515771929447184E-2</v>
      </c>
    </row>
    <row r="51" spans="1:18" x14ac:dyDescent="0.3">
      <c r="A51" s="227" t="s">
        <v>306</v>
      </c>
      <c r="B51" s="227" t="s">
        <v>148</v>
      </c>
      <c r="C51" s="228">
        <v>20.021000000000001</v>
      </c>
      <c r="D51" s="228">
        <v>86.954999999999998</v>
      </c>
      <c r="E51" s="228">
        <v>1.4056666666666666</v>
      </c>
      <c r="F51" s="228">
        <v>3</v>
      </c>
      <c r="G51" s="228">
        <v>2.3000000000000003</v>
      </c>
      <c r="H51" s="228">
        <v>15.299999999999999</v>
      </c>
      <c r="I51" s="228">
        <v>0</v>
      </c>
      <c r="K51" s="230">
        <f t="shared" si="10"/>
        <v>4.3431896508665897</v>
      </c>
      <c r="L51" s="229">
        <f t="shared" si="11"/>
        <v>7.0209613239431923E-2</v>
      </c>
      <c r="M51" s="233">
        <f t="shared" si="12"/>
        <v>0.76666666666666672</v>
      </c>
      <c r="N51" s="230">
        <f t="shared" si="13"/>
        <v>6.6521739130434767</v>
      </c>
      <c r="O51" s="229">
        <f t="shared" si="14"/>
        <v>0</v>
      </c>
      <c r="Q51" s="239">
        <f>C51/DET!D$37</f>
        <v>4.991657964944355E-2</v>
      </c>
      <c r="R51" s="239">
        <f>F51/DET!D$34</f>
        <v>4.7419897597679537E-3</v>
      </c>
    </row>
    <row r="52" spans="1:18" x14ac:dyDescent="0.3">
      <c r="A52" s="227" t="s">
        <v>577</v>
      </c>
      <c r="B52" s="227" t="s">
        <v>148</v>
      </c>
      <c r="C52" s="228">
        <v>11.693</v>
      </c>
      <c r="D52" s="228">
        <v>60.954999999999998</v>
      </c>
      <c r="E52" s="228">
        <v>0.46199999999999997</v>
      </c>
      <c r="F52" s="228">
        <v>5.9</v>
      </c>
      <c r="G52" s="228">
        <v>4.6115000000000004</v>
      </c>
      <c r="H52" s="228">
        <v>28.682750000000002</v>
      </c>
      <c r="I52" s="228">
        <v>7.8750000000000014E-2</v>
      </c>
      <c r="K52" s="230">
        <f t="shared" si="10"/>
        <v>5.2129479175575133</v>
      </c>
      <c r="L52" s="229">
        <f t="shared" si="11"/>
        <v>3.9510818438381938E-2</v>
      </c>
      <c r="M52" s="233">
        <f t="shared" si="12"/>
        <v>0.7816101694915254</v>
      </c>
      <c r="N52" s="230">
        <f t="shared" si="13"/>
        <v>6.2198308576385122</v>
      </c>
      <c r="O52" s="229">
        <f t="shared" si="14"/>
        <v>1.7076873034804294E-2</v>
      </c>
      <c r="Q52" s="239">
        <f>C52/DET!D$37</f>
        <v>2.9153117518652585E-2</v>
      </c>
      <c r="R52" s="239">
        <f>F52/DET!D$34</f>
        <v>9.3259131942103092E-3</v>
      </c>
    </row>
    <row r="53" spans="1:18" x14ac:dyDescent="0.3">
      <c r="A53" s="227" t="s">
        <v>735</v>
      </c>
      <c r="B53" s="227" t="s">
        <v>148</v>
      </c>
      <c r="C53" s="228">
        <v>2.0499999999999998</v>
      </c>
      <c r="D53" s="228">
        <v>9.0500000000000007</v>
      </c>
      <c r="E53" s="228">
        <v>0.05</v>
      </c>
      <c r="F53" s="228">
        <v>6.6964285714285712</v>
      </c>
      <c r="G53" s="228">
        <v>4.5</v>
      </c>
      <c r="H53" s="228">
        <v>30.7</v>
      </c>
      <c r="I53" s="228">
        <v>0.1</v>
      </c>
      <c r="K53" s="230">
        <f t="shared" si="10"/>
        <v>4.4146341463414638</v>
      </c>
      <c r="L53" s="229">
        <f t="shared" si="11"/>
        <v>2.4390243902439029E-2</v>
      </c>
      <c r="M53" s="233">
        <f t="shared" si="12"/>
        <v>0.67200000000000004</v>
      </c>
      <c r="N53" s="230">
        <f t="shared" si="13"/>
        <v>6.822222222222222</v>
      </c>
      <c r="O53" s="229">
        <f t="shared" si="14"/>
        <v>2.2222222222222223E-2</v>
      </c>
      <c r="Q53" s="239">
        <f>C53/DET!D$37</f>
        <v>5.1110827771519533E-3</v>
      </c>
      <c r="R53" s="239">
        <f>F53/DET!D$34</f>
        <v>1.0584798570910612E-2</v>
      </c>
    </row>
    <row r="54" spans="1:18" x14ac:dyDescent="0.3">
      <c r="A54" s="227" t="s">
        <v>58</v>
      </c>
      <c r="B54" s="227" t="s">
        <v>149</v>
      </c>
      <c r="C54" s="228">
        <v>163.87099999999998</v>
      </c>
      <c r="D54" s="228">
        <v>765.57780000000002</v>
      </c>
      <c r="E54" s="228">
        <v>4.5527999999999995</v>
      </c>
      <c r="F54" s="228">
        <v>92.726785714285711</v>
      </c>
      <c r="G54" s="228">
        <v>62.312400000000004</v>
      </c>
      <c r="H54" s="228">
        <v>488.09679999999997</v>
      </c>
      <c r="I54" s="228">
        <v>4.2897999999999996</v>
      </c>
      <c r="K54" s="230">
        <f t="shared" si="10"/>
        <v>4.6718321118440729</v>
      </c>
      <c r="L54" s="229">
        <f t="shared" si="11"/>
        <v>2.7782829176608431E-2</v>
      </c>
      <c r="M54" s="233">
        <f t="shared" si="12"/>
        <v>0.67200000000000004</v>
      </c>
      <c r="N54" s="230">
        <f t="shared" si="13"/>
        <v>7.8330605144401426</v>
      </c>
      <c r="O54" s="229">
        <f t="shared" si="14"/>
        <v>6.8843440470917491E-2</v>
      </c>
      <c r="Q54" s="239">
        <f>C54/GB!D$37</f>
        <v>0.36512771114360876</v>
      </c>
      <c r="R54" s="239">
        <f>F54/GB!D$34</f>
        <v>0.15649948047609444</v>
      </c>
    </row>
    <row r="55" spans="1:18" x14ac:dyDescent="0.3">
      <c r="A55" s="227" t="s">
        <v>842</v>
      </c>
      <c r="B55" s="227" t="s">
        <v>149</v>
      </c>
      <c r="C55" s="228">
        <v>173.79424999999998</v>
      </c>
      <c r="D55" s="228">
        <v>754.88400000000001</v>
      </c>
      <c r="E55" s="228">
        <v>4.7838000000000012</v>
      </c>
      <c r="F55" s="228">
        <v>45.37473963264533</v>
      </c>
      <c r="G55" s="228">
        <v>30.497599999999998</v>
      </c>
      <c r="H55" s="228">
        <v>249.0384</v>
      </c>
      <c r="I55" s="228">
        <v>1.4980000000000002</v>
      </c>
      <c r="K55" s="230">
        <f t="shared" si="10"/>
        <v>4.3435499160645428</v>
      </c>
      <c r="L55" s="229">
        <f t="shared" si="11"/>
        <v>2.7525651740491999E-2</v>
      </c>
      <c r="M55" s="233">
        <f t="shared" si="12"/>
        <v>0.67212727272727268</v>
      </c>
      <c r="N55" s="230">
        <f t="shared" si="13"/>
        <v>8.1658360002098522</v>
      </c>
      <c r="O55" s="229">
        <f t="shared" si="14"/>
        <v>4.9118619170033059E-2</v>
      </c>
      <c r="Q55" s="239">
        <f>C55/GB!D$37</f>
        <v>0.38723811237143924</v>
      </c>
      <c r="R55" s="239">
        <f>F55/GB!D$34</f>
        <v>7.6581142380232753E-2</v>
      </c>
    </row>
    <row r="56" spans="1:18" x14ac:dyDescent="0.3">
      <c r="A56" s="227" t="s">
        <v>307</v>
      </c>
      <c r="B56" s="227" t="s">
        <v>149</v>
      </c>
      <c r="C56" s="228">
        <v>25.973333333333333</v>
      </c>
      <c r="D56" s="228">
        <v>97.007749999999987</v>
      </c>
      <c r="E56" s="228">
        <v>0.48025000000000007</v>
      </c>
      <c r="F56" s="228">
        <v>7.2120535714285721</v>
      </c>
      <c r="G56" s="228">
        <v>4.8465000000000007</v>
      </c>
      <c r="H56" s="228">
        <v>32.807000000000002</v>
      </c>
      <c r="I56" s="228">
        <v>2.5000000000000001E-2</v>
      </c>
      <c r="K56" s="230">
        <f t="shared" si="10"/>
        <v>3.7348979722792603</v>
      </c>
      <c r="L56" s="229">
        <f t="shared" si="11"/>
        <v>1.8490118069815199E-2</v>
      </c>
      <c r="M56" s="233">
        <f t="shared" si="12"/>
        <v>0.67200000000000004</v>
      </c>
      <c r="N56" s="230">
        <f t="shared" si="13"/>
        <v>6.7692148973486015</v>
      </c>
      <c r="O56" s="229">
        <f t="shared" si="14"/>
        <v>5.1583617043227063E-3</v>
      </c>
      <c r="Q56" s="239">
        <f>C56/GB!D$37</f>
        <v>5.7872251653861867E-2</v>
      </c>
      <c r="R56" s="239">
        <f>F56/GB!D$34</f>
        <v>1.2172131584201409E-2</v>
      </c>
    </row>
    <row r="57" spans="1:18" x14ac:dyDescent="0.3">
      <c r="A57" s="227" t="s">
        <v>734</v>
      </c>
      <c r="B57" s="227" t="s">
        <v>149</v>
      </c>
      <c r="C57" s="228">
        <v>12.728</v>
      </c>
      <c r="D57" s="228">
        <v>53.174500000000002</v>
      </c>
      <c r="E57" s="228">
        <v>0.35824999999999996</v>
      </c>
      <c r="F57" s="228">
        <v>7.0000000000000009</v>
      </c>
      <c r="G57" s="228">
        <v>3.8322499999999997</v>
      </c>
      <c r="H57" s="228">
        <v>24.914000000000001</v>
      </c>
      <c r="I57" s="228">
        <v>2.5000000000000001E-2</v>
      </c>
      <c r="K57" s="230">
        <f t="shared" si="10"/>
        <v>4.1777576995600256</v>
      </c>
      <c r="L57" s="229">
        <f t="shared" si="11"/>
        <v>2.8146605908233813E-2</v>
      </c>
      <c r="M57" s="233">
        <f t="shared" si="12"/>
        <v>0.54746428571428563</v>
      </c>
      <c r="N57" s="230">
        <f t="shared" si="13"/>
        <v>6.5011416269815392</v>
      </c>
      <c r="O57" s="229">
        <f t="shared" si="14"/>
        <v>6.5235827516472054E-3</v>
      </c>
      <c r="Q57" s="239">
        <f>C57/GB!D$37</f>
        <v>2.8359779994238471E-2</v>
      </c>
      <c r="R57" s="239">
        <f>F57/GB!D$34</f>
        <v>1.1814238516885057E-2</v>
      </c>
    </row>
    <row r="58" spans="1:18" x14ac:dyDescent="0.3">
      <c r="A58" s="227" t="s">
        <v>645</v>
      </c>
      <c r="B58" s="227" t="s">
        <v>150</v>
      </c>
      <c r="C58" s="228">
        <v>145.01900000000001</v>
      </c>
      <c r="D58" s="228">
        <v>614.80039999999997</v>
      </c>
      <c r="E58" s="228">
        <v>3.3875999999999999</v>
      </c>
      <c r="F58" s="228">
        <v>31.740119566099498</v>
      </c>
      <c r="G58" s="228">
        <v>21.333400000000001</v>
      </c>
      <c r="H58" s="228">
        <v>149.06180000000001</v>
      </c>
      <c r="I58" s="228">
        <v>0.62940000000000007</v>
      </c>
      <c r="K58" s="230">
        <f t="shared" si="10"/>
        <v>4.2394472448437783</v>
      </c>
      <c r="L58" s="229">
        <f t="shared" si="11"/>
        <v>2.3359697694784819E-2</v>
      </c>
      <c r="M58" s="233">
        <f t="shared" si="12"/>
        <v>0.67212727272727268</v>
      </c>
      <c r="N58" s="230">
        <f t="shared" si="13"/>
        <v>6.9872500398436257</v>
      </c>
      <c r="O58" s="229">
        <f t="shared" si="14"/>
        <v>2.9503032803022491E-2</v>
      </c>
      <c r="Q58" s="239">
        <f>C58/HOU!D$37</f>
        <v>0.37567547963587572</v>
      </c>
      <c r="R58" s="239">
        <f>F58/HOU!D$34</f>
        <v>5.3012585959065717E-2</v>
      </c>
    </row>
    <row r="59" spans="1:18" x14ac:dyDescent="0.3">
      <c r="A59" s="227" t="s">
        <v>62</v>
      </c>
      <c r="B59" s="227" t="s">
        <v>150</v>
      </c>
      <c r="C59" s="228">
        <v>152.07300000000001</v>
      </c>
      <c r="D59" s="228">
        <v>590.81600000000003</v>
      </c>
      <c r="E59" s="228">
        <v>2.4818000000000002</v>
      </c>
      <c r="F59" s="228">
        <v>23.6</v>
      </c>
      <c r="G59" s="228">
        <v>17.485999999999997</v>
      </c>
      <c r="H59" s="228">
        <v>97.381799999999998</v>
      </c>
      <c r="I59" s="228">
        <v>0.17879999999999999</v>
      </c>
      <c r="K59" s="230">
        <f t="shared" si="10"/>
        <v>3.8850815069078668</v>
      </c>
      <c r="L59" s="229">
        <f t="shared" si="11"/>
        <v>1.6319793783248836E-2</v>
      </c>
      <c r="M59" s="233">
        <f t="shared" si="12"/>
        <v>0.74093220338983035</v>
      </c>
      <c r="N59" s="230">
        <f t="shared" si="13"/>
        <v>5.5691295893857955</v>
      </c>
      <c r="O59" s="229">
        <f t="shared" si="14"/>
        <v>1.0225323115635366E-2</v>
      </c>
      <c r="Q59" s="239">
        <f>C59/HOU!D$37</f>
        <v>0.39394904953603682</v>
      </c>
      <c r="R59" s="239">
        <f>F59/HOU!D$34</f>
        <v>3.9416897155302583E-2</v>
      </c>
    </row>
    <row r="60" spans="1:18" x14ac:dyDescent="0.3">
      <c r="A60" s="227" t="s">
        <v>126</v>
      </c>
      <c r="B60" s="227" t="s">
        <v>150</v>
      </c>
      <c r="C60" s="228">
        <v>74.037999999999997</v>
      </c>
      <c r="D60" s="228">
        <v>292.13</v>
      </c>
      <c r="E60" s="228">
        <v>2.13375</v>
      </c>
      <c r="F60" s="228">
        <v>49.435267857142854</v>
      </c>
      <c r="G60" s="228">
        <v>33.220500000000001</v>
      </c>
      <c r="H60" s="228">
        <v>235.25375</v>
      </c>
      <c r="I60" s="228">
        <v>1.2102499999999998</v>
      </c>
      <c r="K60" s="230">
        <f t="shared" si="10"/>
        <v>3.9456765444771604</v>
      </c>
      <c r="L60" s="229">
        <f t="shared" si="11"/>
        <v>2.8819660174504987E-2</v>
      </c>
      <c r="M60" s="233">
        <f t="shared" si="12"/>
        <v>0.67200000000000004</v>
      </c>
      <c r="N60" s="230">
        <f t="shared" si="13"/>
        <v>7.0815836606914404</v>
      </c>
      <c r="O60" s="229">
        <f t="shared" si="14"/>
        <v>3.6430818320013235E-2</v>
      </c>
      <c r="Q60" s="239">
        <f>C60/HOU!D$37</f>
        <v>0.19179735869976322</v>
      </c>
      <c r="R60" s="239">
        <f>F60/HOU!D$34</f>
        <v>8.2567155464823516E-2</v>
      </c>
    </row>
    <row r="61" spans="1:18" x14ac:dyDescent="0.3">
      <c r="A61" s="227" t="s">
        <v>733</v>
      </c>
      <c r="B61" s="227" t="s">
        <v>150</v>
      </c>
      <c r="C61" s="228">
        <v>52.89</v>
      </c>
      <c r="D61" s="228">
        <v>172.07933333333335</v>
      </c>
      <c r="E61" s="228">
        <v>1</v>
      </c>
      <c r="F61" s="228">
        <v>20.511904761904763</v>
      </c>
      <c r="G61" s="228">
        <v>13.784000000000001</v>
      </c>
      <c r="H61" s="228">
        <v>88.134333333333345</v>
      </c>
      <c r="I61" s="228">
        <v>0.11566666666666665</v>
      </c>
      <c r="K61" s="230">
        <f t="shared" si="10"/>
        <v>3.2535324888132604</v>
      </c>
      <c r="L61" s="229">
        <f t="shared" si="11"/>
        <v>1.8907165815844205E-2</v>
      </c>
      <c r="M61" s="233">
        <f t="shared" si="12"/>
        <v>0.67200000000000004</v>
      </c>
      <c r="N61" s="230">
        <f t="shared" si="13"/>
        <v>6.3939591797252859</v>
      </c>
      <c r="O61" s="229">
        <f t="shared" si="14"/>
        <v>8.3913716386148172E-3</v>
      </c>
      <c r="Q61" s="239">
        <f>C61/HOU!D$37</f>
        <v>0.13701291636227989</v>
      </c>
      <c r="R61" s="239">
        <f>F61/HOU!D$34</f>
        <v>3.4259137307600052E-2</v>
      </c>
    </row>
    <row r="62" spans="1:18" x14ac:dyDescent="0.3">
      <c r="A62" s="227" t="s">
        <v>308</v>
      </c>
      <c r="B62" s="227" t="s">
        <v>150</v>
      </c>
      <c r="C62" s="228">
        <v>29.018333333333331</v>
      </c>
      <c r="D62" s="228">
        <v>107.2825</v>
      </c>
      <c r="E62" s="228">
        <v>0.58975</v>
      </c>
      <c r="F62" s="228">
        <v>11</v>
      </c>
      <c r="G62" s="228">
        <v>9.8787500000000001</v>
      </c>
      <c r="H62" s="228">
        <v>68.326250000000002</v>
      </c>
      <c r="I62" s="228">
        <v>0.31774999999999998</v>
      </c>
      <c r="K62" s="230">
        <f t="shared" si="10"/>
        <v>3.6970593303084258</v>
      </c>
      <c r="L62" s="229">
        <f t="shared" si="11"/>
        <v>2.0323358796163347E-2</v>
      </c>
      <c r="M62" s="233">
        <f t="shared" si="12"/>
        <v>0.89806818181818182</v>
      </c>
      <c r="N62" s="230">
        <f t="shared" si="13"/>
        <v>6.9164874098443629</v>
      </c>
      <c r="O62" s="229">
        <f t="shared" si="14"/>
        <v>3.2165000632671137E-2</v>
      </c>
      <c r="Q62" s="239">
        <f>C62/HOU!D$37</f>
        <v>7.5172744904003733E-2</v>
      </c>
      <c r="R62" s="239">
        <f>F62/HOU!D$34</f>
        <v>1.8372282572386794E-2</v>
      </c>
    </row>
    <row r="63" spans="1:18" x14ac:dyDescent="0.3">
      <c r="A63" s="227" t="s">
        <v>211</v>
      </c>
      <c r="B63" s="227" t="s">
        <v>151</v>
      </c>
      <c r="C63" s="228">
        <v>314.55175000000003</v>
      </c>
      <c r="D63" s="228">
        <v>1619.5011999999999</v>
      </c>
      <c r="E63" s="228">
        <v>15.2698</v>
      </c>
      <c r="F63" s="228">
        <v>51.9</v>
      </c>
      <c r="G63" s="228">
        <v>44.114800000000002</v>
      </c>
      <c r="H63" s="228">
        <v>362.93700000000001</v>
      </c>
      <c r="I63" s="228">
        <v>1.6625999999999999</v>
      </c>
      <c r="K63" s="230">
        <f t="shared" si="10"/>
        <v>5.1486001905886702</v>
      </c>
      <c r="L63" s="229">
        <f t="shared" si="11"/>
        <v>4.8544635342197266E-2</v>
      </c>
      <c r="M63" s="233">
        <f t="shared" si="12"/>
        <v>0.84999614643545285</v>
      </c>
      <c r="N63" s="230">
        <f t="shared" si="13"/>
        <v>8.2271029223752574</v>
      </c>
      <c r="O63" s="229">
        <f t="shared" si="14"/>
        <v>3.7688032134340396E-2</v>
      </c>
      <c r="Q63" s="239">
        <f>C63/IND!D$37</f>
        <v>0.64974834398235792</v>
      </c>
      <c r="R63" s="239">
        <f>F63/IND!D$34</f>
        <v>9.1323911661799567E-2</v>
      </c>
    </row>
    <row r="64" spans="1:18" x14ac:dyDescent="0.3">
      <c r="A64" s="227" t="s">
        <v>63</v>
      </c>
      <c r="B64" s="227" t="s">
        <v>151</v>
      </c>
      <c r="C64" s="228">
        <v>60.749749999999999</v>
      </c>
      <c r="D64" s="228">
        <v>288.28879999999998</v>
      </c>
      <c r="E64" s="228">
        <v>1.9408000000000001</v>
      </c>
      <c r="F64" s="228">
        <v>48</v>
      </c>
      <c r="G64" s="228">
        <v>43.747799999999998</v>
      </c>
      <c r="H64" s="228">
        <v>317.41459999999995</v>
      </c>
      <c r="I64" s="228">
        <v>1.4350000000000001</v>
      </c>
      <c r="K64" s="230">
        <f t="shared" si="10"/>
        <v>4.7455141790706952</v>
      </c>
      <c r="L64" s="229">
        <f t="shared" si="11"/>
        <v>3.1947456573895368E-2</v>
      </c>
      <c r="M64" s="233">
        <f t="shared" si="12"/>
        <v>0.91141249999999996</v>
      </c>
      <c r="N64" s="230">
        <f t="shared" si="13"/>
        <v>7.2555557079441702</v>
      </c>
      <c r="O64" s="229">
        <f t="shared" si="14"/>
        <v>3.2801649454372563E-2</v>
      </c>
      <c r="Q64" s="239">
        <f>C64/IND!D$37</f>
        <v>0.12548666303666167</v>
      </c>
      <c r="R64" s="239">
        <f>F64/IND!D$34</f>
        <v>8.446142119010365E-2</v>
      </c>
    </row>
    <row r="65" spans="1:18" x14ac:dyDescent="0.3">
      <c r="A65" s="227" t="s">
        <v>732</v>
      </c>
      <c r="B65" s="227" t="s">
        <v>151</v>
      </c>
      <c r="C65" s="228">
        <v>57.759</v>
      </c>
      <c r="D65" s="228">
        <v>206.09433333333331</v>
      </c>
      <c r="E65" s="228">
        <v>0.95066666666666666</v>
      </c>
      <c r="F65" s="228">
        <v>5.9</v>
      </c>
      <c r="G65" s="228">
        <v>4.9353333333333333</v>
      </c>
      <c r="H65" s="228">
        <v>38.221666666666664</v>
      </c>
      <c r="I65" s="228">
        <v>0.10433333333333335</v>
      </c>
      <c r="K65" s="230">
        <f t="shared" si="10"/>
        <v>3.5681769652059994</v>
      </c>
      <c r="L65" s="229">
        <f t="shared" si="11"/>
        <v>1.6459195392348667E-2</v>
      </c>
      <c r="M65" s="233">
        <f t="shared" si="12"/>
        <v>0.83649717514124289</v>
      </c>
      <c r="N65" s="230">
        <f t="shared" si="13"/>
        <v>7.7444954748075103</v>
      </c>
      <c r="O65" s="229">
        <f t="shared" si="14"/>
        <v>2.1140078346616239E-2</v>
      </c>
      <c r="Q65" s="239">
        <f>C65/IND!D$37</f>
        <v>0.11930887238769776</v>
      </c>
      <c r="R65" s="239">
        <f>F65/IND!D$34</f>
        <v>1.0381716354616906E-2</v>
      </c>
    </row>
    <row r="66" spans="1:18" x14ac:dyDescent="0.3">
      <c r="A66" s="227" t="s">
        <v>608</v>
      </c>
      <c r="B66" s="227" t="s">
        <v>151</v>
      </c>
      <c r="C66" s="228">
        <v>28.356333333333335</v>
      </c>
      <c r="D66" s="228">
        <v>103.246</v>
      </c>
      <c r="E66" s="228">
        <v>0.47500000000000003</v>
      </c>
      <c r="F66" s="228">
        <v>3</v>
      </c>
      <c r="G66" s="228">
        <v>2.4500000000000002</v>
      </c>
      <c r="H66" s="228">
        <v>15.224999999999998</v>
      </c>
      <c r="I66" s="228">
        <v>2.5000000000000001E-2</v>
      </c>
      <c r="K66" s="230">
        <f t="shared" si="10"/>
        <v>3.6410208183944794</v>
      </c>
      <c r="L66" s="229">
        <f t="shared" si="11"/>
        <v>1.6751107924155684E-2</v>
      </c>
      <c r="M66" s="233">
        <f t="shared" si="12"/>
        <v>0.81666666666666676</v>
      </c>
      <c r="N66" s="230">
        <f t="shared" si="13"/>
        <v>6.2142857142857126</v>
      </c>
      <c r="O66" s="229">
        <f t="shared" si="14"/>
        <v>1.020408163265306E-2</v>
      </c>
      <c r="Q66" s="239">
        <f>C66/IND!D$37</f>
        <v>5.8573766080605397E-2</v>
      </c>
      <c r="R66" s="239">
        <f>F66/IND!D$34</f>
        <v>5.2788388243814781E-3</v>
      </c>
    </row>
    <row r="67" spans="1:18" x14ac:dyDescent="0.3">
      <c r="A67" s="227" t="s">
        <v>610</v>
      </c>
      <c r="B67" s="227" t="s">
        <v>698</v>
      </c>
      <c r="C67" s="228">
        <v>174.29750000000001</v>
      </c>
      <c r="D67" s="228">
        <v>740.30100000000004</v>
      </c>
      <c r="E67" s="228">
        <v>5.0175999999999998</v>
      </c>
      <c r="F67" s="228">
        <v>57</v>
      </c>
      <c r="G67" s="228">
        <v>48.905000000000001</v>
      </c>
      <c r="H67" s="228">
        <v>346.62139999999999</v>
      </c>
      <c r="I67" s="228">
        <v>1.6686000000000001</v>
      </c>
      <c r="K67" s="230">
        <f t="shared" ref="K67:K99" si="15">D67/C67</f>
        <v>4.2473414707611985</v>
      </c>
      <c r="L67" s="229">
        <f t="shared" ref="L67:L99" si="16">E67/C67</f>
        <v>2.8787561496865989E-2</v>
      </c>
      <c r="M67" s="233">
        <f t="shared" ref="M67:M99" si="17">G67/F67</f>
        <v>0.85798245614035085</v>
      </c>
      <c r="N67" s="230">
        <f t="shared" ref="N67:N99" si="18">H67/G67</f>
        <v>7.0876474798077904</v>
      </c>
      <c r="O67" s="229">
        <f t="shared" ref="O67:O99" si="19">I67/G67</f>
        <v>3.4119210714650856E-2</v>
      </c>
      <c r="Q67" s="239">
        <f>C67/JAX!D$37</f>
        <v>0.47344796208015871</v>
      </c>
      <c r="R67" s="239">
        <f>F67/JAX!D$34</f>
        <v>8.7092042537587094E-2</v>
      </c>
    </row>
    <row r="68" spans="1:18" x14ac:dyDescent="0.3">
      <c r="A68" s="227" t="s">
        <v>260</v>
      </c>
      <c r="B68" s="227" t="s">
        <v>698</v>
      </c>
      <c r="C68" s="228">
        <v>115.58325000000001</v>
      </c>
      <c r="D68" s="228">
        <v>539.22180000000003</v>
      </c>
      <c r="E68" s="228">
        <v>4.6052000000000008</v>
      </c>
      <c r="F68" s="228">
        <v>35.405654761904763</v>
      </c>
      <c r="G68" s="228">
        <v>23.7926</v>
      </c>
      <c r="H68" s="228">
        <v>159.48079999999999</v>
      </c>
      <c r="I68" s="228">
        <v>0.63360000000000005</v>
      </c>
      <c r="K68" s="230">
        <f t="shared" si="15"/>
        <v>4.6652244161675673</v>
      </c>
      <c r="L68" s="229">
        <f t="shared" si="16"/>
        <v>3.9843143362035593E-2</v>
      </c>
      <c r="M68" s="233">
        <f t="shared" si="17"/>
        <v>0.67199999999999993</v>
      </c>
      <c r="N68" s="230">
        <f t="shared" si="18"/>
        <v>6.7029580625908887</v>
      </c>
      <c r="O68" s="229">
        <f t="shared" si="19"/>
        <v>2.6630128695476749E-2</v>
      </c>
      <c r="Q68" s="239">
        <f>C68/JAX!D$37</f>
        <v>0.31396121093590845</v>
      </c>
      <c r="R68" s="239">
        <f>F68/JAX!D$34</f>
        <v>5.4097382291139168E-2</v>
      </c>
    </row>
    <row r="69" spans="1:18" x14ac:dyDescent="0.3">
      <c r="A69" s="227" t="s">
        <v>646</v>
      </c>
      <c r="B69" s="227" t="s">
        <v>698</v>
      </c>
      <c r="C69" s="228">
        <v>49.822333333333326</v>
      </c>
      <c r="D69" s="228">
        <v>209.88624999999996</v>
      </c>
      <c r="E69" s="228">
        <v>1.2970000000000002</v>
      </c>
      <c r="F69" s="228">
        <v>12</v>
      </c>
      <c r="G69" s="228">
        <v>10.3025</v>
      </c>
      <c r="H69" s="228">
        <v>65.35575</v>
      </c>
      <c r="I69" s="228">
        <v>0.15000000000000002</v>
      </c>
      <c r="K69" s="230">
        <f t="shared" si="15"/>
        <v>4.2126941063913774</v>
      </c>
      <c r="L69" s="229">
        <f t="shared" si="16"/>
        <v>2.6032502157666917E-2</v>
      </c>
      <c r="M69" s="233">
        <f t="shared" si="17"/>
        <v>0.85854166666666665</v>
      </c>
      <c r="N69" s="230">
        <f t="shared" si="18"/>
        <v>6.3436787187575829</v>
      </c>
      <c r="O69" s="229">
        <f t="shared" si="19"/>
        <v>1.4559572919194371E-2</v>
      </c>
      <c r="Q69" s="239">
        <f>C69/JAX!D$37</f>
        <v>0.13533345104057729</v>
      </c>
      <c r="R69" s="239">
        <f>F69/JAX!D$34</f>
        <v>1.8335166850018333E-2</v>
      </c>
    </row>
    <row r="70" spans="1:18" x14ac:dyDescent="0.3">
      <c r="A70" s="227" t="s">
        <v>611</v>
      </c>
      <c r="B70" s="227" t="s">
        <v>698</v>
      </c>
      <c r="C70" s="228">
        <v>4</v>
      </c>
      <c r="D70" s="228">
        <v>26.166666666666668</v>
      </c>
      <c r="E70" s="228">
        <v>3.3333333333333333E-2</v>
      </c>
      <c r="F70" s="228">
        <v>6</v>
      </c>
      <c r="G70" s="228">
        <v>3.3666666666666667</v>
      </c>
      <c r="H70" s="228">
        <v>21.566666666666663</v>
      </c>
      <c r="I70" s="228">
        <v>3.3333333333333333E-2</v>
      </c>
      <c r="K70" s="230">
        <f t="shared" si="15"/>
        <v>6.541666666666667</v>
      </c>
      <c r="L70" s="229">
        <f t="shared" si="16"/>
        <v>8.3333333333333332E-3</v>
      </c>
      <c r="M70" s="233">
        <f t="shared" si="17"/>
        <v>0.56111111111111112</v>
      </c>
      <c r="N70" s="230">
        <f t="shared" si="18"/>
        <v>6.4059405940594045</v>
      </c>
      <c r="O70" s="229">
        <f t="shared" si="19"/>
        <v>9.9009900990099011E-3</v>
      </c>
      <c r="Q70" s="239">
        <f>C70/JAX!D$37</f>
        <v>1.0865284059270125E-2</v>
      </c>
      <c r="R70" s="239">
        <f>F70/JAX!D$34</f>
        <v>9.1675834250091667E-3</v>
      </c>
    </row>
    <row r="71" spans="1:18" x14ac:dyDescent="0.3">
      <c r="A71" s="227" t="s">
        <v>212</v>
      </c>
      <c r="B71" s="227" t="s">
        <v>153</v>
      </c>
      <c r="C71" s="228">
        <v>162.49549999999999</v>
      </c>
      <c r="D71" s="228">
        <v>727.08760000000007</v>
      </c>
      <c r="E71" s="228">
        <v>4.8840000000000003</v>
      </c>
      <c r="F71" s="228">
        <v>48.2</v>
      </c>
      <c r="G71" s="228">
        <v>38.476799999999997</v>
      </c>
      <c r="H71" s="228">
        <v>264.36919999999998</v>
      </c>
      <c r="I71" s="228">
        <v>2.1229999999999998</v>
      </c>
      <c r="K71" s="230">
        <f t="shared" si="15"/>
        <v>4.4745091402531152</v>
      </c>
      <c r="L71" s="229">
        <f t="shared" si="16"/>
        <v>3.0056216941392228E-2</v>
      </c>
      <c r="M71" s="233">
        <f t="shared" si="17"/>
        <v>0.79827385892116176</v>
      </c>
      <c r="N71" s="230">
        <f t="shared" si="18"/>
        <v>6.870872837658017</v>
      </c>
      <c r="O71" s="229">
        <f t="shared" si="19"/>
        <v>5.5176106121091147E-2</v>
      </c>
      <c r="Q71" s="239">
        <f>C71/KC!D$37</f>
        <v>0.38546292016221534</v>
      </c>
      <c r="R71" s="239">
        <f>F71/KC!D$34</f>
        <v>7.0375684751214918E-2</v>
      </c>
    </row>
    <row r="72" spans="1:18" x14ac:dyDescent="0.3">
      <c r="A72" s="227" t="s">
        <v>613</v>
      </c>
      <c r="B72" s="227" t="s">
        <v>153</v>
      </c>
      <c r="C72" s="228">
        <v>144.71324999999999</v>
      </c>
      <c r="D72" s="228">
        <v>621.0376</v>
      </c>
      <c r="E72" s="228">
        <v>4.8840000000000003</v>
      </c>
      <c r="F72" s="228">
        <v>34.931479427597587</v>
      </c>
      <c r="G72" s="228">
        <v>23.478400000000001</v>
      </c>
      <c r="H72" s="228">
        <v>149.7406</v>
      </c>
      <c r="I72" s="228">
        <v>0.59719999999999995</v>
      </c>
      <c r="K72" s="230">
        <f t="shared" si="15"/>
        <v>4.2915047516381541</v>
      </c>
      <c r="L72" s="229">
        <f t="shared" si="16"/>
        <v>3.37495011686905E-2</v>
      </c>
      <c r="M72" s="233">
        <f t="shared" si="17"/>
        <v>0.6721272727272728</v>
      </c>
      <c r="N72" s="230">
        <f t="shared" si="18"/>
        <v>6.3778025759847345</v>
      </c>
      <c r="O72" s="229">
        <f t="shared" si="19"/>
        <v>2.5436145563581841E-2</v>
      </c>
      <c r="Q72" s="239">
        <f>C72/KC!D$37</f>
        <v>0.34328084119969299</v>
      </c>
      <c r="R72" s="239">
        <f>F72/KC!D$34</f>
        <v>5.100263037531446E-2</v>
      </c>
    </row>
    <row r="73" spans="1:18" x14ac:dyDescent="0.3">
      <c r="A73" s="227" t="s">
        <v>731</v>
      </c>
      <c r="B73" s="227" t="s">
        <v>153</v>
      </c>
      <c r="C73" s="228">
        <v>41</v>
      </c>
      <c r="D73" s="228">
        <v>182.03333333333333</v>
      </c>
      <c r="E73" s="228">
        <v>1.3333333333333333</v>
      </c>
      <c r="F73" s="228">
        <v>11</v>
      </c>
      <c r="G73" s="228">
        <v>7.5333333333333341</v>
      </c>
      <c r="H73" s="228">
        <v>63.199999999999996</v>
      </c>
      <c r="I73" s="228">
        <v>9.9999999999999992E-2</v>
      </c>
      <c r="K73" s="230">
        <f t="shared" si="15"/>
        <v>4.4398373983739834</v>
      </c>
      <c r="L73" s="229">
        <f t="shared" si="16"/>
        <v>3.2520325203252029E-2</v>
      </c>
      <c r="M73" s="233">
        <f t="shared" si="17"/>
        <v>0.68484848484848493</v>
      </c>
      <c r="N73" s="230">
        <f t="shared" si="18"/>
        <v>8.3893805309734493</v>
      </c>
      <c r="O73" s="229">
        <f t="shared" si="19"/>
        <v>1.3274336283185839E-2</v>
      </c>
      <c r="Q73" s="239">
        <f>C73/KC!D$37</f>
        <v>9.7257953153477045E-2</v>
      </c>
      <c r="R73" s="239">
        <f>F73/KC!D$34</f>
        <v>1.6060840918327057E-2</v>
      </c>
    </row>
    <row r="74" spans="1:18" x14ac:dyDescent="0.3">
      <c r="A74" s="227" t="s">
        <v>614</v>
      </c>
      <c r="B74" s="227" t="s">
        <v>153</v>
      </c>
      <c r="C74" s="228">
        <v>29.400666666666666</v>
      </c>
      <c r="D74" s="228">
        <v>154.02825000000001</v>
      </c>
      <c r="E74" s="228">
        <v>1.335</v>
      </c>
      <c r="F74" s="228">
        <v>15</v>
      </c>
      <c r="G74" s="228">
        <v>10.0235</v>
      </c>
      <c r="H74" s="228">
        <v>70.640500000000003</v>
      </c>
      <c r="I74" s="228">
        <v>0.22875000000000001</v>
      </c>
      <c r="K74" s="230">
        <f t="shared" si="15"/>
        <v>5.2389373256842253</v>
      </c>
      <c r="L74" s="229">
        <f t="shared" si="16"/>
        <v>4.5407133625087866E-2</v>
      </c>
      <c r="M74" s="233">
        <f t="shared" si="17"/>
        <v>0.66823333333333335</v>
      </c>
      <c r="N74" s="230">
        <f t="shared" si="18"/>
        <v>7.047488402254702</v>
      </c>
      <c r="O74" s="229">
        <f t="shared" si="19"/>
        <v>2.2821369781014615E-2</v>
      </c>
      <c r="Q74" s="239">
        <f>C74/KC!D$37</f>
        <v>6.974265027677222E-2</v>
      </c>
      <c r="R74" s="239">
        <f>F74/KC!D$34</f>
        <v>2.1901146706809621E-2</v>
      </c>
    </row>
    <row r="75" spans="1:18" x14ac:dyDescent="0.3">
      <c r="A75" s="227" t="s">
        <v>730</v>
      </c>
      <c r="B75" s="227" t="s">
        <v>153</v>
      </c>
      <c r="C75" s="228">
        <v>7.05</v>
      </c>
      <c r="D75" s="228">
        <v>30.333333333333332</v>
      </c>
      <c r="E75" s="228">
        <v>0.19999999999999998</v>
      </c>
      <c r="F75" s="228">
        <v>4.9593781841462209E-2</v>
      </c>
      <c r="G75" s="228">
        <v>3.3333333333333333E-2</v>
      </c>
      <c r="H75" s="228">
        <v>0.23333333333333331</v>
      </c>
      <c r="I75" s="228">
        <v>0</v>
      </c>
      <c r="K75" s="230">
        <f t="shared" si="15"/>
        <v>4.3026004728132383</v>
      </c>
      <c r="L75" s="229">
        <f t="shared" si="16"/>
        <v>2.8368794326241134E-2</v>
      </c>
      <c r="M75" s="233">
        <f t="shared" si="17"/>
        <v>0.67212727272727268</v>
      </c>
      <c r="N75" s="230">
        <f t="shared" si="18"/>
        <v>6.9999999999999991</v>
      </c>
      <c r="O75" s="229">
        <f t="shared" si="19"/>
        <v>0</v>
      </c>
      <c r="Q75" s="239">
        <f>C75/KC!D$37</f>
        <v>1.6723623652000322E-2</v>
      </c>
      <c r="R75" s="239">
        <f>F75/KC!D$34</f>
        <v>7.2410712790358319E-5</v>
      </c>
    </row>
    <row r="76" spans="1:18" x14ac:dyDescent="0.3">
      <c r="A76" s="227" t="s">
        <v>16</v>
      </c>
      <c r="B76" s="227" t="s">
        <v>154</v>
      </c>
      <c r="C76" s="228">
        <v>193.917</v>
      </c>
      <c r="D76" s="228">
        <v>879.57339999999999</v>
      </c>
      <c r="E76" s="228">
        <v>8.746599999999999</v>
      </c>
      <c r="F76" s="228">
        <v>84.6</v>
      </c>
      <c r="G76" s="228">
        <v>68.382599999999996</v>
      </c>
      <c r="H76" s="228">
        <v>593.05840000000001</v>
      </c>
      <c r="I76" s="228">
        <v>5.2228000000000003</v>
      </c>
      <c r="K76" s="230">
        <f t="shared" si="15"/>
        <v>4.5358240896878561</v>
      </c>
      <c r="L76" s="229">
        <f t="shared" si="16"/>
        <v>4.510486445231722E-2</v>
      </c>
      <c r="M76" s="233">
        <f t="shared" si="17"/>
        <v>0.80830496453900713</v>
      </c>
      <c r="N76" s="230">
        <f t="shared" si="18"/>
        <v>8.672650645047133</v>
      </c>
      <c r="O76" s="229">
        <f t="shared" si="19"/>
        <v>7.637615416787312E-2</v>
      </c>
      <c r="Q76" s="239">
        <f>C76/LAC!D$37</f>
        <v>0.43219698966306186</v>
      </c>
      <c r="R76" s="239">
        <f>F76/LAC!D$34</f>
        <v>0.12259134631164154</v>
      </c>
    </row>
    <row r="77" spans="1:18" x14ac:dyDescent="0.3">
      <c r="A77" s="227" t="s">
        <v>647</v>
      </c>
      <c r="B77" s="227" t="s">
        <v>154</v>
      </c>
      <c r="C77" s="228">
        <v>123.7925</v>
      </c>
      <c r="D77" s="228">
        <v>524.04500000000007</v>
      </c>
      <c r="E77" s="228">
        <v>3.3151999999999999</v>
      </c>
      <c r="F77" s="228">
        <v>35.704166666666659</v>
      </c>
      <c r="G77" s="228">
        <v>23.993199999999998</v>
      </c>
      <c r="H77" s="228">
        <v>162.45760000000001</v>
      </c>
      <c r="I77" s="228">
        <v>0.77379999999999993</v>
      </c>
      <c r="K77" s="230">
        <f t="shared" si="15"/>
        <v>4.2332532261647522</v>
      </c>
      <c r="L77" s="229">
        <f t="shared" si="16"/>
        <v>2.678029767554577E-2</v>
      </c>
      <c r="M77" s="233">
        <f t="shared" si="17"/>
        <v>0.67200000000000015</v>
      </c>
      <c r="N77" s="230">
        <f t="shared" si="18"/>
        <v>6.7709851124485283</v>
      </c>
      <c r="O77" s="229">
        <f t="shared" si="19"/>
        <v>3.2250804394578461E-2</v>
      </c>
      <c r="Q77" s="239">
        <f>C77/LAC!D$37</f>
        <v>0.27590539170296874</v>
      </c>
      <c r="R77" s="239">
        <f>F77/LAC!D$34</f>
        <v>5.1737847052031924E-2</v>
      </c>
    </row>
    <row r="78" spans="1:18" x14ac:dyDescent="0.3">
      <c r="A78" s="227" t="s">
        <v>237</v>
      </c>
      <c r="B78" s="227" t="s">
        <v>154</v>
      </c>
      <c r="C78" s="228">
        <v>56.125</v>
      </c>
      <c r="D78" s="228">
        <v>184.8374</v>
      </c>
      <c r="E78" s="228">
        <v>0.78479999999999994</v>
      </c>
      <c r="F78" s="228">
        <v>9.5110119047619044</v>
      </c>
      <c r="G78" s="228">
        <v>6.3914</v>
      </c>
      <c r="H78" s="228">
        <v>46.214399999999998</v>
      </c>
      <c r="I78" s="228">
        <v>5.2400000000000002E-2</v>
      </c>
      <c r="K78" s="230">
        <f t="shared" si="15"/>
        <v>3.2933167037861915</v>
      </c>
      <c r="L78" s="229">
        <f t="shared" si="16"/>
        <v>1.3983073496659242E-2</v>
      </c>
      <c r="M78" s="233">
        <f t="shared" si="17"/>
        <v>0.67200000000000004</v>
      </c>
      <c r="N78" s="230">
        <f t="shared" si="18"/>
        <v>7.2307162749945233</v>
      </c>
      <c r="O78" s="229">
        <f t="shared" si="19"/>
        <v>8.1985167568920745E-3</v>
      </c>
      <c r="Q78" s="239">
        <f>C78/LAC!D$37</f>
        <v>0.12508988920434694</v>
      </c>
      <c r="R78" s="239">
        <f>F78/LAC!D$34</f>
        <v>1.3782124754028511E-2</v>
      </c>
    </row>
    <row r="79" spans="1:18" x14ac:dyDescent="0.3">
      <c r="A79" s="227" t="s">
        <v>729</v>
      </c>
      <c r="B79" s="227" t="s">
        <v>154</v>
      </c>
      <c r="C79" s="228">
        <v>14.938333333333334</v>
      </c>
      <c r="D79" s="228">
        <v>73.862250000000003</v>
      </c>
      <c r="E79" s="228">
        <v>0.39824999999999999</v>
      </c>
      <c r="F79" s="228">
        <v>6.5000000000000009</v>
      </c>
      <c r="G79" s="228">
        <v>3.6345000000000001</v>
      </c>
      <c r="H79" s="228">
        <v>21.283999999999999</v>
      </c>
      <c r="I79" s="228">
        <v>2.5000000000000001E-2</v>
      </c>
      <c r="K79" s="230">
        <f t="shared" si="15"/>
        <v>4.9444772955483653</v>
      </c>
      <c r="L79" s="229">
        <f t="shared" si="16"/>
        <v>2.6659600580162889E-2</v>
      </c>
      <c r="M79" s="233">
        <f t="shared" si="17"/>
        <v>0.55915384615384611</v>
      </c>
      <c r="N79" s="230">
        <f t="shared" si="18"/>
        <v>5.8561012518915945</v>
      </c>
      <c r="O79" s="229">
        <f t="shared" si="19"/>
        <v>6.8785252441876466E-3</v>
      </c>
      <c r="Q79" s="239">
        <f>C79/LAC!D$37</f>
        <v>3.3294155217180751E-2</v>
      </c>
      <c r="R79" s="239">
        <f>F79/LAC!D$34</f>
        <v>9.4189568679157228E-3</v>
      </c>
    </row>
    <row r="80" spans="1:18" x14ac:dyDescent="0.3">
      <c r="A80" s="227" t="s">
        <v>728</v>
      </c>
      <c r="B80" s="227" t="s">
        <v>154</v>
      </c>
      <c r="C80" s="228">
        <v>2.7666666666666671</v>
      </c>
      <c r="D80" s="228">
        <v>11.399999999999999</v>
      </c>
      <c r="E80" s="228">
        <v>7.5000000000000011E-2</v>
      </c>
      <c r="F80" s="228">
        <v>3</v>
      </c>
      <c r="G80" s="228">
        <v>1.6595</v>
      </c>
      <c r="H80" s="228">
        <v>9.2840000000000007</v>
      </c>
      <c r="I80" s="228">
        <v>0</v>
      </c>
      <c r="K80" s="230">
        <f t="shared" si="15"/>
        <v>4.1204819277108422</v>
      </c>
      <c r="L80" s="229">
        <f t="shared" si="16"/>
        <v>2.710843373493976E-2</v>
      </c>
      <c r="M80" s="233">
        <f t="shared" si="17"/>
        <v>0.5531666666666667</v>
      </c>
      <c r="N80" s="230">
        <f t="shared" si="18"/>
        <v>5.5944561614944268</v>
      </c>
      <c r="O80" s="229">
        <f t="shared" si="19"/>
        <v>0</v>
      </c>
      <c r="Q80" s="239">
        <f>C80/LAC!D$37</f>
        <v>6.1662721924043342E-3</v>
      </c>
      <c r="R80" s="239">
        <f>F80/LAC!D$34</f>
        <v>4.3472108621149487E-3</v>
      </c>
    </row>
    <row r="81" spans="1:18" x14ac:dyDescent="0.3">
      <c r="A81" s="227" t="s">
        <v>617</v>
      </c>
      <c r="B81" s="227" t="s">
        <v>155</v>
      </c>
      <c r="C81" s="228">
        <v>264.48175000000003</v>
      </c>
      <c r="D81" s="228">
        <v>1047.616</v>
      </c>
      <c r="E81" s="228">
        <v>7.2407999999999983</v>
      </c>
      <c r="F81" s="228">
        <v>48.2</v>
      </c>
      <c r="G81" s="228">
        <v>34.131799999999998</v>
      </c>
      <c r="H81" s="228">
        <v>273.38400000000001</v>
      </c>
      <c r="I81" s="228">
        <v>1.5114000000000001</v>
      </c>
      <c r="K81" s="230">
        <f t="shared" si="15"/>
        <v>3.9610143232945179</v>
      </c>
      <c r="L81" s="229">
        <f t="shared" si="16"/>
        <v>2.7377314313747535E-2</v>
      </c>
      <c r="M81" s="233">
        <f t="shared" si="17"/>
        <v>0.70812863070539411</v>
      </c>
      <c r="N81" s="230">
        <f t="shared" si="18"/>
        <v>8.0096566837963437</v>
      </c>
      <c r="O81" s="229">
        <f t="shared" si="19"/>
        <v>4.4281286073397833E-2</v>
      </c>
      <c r="Q81" s="239">
        <f>C81/LAR!D$37</f>
        <v>0.58665298321537651</v>
      </c>
      <c r="R81" s="239">
        <f>F81/LAR!D$34</f>
        <v>7.6157572988975547E-2</v>
      </c>
    </row>
    <row r="82" spans="1:18" x14ac:dyDescent="0.3">
      <c r="A82" s="227" t="s">
        <v>727</v>
      </c>
      <c r="B82" s="227" t="s">
        <v>155</v>
      </c>
      <c r="C82" s="228">
        <v>103.184</v>
      </c>
      <c r="D82" s="228">
        <v>478.10399999999998</v>
      </c>
      <c r="E82" s="228">
        <v>3.7520000000000002</v>
      </c>
      <c r="F82" s="228">
        <v>31.7</v>
      </c>
      <c r="G82" s="228">
        <v>23.236999999999998</v>
      </c>
      <c r="H82" s="228">
        <v>154.84639999999999</v>
      </c>
      <c r="I82" s="228">
        <v>1.3076000000000001</v>
      </c>
      <c r="K82" s="230">
        <f t="shared" si="15"/>
        <v>4.6335090711738252</v>
      </c>
      <c r="L82" s="229">
        <f t="shared" si="16"/>
        <v>3.6362226701814236E-2</v>
      </c>
      <c r="M82" s="233">
        <f t="shared" si="17"/>
        <v>0.73302839116719243</v>
      </c>
      <c r="N82" s="230">
        <f t="shared" si="18"/>
        <v>6.6637862030382582</v>
      </c>
      <c r="O82" s="229">
        <f t="shared" si="19"/>
        <v>5.6272324310367092E-2</v>
      </c>
      <c r="Q82" s="239">
        <f>C82/LAR!D$37</f>
        <v>0.22887477650195298</v>
      </c>
      <c r="R82" s="239">
        <f>F82/LAR!D$34</f>
        <v>5.0087034517645741E-2</v>
      </c>
    </row>
    <row r="83" spans="1:18" x14ac:dyDescent="0.3">
      <c r="A83" s="227" t="s">
        <v>309</v>
      </c>
      <c r="B83" s="227" t="s">
        <v>155</v>
      </c>
      <c r="C83" s="228">
        <v>26.518000000000001</v>
      </c>
      <c r="D83" s="228">
        <v>102.77000000000001</v>
      </c>
      <c r="E83" s="228">
        <v>0.57499999999999996</v>
      </c>
      <c r="F83" s="228">
        <v>3.1616035923932158</v>
      </c>
      <c r="G83" s="228">
        <v>2.125</v>
      </c>
      <c r="H83" s="228">
        <v>14.05</v>
      </c>
      <c r="I83" s="228">
        <v>2.5000000000000001E-2</v>
      </c>
      <c r="K83" s="230">
        <f t="shared" si="15"/>
        <v>3.8754808054906102</v>
      </c>
      <c r="L83" s="229">
        <f t="shared" si="16"/>
        <v>2.1683384870653893E-2</v>
      </c>
      <c r="M83" s="233">
        <f t="shared" si="17"/>
        <v>0.67212727272727268</v>
      </c>
      <c r="N83" s="230">
        <f t="shared" si="18"/>
        <v>6.6117647058823534</v>
      </c>
      <c r="O83" s="229">
        <f t="shared" si="19"/>
        <v>1.1764705882352941E-2</v>
      </c>
      <c r="Q83" s="239">
        <f>C83/LAR!D$37</f>
        <v>5.8820178741653642E-2</v>
      </c>
      <c r="R83" s="239">
        <f>F83/LAR!D$34</f>
        <v>4.9954368537322323E-3</v>
      </c>
    </row>
    <row r="84" spans="1:18" x14ac:dyDescent="0.3">
      <c r="A84" s="227" t="s">
        <v>665</v>
      </c>
      <c r="B84" s="227" t="s">
        <v>155</v>
      </c>
      <c r="C84" s="228">
        <v>20.399999999999999</v>
      </c>
      <c r="D84" s="228">
        <v>92.8</v>
      </c>
      <c r="E84" s="228">
        <v>0.8</v>
      </c>
      <c r="F84" s="228">
        <v>7.1</v>
      </c>
      <c r="G84" s="228">
        <v>4.8</v>
      </c>
      <c r="H84" s="228">
        <v>39.799999999999997</v>
      </c>
      <c r="I84" s="228">
        <v>0.3</v>
      </c>
      <c r="K84" s="230">
        <f t="shared" ref="K84" si="20">D84/C84</f>
        <v>4.5490196078431371</v>
      </c>
      <c r="L84" s="229">
        <f t="shared" ref="L84" si="21">E84/C84</f>
        <v>3.921568627450981E-2</v>
      </c>
      <c r="M84" s="233">
        <f t="shared" ref="M84" si="22">G84/F84</f>
        <v>0.676056338028169</v>
      </c>
      <c r="N84" s="230">
        <f t="shared" ref="N84" si="23">H84/G84</f>
        <v>8.2916666666666661</v>
      </c>
      <c r="O84" s="229">
        <f t="shared" ref="O84" si="24">I84/G84</f>
        <v>6.25E-2</v>
      </c>
      <c r="Q84" s="239">
        <f>C84/LAR!D$37</f>
        <v>4.5249703836252139E-2</v>
      </c>
      <c r="R84" s="239">
        <f>F84/LAR!D$34</f>
        <v>1.1218231705844944E-2</v>
      </c>
    </row>
    <row r="85" spans="1:18" x14ac:dyDescent="0.3">
      <c r="A85" s="227" t="s">
        <v>110</v>
      </c>
      <c r="B85" s="227" t="s">
        <v>239</v>
      </c>
      <c r="C85" s="228">
        <v>217.67349999999999</v>
      </c>
      <c r="D85" s="228">
        <v>909.48719999999992</v>
      </c>
      <c r="E85" s="228">
        <v>7.7170000000000005</v>
      </c>
      <c r="F85" s="228">
        <v>63.722157600021646</v>
      </c>
      <c r="G85" s="228">
        <v>42.8294</v>
      </c>
      <c r="H85" s="228">
        <v>274.17920000000004</v>
      </c>
      <c r="I85" s="228">
        <v>0.64279999999999993</v>
      </c>
      <c r="K85" s="230">
        <f t="shared" si="15"/>
        <v>4.1782173760241825</v>
      </c>
      <c r="L85" s="229">
        <f t="shared" si="16"/>
        <v>3.5452179525757618E-2</v>
      </c>
      <c r="M85" s="233">
        <f t="shared" si="17"/>
        <v>0.67212727272727268</v>
      </c>
      <c r="N85" s="230">
        <f t="shared" si="18"/>
        <v>6.4016586737147856</v>
      </c>
      <c r="O85" s="229">
        <f t="shared" si="19"/>
        <v>1.5008382092674657E-2</v>
      </c>
      <c r="Q85" s="239">
        <f>C85/LV!D$37</f>
        <v>0.49516096954084476</v>
      </c>
      <c r="R85" s="239">
        <f>F85/LV!D$34</f>
        <v>0.10114812665396335</v>
      </c>
    </row>
    <row r="86" spans="1:18" x14ac:dyDescent="0.3">
      <c r="A86" s="227" t="s">
        <v>81</v>
      </c>
      <c r="B86" s="227" t="s">
        <v>239</v>
      </c>
      <c r="C86" s="228">
        <v>74.174499999999995</v>
      </c>
      <c r="D86" s="228">
        <v>305.13520000000005</v>
      </c>
      <c r="E86" s="228">
        <v>2.2266000000000004</v>
      </c>
      <c r="F86" s="228">
        <v>41.517261904761902</v>
      </c>
      <c r="G86" s="228">
        <v>27.8996</v>
      </c>
      <c r="H86" s="228">
        <v>231.12640000000002</v>
      </c>
      <c r="I86" s="228">
        <v>1.0256000000000001</v>
      </c>
      <c r="K86" s="230">
        <f t="shared" si="15"/>
        <v>4.1137479861677537</v>
      </c>
      <c r="L86" s="229">
        <f t="shared" si="16"/>
        <v>3.0018402550741837E-2</v>
      </c>
      <c r="M86" s="233">
        <f t="shared" si="17"/>
        <v>0.67200000000000004</v>
      </c>
      <c r="N86" s="230">
        <f t="shared" si="18"/>
        <v>8.2842191285896583</v>
      </c>
      <c r="O86" s="229">
        <f t="shared" si="19"/>
        <v>3.67603836614145E-2</v>
      </c>
      <c r="Q86" s="239">
        <f>C86/LV!D$37</f>
        <v>0.16873122973263807</v>
      </c>
      <c r="R86" s="239">
        <f>F86/LV!D$34</f>
        <v>6.5901617641823201E-2</v>
      </c>
    </row>
    <row r="87" spans="1:18" x14ac:dyDescent="0.3">
      <c r="A87" s="227" t="s">
        <v>648</v>
      </c>
      <c r="B87" s="227" t="s">
        <v>239</v>
      </c>
      <c r="C87" s="228">
        <v>42.365250000000003</v>
      </c>
      <c r="D87" s="228">
        <v>189.9128</v>
      </c>
      <c r="E87" s="228">
        <v>1.4020000000000001</v>
      </c>
      <c r="F87" s="228">
        <v>7.3497984689046989</v>
      </c>
      <c r="G87" s="228">
        <v>4.9399999999999995</v>
      </c>
      <c r="H87" s="228">
        <v>37.92</v>
      </c>
      <c r="I87" s="228">
        <v>0.12000000000000002</v>
      </c>
      <c r="K87" s="230">
        <f t="shared" si="15"/>
        <v>4.4827494231711125</v>
      </c>
      <c r="L87" s="229">
        <f t="shared" si="16"/>
        <v>3.3093160078130075E-2</v>
      </c>
      <c r="M87" s="233">
        <f t="shared" si="17"/>
        <v>0.67212727272727268</v>
      </c>
      <c r="N87" s="230">
        <f t="shared" si="18"/>
        <v>7.676113360323888</v>
      </c>
      <c r="O87" s="229">
        <f t="shared" si="19"/>
        <v>2.4291497975708509E-2</v>
      </c>
      <c r="Q87" s="239">
        <f>C87/LV!D$37</f>
        <v>9.6371943598280344E-2</v>
      </c>
      <c r="R87" s="239">
        <f>F87/LV!D$34</f>
        <v>1.1666559551863414E-2</v>
      </c>
    </row>
    <row r="88" spans="1:18" x14ac:dyDescent="0.3">
      <c r="A88" s="227" t="s">
        <v>620</v>
      </c>
      <c r="B88" s="227" t="s">
        <v>239</v>
      </c>
      <c r="C88" s="228">
        <v>42.631500000000003</v>
      </c>
      <c r="D88" s="228">
        <v>188.96199999999999</v>
      </c>
      <c r="E88" s="228">
        <v>0.73999999999999988</v>
      </c>
      <c r="F88" s="228">
        <v>27.2</v>
      </c>
      <c r="G88" s="228">
        <v>18.575999999999997</v>
      </c>
      <c r="H88" s="228">
        <v>168.5</v>
      </c>
      <c r="I88" s="228">
        <v>0.56899999999999995</v>
      </c>
      <c r="K88" s="230">
        <f t="shared" si="15"/>
        <v>4.4324501835497223</v>
      </c>
      <c r="L88" s="229">
        <f t="shared" si="16"/>
        <v>1.7358056835907718E-2</v>
      </c>
      <c r="M88" s="233">
        <f t="shared" si="17"/>
        <v>0.68294117647058816</v>
      </c>
      <c r="N88" s="230">
        <f t="shared" si="18"/>
        <v>9.0708440999138684</v>
      </c>
      <c r="O88" s="229">
        <f t="shared" si="19"/>
        <v>3.0630921619293715E-2</v>
      </c>
      <c r="Q88" s="239">
        <f>C88/LV!D$37</f>
        <v>9.6977605785640089E-2</v>
      </c>
      <c r="R88" s="239">
        <f>F88/LV!D$34</f>
        <v>4.3175390611489096E-2</v>
      </c>
    </row>
    <row r="89" spans="1:18" x14ac:dyDescent="0.3">
      <c r="A89" s="227" t="s">
        <v>726</v>
      </c>
      <c r="B89" s="227" t="s">
        <v>239</v>
      </c>
      <c r="C89" s="228">
        <v>40.18333333333333</v>
      </c>
      <c r="D89" s="228">
        <v>143.19499999999999</v>
      </c>
      <c r="E89" s="228">
        <v>0.77825</v>
      </c>
      <c r="F89" s="228">
        <v>23</v>
      </c>
      <c r="G89" s="228">
        <v>15.25525</v>
      </c>
      <c r="H89" s="228">
        <v>108.143</v>
      </c>
      <c r="I89" s="228">
        <v>0.63850000000000007</v>
      </c>
      <c r="K89" s="230">
        <f t="shared" si="15"/>
        <v>3.5635420987142266</v>
      </c>
      <c r="L89" s="229">
        <f t="shared" si="16"/>
        <v>1.9367482372459562E-2</v>
      </c>
      <c r="M89" s="233">
        <f t="shared" si="17"/>
        <v>0.6632717391304348</v>
      </c>
      <c r="N89" s="230">
        <f t="shared" si="18"/>
        <v>7.0889038199963945</v>
      </c>
      <c r="O89" s="229">
        <f t="shared" si="19"/>
        <v>4.1854443552219733E-2</v>
      </c>
      <c r="Q89" s="239">
        <f>C89/LV!D$37</f>
        <v>9.1408546712008029E-2</v>
      </c>
      <c r="R89" s="239">
        <f>F89/LV!D$34</f>
        <v>3.6508602355303281E-2</v>
      </c>
    </row>
    <row r="90" spans="1:18" x14ac:dyDescent="0.3">
      <c r="A90" s="227" t="s">
        <v>725</v>
      </c>
      <c r="B90" s="227" t="s">
        <v>239</v>
      </c>
      <c r="C90" s="228">
        <v>4.05</v>
      </c>
      <c r="D90" s="228">
        <v>17</v>
      </c>
      <c r="E90" s="228">
        <v>0.13333333333333333</v>
      </c>
      <c r="F90" s="228">
        <v>7.2420634920634921</v>
      </c>
      <c r="G90" s="228">
        <v>4.8666666666666671</v>
      </c>
      <c r="H90" s="228">
        <v>32.199999999999996</v>
      </c>
      <c r="I90" s="228">
        <v>0.19999999999999998</v>
      </c>
      <c r="K90" s="230">
        <f t="shared" si="15"/>
        <v>4.1975308641975309</v>
      </c>
      <c r="L90" s="229">
        <f t="shared" si="16"/>
        <v>3.292181069958848E-2</v>
      </c>
      <c r="M90" s="233">
        <f t="shared" si="17"/>
        <v>0.67200000000000004</v>
      </c>
      <c r="N90" s="230">
        <f t="shared" si="18"/>
        <v>6.616438356164382</v>
      </c>
      <c r="O90" s="229">
        <f t="shared" si="19"/>
        <v>4.1095890410958895E-2</v>
      </c>
      <c r="Q90" s="239">
        <f>C90/LV!D$37</f>
        <v>9.2128896105424934E-3</v>
      </c>
      <c r="R90" s="239">
        <f>F90/LV!D$34</f>
        <v>1.1495548533200221E-2</v>
      </c>
    </row>
    <row r="91" spans="1:18" x14ac:dyDescent="0.3">
      <c r="A91" s="227" t="s">
        <v>184</v>
      </c>
      <c r="B91" s="227" t="s">
        <v>156</v>
      </c>
      <c r="C91" s="228">
        <v>120.66425000000001</v>
      </c>
      <c r="D91" s="228">
        <v>590.81799999999998</v>
      </c>
      <c r="E91" s="228">
        <v>4.1979999999999995</v>
      </c>
      <c r="F91" s="228">
        <v>24.347769632374828</v>
      </c>
      <c r="G91" s="228">
        <v>16.364800000000002</v>
      </c>
      <c r="H91" s="228">
        <v>136.20160000000001</v>
      </c>
      <c r="I91" s="228">
        <v>0.88239999999999996</v>
      </c>
      <c r="K91" s="230">
        <f t="shared" si="15"/>
        <v>4.8963798308115285</v>
      </c>
      <c r="L91" s="229">
        <f t="shared" si="16"/>
        <v>3.4790752024729768E-2</v>
      </c>
      <c r="M91" s="233">
        <f t="shared" si="17"/>
        <v>0.67212727272727268</v>
      </c>
      <c r="N91" s="230">
        <f t="shared" si="18"/>
        <v>8.3228392647633935</v>
      </c>
      <c r="O91" s="229">
        <f t="shared" si="19"/>
        <v>5.3920610089949146E-2</v>
      </c>
      <c r="Q91" s="239">
        <f>C91/MIA!D$37</f>
        <v>0.27448553461454372</v>
      </c>
      <c r="R91" s="239">
        <f>F91/MIA!D$34</f>
        <v>3.864795824986527E-2</v>
      </c>
    </row>
    <row r="92" spans="1:18" x14ac:dyDescent="0.3">
      <c r="A92" s="227" t="s">
        <v>134</v>
      </c>
      <c r="B92" s="227" t="s">
        <v>156</v>
      </c>
      <c r="C92" s="228">
        <v>126.52924999999999</v>
      </c>
      <c r="D92" s="228">
        <v>577.75200000000007</v>
      </c>
      <c r="E92" s="228">
        <v>2.6100000000000003</v>
      </c>
      <c r="F92" s="228">
        <v>72.927976190476187</v>
      </c>
      <c r="G92" s="228">
        <v>49.007599999999996</v>
      </c>
      <c r="H92" s="228">
        <v>334.41359999999997</v>
      </c>
      <c r="I92" s="228">
        <v>1.3370000000000002</v>
      </c>
      <c r="K92" s="230">
        <f t="shared" si="15"/>
        <v>4.5661536759286889</v>
      </c>
      <c r="L92" s="229">
        <f t="shared" si="16"/>
        <v>2.0627641434688031E-2</v>
      </c>
      <c r="M92" s="233">
        <f t="shared" si="17"/>
        <v>0.67199999999999993</v>
      </c>
      <c r="N92" s="230">
        <f t="shared" si="18"/>
        <v>6.8237089757506997</v>
      </c>
      <c r="O92" s="229">
        <f t="shared" si="19"/>
        <v>2.7281482872044342E-2</v>
      </c>
      <c r="Q92" s="239">
        <f>C92/MIA!D$37</f>
        <v>0.28782716364314415</v>
      </c>
      <c r="R92" s="239">
        <f>F92/MIA!D$34</f>
        <v>0.11576080362239653</v>
      </c>
    </row>
    <row r="93" spans="1:18" x14ac:dyDescent="0.3">
      <c r="A93" s="227" t="s">
        <v>724</v>
      </c>
      <c r="B93" s="227" t="s">
        <v>156</v>
      </c>
      <c r="C93" s="228">
        <v>96.076333333333324</v>
      </c>
      <c r="D93" s="228">
        <v>355.6</v>
      </c>
      <c r="E93" s="228">
        <v>2.1800000000000002</v>
      </c>
      <c r="F93" s="228">
        <v>12.409108123461465</v>
      </c>
      <c r="G93" s="228">
        <v>8.3404999999999987</v>
      </c>
      <c r="H93" s="228">
        <v>50.438000000000002</v>
      </c>
      <c r="I93" s="228">
        <v>0.24450000000000002</v>
      </c>
      <c r="K93" s="230">
        <f t="shared" si="15"/>
        <v>3.7012236797823959</v>
      </c>
      <c r="L93" s="229">
        <f t="shared" si="16"/>
        <v>2.2690291400240786E-2</v>
      </c>
      <c r="M93" s="233">
        <f t="shared" si="17"/>
        <v>0.67212727272727268</v>
      </c>
      <c r="N93" s="230">
        <f t="shared" si="18"/>
        <v>6.0473592710269184</v>
      </c>
      <c r="O93" s="229">
        <f t="shared" si="19"/>
        <v>2.9314789281218161E-2</v>
      </c>
      <c r="Q93" s="239">
        <f>C93/MIA!D$37</f>
        <v>0.2185532477001689</v>
      </c>
      <c r="R93" s="239">
        <f>F93/MIA!D$34</f>
        <v>1.9697356263626883E-2</v>
      </c>
    </row>
    <row r="94" spans="1:18" x14ac:dyDescent="0.3">
      <c r="A94" s="227" t="s">
        <v>826</v>
      </c>
      <c r="B94" s="227" t="s">
        <v>156</v>
      </c>
      <c r="C94" s="228">
        <v>32.700000000000003</v>
      </c>
      <c r="D94" s="228">
        <v>140.1</v>
      </c>
      <c r="E94" s="228">
        <v>0.8</v>
      </c>
      <c r="F94" s="228">
        <v>12</v>
      </c>
      <c r="G94" s="228">
        <v>8.1</v>
      </c>
      <c r="H94" s="228">
        <v>49.450400000000002</v>
      </c>
      <c r="I94" s="228">
        <v>0.36</v>
      </c>
      <c r="K94" s="230">
        <f t="shared" si="15"/>
        <v>4.28440366972477</v>
      </c>
      <c r="L94" s="229">
        <f t="shared" si="16"/>
        <v>2.4464831804281346E-2</v>
      </c>
      <c r="M94" s="233">
        <f t="shared" si="17"/>
        <v>0.67499999999999993</v>
      </c>
      <c r="N94" s="230">
        <f t="shared" si="18"/>
        <v>6.104987654320988</v>
      </c>
      <c r="O94" s="229">
        <f t="shared" si="19"/>
        <v>4.4444444444444446E-2</v>
      </c>
      <c r="Q94" s="239">
        <f>C94/MIA!D$37</f>
        <v>7.4385553151787548E-2</v>
      </c>
      <c r="R94" s="239">
        <f>F94/MIA!D$34</f>
        <v>1.904796644624519E-2</v>
      </c>
    </row>
    <row r="95" spans="1:18" x14ac:dyDescent="0.3">
      <c r="A95" s="227" t="s">
        <v>723</v>
      </c>
      <c r="B95" s="227" t="s">
        <v>156</v>
      </c>
      <c r="C95" s="228">
        <v>0</v>
      </c>
      <c r="D95" s="228">
        <v>0</v>
      </c>
      <c r="E95" s="228">
        <v>0</v>
      </c>
      <c r="F95" s="228">
        <v>9</v>
      </c>
      <c r="G95" s="228">
        <v>4.9666666666666668</v>
      </c>
      <c r="H95" s="228">
        <v>32.166666666666664</v>
      </c>
      <c r="I95" s="228">
        <v>0.19999999999999998</v>
      </c>
      <c r="K95" s="230" t="e">
        <f t="shared" si="15"/>
        <v>#DIV/0!</v>
      </c>
      <c r="L95" s="229" t="e">
        <f t="shared" si="16"/>
        <v>#DIV/0!</v>
      </c>
      <c r="M95" s="233">
        <f t="shared" si="17"/>
        <v>0.55185185185185182</v>
      </c>
      <c r="N95" s="230">
        <f t="shared" si="18"/>
        <v>6.4765100671140932</v>
      </c>
      <c r="O95" s="229">
        <f t="shared" si="19"/>
        <v>4.0268456375838924E-2</v>
      </c>
      <c r="Q95" s="239">
        <f>C95/MIA!D$37</f>
        <v>0</v>
      </c>
      <c r="R95" s="239">
        <f>F95/MIA!D$34</f>
        <v>1.4285974834683891E-2</v>
      </c>
    </row>
    <row r="96" spans="1:18" x14ac:dyDescent="0.3">
      <c r="A96" s="227" t="s">
        <v>128</v>
      </c>
      <c r="B96" s="227" t="s">
        <v>157</v>
      </c>
      <c r="C96" s="228">
        <v>282.84924999999998</v>
      </c>
      <c r="D96" s="228">
        <v>1266.0174</v>
      </c>
      <c r="E96" s="228">
        <v>8.8621999999999979</v>
      </c>
      <c r="F96" s="228">
        <v>66.665945302567167</v>
      </c>
      <c r="G96" s="228">
        <v>44.808000000000007</v>
      </c>
      <c r="H96" s="228">
        <v>317.48239999999998</v>
      </c>
      <c r="I96" s="228">
        <v>0.86239999999999983</v>
      </c>
      <c r="K96" s="230">
        <f t="shared" si="15"/>
        <v>4.4759439878309735</v>
      </c>
      <c r="L96" s="229">
        <f t="shared" si="16"/>
        <v>3.1331884387177968E-2</v>
      </c>
      <c r="M96" s="233">
        <f t="shared" si="17"/>
        <v>0.67212727272727268</v>
      </c>
      <c r="N96" s="230">
        <f t="shared" si="18"/>
        <v>7.0853954650955169</v>
      </c>
      <c r="O96" s="229">
        <f t="shared" si="19"/>
        <v>1.9246563113729683E-2</v>
      </c>
      <c r="Q96" s="239">
        <f>C96/MIN!D$37</f>
        <v>0.6113867600533508</v>
      </c>
      <c r="R96" s="239">
        <f>F96/MIN!D$34</f>
        <v>0.11094451829696077</v>
      </c>
    </row>
    <row r="97" spans="1:18" x14ac:dyDescent="0.3">
      <c r="A97" s="227" t="s">
        <v>129</v>
      </c>
      <c r="B97" s="227" t="s">
        <v>157</v>
      </c>
      <c r="C97" s="228">
        <v>124.60125000000001</v>
      </c>
      <c r="D97" s="228">
        <v>481.67459999999994</v>
      </c>
      <c r="E97" s="228">
        <v>3.3058000000000001</v>
      </c>
      <c r="F97" s="228">
        <v>39.873400600535618</v>
      </c>
      <c r="G97" s="228">
        <v>26.8</v>
      </c>
      <c r="H97" s="228">
        <v>183.6456</v>
      </c>
      <c r="I97" s="228">
        <v>0.87200000000000011</v>
      </c>
      <c r="K97" s="230">
        <f t="shared" si="15"/>
        <v>3.8657284738315218</v>
      </c>
      <c r="L97" s="229">
        <f t="shared" si="16"/>
        <v>2.6531033998455071E-2</v>
      </c>
      <c r="M97" s="233">
        <f t="shared" si="17"/>
        <v>0.67212727272727268</v>
      </c>
      <c r="N97" s="230">
        <f t="shared" si="18"/>
        <v>6.8524477611940293</v>
      </c>
      <c r="O97" s="229">
        <f t="shared" si="19"/>
        <v>3.2537313432835821E-2</v>
      </c>
      <c r="Q97" s="239">
        <f>C97/MIN!D$37</f>
        <v>0.26932917282297048</v>
      </c>
      <c r="R97" s="239">
        <f>F97/MIN!D$34</f>
        <v>6.6356746347941184E-2</v>
      </c>
    </row>
    <row r="98" spans="1:18" x14ac:dyDescent="0.3">
      <c r="A98" s="227" t="s">
        <v>310</v>
      </c>
      <c r="B98" s="227" t="s">
        <v>157</v>
      </c>
      <c r="C98" s="228">
        <v>14.706333333333333</v>
      </c>
      <c r="D98" s="228">
        <v>80.711999999999989</v>
      </c>
      <c r="E98" s="228">
        <v>0.65</v>
      </c>
      <c r="F98" s="228">
        <v>4.9000000000000004</v>
      </c>
      <c r="G98" s="228">
        <v>4.05</v>
      </c>
      <c r="H98" s="228">
        <v>26</v>
      </c>
      <c r="I98" s="228">
        <v>7.5000000000000011E-2</v>
      </c>
      <c r="K98" s="230">
        <f t="shared" si="15"/>
        <v>5.4882476937373914</v>
      </c>
      <c r="L98" s="229">
        <f t="shared" si="16"/>
        <v>4.4198644574899706E-2</v>
      </c>
      <c r="M98" s="233">
        <f t="shared" si="17"/>
        <v>0.82653061224489788</v>
      </c>
      <c r="N98" s="230">
        <f t="shared" si="18"/>
        <v>6.4197530864197532</v>
      </c>
      <c r="O98" s="229">
        <f t="shared" si="19"/>
        <v>1.8518518518518521E-2</v>
      </c>
      <c r="Q98" s="239">
        <f>C98/MIN!D$37</f>
        <v>3.1788160968895134E-2</v>
      </c>
      <c r="R98" s="239">
        <f>F98/MIN!D$34</f>
        <v>8.1545103303916379E-3</v>
      </c>
    </row>
    <row r="99" spans="1:18" x14ac:dyDescent="0.3">
      <c r="A99" s="227" t="s">
        <v>722</v>
      </c>
      <c r="B99" s="227" t="s">
        <v>157</v>
      </c>
      <c r="C99" s="228">
        <v>11</v>
      </c>
      <c r="D99" s="228">
        <v>49.133333333333333</v>
      </c>
      <c r="E99" s="228">
        <v>0.26666666666666666</v>
      </c>
      <c r="F99" s="228">
        <v>2.578876655756035</v>
      </c>
      <c r="G99" s="228">
        <v>1.7333333333333334</v>
      </c>
      <c r="H99" s="228">
        <v>14.9</v>
      </c>
      <c r="I99" s="228">
        <v>0</v>
      </c>
      <c r="K99" s="230">
        <f t="shared" si="15"/>
        <v>4.4666666666666668</v>
      </c>
      <c r="L99" s="229">
        <f t="shared" si="16"/>
        <v>2.4242424242424242E-2</v>
      </c>
      <c r="M99" s="233">
        <f t="shared" si="17"/>
        <v>0.67212727272727268</v>
      </c>
      <c r="N99" s="230">
        <f t="shared" si="18"/>
        <v>8.5961538461538467</v>
      </c>
      <c r="O99" s="229">
        <f t="shared" si="19"/>
        <v>0</v>
      </c>
      <c r="Q99" s="239">
        <f>C99/MIN!D$37</f>
        <v>2.377681524906592E-2</v>
      </c>
      <c r="R99" s="239">
        <f>F99/MIN!D$34</f>
        <v>4.2917298632996785E-3</v>
      </c>
    </row>
    <row r="100" spans="1:18" x14ac:dyDescent="0.3">
      <c r="A100" s="227" t="s">
        <v>721</v>
      </c>
      <c r="B100" s="227" t="s">
        <v>157</v>
      </c>
      <c r="C100" s="228">
        <v>0</v>
      </c>
      <c r="D100" s="228">
        <v>0</v>
      </c>
      <c r="E100" s="228">
        <v>0</v>
      </c>
      <c r="F100" s="228">
        <v>19</v>
      </c>
      <c r="G100" s="228">
        <v>11.91</v>
      </c>
      <c r="H100" s="228">
        <v>82.14</v>
      </c>
      <c r="I100" s="228">
        <v>0.377</v>
      </c>
      <c r="K100" s="230" t="e">
        <f t="shared" ref="K100:K131" si="25">D100/C100</f>
        <v>#DIV/0!</v>
      </c>
      <c r="L100" s="229" t="e">
        <f t="shared" ref="L100:L131" si="26">E100/C100</f>
        <v>#DIV/0!</v>
      </c>
      <c r="M100" s="233">
        <f t="shared" ref="M100:M131" si="27">G100/F100</f>
        <v>0.62684210526315787</v>
      </c>
      <c r="N100" s="230">
        <f t="shared" ref="N100:N131" si="28">H100/G100</f>
        <v>6.896725440806045</v>
      </c>
      <c r="O100" s="229">
        <f t="shared" ref="O100:O131" si="29">I100/G100</f>
        <v>3.1654072208228377E-2</v>
      </c>
      <c r="Q100" s="239">
        <f>C100/MIN!D$37</f>
        <v>0</v>
      </c>
      <c r="R100" s="239">
        <f>F100/MIN!D$34</f>
        <v>3.1619529852538998E-2</v>
      </c>
    </row>
    <row r="101" spans="1:18" x14ac:dyDescent="0.3">
      <c r="A101" s="227" t="s">
        <v>125</v>
      </c>
      <c r="B101" s="227" t="s">
        <v>158</v>
      </c>
      <c r="C101" s="228">
        <v>182.84075000000001</v>
      </c>
      <c r="D101" s="228">
        <v>826.87279999999987</v>
      </c>
      <c r="E101" s="228">
        <v>9.6241999999999983</v>
      </c>
      <c r="F101" s="228">
        <v>25.797197500473395</v>
      </c>
      <c r="G101" s="228">
        <v>17.338999999999999</v>
      </c>
      <c r="H101" s="228">
        <v>120.22160000000001</v>
      </c>
      <c r="I101" s="228">
        <v>0.30640000000000001</v>
      </c>
      <c r="K101" s="230">
        <f t="shared" si="25"/>
        <v>4.5223660480500101</v>
      </c>
      <c r="L101" s="229">
        <f t="shared" si="26"/>
        <v>5.2637062580414909E-2</v>
      </c>
      <c r="M101" s="233">
        <f t="shared" si="27"/>
        <v>0.67212727272727268</v>
      </c>
      <c r="N101" s="230">
        <f t="shared" si="28"/>
        <v>6.9335947863198584</v>
      </c>
      <c r="O101" s="229">
        <f t="shared" si="29"/>
        <v>1.7671145971509317E-2</v>
      </c>
      <c r="Q101" s="239">
        <f>C101/NE!D$37</f>
        <v>0.36530184909427332</v>
      </c>
      <c r="R101" s="239">
        <f>F101/NE!D$34</f>
        <v>4.9124853257783659E-2</v>
      </c>
    </row>
    <row r="102" spans="1:18" x14ac:dyDescent="0.3">
      <c r="A102" s="227" t="s">
        <v>311</v>
      </c>
      <c r="B102" s="227" t="s">
        <v>158</v>
      </c>
      <c r="C102" s="228">
        <v>154.62725</v>
      </c>
      <c r="D102" s="228">
        <v>683.01460000000009</v>
      </c>
      <c r="E102" s="228">
        <v>5.1344000000000003</v>
      </c>
      <c r="F102" s="228">
        <v>32</v>
      </c>
      <c r="G102" s="228">
        <v>22.779</v>
      </c>
      <c r="H102" s="228">
        <v>171.3152</v>
      </c>
      <c r="I102" s="228">
        <v>0.49979999999999991</v>
      </c>
      <c r="K102" s="230">
        <f t="shared" si="25"/>
        <v>4.4171683839685443</v>
      </c>
      <c r="L102" s="229">
        <f t="shared" si="26"/>
        <v>3.3205013993329119E-2</v>
      </c>
      <c r="M102" s="233">
        <f t="shared" si="27"/>
        <v>0.71184375</v>
      </c>
      <c r="N102" s="230">
        <f t="shared" si="28"/>
        <v>7.5207515694279818</v>
      </c>
      <c r="O102" s="229">
        <f t="shared" si="29"/>
        <v>2.1941261688397204E-2</v>
      </c>
      <c r="Q102" s="239">
        <f>C102/NE!D$37</f>
        <v>0.30893343166314113</v>
      </c>
      <c r="R102" s="239">
        <f>F102/NE!D$34</f>
        <v>6.0936669737874823E-2</v>
      </c>
    </row>
    <row r="103" spans="1:18" x14ac:dyDescent="0.3">
      <c r="A103" s="227" t="s">
        <v>650</v>
      </c>
      <c r="B103" s="227" t="s">
        <v>158</v>
      </c>
      <c r="C103" s="228">
        <v>38.637999999999998</v>
      </c>
      <c r="D103" s="228">
        <v>157.80975000000001</v>
      </c>
      <c r="E103" s="228">
        <v>0.62949999999999995</v>
      </c>
      <c r="F103" s="228">
        <v>5.9</v>
      </c>
      <c r="G103" s="228">
        <v>4.3250000000000002</v>
      </c>
      <c r="H103" s="228">
        <v>30.725000000000001</v>
      </c>
      <c r="I103" s="228">
        <v>0.15</v>
      </c>
      <c r="K103" s="230">
        <f t="shared" si="25"/>
        <v>4.0843146643200994</v>
      </c>
      <c r="L103" s="229">
        <f t="shared" si="26"/>
        <v>1.6292251151715925E-2</v>
      </c>
      <c r="M103" s="233">
        <f t="shared" si="27"/>
        <v>0.73305084745762705</v>
      </c>
      <c r="N103" s="230">
        <f t="shared" si="28"/>
        <v>7.1040462427745661</v>
      </c>
      <c r="O103" s="229">
        <f t="shared" si="29"/>
        <v>3.4682080924855488E-2</v>
      </c>
      <c r="Q103" s="239">
        <f>C103/NE!D$37</f>
        <v>7.7195771978098598E-2</v>
      </c>
      <c r="R103" s="239">
        <f>F103/NE!D$34</f>
        <v>1.1235198482920671E-2</v>
      </c>
    </row>
    <row r="104" spans="1:18" x14ac:dyDescent="0.3">
      <c r="A104" s="227" t="s">
        <v>124</v>
      </c>
      <c r="B104" s="227" t="s">
        <v>158</v>
      </c>
      <c r="C104" s="228">
        <v>38.022999999999996</v>
      </c>
      <c r="D104" s="228">
        <v>141.08080000000001</v>
      </c>
      <c r="E104" s="228">
        <v>1.3860000000000001</v>
      </c>
      <c r="F104" s="228">
        <v>69.611309523809524</v>
      </c>
      <c r="G104" s="228">
        <v>46.778800000000004</v>
      </c>
      <c r="H104" s="228">
        <v>372.37119999999999</v>
      </c>
      <c r="I104" s="228">
        <v>2.2915999999999999</v>
      </c>
      <c r="K104" s="230">
        <f t="shared" si="25"/>
        <v>3.7104068590063917</v>
      </c>
      <c r="L104" s="229">
        <f t="shared" si="26"/>
        <v>3.6451621387055211E-2</v>
      </c>
      <c r="M104" s="233">
        <f t="shared" si="27"/>
        <v>0.67200000000000004</v>
      </c>
      <c r="N104" s="230">
        <f t="shared" si="28"/>
        <v>7.9602555003548607</v>
      </c>
      <c r="O104" s="229">
        <f t="shared" si="29"/>
        <v>4.898800311252105E-2</v>
      </c>
      <c r="Q104" s="239">
        <f>C104/NE!D$37</f>
        <v>7.596704896535128E-2</v>
      </c>
      <c r="R104" s="239">
        <f>F104/NE!D$34</f>
        <v>0.13255879307729254</v>
      </c>
    </row>
    <row r="105" spans="1:18" x14ac:dyDescent="0.3">
      <c r="A105" s="227" t="s">
        <v>720</v>
      </c>
      <c r="B105" s="227" t="s">
        <v>158</v>
      </c>
      <c r="C105" s="228">
        <v>11.55</v>
      </c>
      <c r="D105" s="228">
        <v>97.066666666666677</v>
      </c>
      <c r="E105" s="228">
        <v>0.46666666666666662</v>
      </c>
      <c r="F105" s="228">
        <v>7.0932539682539675</v>
      </c>
      <c r="G105" s="228">
        <v>4.7666666666666666</v>
      </c>
      <c r="H105" s="228">
        <v>33.166666666666664</v>
      </c>
      <c r="I105" s="228">
        <v>0</v>
      </c>
      <c r="K105" s="230">
        <f t="shared" si="25"/>
        <v>8.4040404040404049</v>
      </c>
      <c r="L105" s="229">
        <f t="shared" si="26"/>
        <v>4.0404040404040401E-2</v>
      </c>
      <c r="M105" s="233">
        <f t="shared" si="27"/>
        <v>0.67200000000000004</v>
      </c>
      <c r="N105" s="230">
        <f t="shared" si="28"/>
        <v>6.9580419580419575</v>
      </c>
      <c r="O105" s="229">
        <f t="shared" si="29"/>
        <v>0</v>
      </c>
      <c r="Q105" s="239">
        <f>C105/NE!D$37</f>
        <v>2.3076017556473909E-2</v>
      </c>
      <c r="R105" s="239">
        <f>F105/NE!D$34</f>
        <v>1.3507477325948813E-2</v>
      </c>
    </row>
    <row r="106" spans="1:18" x14ac:dyDescent="0.3">
      <c r="A106" s="227" t="s">
        <v>119</v>
      </c>
      <c r="B106" s="227" t="s">
        <v>159</v>
      </c>
      <c r="C106" s="228">
        <v>215.7835</v>
      </c>
      <c r="D106" s="228">
        <v>845.86019999999985</v>
      </c>
      <c r="E106" s="228">
        <v>5.548</v>
      </c>
      <c r="F106" s="228">
        <v>78.900000000000006</v>
      </c>
      <c r="G106" s="228">
        <v>56.847999999999999</v>
      </c>
      <c r="H106" s="228">
        <v>488.92020000000002</v>
      </c>
      <c r="I106" s="228">
        <v>3.8522000000000007</v>
      </c>
      <c r="K106" s="230">
        <f t="shared" si="25"/>
        <v>3.919948466866094</v>
      </c>
      <c r="L106" s="229">
        <f t="shared" si="26"/>
        <v>2.5710955656943184E-2</v>
      </c>
      <c r="M106" s="233">
        <f t="shared" si="27"/>
        <v>0.72050697084917614</v>
      </c>
      <c r="N106" s="230">
        <f t="shared" si="28"/>
        <v>8.600481987053195</v>
      </c>
      <c r="O106" s="229">
        <f t="shared" si="29"/>
        <v>6.7763157894736858E-2</v>
      </c>
      <c r="Q106" s="239">
        <f>C106/NO!D$37</f>
        <v>0.42559847508121706</v>
      </c>
      <c r="R106" s="239">
        <f>F106/NO!D$34</f>
        <v>0.14307265073256825</v>
      </c>
    </row>
    <row r="107" spans="1:18" x14ac:dyDescent="0.3">
      <c r="A107" s="227" t="s">
        <v>634</v>
      </c>
      <c r="B107" s="227" t="s">
        <v>159</v>
      </c>
      <c r="C107" s="228">
        <v>154.11525</v>
      </c>
      <c r="D107" s="228">
        <v>514.82380000000001</v>
      </c>
      <c r="E107" s="228">
        <v>3.7849999999999993</v>
      </c>
      <c r="F107" s="228">
        <v>26.5</v>
      </c>
      <c r="G107" s="228">
        <v>20.975000000000001</v>
      </c>
      <c r="H107" s="228">
        <v>115.93559999999999</v>
      </c>
      <c r="I107" s="228">
        <v>0.43019999999999997</v>
      </c>
      <c r="K107" s="230">
        <f t="shared" si="25"/>
        <v>3.3405117274247682</v>
      </c>
      <c r="L107" s="229">
        <f t="shared" si="26"/>
        <v>2.4559542290590965E-2</v>
      </c>
      <c r="M107" s="233">
        <f t="shared" si="27"/>
        <v>0.79150943396226425</v>
      </c>
      <c r="N107" s="230">
        <f t="shared" si="28"/>
        <v>5.5273230035756846</v>
      </c>
      <c r="O107" s="229">
        <f t="shared" si="29"/>
        <v>2.0510131108462452E-2</v>
      </c>
      <c r="Q107" s="239">
        <f>C107/NO!D$37</f>
        <v>0.3039677055324459</v>
      </c>
      <c r="R107" s="239">
        <f>F107/NO!D$34</f>
        <v>4.8053551893701626E-2</v>
      </c>
    </row>
    <row r="108" spans="1:18" x14ac:dyDescent="0.3">
      <c r="A108" s="227" t="s">
        <v>565</v>
      </c>
      <c r="B108" s="227" t="s">
        <v>159</v>
      </c>
      <c r="C108" s="228">
        <v>52.801333333333332</v>
      </c>
      <c r="D108" s="228">
        <v>199.702</v>
      </c>
      <c r="E108" s="228">
        <v>2.0407500000000001</v>
      </c>
      <c r="F108" s="228">
        <v>11.566220238095239</v>
      </c>
      <c r="G108" s="228">
        <v>7.7725000000000009</v>
      </c>
      <c r="H108" s="228">
        <v>46.472250000000003</v>
      </c>
      <c r="I108" s="228">
        <v>0.22549999999999998</v>
      </c>
      <c r="K108" s="230">
        <f t="shared" si="25"/>
        <v>3.7821393399156586</v>
      </c>
      <c r="L108" s="229">
        <f t="shared" si="26"/>
        <v>3.8649592182015607E-2</v>
      </c>
      <c r="M108" s="233">
        <f t="shared" si="27"/>
        <v>0.67200000000000004</v>
      </c>
      <c r="N108" s="230">
        <f t="shared" si="28"/>
        <v>5.9790607912512055</v>
      </c>
      <c r="O108" s="229">
        <f t="shared" si="29"/>
        <v>2.9012544226439365E-2</v>
      </c>
      <c r="Q108" s="239">
        <f>C108/NO!D$37</f>
        <v>0.10414219321181509</v>
      </c>
      <c r="R108" s="239">
        <f>F108/NO!D$34</f>
        <v>2.0973508091520435E-2</v>
      </c>
    </row>
    <row r="109" spans="1:18" x14ac:dyDescent="0.3">
      <c r="A109" s="227" t="s">
        <v>827</v>
      </c>
      <c r="B109" s="227" t="s">
        <v>159</v>
      </c>
      <c r="C109" s="228">
        <v>8.15</v>
      </c>
      <c r="D109" s="228">
        <v>36.266666666666673</v>
      </c>
      <c r="E109" s="228">
        <v>0.13333333333333333</v>
      </c>
      <c r="F109" s="228">
        <v>4.9000000000000004</v>
      </c>
      <c r="G109" s="228">
        <v>4.1000000000000005</v>
      </c>
      <c r="H109" s="228">
        <v>27.8</v>
      </c>
      <c r="I109" s="228">
        <v>0.2</v>
      </c>
      <c r="K109" s="230">
        <f t="shared" si="25"/>
        <v>4.4498977505112478</v>
      </c>
      <c r="L109" s="229">
        <f t="shared" si="26"/>
        <v>1.6359918200408996E-2</v>
      </c>
      <c r="M109" s="233">
        <f t="shared" si="27"/>
        <v>0.83673469387755106</v>
      </c>
      <c r="N109" s="230">
        <f t="shared" si="28"/>
        <v>6.7804878048780477</v>
      </c>
      <c r="O109" s="229">
        <f t="shared" si="29"/>
        <v>4.8780487804878044E-2</v>
      </c>
      <c r="Q109" s="239">
        <f>C109/NO!D$37</f>
        <v>1.6074572763496369E-2</v>
      </c>
      <c r="R109" s="239">
        <f>F109/NO!D$34</f>
        <v>8.8853737463825654E-3</v>
      </c>
    </row>
    <row r="110" spans="1:18" x14ac:dyDescent="0.3">
      <c r="A110" s="227" t="s">
        <v>719</v>
      </c>
      <c r="B110" s="227" t="s">
        <v>159</v>
      </c>
      <c r="C110" s="228">
        <v>4.2</v>
      </c>
      <c r="D110" s="228">
        <v>18.933333333333334</v>
      </c>
      <c r="E110" s="228">
        <v>6.6666666666666666E-2</v>
      </c>
      <c r="F110" s="228">
        <v>4.4146825396825395</v>
      </c>
      <c r="G110" s="228">
        <v>2.9666666666666668</v>
      </c>
      <c r="H110" s="228">
        <v>19.733333333333334</v>
      </c>
      <c r="I110" s="228">
        <v>6.6666666666666666E-2</v>
      </c>
      <c r="K110" s="230">
        <f t="shared" si="25"/>
        <v>4.5079365079365079</v>
      </c>
      <c r="L110" s="229">
        <f t="shared" si="26"/>
        <v>1.5873015873015872E-2</v>
      </c>
      <c r="M110" s="233">
        <f t="shared" si="27"/>
        <v>0.67200000000000004</v>
      </c>
      <c r="N110" s="230">
        <f t="shared" si="28"/>
        <v>6.6516853932584272</v>
      </c>
      <c r="O110" s="229">
        <f t="shared" si="29"/>
        <v>2.247191011235955E-2</v>
      </c>
      <c r="Q110" s="239">
        <f>C110/NO!D$37</f>
        <v>8.2838289087956759E-3</v>
      </c>
      <c r="R110" s="239">
        <f>F110/NO!D$34</f>
        <v>8.0053274156548452E-3</v>
      </c>
    </row>
    <row r="111" spans="1:18" x14ac:dyDescent="0.3">
      <c r="A111" s="227" t="s">
        <v>116</v>
      </c>
      <c r="B111" s="227" t="s">
        <v>160</v>
      </c>
      <c r="C111" s="228">
        <v>211.68824999999998</v>
      </c>
      <c r="D111" s="228">
        <v>818.78159999999991</v>
      </c>
      <c r="E111" s="228">
        <v>5.8</v>
      </c>
      <c r="F111" s="228">
        <v>82.63035714285715</v>
      </c>
      <c r="G111" s="228">
        <v>55.527600000000007</v>
      </c>
      <c r="H111" s="228">
        <v>368.56880000000001</v>
      </c>
      <c r="I111" s="228">
        <v>2.6080000000000001</v>
      </c>
      <c r="K111" s="230">
        <f t="shared" si="25"/>
        <v>3.8678651271386104</v>
      </c>
      <c r="L111" s="229">
        <f t="shared" si="26"/>
        <v>2.7398780990442316E-2</v>
      </c>
      <c r="M111" s="233">
        <f t="shared" si="27"/>
        <v>0.67200000000000004</v>
      </c>
      <c r="N111" s="230">
        <f t="shared" si="28"/>
        <v>6.6375784294657061</v>
      </c>
      <c r="O111" s="229">
        <f t="shared" si="29"/>
        <v>4.6967634113485902E-2</v>
      </c>
      <c r="Q111" s="239">
        <f>C111/NYG!D$37</f>
        <v>0.51214013686731086</v>
      </c>
      <c r="R111" s="239">
        <f>F111/NYG!D$34</f>
        <v>0.13663793155581622</v>
      </c>
    </row>
    <row r="112" spans="1:18" x14ac:dyDescent="0.3">
      <c r="A112" s="227" t="s">
        <v>13</v>
      </c>
      <c r="B112" s="227" t="s">
        <v>160</v>
      </c>
      <c r="C112" s="228">
        <v>70.878500000000003</v>
      </c>
      <c r="D112" s="228">
        <v>315.40440000000001</v>
      </c>
      <c r="E112" s="228">
        <v>1.6190000000000002</v>
      </c>
      <c r="F112" s="228">
        <v>22</v>
      </c>
      <c r="G112" s="228">
        <v>14.786799999999999</v>
      </c>
      <c r="H112" s="228">
        <v>105.4408</v>
      </c>
      <c r="I112" s="228">
        <v>0.70640000000000003</v>
      </c>
      <c r="K112" s="230">
        <f t="shared" si="25"/>
        <v>4.4499305148952084</v>
      </c>
      <c r="L112" s="229">
        <f t="shared" si="26"/>
        <v>2.2841905514366136E-2</v>
      </c>
      <c r="M112" s="233">
        <f t="shared" si="27"/>
        <v>0.67212727272727268</v>
      </c>
      <c r="N112" s="230">
        <f t="shared" si="28"/>
        <v>7.130738225985338</v>
      </c>
      <c r="O112" s="229">
        <f t="shared" si="29"/>
        <v>4.777233749019396E-2</v>
      </c>
      <c r="Q112" s="239">
        <f>C112/NYG!D$37</f>
        <v>0.1714772770380486</v>
      </c>
      <c r="R112" s="239">
        <f>F112/NYG!D$34</f>
        <v>3.6379299305591938E-2</v>
      </c>
    </row>
    <row r="113" spans="1:18" x14ac:dyDescent="0.3">
      <c r="A113" s="227" t="s">
        <v>312</v>
      </c>
      <c r="B113" s="227" t="s">
        <v>160</v>
      </c>
      <c r="C113" s="228">
        <v>13.083333333333334</v>
      </c>
      <c r="D113" s="228">
        <v>57.855555555555561</v>
      </c>
      <c r="E113" s="228">
        <v>0.3</v>
      </c>
      <c r="F113" s="228">
        <v>4.7453703703703711</v>
      </c>
      <c r="G113" s="228">
        <v>3.1888888888888896</v>
      </c>
      <c r="H113" s="228">
        <v>19.511111111111113</v>
      </c>
      <c r="I113" s="228">
        <v>4.4444444444444446E-2</v>
      </c>
      <c r="K113" s="230">
        <f t="shared" si="25"/>
        <v>4.4220806794055205</v>
      </c>
      <c r="L113" s="229">
        <f t="shared" si="26"/>
        <v>2.2929936305732482E-2</v>
      </c>
      <c r="M113" s="233">
        <f t="shared" si="27"/>
        <v>0.67200000000000004</v>
      </c>
      <c r="N113" s="230">
        <f t="shared" si="28"/>
        <v>6.1184668989547033</v>
      </c>
      <c r="O113" s="229">
        <f t="shared" si="29"/>
        <v>1.3937282229965155E-2</v>
      </c>
      <c r="Q113" s="239">
        <f>C113/NYG!D$37</f>
        <v>3.1652678521429431E-2</v>
      </c>
      <c r="R113" s="239">
        <f>F113/NYG!D$34</f>
        <v>7.8469658645268815E-3</v>
      </c>
    </row>
    <row r="114" spans="1:18" x14ac:dyDescent="0.3">
      <c r="A114" s="227" t="s">
        <v>828</v>
      </c>
      <c r="B114" s="227" t="s">
        <v>160</v>
      </c>
      <c r="C114" s="228">
        <v>36.799999999999997</v>
      </c>
      <c r="D114" s="228">
        <v>170.3</v>
      </c>
      <c r="E114" s="228">
        <v>1</v>
      </c>
      <c r="F114" s="228">
        <v>12.100882769316778</v>
      </c>
      <c r="G114" s="228">
        <v>8.1333333333333329</v>
      </c>
      <c r="H114" s="228">
        <v>57</v>
      </c>
      <c r="I114" s="228">
        <v>0.2</v>
      </c>
      <c r="K114" s="230">
        <f t="shared" si="25"/>
        <v>4.6277173913043486</v>
      </c>
      <c r="L114" s="229">
        <f t="shared" si="26"/>
        <v>2.7173913043478264E-2</v>
      </c>
      <c r="M114" s="233">
        <f t="shared" si="27"/>
        <v>0.67212727272727268</v>
      </c>
      <c r="N114" s="230">
        <f t="shared" si="28"/>
        <v>7.0081967213114762</v>
      </c>
      <c r="O114" s="229">
        <f t="shared" si="29"/>
        <v>2.4590163934426233E-2</v>
      </c>
      <c r="Q114" s="239">
        <f>C114/NYG!D$37</f>
        <v>8.9030718694670288E-2</v>
      </c>
      <c r="R114" s="239">
        <f>F114/NYG!D$34</f>
        <v>2.0010074369402511E-2</v>
      </c>
    </row>
    <row r="115" spans="1:18" x14ac:dyDescent="0.3">
      <c r="A115" s="227" t="s">
        <v>651</v>
      </c>
      <c r="B115" s="227" t="s">
        <v>161</v>
      </c>
      <c r="C115" s="228">
        <v>204.00425000000001</v>
      </c>
      <c r="D115" s="228">
        <v>887.30100000000004</v>
      </c>
      <c r="E115" s="228">
        <v>5.7709999999999999</v>
      </c>
      <c r="F115" s="228">
        <v>54.879487110125254</v>
      </c>
      <c r="G115" s="228">
        <v>36.886000000000003</v>
      </c>
      <c r="H115" s="228">
        <v>284.3596</v>
      </c>
      <c r="I115" s="228">
        <v>1.1768000000000001</v>
      </c>
      <c r="K115" s="230">
        <f t="shared" si="25"/>
        <v>4.349424092880418</v>
      </c>
      <c r="L115" s="229">
        <f t="shared" si="26"/>
        <v>2.8288626339892427E-2</v>
      </c>
      <c r="M115" s="233">
        <f t="shared" si="27"/>
        <v>0.67212727272727268</v>
      </c>
      <c r="N115" s="230">
        <f t="shared" si="28"/>
        <v>7.7091471018814719</v>
      </c>
      <c r="O115" s="229">
        <f t="shared" si="29"/>
        <v>3.1903703302065822E-2</v>
      </c>
      <c r="Q115" s="239">
        <f>C115/NYJ!D$37</f>
        <v>0.51417503141443177</v>
      </c>
      <c r="R115" s="239">
        <f>F115/NYJ!D$34</f>
        <v>9.0685960951868524E-2</v>
      </c>
    </row>
    <row r="116" spans="1:18" x14ac:dyDescent="0.3">
      <c r="A116" s="227" t="s">
        <v>313</v>
      </c>
      <c r="B116" s="227" t="s">
        <v>161</v>
      </c>
      <c r="C116" s="228">
        <v>126.06725</v>
      </c>
      <c r="D116" s="228">
        <v>576.74099999999999</v>
      </c>
      <c r="E116" s="228">
        <v>3.3379999999999996</v>
      </c>
      <c r="F116" s="228">
        <v>54.334821428571423</v>
      </c>
      <c r="G116" s="228">
        <v>36.512999999999998</v>
      </c>
      <c r="H116" s="228">
        <v>277.96839999999997</v>
      </c>
      <c r="I116" s="228">
        <v>0.82640000000000013</v>
      </c>
      <c r="K116" s="230">
        <f t="shared" si="25"/>
        <v>4.5748677789037195</v>
      </c>
      <c r="L116" s="229">
        <f t="shared" si="26"/>
        <v>2.6477931421523031E-2</v>
      </c>
      <c r="M116" s="233">
        <f t="shared" si="27"/>
        <v>0.67200000000000004</v>
      </c>
      <c r="N116" s="230">
        <f t="shared" si="28"/>
        <v>7.6128611727329991</v>
      </c>
      <c r="O116" s="229">
        <f t="shared" si="29"/>
        <v>2.2633034809519902E-2</v>
      </c>
      <c r="Q116" s="239">
        <f>C116/NYJ!D$37</f>
        <v>0.3177415775851779</v>
      </c>
      <c r="R116" s="239">
        <f>F116/NYJ!D$34</f>
        <v>8.9785924648138199E-2</v>
      </c>
    </row>
    <row r="117" spans="1:18" x14ac:dyDescent="0.3">
      <c r="A117" s="227" t="s">
        <v>12</v>
      </c>
      <c r="B117" s="227" t="s">
        <v>161</v>
      </c>
      <c r="C117" s="228">
        <v>26.720333333333333</v>
      </c>
      <c r="D117" s="228">
        <v>124.58799999999999</v>
      </c>
      <c r="E117" s="228">
        <v>0.3</v>
      </c>
      <c r="F117" s="228">
        <v>10.166601293045149</v>
      </c>
      <c r="G117" s="228">
        <v>6.8332499999999996</v>
      </c>
      <c r="H117" s="228">
        <v>43.092749999999995</v>
      </c>
      <c r="I117" s="228">
        <v>0.10525000000000001</v>
      </c>
      <c r="K117" s="230">
        <f t="shared" si="25"/>
        <v>4.6626663839023967</v>
      </c>
      <c r="L117" s="229">
        <f t="shared" si="26"/>
        <v>1.1227404847743915E-2</v>
      </c>
      <c r="M117" s="233">
        <f t="shared" si="27"/>
        <v>0.67212727272727268</v>
      </c>
      <c r="N117" s="230">
        <f t="shared" si="28"/>
        <v>6.3063330040610248</v>
      </c>
      <c r="O117" s="229">
        <f t="shared" si="29"/>
        <v>1.5402626861303189E-2</v>
      </c>
      <c r="Q117" s="239">
        <f>C117/NYJ!D$37</f>
        <v>6.7346284359618758E-2</v>
      </c>
      <c r="R117" s="239">
        <f>F117/NYJ!D$34</f>
        <v>1.679986560414129E-2</v>
      </c>
    </row>
    <row r="118" spans="1:18" x14ac:dyDescent="0.3">
      <c r="A118" s="227" t="s">
        <v>314</v>
      </c>
      <c r="B118" s="227" t="s">
        <v>161</v>
      </c>
      <c r="C118" s="228">
        <v>17.566666666666666</v>
      </c>
      <c r="D118" s="228">
        <v>83.55</v>
      </c>
      <c r="E118" s="228">
        <v>0.45</v>
      </c>
      <c r="F118" s="228">
        <v>11.103422619047617</v>
      </c>
      <c r="G118" s="228">
        <v>7.4614999999999991</v>
      </c>
      <c r="H118" s="228">
        <v>60.453500000000005</v>
      </c>
      <c r="I118" s="228">
        <v>0.40799999999999997</v>
      </c>
      <c r="K118" s="230">
        <f t="shared" si="25"/>
        <v>4.7561669829222009</v>
      </c>
      <c r="L118" s="229">
        <f t="shared" si="26"/>
        <v>2.5616698292220116E-2</v>
      </c>
      <c r="M118" s="233">
        <f t="shared" si="27"/>
        <v>0.67200000000000004</v>
      </c>
      <c r="N118" s="230">
        <f t="shared" si="28"/>
        <v>8.1020572270991096</v>
      </c>
      <c r="O118" s="229">
        <f t="shared" si="29"/>
        <v>5.4680694230382632E-2</v>
      </c>
      <c r="Q118" s="239">
        <f>C118/NYJ!D$37</f>
        <v>4.4275260859419276E-2</v>
      </c>
      <c r="R118" s="239">
        <f>F118/NYJ!D$34</f>
        <v>1.834792202125498E-2</v>
      </c>
    </row>
    <row r="119" spans="1:18" x14ac:dyDescent="0.3">
      <c r="A119" s="227" t="s">
        <v>103</v>
      </c>
      <c r="B119" s="227" t="s">
        <v>163</v>
      </c>
      <c r="C119" s="228">
        <v>188.81725</v>
      </c>
      <c r="D119" s="228">
        <v>937.41239999999993</v>
      </c>
      <c r="E119" s="228">
        <v>3.0607999999999995</v>
      </c>
      <c r="F119" s="228">
        <v>40.5</v>
      </c>
      <c r="G119" s="228">
        <v>36.11</v>
      </c>
      <c r="H119" s="228">
        <v>244.4034</v>
      </c>
      <c r="I119" s="228">
        <v>0.81759999999999999</v>
      </c>
      <c r="K119" s="230">
        <f t="shared" si="25"/>
        <v>4.9646544476206484</v>
      </c>
      <c r="L119" s="229">
        <f t="shared" si="26"/>
        <v>1.6210383320379888E-2</v>
      </c>
      <c r="M119" s="233">
        <f t="shared" si="27"/>
        <v>0.89160493827160492</v>
      </c>
      <c r="N119" s="230">
        <f t="shared" si="28"/>
        <v>6.7683024093049022</v>
      </c>
      <c r="O119" s="229">
        <f t="shared" si="29"/>
        <v>2.264192744392135E-2</v>
      </c>
      <c r="Q119" s="239">
        <f>C119/PHI!D$37</f>
        <v>0.39421205102830109</v>
      </c>
      <c r="R119" s="239">
        <f>F119/PHI!D$34</f>
        <v>6.7249921639311983E-2</v>
      </c>
    </row>
    <row r="120" spans="1:18" x14ac:dyDescent="0.3">
      <c r="A120" s="227" t="s">
        <v>718</v>
      </c>
      <c r="B120" s="227" t="s">
        <v>163</v>
      </c>
      <c r="C120" s="228">
        <v>74.176500000000004</v>
      </c>
      <c r="D120" s="228">
        <v>309.38040000000001</v>
      </c>
      <c r="E120" s="228">
        <v>3.3590000000000004</v>
      </c>
      <c r="F120" s="228">
        <v>44.377380952380953</v>
      </c>
      <c r="G120" s="228">
        <v>29.8216</v>
      </c>
      <c r="H120" s="228">
        <v>220.58339999999998</v>
      </c>
      <c r="I120" s="228">
        <v>1.0998000000000001</v>
      </c>
      <c r="K120" s="230">
        <f t="shared" si="25"/>
        <v>4.1708681320903516</v>
      </c>
      <c r="L120" s="229">
        <f t="shared" si="26"/>
        <v>4.5283883709800278E-2</v>
      </c>
      <c r="M120" s="233">
        <f t="shared" si="27"/>
        <v>0.67200000000000004</v>
      </c>
      <c r="N120" s="230">
        <f t="shared" si="28"/>
        <v>7.3967661024224043</v>
      </c>
      <c r="O120" s="229">
        <f t="shared" si="29"/>
        <v>3.6879308957265877E-2</v>
      </c>
      <c r="Q120" s="239">
        <f>C120/PHI!D$37</f>
        <v>0.15486545960764059</v>
      </c>
      <c r="R120" s="239">
        <f>F120/PHI!D$34</f>
        <v>7.368828127421026E-2</v>
      </c>
    </row>
    <row r="121" spans="1:18" x14ac:dyDescent="0.3">
      <c r="A121" s="227" t="s">
        <v>223</v>
      </c>
      <c r="B121" s="227" t="s">
        <v>163</v>
      </c>
      <c r="C121" s="228">
        <v>70.044250000000005</v>
      </c>
      <c r="D121" s="228">
        <v>295.57700000000006</v>
      </c>
      <c r="E121" s="228">
        <v>3.8682000000000003</v>
      </c>
      <c r="F121" s="228">
        <v>15.902678571428574</v>
      </c>
      <c r="G121" s="228">
        <v>10.686600000000002</v>
      </c>
      <c r="H121" s="228">
        <v>70.017599999999987</v>
      </c>
      <c r="I121" s="228">
        <v>0.16880000000000001</v>
      </c>
      <c r="K121" s="230">
        <f t="shared" si="25"/>
        <v>4.2198610164289008</v>
      </c>
      <c r="L121" s="229">
        <f t="shared" si="26"/>
        <v>5.5225089853913778E-2</v>
      </c>
      <c r="M121" s="233">
        <f t="shared" si="27"/>
        <v>0.67200000000000004</v>
      </c>
      <c r="N121" s="230">
        <f t="shared" si="28"/>
        <v>6.5519061254281041</v>
      </c>
      <c r="O121" s="229">
        <f t="shared" si="29"/>
        <v>1.5795482192652477E-2</v>
      </c>
      <c r="Q121" s="239">
        <f>C121/PHI!D$37</f>
        <v>0.14623816126566339</v>
      </c>
      <c r="R121" s="239">
        <f>F121/PHI!D$34</f>
        <v>2.6406268834166358E-2</v>
      </c>
    </row>
    <row r="122" spans="1:18" x14ac:dyDescent="0.3">
      <c r="A122" s="227" t="s">
        <v>830</v>
      </c>
      <c r="B122" s="227" t="s">
        <v>163</v>
      </c>
      <c r="C122" s="228">
        <v>14.938000000000001</v>
      </c>
      <c r="D122" s="228">
        <v>61.1</v>
      </c>
      <c r="E122" s="228">
        <v>0.17499999999999999</v>
      </c>
      <c r="F122" s="228">
        <v>3.8311196472529554</v>
      </c>
      <c r="G122" s="228">
        <v>2.5749999999999997</v>
      </c>
      <c r="H122" s="228">
        <v>17.100000000000001</v>
      </c>
      <c r="I122" s="228">
        <v>2.5000000000000001E-2</v>
      </c>
      <c r="K122" s="230">
        <f t="shared" si="25"/>
        <v>4.0902396572499669</v>
      </c>
      <c r="L122" s="229">
        <f t="shared" si="26"/>
        <v>1.1715089034676662E-2</v>
      </c>
      <c r="M122" s="233">
        <f t="shared" si="27"/>
        <v>0.67212727272727268</v>
      </c>
      <c r="N122" s="230">
        <f t="shared" si="28"/>
        <v>6.6407766990291277</v>
      </c>
      <c r="O122" s="229">
        <f t="shared" si="29"/>
        <v>9.7087378640776708E-3</v>
      </c>
      <c r="Q122" s="239">
        <f>C122/PHI!D$37</f>
        <v>3.1187508653265323E-2</v>
      </c>
      <c r="R122" s="239">
        <f>F122/PHI!D$34</f>
        <v>6.3615431128046874E-3</v>
      </c>
    </row>
    <row r="123" spans="1:18" x14ac:dyDescent="0.3">
      <c r="A123" s="227" t="s">
        <v>315</v>
      </c>
      <c r="B123" s="227" t="s">
        <v>164</v>
      </c>
      <c r="C123" s="228">
        <v>286.39750000000004</v>
      </c>
      <c r="D123" s="228">
        <v>1148.0896</v>
      </c>
      <c r="E123" s="228">
        <v>7.6932</v>
      </c>
      <c r="F123" s="228">
        <v>75.8</v>
      </c>
      <c r="G123" s="228">
        <v>66.953999999999994</v>
      </c>
      <c r="H123" s="228">
        <v>426.62000000000006</v>
      </c>
      <c r="I123" s="228">
        <v>2.4607999999999999</v>
      </c>
      <c r="K123" s="230">
        <f t="shared" si="25"/>
        <v>4.0087277298160773</v>
      </c>
      <c r="L123" s="229">
        <f t="shared" si="26"/>
        <v>2.6861966323030052E-2</v>
      </c>
      <c r="M123" s="233">
        <f t="shared" si="27"/>
        <v>0.8832981530343007</v>
      </c>
      <c r="N123" s="230">
        <f t="shared" si="28"/>
        <v>6.3718373808883726</v>
      </c>
      <c r="O123" s="229">
        <f t="shared" si="29"/>
        <v>3.6753592018400692E-2</v>
      </c>
      <c r="Q123" s="239">
        <f>C123/PIT!D$37</f>
        <v>0.66762542306235184</v>
      </c>
      <c r="R123" s="239">
        <f>F123/PIT!D$34</f>
        <v>0.11488317956871461</v>
      </c>
    </row>
    <row r="124" spans="1:18" x14ac:dyDescent="0.3">
      <c r="A124" s="227" t="s">
        <v>717</v>
      </c>
      <c r="B124" s="227" t="s">
        <v>164</v>
      </c>
      <c r="C124" s="228">
        <v>58.090666666666664</v>
      </c>
      <c r="D124" s="228">
        <v>217.73099999999999</v>
      </c>
      <c r="E124" s="228">
        <v>1.8925000000000001</v>
      </c>
      <c r="F124" s="228">
        <v>6.9</v>
      </c>
      <c r="G124" s="228">
        <v>5.49</v>
      </c>
      <c r="H124" s="228">
        <v>34.274999999999999</v>
      </c>
      <c r="I124" s="228">
        <v>2.5000000000000001E-2</v>
      </c>
      <c r="K124" s="230">
        <f t="shared" si="25"/>
        <v>3.7481236228424533</v>
      </c>
      <c r="L124" s="229">
        <f t="shared" si="26"/>
        <v>3.2578383217040034E-2</v>
      </c>
      <c r="M124" s="233">
        <f t="shared" si="27"/>
        <v>0.79565217391304344</v>
      </c>
      <c r="N124" s="230">
        <f t="shared" si="28"/>
        <v>6.2431693989071038</v>
      </c>
      <c r="O124" s="229">
        <f t="shared" si="29"/>
        <v>4.5537340619307837E-3</v>
      </c>
      <c r="Q124" s="239">
        <f>C124/PIT!D$37</f>
        <v>0.13541600715546534</v>
      </c>
      <c r="R124" s="239">
        <f>F124/PIT!D$34</f>
        <v>1.0457703681057135E-2</v>
      </c>
    </row>
    <row r="125" spans="1:18" x14ac:dyDescent="0.3">
      <c r="A125" s="227" t="s">
        <v>716</v>
      </c>
      <c r="B125" s="227" t="s">
        <v>164</v>
      </c>
      <c r="C125" s="228">
        <v>19.874666666666666</v>
      </c>
      <c r="D125" s="228">
        <v>85.00200000000001</v>
      </c>
      <c r="E125" s="228">
        <v>0.8105</v>
      </c>
      <c r="F125" s="228">
        <v>8</v>
      </c>
      <c r="G125" s="228">
        <v>5.13</v>
      </c>
      <c r="H125" s="228">
        <v>36.875</v>
      </c>
      <c r="I125" s="228">
        <v>2.5000000000000001E-2</v>
      </c>
      <c r="K125" s="230">
        <f t="shared" si="25"/>
        <v>4.2769019186904611</v>
      </c>
      <c r="L125" s="229">
        <f t="shared" si="26"/>
        <v>4.0780558164497521E-2</v>
      </c>
      <c r="M125" s="233">
        <f t="shared" si="27"/>
        <v>0.64124999999999999</v>
      </c>
      <c r="N125" s="230">
        <f t="shared" si="28"/>
        <v>7.1881091617933723</v>
      </c>
      <c r="O125" s="229">
        <f t="shared" si="29"/>
        <v>4.8732943469785581E-3</v>
      </c>
      <c r="Q125" s="239">
        <f>C125/PIT!D$37</f>
        <v>4.6330127677638784E-2</v>
      </c>
      <c r="R125" s="239">
        <f>F125/PIT!D$34</f>
        <v>1.2124873833109721E-2</v>
      </c>
    </row>
    <row r="126" spans="1:18" x14ac:dyDescent="0.3">
      <c r="A126" s="227" t="s">
        <v>715</v>
      </c>
      <c r="B126" s="227" t="s">
        <v>164</v>
      </c>
      <c r="C126" s="228">
        <v>7.25</v>
      </c>
      <c r="D126" s="228">
        <v>31.433333333333337</v>
      </c>
      <c r="E126" s="228">
        <v>0.13333333333333333</v>
      </c>
      <c r="F126" s="228">
        <v>3.5218253968253967</v>
      </c>
      <c r="G126" s="228">
        <v>2.3666666666666667</v>
      </c>
      <c r="H126" s="228">
        <v>14.133333333333335</v>
      </c>
      <c r="I126" s="228">
        <v>6.6666666666666666E-2</v>
      </c>
      <c r="K126" s="230">
        <f t="shared" si="25"/>
        <v>4.3356321839080465</v>
      </c>
      <c r="L126" s="229">
        <f t="shared" si="26"/>
        <v>1.8390804597701149E-2</v>
      </c>
      <c r="M126" s="233">
        <f t="shared" si="27"/>
        <v>0.67200000000000004</v>
      </c>
      <c r="N126" s="230">
        <f t="shared" si="28"/>
        <v>5.971830985915493</v>
      </c>
      <c r="O126" s="229">
        <f t="shared" si="29"/>
        <v>2.8169014084507043E-2</v>
      </c>
      <c r="Q126" s="239">
        <f>C126/PIT!D$37</f>
        <v>1.6900581594469402E-2</v>
      </c>
      <c r="R126" s="239">
        <f>F126/PIT!D$34</f>
        <v>5.3377110748436896E-3</v>
      </c>
    </row>
    <row r="127" spans="1:18" x14ac:dyDescent="0.3">
      <c r="A127" s="227" t="s">
        <v>714</v>
      </c>
      <c r="B127" s="227" t="s">
        <v>164</v>
      </c>
      <c r="C127" s="228">
        <v>0</v>
      </c>
      <c r="D127" s="228">
        <v>0</v>
      </c>
      <c r="E127" s="228">
        <v>0</v>
      </c>
      <c r="F127" s="228">
        <v>8.5</v>
      </c>
      <c r="G127" s="228">
        <v>4.833333333333333</v>
      </c>
      <c r="H127" s="228">
        <v>30.466666666666669</v>
      </c>
      <c r="I127" s="228">
        <v>0.13333333333333333</v>
      </c>
      <c r="K127" s="230" t="e">
        <f t="shared" si="25"/>
        <v>#DIV/0!</v>
      </c>
      <c r="L127" s="229" t="e">
        <f t="shared" si="26"/>
        <v>#DIV/0!</v>
      </c>
      <c r="M127" s="233">
        <f t="shared" si="27"/>
        <v>0.56862745098039214</v>
      </c>
      <c r="N127" s="230">
        <f t="shared" si="28"/>
        <v>6.3034482758620696</v>
      </c>
      <c r="O127" s="229">
        <f t="shared" si="29"/>
        <v>2.7586206896551724E-2</v>
      </c>
      <c r="Q127" s="239">
        <f>C127/PIT!D$37</f>
        <v>0</v>
      </c>
      <c r="R127" s="239">
        <f>F127/PIT!D$34</f>
        <v>1.2882678447679079E-2</v>
      </c>
    </row>
    <row r="128" spans="1:18" x14ac:dyDescent="0.3">
      <c r="A128" s="227" t="s">
        <v>96</v>
      </c>
      <c r="B128" s="227" t="s">
        <v>165</v>
      </c>
      <c r="C128" s="228">
        <v>144.11075</v>
      </c>
      <c r="D128" s="228">
        <v>786.82399999999996</v>
      </c>
      <c r="E128" s="228">
        <v>5.6180000000000003</v>
      </c>
      <c r="F128" s="228">
        <v>28.179186842318828</v>
      </c>
      <c r="G128" s="228">
        <v>18.940000000000001</v>
      </c>
      <c r="H128" s="228">
        <v>131.5172</v>
      </c>
      <c r="I128" s="228">
        <v>0.51560000000000006</v>
      </c>
      <c r="K128" s="230">
        <f t="shared" si="25"/>
        <v>5.4598563951682992</v>
      </c>
      <c r="L128" s="229">
        <f t="shared" si="26"/>
        <v>3.898390647470782E-2</v>
      </c>
      <c r="M128" s="233">
        <f t="shared" si="27"/>
        <v>0.67212727272727268</v>
      </c>
      <c r="N128" s="230">
        <f t="shared" si="28"/>
        <v>6.943885955649419</v>
      </c>
      <c r="O128" s="229">
        <f t="shared" si="29"/>
        <v>2.7222808870116157E-2</v>
      </c>
      <c r="Q128" s="239">
        <f>C128/SEA!D$37</f>
        <v>0.34632353443016217</v>
      </c>
      <c r="R128" s="239">
        <f>F128/SEA!D$34</f>
        <v>4.8437484795930033E-2</v>
      </c>
    </row>
    <row r="129" spans="1:18" x14ac:dyDescent="0.3">
      <c r="A129" s="227" t="s">
        <v>844</v>
      </c>
      <c r="B129" s="227" t="s">
        <v>165</v>
      </c>
      <c r="C129" s="228">
        <v>177.7</v>
      </c>
      <c r="D129" s="228">
        <v>726.87999999999988</v>
      </c>
      <c r="E129" s="228">
        <v>5.1260000000000003</v>
      </c>
      <c r="F129" s="228">
        <v>35.892011794303031</v>
      </c>
      <c r="G129" s="228">
        <v>24.124000000000002</v>
      </c>
      <c r="H129" s="228">
        <v>176.76339999999999</v>
      </c>
      <c r="I129" s="228">
        <v>0.79459999999999997</v>
      </c>
      <c r="K129" s="230">
        <f t="shared" si="25"/>
        <v>4.0904895891952728</v>
      </c>
      <c r="L129" s="229">
        <f t="shared" si="26"/>
        <v>2.8846370287000565E-2</v>
      </c>
      <c r="M129" s="233">
        <f t="shared" si="27"/>
        <v>0.67212727272727268</v>
      </c>
      <c r="N129" s="230">
        <f t="shared" si="28"/>
        <v>7.3272840324987554</v>
      </c>
      <c r="O129" s="229">
        <f t="shared" si="29"/>
        <v>3.2938152876803177E-2</v>
      </c>
      <c r="Q129" s="239">
        <f>C129/SEA!D$37</f>
        <v>0.42704442290557654</v>
      </c>
      <c r="R129" s="239">
        <f>F129/SEA!D$34</f>
        <v>6.169513638949399E-2</v>
      </c>
    </row>
    <row r="130" spans="1:18" x14ac:dyDescent="0.3">
      <c r="A130" s="227" t="s">
        <v>95</v>
      </c>
      <c r="B130" s="227" t="s">
        <v>165</v>
      </c>
      <c r="C130" s="228">
        <v>49.166666666666664</v>
      </c>
      <c r="D130" s="228">
        <v>224.22499999999999</v>
      </c>
      <c r="E130" s="228">
        <v>1.7500000000000002</v>
      </c>
      <c r="F130" s="228">
        <v>19.419642857142858</v>
      </c>
      <c r="G130" s="228">
        <v>13.05</v>
      </c>
      <c r="H130" s="228">
        <v>85.9</v>
      </c>
      <c r="I130" s="228">
        <v>0.5</v>
      </c>
      <c r="K130" s="230">
        <f t="shared" si="25"/>
        <v>4.5605084745762712</v>
      </c>
      <c r="L130" s="229">
        <f t="shared" si="26"/>
        <v>3.5593220338983059E-2</v>
      </c>
      <c r="M130" s="233">
        <f t="shared" si="27"/>
        <v>0.67200000000000004</v>
      </c>
      <c r="N130" s="230">
        <f t="shared" si="28"/>
        <v>6.5823754789272035</v>
      </c>
      <c r="O130" s="229">
        <f t="shared" si="29"/>
        <v>3.8314176245210725E-2</v>
      </c>
      <c r="Q130" s="239">
        <f>C130/SEA!D$37</f>
        <v>0.11815616653268156</v>
      </c>
      <c r="R130" s="239">
        <f>F130/SEA!D$34</f>
        <v>3.3380617435795554E-2</v>
      </c>
    </row>
    <row r="131" spans="1:18" x14ac:dyDescent="0.3">
      <c r="A131" s="227" t="s">
        <v>316</v>
      </c>
      <c r="B131" s="227" t="s">
        <v>165</v>
      </c>
      <c r="C131" s="228">
        <v>12.68</v>
      </c>
      <c r="D131" s="228">
        <v>79.475000000000009</v>
      </c>
      <c r="E131" s="228">
        <v>0.2</v>
      </c>
      <c r="F131" s="228">
        <v>5.8396678118321743</v>
      </c>
      <c r="G131" s="228">
        <v>3.9249999999999998</v>
      </c>
      <c r="H131" s="228">
        <v>29.9</v>
      </c>
      <c r="I131" s="228">
        <v>0</v>
      </c>
      <c r="K131" s="230">
        <f t="shared" si="25"/>
        <v>6.2677444794952688</v>
      </c>
      <c r="L131" s="229">
        <f t="shared" si="26"/>
        <v>1.577287066246057E-2</v>
      </c>
      <c r="M131" s="233">
        <f t="shared" si="27"/>
        <v>0.67212727272727268</v>
      </c>
      <c r="N131" s="230">
        <f t="shared" si="28"/>
        <v>7.6178343949044587</v>
      </c>
      <c r="O131" s="229">
        <f t="shared" si="29"/>
        <v>0</v>
      </c>
      <c r="Q131" s="239">
        <f>C131/SEA!D$37</f>
        <v>3.0472275084089537E-2</v>
      </c>
      <c r="R131" s="239">
        <f>F131/SEA!D$34</f>
        <v>1.0037863137488138E-2</v>
      </c>
    </row>
    <row r="132" spans="1:18" x14ac:dyDescent="0.3">
      <c r="A132" s="227" t="s">
        <v>238</v>
      </c>
      <c r="B132" s="227" t="s">
        <v>165</v>
      </c>
      <c r="C132" s="228">
        <v>14.187333333333333</v>
      </c>
      <c r="D132" s="228">
        <v>57.954999999999998</v>
      </c>
      <c r="E132" s="228">
        <v>0.125</v>
      </c>
      <c r="F132" s="228">
        <v>5.9</v>
      </c>
      <c r="G132" s="228">
        <v>4.9000000000000004</v>
      </c>
      <c r="H132" s="228">
        <v>30.024999999999999</v>
      </c>
      <c r="I132" s="228">
        <v>2.5000000000000001E-2</v>
      </c>
      <c r="K132" s="230">
        <f t="shared" ref="K132:K151" si="30">D132/C132</f>
        <v>4.08498190874489</v>
      </c>
      <c r="L132" s="229">
        <f t="shared" ref="L132:L151" si="31">E132/C132</f>
        <v>8.8106761900286646E-3</v>
      </c>
      <c r="M132" s="233">
        <f t="shared" ref="M132:M151" si="32">G132/F132</f>
        <v>0.83050847457627119</v>
      </c>
      <c r="N132" s="230">
        <f t="shared" ref="N132:N151" si="33">H132/G132</f>
        <v>6.1275510204081627</v>
      </c>
      <c r="O132" s="229">
        <f t="shared" ref="O132:O151" si="34">I132/G132</f>
        <v>5.1020408163265302E-3</v>
      </c>
      <c r="Q132" s="239">
        <f>C132/SEA!D$37</f>
        <v>3.4094662779416904E-2</v>
      </c>
      <c r="R132" s="239">
        <f>F132/SEA!D$34</f>
        <v>1.0141568736355725E-2</v>
      </c>
    </row>
    <row r="133" spans="1:18" x14ac:dyDescent="0.3">
      <c r="A133" s="227" t="s">
        <v>319</v>
      </c>
      <c r="B133" s="227" t="s">
        <v>166</v>
      </c>
      <c r="C133" s="228">
        <v>249.94874999999999</v>
      </c>
      <c r="D133" s="228">
        <v>1073.633</v>
      </c>
      <c r="E133" s="228">
        <v>6.5373999999999999</v>
      </c>
      <c r="F133" s="228">
        <v>35.700000000000003</v>
      </c>
      <c r="G133" s="228">
        <v>24.679399999999998</v>
      </c>
      <c r="H133" s="228">
        <v>163.40880000000001</v>
      </c>
      <c r="I133" s="228">
        <v>1.0272000000000001</v>
      </c>
      <c r="K133" s="230">
        <f t="shared" si="30"/>
        <v>4.2954125595747135</v>
      </c>
      <c r="L133" s="229">
        <f t="shared" si="31"/>
        <v>2.6154961767162269E-2</v>
      </c>
      <c r="M133" s="233">
        <f t="shared" si="32"/>
        <v>0.69129971988795502</v>
      </c>
      <c r="N133" s="230">
        <f t="shared" si="33"/>
        <v>6.6212630777085355</v>
      </c>
      <c r="O133" s="229">
        <f t="shared" si="34"/>
        <v>4.1621757417117121E-2</v>
      </c>
      <c r="Q133" s="239">
        <f>C133/SF!D$37</f>
        <v>0.49187283086342204</v>
      </c>
      <c r="R133" s="239">
        <f>F133/SF!D$34</f>
        <v>6.5110015682212349E-2</v>
      </c>
    </row>
    <row r="134" spans="1:18" x14ac:dyDescent="0.3">
      <c r="A134" s="227" t="s">
        <v>498</v>
      </c>
      <c r="B134" s="227" t="s">
        <v>166</v>
      </c>
      <c r="C134" s="228">
        <v>50.555999999999997</v>
      </c>
      <c r="D134" s="228">
        <v>194.714</v>
      </c>
      <c r="E134" s="228">
        <v>2.0836000000000001</v>
      </c>
      <c r="F134" s="228">
        <v>9.5383928571428562</v>
      </c>
      <c r="G134" s="228">
        <v>6.4097999999999997</v>
      </c>
      <c r="H134" s="228">
        <v>40.364400000000003</v>
      </c>
      <c r="I134" s="228">
        <v>0.1016</v>
      </c>
      <c r="K134" s="230">
        <f t="shared" si="30"/>
        <v>3.8514518553683046</v>
      </c>
      <c r="L134" s="229">
        <f t="shared" si="31"/>
        <v>4.1213703615792394E-2</v>
      </c>
      <c r="M134" s="233">
        <f t="shared" si="32"/>
        <v>0.67200000000000004</v>
      </c>
      <c r="N134" s="230">
        <f t="shared" si="33"/>
        <v>6.2972947673874389</v>
      </c>
      <c r="O134" s="229">
        <f t="shared" si="34"/>
        <v>1.5850728571874317E-2</v>
      </c>
      <c r="Q134" s="239">
        <f>C134/SF!D$37</f>
        <v>9.9488886570271565E-2</v>
      </c>
      <c r="R134" s="239">
        <f>F134/SF!D$34</f>
        <v>1.7396215924696739E-2</v>
      </c>
    </row>
    <row r="135" spans="1:18" x14ac:dyDescent="0.3">
      <c r="A135" s="227" t="s">
        <v>664</v>
      </c>
      <c r="B135" s="227" t="s">
        <v>166</v>
      </c>
      <c r="C135" s="228">
        <v>29.165999999999997</v>
      </c>
      <c r="D135" s="228">
        <v>144.38900000000001</v>
      </c>
      <c r="E135" s="228">
        <v>0.77500000000000002</v>
      </c>
      <c r="F135" s="228">
        <v>9.0319940476190474</v>
      </c>
      <c r="G135" s="228">
        <v>6.0694999999999997</v>
      </c>
      <c r="H135" s="228">
        <v>43.073</v>
      </c>
      <c r="I135" s="228">
        <v>0.2</v>
      </c>
      <c r="K135" s="230">
        <f t="shared" si="30"/>
        <v>4.950593156415005</v>
      </c>
      <c r="L135" s="229">
        <f t="shared" si="31"/>
        <v>2.6572035932249882E-2</v>
      </c>
      <c r="M135" s="233">
        <f t="shared" si="32"/>
        <v>0.67199999999999993</v>
      </c>
      <c r="N135" s="230">
        <f t="shared" si="33"/>
        <v>7.0966306944558868</v>
      </c>
      <c r="O135" s="229">
        <f t="shared" si="34"/>
        <v>3.2951643463217731E-2</v>
      </c>
      <c r="Q135" s="239">
        <f>C135/SF!D$37</f>
        <v>5.7395618041548788E-2</v>
      </c>
      <c r="R135" s="239">
        <f>F135/SF!D$34</f>
        <v>1.6472640730591726E-2</v>
      </c>
    </row>
    <row r="136" spans="1:18" x14ac:dyDescent="0.3">
      <c r="A136" s="227" t="s">
        <v>317</v>
      </c>
      <c r="B136" s="227" t="s">
        <v>166</v>
      </c>
      <c r="C136" s="228">
        <v>17.100000000000001</v>
      </c>
      <c r="D136" s="228">
        <v>74</v>
      </c>
      <c r="E136" s="228">
        <v>0.4</v>
      </c>
      <c r="F136" s="228">
        <v>4.3</v>
      </c>
      <c r="G136" s="228">
        <v>2.8</v>
      </c>
      <c r="H136" s="228">
        <v>20.100000000000001</v>
      </c>
      <c r="I136" s="228">
        <v>7.6000000000000012E-2</v>
      </c>
      <c r="K136" s="230">
        <f t="shared" ref="K136" si="35">D136/C136</f>
        <v>4.3274853801169586</v>
      </c>
      <c r="L136" s="229">
        <f t="shared" ref="L136" si="36">E136/C136</f>
        <v>2.3391812865497075E-2</v>
      </c>
      <c r="M136" s="233">
        <f t="shared" ref="M136" si="37">G136/F136</f>
        <v>0.65116279069767435</v>
      </c>
      <c r="N136" s="230">
        <f t="shared" ref="N136" si="38">H136/G136</f>
        <v>7.1785714285714297</v>
      </c>
      <c r="O136" s="229">
        <f t="shared" ref="O136" si="39">I136/G136</f>
        <v>2.7142857142857149E-2</v>
      </c>
      <c r="Q136" s="239">
        <f>C136/SF!D$37</f>
        <v>3.3651000086075716E-2</v>
      </c>
      <c r="R136" s="239">
        <f>F136/SF!D$34</f>
        <v>7.8423828412748746E-3</v>
      </c>
    </row>
    <row r="137" spans="1:18" x14ac:dyDescent="0.3">
      <c r="A137" s="227" t="s">
        <v>318</v>
      </c>
      <c r="B137" s="227" t="s">
        <v>166</v>
      </c>
      <c r="C137" s="228">
        <v>10.25</v>
      </c>
      <c r="D137" s="228">
        <v>35.466666666666669</v>
      </c>
      <c r="E137" s="228">
        <v>0.33333333333333331</v>
      </c>
      <c r="F137" s="228">
        <v>36.706349206349209</v>
      </c>
      <c r="G137" s="228">
        <v>24.666666666666668</v>
      </c>
      <c r="H137" s="228">
        <v>195.03333333333333</v>
      </c>
      <c r="I137" s="228">
        <v>1.3333333333333333</v>
      </c>
      <c r="K137" s="230">
        <f t="shared" si="30"/>
        <v>3.4601626016260165</v>
      </c>
      <c r="L137" s="229">
        <f t="shared" si="31"/>
        <v>3.2520325203252029E-2</v>
      </c>
      <c r="M137" s="233">
        <f t="shared" si="32"/>
        <v>0.67199999999999993</v>
      </c>
      <c r="N137" s="230">
        <f t="shared" si="33"/>
        <v>7.9067567567567565</v>
      </c>
      <c r="O137" s="229">
        <f t="shared" si="34"/>
        <v>5.405405405405405E-2</v>
      </c>
      <c r="Q137" s="239">
        <f>C137/SF!D$37</f>
        <v>2.017092110422667E-2</v>
      </c>
      <c r="R137" s="239">
        <f>F137/SF!D$34</f>
        <v>6.6945405391096904E-2</v>
      </c>
    </row>
    <row r="138" spans="1:18" x14ac:dyDescent="0.3">
      <c r="A138" s="227" t="s">
        <v>627</v>
      </c>
      <c r="B138" s="227" t="s">
        <v>166</v>
      </c>
      <c r="C138" s="228">
        <v>3.1999999999999997</v>
      </c>
      <c r="D138" s="228">
        <v>19.350000000000001</v>
      </c>
      <c r="E138" s="228">
        <v>0.17499999999999999</v>
      </c>
      <c r="F138" s="228">
        <v>16</v>
      </c>
      <c r="G138" s="228">
        <v>10.0855</v>
      </c>
      <c r="H138" s="228">
        <v>64.590249999999997</v>
      </c>
      <c r="I138" s="228">
        <v>0.125</v>
      </c>
      <c r="K138" s="230">
        <f t="shared" si="30"/>
        <v>6.0468750000000009</v>
      </c>
      <c r="L138" s="229">
        <f t="shared" si="31"/>
        <v>5.46875E-2</v>
      </c>
      <c r="M138" s="233">
        <f t="shared" si="32"/>
        <v>0.63034374999999998</v>
      </c>
      <c r="N138" s="230">
        <f t="shared" si="33"/>
        <v>6.4042685042883347</v>
      </c>
      <c r="O138" s="229">
        <f t="shared" si="34"/>
        <v>1.2394031034653712E-2</v>
      </c>
      <c r="Q138" s="239">
        <f>C138/SF!D$37</f>
        <v>6.2972631740024721E-3</v>
      </c>
      <c r="R138" s="239">
        <f>F138/SF!D$34</f>
        <v>2.9180959409394885E-2</v>
      </c>
    </row>
    <row r="139" spans="1:18" x14ac:dyDescent="0.3">
      <c r="A139" s="227" t="s">
        <v>67</v>
      </c>
      <c r="B139" s="227" t="s">
        <v>167</v>
      </c>
      <c r="C139" s="228">
        <v>198.74475000000001</v>
      </c>
      <c r="D139" s="228">
        <v>881.59019999999998</v>
      </c>
      <c r="E139" s="228">
        <v>7.8638000000000003</v>
      </c>
      <c r="F139" s="228">
        <v>73.900000000000006</v>
      </c>
      <c r="G139" s="228">
        <v>65.5458</v>
      </c>
      <c r="H139" s="228">
        <v>423.88799999999992</v>
      </c>
      <c r="I139" s="228">
        <v>1.7204000000000002</v>
      </c>
      <c r="K139" s="230">
        <f t="shared" si="30"/>
        <v>4.435791134105429</v>
      </c>
      <c r="L139" s="229">
        <f t="shared" si="31"/>
        <v>3.9567334483049235E-2</v>
      </c>
      <c r="M139" s="233">
        <f t="shared" si="32"/>
        <v>0.8869526387009472</v>
      </c>
      <c r="N139" s="230">
        <f t="shared" si="33"/>
        <v>6.467050520399475</v>
      </c>
      <c r="O139" s="229">
        <f t="shared" si="34"/>
        <v>2.6247295784016675E-2</v>
      </c>
      <c r="Q139" s="239">
        <f>C139/TB!D$37</f>
        <v>0.52153983619936339</v>
      </c>
      <c r="R139" s="239">
        <f>F139/TB!D$34</f>
        <v>0.10442174515724728</v>
      </c>
    </row>
    <row r="140" spans="1:18" x14ac:dyDescent="0.3">
      <c r="A140" s="227" t="s">
        <v>662</v>
      </c>
      <c r="B140" s="227" t="s">
        <v>167</v>
      </c>
      <c r="C140" s="228">
        <v>76.961749999999995</v>
      </c>
      <c r="D140" s="228">
        <v>315.58600000000001</v>
      </c>
      <c r="E140" s="228">
        <v>2.5118</v>
      </c>
      <c r="F140" s="228">
        <v>23.749702380952382</v>
      </c>
      <c r="G140" s="228">
        <v>15.959800000000001</v>
      </c>
      <c r="H140" s="228">
        <v>112.09200000000001</v>
      </c>
      <c r="I140" s="228">
        <v>0.31120000000000003</v>
      </c>
      <c r="K140" s="230">
        <f t="shared" si="30"/>
        <v>4.1005564452471521</v>
      </c>
      <c r="L140" s="229">
        <f t="shared" si="31"/>
        <v>3.2636991752396483E-2</v>
      </c>
      <c r="M140" s="233">
        <f t="shared" si="32"/>
        <v>0.67200000000000004</v>
      </c>
      <c r="N140" s="230">
        <f t="shared" si="33"/>
        <v>7.0233962831614436</v>
      </c>
      <c r="O140" s="229">
        <f t="shared" si="34"/>
        <v>1.9498991215428765E-2</v>
      </c>
      <c r="Q140" s="239">
        <f>C140/TB!D$37</f>
        <v>0.2019606479598397</v>
      </c>
      <c r="R140" s="239">
        <f>F140/TB!D$34</f>
        <v>3.3558665352967233E-2</v>
      </c>
    </row>
    <row r="141" spans="1:18" x14ac:dyDescent="0.3">
      <c r="A141" s="227" t="s">
        <v>228</v>
      </c>
      <c r="B141" s="227" t="s">
        <v>167</v>
      </c>
      <c r="C141" s="228">
        <v>62.739666666666672</v>
      </c>
      <c r="D141" s="228">
        <v>270.03449999999998</v>
      </c>
      <c r="E141" s="228">
        <v>2.5822500000000002</v>
      </c>
      <c r="F141" s="228">
        <v>12.832391051478346</v>
      </c>
      <c r="G141" s="228">
        <v>8.625</v>
      </c>
      <c r="H141" s="228">
        <v>55.794999999999995</v>
      </c>
      <c r="I141" s="228">
        <v>2.5000000000000001E-2</v>
      </c>
      <c r="K141" s="230">
        <f t="shared" si="30"/>
        <v>4.3040474128541746</v>
      </c>
      <c r="L141" s="229">
        <f t="shared" si="31"/>
        <v>4.1158172129274938E-2</v>
      </c>
      <c r="M141" s="233">
        <f t="shared" si="32"/>
        <v>0.67212727272727268</v>
      </c>
      <c r="N141" s="230">
        <f t="shared" si="33"/>
        <v>6.4689855072463764</v>
      </c>
      <c r="O141" s="229">
        <f t="shared" si="34"/>
        <v>2.8985507246376812E-3</v>
      </c>
      <c r="Q141" s="239">
        <f>C141/TB!D$37</f>
        <v>0.16463949601957281</v>
      </c>
      <c r="R141" s="239">
        <f>F141/TB!D$34</f>
        <v>1.8132350042430478E-2</v>
      </c>
    </row>
    <row r="142" spans="1:18" x14ac:dyDescent="0.3">
      <c r="A142" s="227" t="s">
        <v>40</v>
      </c>
      <c r="B142" s="227" t="s">
        <v>167</v>
      </c>
      <c r="C142" s="228">
        <v>35.311250000000001</v>
      </c>
      <c r="D142" s="228">
        <v>149.458</v>
      </c>
      <c r="E142" s="228">
        <v>0.9728</v>
      </c>
      <c r="F142" s="228">
        <v>29.999999999999996</v>
      </c>
      <c r="G142" s="228">
        <v>19.5062</v>
      </c>
      <c r="H142" s="228">
        <v>121.99600000000001</v>
      </c>
      <c r="I142" s="228">
        <v>0.93600000000000017</v>
      </c>
      <c r="K142" s="230">
        <f t="shared" si="30"/>
        <v>4.2325887642040421</v>
      </c>
      <c r="L142" s="229">
        <f t="shared" si="31"/>
        <v>2.7549293780310808E-2</v>
      </c>
      <c r="M142" s="233">
        <f t="shared" si="32"/>
        <v>0.65020666666666671</v>
      </c>
      <c r="N142" s="230">
        <f t="shared" si="33"/>
        <v>6.2542166080528245</v>
      </c>
      <c r="O142" s="229">
        <f t="shared" si="34"/>
        <v>4.7984743312382741E-2</v>
      </c>
      <c r="Q142" s="239">
        <f>C142/TB!D$37</f>
        <v>9.2662691925169197E-2</v>
      </c>
      <c r="R142" s="239">
        <f>F142/TB!D$34</f>
        <v>4.2390424285756671E-2</v>
      </c>
    </row>
    <row r="143" spans="1:18" x14ac:dyDescent="0.3">
      <c r="A143" s="227" t="s">
        <v>86</v>
      </c>
      <c r="B143" s="227" t="s">
        <v>168</v>
      </c>
      <c r="C143" s="228">
        <v>362.36799999999999</v>
      </c>
      <c r="D143" s="228">
        <v>1535.56</v>
      </c>
      <c r="E143" s="228">
        <v>13.3916</v>
      </c>
      <c r="F143" s="228">
        <v>35.799999999999997</v>
      </c>
      <c r="G143" s="228">
        <v>31.020799999999998</v>
      </c>
      <c r="H143" s="228">
        <v>243.64099999999999</v>
      </c>
      <c r="I143" s="228">
        <v>0.70399999999999996</v>
      </c>
      <c r="K143" s="230">
        <f t="shared" si="30"/>
        <v>4.2375706464146941</v>
      </c>
      <c r="L143" s="229">
        <f t="shared" si="31"/>
        <v>3.6955801836806787E-2</v>
      </c>
      <c r="M143" s="233">
        <f t="shared" si="32"/>
        <v>0.86650279329608937</v>
      </c>
      <c r="N143" s="230">
        <f t="shared" si="33"/>
        <v>7.8541172374664745</v>
      </c>
      <c r="O143" s="229">
        <f t="shared" si="34"/>
        <v>2.2694450175366206E-2</v>
      </c>
      <c r="Q143" s="239">
        <f>C143/TEN!D$37</f>
        <v>0.66987844810359043</v>
      </c>
      <c r="R143" s="239">
        <f>F143/TEN!D$34</f>
        <v>6.4869867964450587E-2</v>
      </c>
    </row>
    <row r="144" spans="1:18" x14ac:dyDescent="0.3">
      <c r="A144" s="227" t="s">
        <v>659</v>
      </c>
      <c r="B144" s="227" t="s">
        <v>168</v>
      </c>
      <c r="C144" s="228">
        <v>65.262749999999997</v>
      </c>
      <c r="D144" s="228">
        <v>264.846</v>
      </c>
      <c r="E144" s="228">
        <v>1.6084000000000001</v>
      </c>
      <c r="F144" s="228">
        <v>14.258035714285715</v>
      </c>
      <c r="G144" s="228">
        <v>9.5814000000000004</v>
      </c>
      <c r="H144" s="228">
        <v>67.802999999999997</v>
      </c>
      <c r="I144" s="228">
        <v>0.18480000000000002</v>
      </c>
      <c r="K144" s="230">
        <f t="shared" si="30"/>
        <v>4.0581495569831185</v>
      </c>
      <c r="L144" s="229">
        <f t="shared" si="31"/>
        <v>2.4644992740882051E-2</v>
      </c>
      <c r="M144" s="233">
        <f t="shared" si="32"/>
        <v>0.67200000000000004</v>
      </c>
      <c r="N144" s="230">
        <f t="shared" si="33"/>
        <v>7.0765232638236579</v>
      </c>
      <c r="O144" s="229">
        <f t="shared" si="34"/>
        <v>1.9287369277976078E-2</v>
      </c>
      <c r="Q144" s="239">
        <f>C144/TEN!D$37</f>
        <v>0.12064561354471862</v>
      </c>
      <c r="R144" s="239">
        <f>F144/TEN!D$34</f>
        <v>2.583566743626076E-2</v>
      </c>
    </row>
    <row r="145" spans="1:18" x14ac:dyDescent="0.3">
      <c r="A145" s="227" t="s">
        <v>624</v>
      </c>
      <c r="B145" s="227" t="s">
        <v>168</v>
      </c>
      <c r="C145" s="228">
        <v>45.199249999999999</v>
      </c>
      <c r="D145" s="228">
        <v>241.96600000000004</v>
      </c>
      <c r="E145" s="228">
        <v>1.22</v>
      </c>
      <c r="F145" s="228">
        <v>41.168452380952374</v>
      </c>
      <c r="G145" s="228">
        <v>27.665199999999999</v>
      </c>
      <c r="H145" s="228">
        <v>164.91199999999998</v>
      </c>
      <c r="I145" s="228">
        <v>0.59919999999999995</v>
      </c>
      <c r="K145" s="230">
        <f t="shared" si="30"/>
        <v>5.3533189156899734</v>
      </c>
      <c r="L145" s="229">
        <f t="shared" si="31"/>
        <v>2.6991598311918892E-2</v>
      </c>
      <c r="M145" s="233">
        <f t="shared" si="32"/>
        <v>0.67200000000000004</v>
      </c>
      <c r="N145" s="230">
        <f t="shared" si="33"/>
        <v>5.9609907031216105</v>
      </c>
      <c r="O145" s="229">
        <f t="shared" si="34"/>
        <v>2.1658979512166908E-2</v>
      </c>
      <c r="Q145" s="239">
        <f>C145/TEN!D$37</f>
        <v>8.3555952637777653E-2</v>
      </c>
      <c r="R145" s="239">
        <f>F145/TEN!D$34</f>
        <v>7.4597543861819882E-2</v>
      </c>
    </row>
    <row r="146" spans="1:18" x14ac:dyDescent="0.3">
      <c r="A146" s="227" t="s">
        <v>713</v>
      </c>
      <c r="B146" s="227" t="s">
        <v>168</v>
      </c>
      <c r="C146" s="228">
        <v>18</v>
      </c>
      <c r="D146" s="228">
        <v>77.650000000000006</v>
      </c>
      <c r="E146" s="228">
        <v>1</v>
      </c>
      <c r="F146" s="228">
        <v>14.806547619047617</v>
      </c>
      <c r="G146" s="228">
        <v>9.9499999999999993</v>
      </c>
      <c r="H146" s="228">
        <v>68.7</v>
      </c>
      <c r="I146" s="228">
        <v>0</v>
      </c>
      <c r="K146" s="230">
        <f t="shared" si="30"/>
        <v>4.3138888888888891</v>
      </c>
      <c r="L146" s="229">
        <f t="shared" si="31"/>
        <v>5.5555555555555552E-2</v>
      </c>
      <c r="M146" s="233">
        <f t="shared" si="32"/>
        <v>0.67200000000000004</v>
      </c>
      <c r="N146" s="230">
        <f t="shared" si="33"/>
        <v>6.9045226130653274</v>
      </c>
      <c r="O146" s="229">
        <f t="shared" si="34"/>
        <v>0</v>
      </c>
      <c r="Q146" s="239">
        <f>C146/TEN!D$37</f>
        <v>3.3275046543471354E-2</v>
      </c>
      <c r="R146" s="239">
        <f>F146/TEN!D$34</f>
        <v>2.6829575113323161E-2</v>
      </c>
    </row>
    <row r="147" spans="1:18" x14ac:dyDescent="0.3">
      <c r="A147" s="227" t="s">
        <v>712</v>
      </c>
      <c r="B147" s="227" t="s">
        <v>168</v>
      </c>
      <c r="C147" s="228">
        <v>4.75</v>
      </c>
      <c r="D147" s="228">
        <v>18.933333333333334</v>
      </c>
      <c r="E147" s="228">
        <v>6.6666666666666666E-2</v>
      </c>
      <c r="F147" s="228">
        <v>3.4999999999999996</v>
      </c>
      <c r="G147" s="228">
        <v>1.8999999999999997</v>
      </c>
      <c r="H147" s="228">
        <v>14.466666666666667</v>
      </c>
      <c r="I147" s="228">
        <v>6.6666666666666666E-2</v>
      </c>
      <c r="K147" s="230">
        <f t="shared" si="30"/>
        <v>3.9859649122807017</v>
      </c>
      <c r="L147" s="229">
        <f t="shared" si="31"/>
        <v>1.4035087719298246E-2</v>
      </c>
      <c r="M147" s="233">
        <f t="shared" si="32"/>
        <v>0.54285714285714282</v>
      </c>
      <c r="N147" s="230">
        <f t="shared" si="33"/>
        <v>7.6140350877192997</v>
      </c>
      <c r="O147" s="229">
        <f t="shared" si="34"/>
        <v>3.5087719298245619E-2</v>
      </c>
      <c r="Q147" s="239">
        <f>C147/TEN!D$37</f>
        <v>8.7809150600827186E-3</v>
      </c>
      <c r="R147" s="239">
        <f>F147/TEN!D$34</f>
        <v>6.3420261976418167E-3</v>
      </c>
    </row>
    <row r="148" spans="1:18" x14ac:dyDescent="0.3">
      <c r="A148" s="227" t="s">
        <v>230</v>
      </c>
      <c r="B148" s="227" t="s">
        <v>691</v>
      </c>
      <c r="C148" s="228">
        <v>211.25625000000002</v>
      </c>
      <c r="D148" s="228">
        <v>904.71600000000001</v>
      </c>
      <c r="E148" s="228">
        <v>7.6224000000000007</v>
      </c>
      <c r="F148" s="228">
        <v>45.4</v>
      </c>
      <c r="G148" s="228">
        <v>36.604799999999997</v>
      </c>
      <c r="H148" s="228">
        <v>253.74619999999999</v>
      </c>
      <c r="I148" s="228">
        <v>1.6679999999999999</v>
      </c>
      <c r="K148" s="230">
        <f t="shared" si="30"/>
        <v>4.282552587201562</v>
      </c>
      <c r="L148" s="229">
        <f t="shared" si="31"/>
        <v>3.6081299369841127E-2</v>
      </c>
      <c r="M148" s="233">
        <f t="shared" si="32"/>
        <v>0.80627312775330395</v>
      </c>
      <c r="N148" s="230">
        <f t="shared" si="33"/>
        <v>6.9320471632135678</v>
      </c>
      <c r="O148" s="229">
        <f t="shared" si="34"/>
        <v>4.5567794387621298E-2</v>
      </c>
      <c r="Q148" s="239">
        <f>C148/WSH!D$37</f>
        <v>0.47755947719940239</v>
      </c>
      <c r="R148" s="239">
        <f>F148/WSH!D$34</f>
        <v>7.2208064643585965E-2</v>
      </c>
    </row>
    <row r="149" spans="1:18" x14ac:dyDescent="0.3">
      <c r="A149" s="227" t="s">
        <v>657</v>
      </c>
      <c r="B149" s="227" t="s">
        <v>691</v>
      </c>
      <c r="C149" s="228">
        <v>80.464500000000001</v>
      </c>
      <c r="D149" s="228">
        <v>344.45579999999995</v>
      </c>
      <c r="E149" s="228">
        <v>2.9274000000000004</v>
      </c>
      <c r="F149" s="228">
        <v>10.4</v>
      </c>
      <c r="G149" s="228">
        <v>9.4016000000000002</v>
      </c>
      <c r="H149" s="228">
        <v>66.789599999999993</v>
      </c>
      <c r="I149" s="228">
        <v>0.2656</v>
      </c>
      <c r="K149" s="230">
        <f t="shared" si="30"/>
        <v>4.2808418619391153</v>
      </c>
      <c r="L149" s="229">
        <f t="shared" si="31"/>
        <v>3.6381261301567776E-2</v>
      </c>
      <c r="M149" s="233">
        <f t="shared" si="32"/>
        <v>0.90400000000000003</v>
      </c>
      <c r="N149" s="230">
        <f t="shared" si="33"/>
        <v>7.1040673927842057</v>
      </c>
      <c r="O149" s="229">
        <f t="shared" si="34"/>
        <v>2.8250510551395509E-2</v>
      </c>
      <c r="Q149" s="239">
        <f>C149/WSH!D$37</f>
        <v>0.18189561044045471</v>
      </c>
      <c r="R149" s="239">
        <f>F149/WSH!D$34</f>
        <v>1.6541054455799429E-2</v>
      </c>
    </row>
    <row r="150" spans="1:18" x14ac:dyDescent="0.3">
      <c r="A150" s="227" t="s">
        <v>261</v>
      </c>
      <c r="B150" s="227" t="s">
        <v>691</v>
      </c>
      <c r="C150" s="228">
        <v>60.381999999999998</v>
      </c>
      <c r="D150" s="228">
        <v>264.24940000000004</v>
      </c>
      <c r="E150" s="228">
        <v>2.3606000000000003</v>
      </c>
      <c r="F150" s="228">
        <v>75.100000000000009</v>
      </c>
      <c r="G150" s="228">
        <v>50.467200000000005</v>
      </c>
      <c r="H150" s="228">
        <v>412.255</v>
      </c>
      <c r="I150" s="228">
        <v>1.7672000000000001</v>
      </c>
      <c r="K150" s="230">
        <f t="shared" si="30"/>
        <v>4.3762942598787724</v>
      </c>
      <c r="L150" s="229">
        <f t="shared" si="31"/>
        <v>3.9094432115531125E-2</v>
      </c>
      <c r="M150" s="233">
        <f t="shared" si="32"/>
        <v>0.67200000000000004</v>
      </c>
      <c r="N150" s="230">
        <f t="shared" si="33"/>
        <v>8.1687710037410426</v>
      </c>
      <c r="O150" s="229">
        <f t="shared" si="34"/>
        <v>3.5016802992834946E-2</v>
      </c>
      <c r="Q150" s="239">
        <f>C150/WSH!D$37</f>
        <v>0.13649771948642614</v>
      </c>
      <c r="R150" s="239">
        <f>F150/WSH!D$34</f>
        <v>0.11944549900293627</v>
      </c>
    </row>
    <row r="151" spans="1:18" x14ac:dyDescent="0.3">
      <c r="A151" s="227" t="s">
        <v>320</v>
      </c>
      <c r="B151" s="227" t="s">
        <v>691</v>
      </c>
      <c r="C151" s="228">
        <v>38.719000000000001</v>
      </c>
      <c r="D151" s="228">
        <v>176.07325</v>
      </c>
      <c r="E151" s="228">
        <v>0.89875000000000005</v>
      </c>
      <c r="F151" s="228">
        <v>11.55952380952381</v>
      </c>
      <c r="G151" s="228">
        <v>7.7680000000000007</v>
      </c>
      <c r="H151" s="228">
        <v>49.293500000000002</v>
      </c>
      <c r="I151" s="228">
        <v>7.8500000000000014E-2</v>
      </c>
      <c r="K151" s="230">
        <f t="shared" si="30"/>
        <v>4.5474637774735918</v>
      </c>
      <c r="L151" s="229">
        <f t="shared" si="31"/>
        <v>2.3212118081562025E-2</v>
      </c>
      <c r="M151" s="233">
        <f t="shared" si="32"/>
        <v>0.67200000000000004</v>
      </c>
      <c r="N151" s="230">
        <f t="shared" si="33"/>
        <v>6.3457131822863024</v>
      </c>
      <c r="O151" s="229">
        <f t="shared" si="34"/>
        <v>1.0105561277033987E-2</v>
      </c>
      <c r="Q151" s="239">
        <f>C151/WSH!D$37</f>
        <v>8.7526998125185218E-2</v>
      </c>
      <c r="R151" s="239">
        <f>F151/WSH!D$34</f>
        <v>1.8385260847734945E-2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0A53-FD7F-45F9-8CCB-FEE11D881F35}">
  <sheetPr>
    <tabColor rgb="FFFFD5D5"/>
  </sheetPr>
  <dimension ref="A1:AZ221"/>
  <sheetViews>
    <sheetView showGridLines="0" zoomScale="85" zoomScaleNormal="85" workbookViewId="0">
      <selection activeCell="N2" sqref="N2"/>
    </sheetView>
  </sheetViews>
  <sheetFormatPr defaultColWidth="9.109375" defaultRowHeight="13.8" x14ac:dyDescent="0.3"/>
  <cols>
    <col min="1" max="1" width="3.5546875" style="22" bestFit="1" customWidth="1"/>
    <col min="2" max="2" width="19.5546875" style="22" bestFit="1" customWidth="1"/>
    <col min="3" max="3" width="5.33203125" style="22" bestFit="1" customWidth="1"/>
    <col min="4" max="4" width="4.33203125" style="22" bestFit="1" customWidth="1"/>
    <col min="5" max="12" width="6.6640625" style="279" customWidth="1"/>
    <col min="13" max="13" width="7.6640625" style="22" bestFit="1" customWidth="1"/>
    <col min="14" max="14" width="5.88671875" style="22" bestFit="1" customWidth="1"/>
    <col min="15" max="15" width="5.6640625" style="22" customWidth="1"/>
    <col min="16" max="16" width="4.109375" style="22" bestFit="1" customWidth="1"/>
    <col min="17" max="17" width="22.33203125" style="22" bestFit="1" customWidth="1"/>
    <col min="18" max="18" width="5.109375" style="22" bestFit="1" customWidth="1"/>
    <col min="19" max="19" width="4.33203125" style="22" bestFit="1" customWidth="1"/>
    <col min="20" max="26" width="6.6640625" style="279" customWidth="1"/>
    <col min="27" max="27" width="7.6640625" style="22" bestFit="1" customWidth="1"/>
    <col min="28" max="28" width="5.88671875" style="22" bestFit="1" customWidth="1"/>
    <col min="29" max="29" width="5.6640625" style="22" customWidth="1"/>
    <col min="30" max="30" width="4.109375" style="22" bestFit="1" customWidth="1"/>
    <col min="31" max="31" width="25.5546875" style="22" bestFit="1" customWidth="1"/>
    <col min="32" max="32" width="5.33203125" style="22" bestFit="1" customWidth="1"/>
    <col min="33" max="33" width="4.33203125" style="22" bestFit="1" customWidth="1"/>
    <col min="34" max="39" width="6.6640625" style="279" customWidth="1"/>
    <col min="40" max="40" width="7.6640625" style="22" bestFit="1" customWidth="1"/>
    <col min="41" max="41" width="5.88671875" style="22" bestFit="1" customWidth="1"/>
    <col min="42" max="42" width="5.6640625" style="22" customWidth="1"/>
    <col min="43" max="43" width="4.109375" style="22" bestFit="1" customWidth="1"/>
    <col min="44" max="44" width="21.44140625" style="22" bestFit="1" customWidth="1"/>
    <col min="45" max="45" width="5.33203125" style="22" bestFit="1" customWidth="1"/>
    <col min="46" max="46" width="4.33203125" style="22" customWidth="1"/>
    <col min="47" max="50" width="6.6640625" style="279" customWidth="1"/>
    <col min="51" max="51" width="7.6640625" style="22" bestFit="1" customWidth="1"/>
    <col min="52" max="52" width="5.88671875" style="22" bestFit="1" customWidth="1"/>
    <col min="53" max="16384" width="9.109375" style="22"/>
  </cols>
  <sheetData>
    <row r="1" spans="1:52" s="277" customFormat="1" ht="27.6" x14ac:dyDescent="0.3">
      <c r="A1" s="276" t="s">
        <v>191</v>
      </c>
      <c r="B1" s="276" t="s">
        <v>507</v>
      </c>
      <c r="C1" s="276" t="s">
        <v>136</v>
      </c>
      <c r="D1" s="276" t="s">
        <v>174</v>
      </c>
      <c r="E1" s="278" t="s">
        <v>360</v>
      </c>
      <c r="F1" s="278" t="s">
        <v>1</v>
      </c>
      <c r="G1" s="278" t="s">
        <v>363</v>
      </c>
      <c r="H1" s="278" t="s">
        <v>410</v>
      </c>
      <c r="I1" s="278" t="s">
        <v>2</v>
      </c>
      <c r="J1" s="278" t="s">
        <v>411</v>
      </c>
      <c r="K1" s="278" t="s">
        <v>367</v>
      </c>
      <c r="L1" s="278" t="s">
        <v>412</v>
      </c>
      <c r="M1" s="276" t="s">
        <v>169</v>
      </c>
      <c r="N1" s="276" t="s">
        <v>477</v>
      </c>
      <c r="P1" s="276" t="s">
        <v>191</v>
      </c>
      <c r="Q1" s="276" t="s">
        <v>507</v>
      </c>
      <c r="R1" s="276" t="s">
        <v>136</v>
      </c>
      <c r="S1" s="276" t="s">
        <v>174</v>
      </c>
      <c r="T1" s="278" t="s">
        <v>411</v>
      </c>
      <c r="U1" s="278" t="s">
        <v>367</v>
      </c>
      <c r="V1" s="278" t="s">
        <v>412</v>
      </c>
      <c r="W1" s="278" t="s">
        <v>839</v>
      </c>
      <c r="X1" s="278" t="s">
        <v>4</v>
      </c>
      <c r="Y1" s="278" t="s">
        <v>373</v>
      </c>
      <c r="Z1" s="278" t="s">
        <v>413</v>
      </c>
      <c r="AA1" s="276" t="s">
        <v>169</v>
      </c>
      <c r="AB1" s="276" t="s">
        <v>477</v>
      </c>
      <c r="AD1" s="276" t="s">
        <v>191</v>
      </c>
      <c r="AE1" s="276" t="s">
        <v>507</v>
      </c>
      <c r="AF1" s="276" t="s">
        <v>136</v>
      </c>
      <c r="AG1" s="276" t="s">
        <v>174</v>
      </c>
      <c r="AH1" s="278" t="s">
        <v>367</v>
      </c>
      <c r="AI1" s="278" t="s">
        <v>412</v>
      </c>
      <c r="AJ1" s="278" t="s">
        <v>839</v>
      </c>
      <c r="AK1" s="278" t="s">
        <v>4</v>
      </c>
      <c r="AL1" s="278" t="s">
        <v>373</v>
      </c>
      <c r="AM1" s="278" t="s">
        <v>413</v>
      </c>
      <c r="AN1" s="276" t="s">
        <v>169</v>
      </c>
      <c r="AO1" s="276" t="s">
        <v>477</v>
      </c>
      <c r="AQ1" s="276" t="s">
        <v>191</v>
      </c>
      <c r="AR1" s="276" t="s">
        <v>507</v>
      </c>
      <c r="AS1" s="276" t="s">
        <v>136</v>
      </c>
      <c r="AT1" s="276" t="s">
        <v>174</v>
      </c>
      <c r="AU1" s="278" t="s">
        <v>839</v>
      </c>
      <c r="AV1" s="278" t="s">
        <v>4</v>
      </c>
      <c r="AW1" s="278" t="s">
        <v>373</v>
      </c>
      <c r="AX1" s="278" t="s">
        <v>413</v>
      </c>
      <c r="AY1" s="276" t="s">
        <v>169</v>
      </c>
      <c r="AZ1" s="276" t="s">
        <v>477</v>
      </c>
    </row>
    <row r="2" spans="1:52" x14ac:dyDescent="0.3">
      <c r="A2" s="22">
        <v>1</v>
      </c>
      <c r="B2" s="22" t="str">
        <f>IFERROR(INDEX(TableQBCalcPts[PLAYER],MATCH(TableQBRanks30[[#This Row],[RK]],TableQBCalcPts[RK],0)),"")</f>
        <v>Josh Allen</v>
      </c>
      <c r="C2" s="22" t="str">
        <f>IFERROR(INDEX(TableQBCalcPts[TM],MATCH(TableQBRanks30[[#This Row],[Player]],TableQBCalcPts[PLAYER],0)),"")</f>
        <v>BUF</v>
      </c>
      <c r="D2" s="22">
        <f>IFERROR(INDEX(TableQBCalcPts[BYE],MATCH(TableQBRanks30[[#This Row],[RK]],TableQBCalcPts[RK],0)),"")</f>
        <v>7</v>
      </c>
      <c r="E2" s="279">
        <f>VLOOKUP(TableQBRanks30[[#This Row],[Player]],QB!B:O,4,FALSE)</f>
        <v>651.94629884999995</v>
      </c>
      <c r="F2" s="279">
        <f>VLOOKUP(TableQBRanks30[[#This Row],[Player]],QB!B:O,5,FALSE)</f>
        <v>420.11444548436134</v>
      </c>
      <c r="G2" s="279">
        <f>VLOOKUP(TableQBRanks30[[#This Row],[Player]],QB!B:O,6,FALSE)</f>
        <v>4659.0692004215671</v>
      </c>
      <c r="H2" s="279">
        <f>VLOOKUP(TableQBRanks30[[#This Row],[Player]],QB!B:O,7,FALSE)</f>
        <v>37.390185648108158</v>
      </c>
      <c r="I2" s="279">
        <f>VLOOKUP(TableQBRanks30[[#This Row],[Player]],QB!B:O,8,FALSE)</f>
        <v>10.126478057632715</v>
      </c>
      <c r="J2" s="279">
        <f>VLOOKUP(TableQBRanks30[[#This Row],[Player]],QB!B:O,9,FALSE)</f>
        <v>120.56485053562976</v>
      </c>
      <c r="K2" s="279">
        <f>VLOOKUP(TableQBRanks30[[#This Row],[Player]],QB!B:O,10,FALSE)</f>
        <v>700.66180489306487</v>
      </c>
      <c r="L2" s="279">
        <f>VLOOKUP(TableQBRanks30[[#This Row],[Player]],QB!B:O,11,FALSE)</f>
        <v>6.0282425267814883</v>
      </c>
      <c r="M2" s="272">
        <f>IFERROR(INDEX(TableQBCalcPts[Custom],MATCH(TableQBRanks30[[#This Row],[RK]],TableQBCalcPts[RK],0)),"")</f>
        <v>421.90619014402529</v>
      </c>
      <c r="N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50.887346296766459</v>
      </c>
      <c r="P2" s="22">
        <v>1</v>
      </c>
      <c r="Q2" s="22" t="str">
        <f>IFERROR(INDEX(TableRBCalcPts[PLAYER],MATCH(TableRBRanks31[[#This Row],[RK]],TableRBCalcPts[RK],0)),"")</f>
        <v>Jonathan Taylor</v>
      </c>
      <c r="R2" s="22" t="str">
        <f>IFERROR(INDEX(TableRBCalcPts[TM],MATCH(TableRBRanks31[[#This Row],[Player]],TableRBCalcPts[PLAYER],0)),"")</f>
        <v>IND</v>
      </c>
      <c r="S2" s="22">
        <f>IFERROR(INDEX(TableRBCalcPts[BYE],MATCH(TableRBRanks31[[#This Row],[RK]],TableRBCalcPts[RK],0)),"")</f>
        <v>14</v>
      </c>
      <c r="T2" s="279">
        <f>VLOOKUP(TableRBRanks31[[#This Row],[Player]],RB!B:O,4,FALSE)</f>
        <v>321.35008159244012</v>
      </c>
      <c r="U2" s="279">
        <f>VLOOKUP(TableRBRanks31[[#This Row],[Player]],RB!B:O,5,FALSE)</f>
        <v>1654.503091332522</v>
      </c>
      <c r="V2" s="279">
        <f>VLOOKUP(TableRBRanks31[[#This Row],[Player]],RB!B:O,6,FALSE)</f>
        <v>15.599822528090344</v>
      </c>
      <c r="W2" s="279">
        <f>VLOOKUP(TableRBRanks31[[#This Row],[Player]],RB!B:O,7,FALSE)</f>
        <v>51.885555123918586</v>
      </c>
      <c r="X2" s="279">
        <f>VLOOKUP(TableRBRanks31[[#This Row],[Player]],RB!B:O,8,FALSE)</f>
        <v>41.394295877862248</v>
      </c>
      <c r="Y2" s="279">
        <f>VLOOKUP(TableRBRanks31[[#This Row],[Player]],RB!B:O,9,FALSE)</f>
        <v>343.98659874503528</v>
      </c>
      <c r="Z2" s="279">
        <f>VLOOKUP(TableRBRanks31[[#This Row],[Player]],RB!B:O,10,FALSE)</f>
        <v>1.5600695532232667</v>
      </c>
      <c r="AA2" s="272">
        <f>IFERROR(INDEX(TableRBCalcPts[Custom],MATCH(TableRBRanks31[[#This Row],[RK]],TableRBCalcPts[RK],0)),"")</f>
        <v>302.80832149563741</v>
      </c>
      <c r="AB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102.07715843356709</v>
      </c>
      <c r="AD2" s="22">
        <v>1</v>
      </c>
      <c r="AE2" s="22" t="str">
        <f>IFERROR(INDEX(TableWRCalcPts[PLAYER],MATCH(TableWRRanks32[[#This Row],[RK]],TableWRCalcPts[RK],0)),"")</f>
        <v>Cooper Kupp</v>
      </c>
      <c r="AF2" s="22" t="str">
        <f>IFERROR(INDEX(TableWRCalcPts[TM],MATCH(TableWRRanks32[[#This Row],[Player]],TableWRCalcPts[PLAYER],0)),"")</f>
        <v>LAR</v>
      </c>
      <c r="AG2" s="22">
        <f>IFERROR(INDEX(TableWRCalcPts[BYE],MATCH(TableWRRanks32[[#This Row],[RK]],TableWRCalcPts[RK],0)),"")</f>
        <v>7</v>
      </c>
      <c r="AH2" s="279">
        <f>VLOOKUP(TableWRRanks32[[#This Row],[Player]],WR!B:O,4,FALSE)</f>
        <v>15.529040913904405</v>
      </c>
      <c r="AI2" s="279">
        <f>VLOOKUP(TableWRRanks32[[#This Row],[Player]],WR!B:O,5,FALSE)</f>
        <v>0</v>
      </c>
      <c r="AJ2" s="279">
        <f>VLOOKUP(TableWRRanks32[[#This Row],[Player]],WR!B:O,6,FALSE)</f>
        <v>157.64857982603056</v>
      </c>
      <c r="AK2" s="279">
        <f>VLOOKUP(TableWRRanks32[[#This Row],[Player]],WR!B:O,7,FALSE)</f>
        <v>121.21599302823491</v>
      </c>
      <c r="AL2" s="279">
        <f>VLOOKUP(TableWRRanks32[[#This Row],[Player]],WR!B:O,8,FALSE)</f>
        <v>1602.4754278332655</v>
      </c>
      <c r="AM2" s="279">
        <f>VLOOKUP(TableWRRanks32[[#This Row],[Player]],WR!B:O,9,FALSE)</f>
        <v>12.848895260992899</v>
      </c>
      <c r="AN2" s="272">
        <f>IFERROR(INDEX(TableWRCalcPts[Custom],MATCH(TableWRRanks32[[#This Row],[RK]],TableWRCalcPts[RK],0)),"")</f>
        <v>238.89381844067441</v>
      </c>
      <c r="AO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61.197275316131801</v>
      </c>
      <c r="AQ2" s="22">
        <v>1</v>
      </c>
      <c r="AR2" s="22" t="str">
        <f>IFERROR(INDEX(TableTECalcPts[PLAYER],MATCH(TableTERanks33[[#This Row],[RK]],TableTECalcPts[RK],0)),"")</f>
        <v>Travis Kelce</v>
      </c>
      <c r="AS2" s="22" t="str">
        <f>IFERROR(INDEX(TableTECalcPts[TM],MATCH(TableTERanks33[[#This Row],[Player]],TableTECalcPts[PLAYER],0)),"")</f>
        <v>KC</v>
      </c>
      <c r="AT2" s="22">
        <f>IFERROR(INDEX(TableTECalcPts[BYE],MATCH(TableTERanks33[[#This Row],[RK]],TableTECalcPts[RK],0)),"")</f>
        <v>8</v>
      </c>
      <c r="AU2" s="279">
        <f>VLOOKUP(TableTERanks33[[#This Row],[Player]],TE!B:O,4,FALSE)</f>
        <v>139.66517068724178</v>
      </c>
      <c r="AV2" s="279">
        <f>VLOOKUP(TableTERanks33[[#This Row],[Player]],TE!B:O,5,FALSE)</f>
        <v>101.09143350305139</v>
      </c>
      <c r="AW2" s="279">
        <f>VLOOKUP(TableTERanks33[[#This Row],[Player]],TE!B:O,6,FALSE)</f>
        <v>1146.3768559246028</v>
      </c>
      <c r="AX2" s="279">
        <f>VLOOKUP(TableTERanks33[[#This Row],[Player]],TE!B:O,7,FALSE)</f>
        <v>8.8960461482685211</v>
      </c>
      <c r="AY2" s="272">
        <f>IFERROR(INDEX(TableTECalcPts[Custom],MATCH(TableTERanks33[[#This Row],[RK]],TableTECalcPts[RK],0)),"")</f>
        <v>168.01396248207141</v>
      </c>
      <c r="AZ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32.847003918332348</v>
      </c>
    </row>
    <row r="3" spans="1:52" x14ac:dyDescent="0.3">
      <c r="A3" s="22">
        <v>2</v>
      </c>
      <c r="B3" s="22" t="str">
        <f>IFERROR(INDEX(TableQBCalcPts[PLAYER],MATCH(TableQBRanks30[[#This Row],[RK]],TableQBCalcPts[RK],0)),"")</f>
        <v>Jalen Hurts</v>
      </c>
      <c r="C3" s="22" t="str">
        <f>IFERROR(INDEX(TableQBCalcPts[TM],MATCH(TableQBRanks30[[#This Row],[Player]],TableQBCalcPts[PLAYER],0)),"")</f>
        <v>PHI</v>
      </c>
      <c r="D3" s="22">
        <f>IFERROR(INDEX(TableQBCalcPts[BYE],MATCH(TableQBRanks30[[#This Row],[RK]],TableQBCalcPts[RK],0)),"")</f>
        <v>7</v>
      </c>
      <c r="E3" s="279">
        <f>VLOOKUP(TableQBRanks30[[#This Row],[Player]],QB!B:O,4,FALSE)</f>
        <v>572.11962574999995</v>
      </c>
      <c r="F3" s="279">
        <f>VLOOKUP(TableQBRanks30[[#This Row],[Player]],QB!B:O,5,FALSE)</f>
        <v>355.28628759074996</v>
      </c>
      <c r="G3" s="279">
        <f>VLOOKUP(TableQBRanks30[[#This Row],[Player]],QB!B:O,6,FALSE)</f>
        <v>4253.575461040512</v>
      </c>
      <c r="H3" s="279">
        <f>VLOOKUP(TableQBRanks30[[#This Row],[Player]],QB!B:O,7,FALSE)</f>
        <v>27.357044144487748</v>
      </c>
      <c r="I3" s="279">
        <f>VLOOKUP(TableQBRanks30[[#This Row],[Player]],QB!B:O,8,FALSE)</f>
        <v>8.5219986998548798</v>
      </c>
      <c r="J3" s="279">
        <f>VLOOKUP(TableQBRanks30[[#This Row],[Player]],QB!B:O,9,FALSE)</f>
        <v>134.58895552938262</v>
      </c>
      <c r="K3" s="279">
        <f>VLOOKUP(TableQBRanks30[[#This Row],[Player]],QB!B:O,10,FALSE)</f>
        <v>763.11937785159944</v>
      </c>
      <c r="L3" s="279">
        <f>VLOOKUP(TableQBRanks30[[#This Row],[Player]],QB!B:O,11,FALSE)</f>
        <v>9.152048975998019</v>
      </c>
      <c r="M3" s="272">
        <f>IFERROR(INDEX(TableQBCalcPts[Custom],MATCH(TableQBRanks30[[#This Row],[RK]],TableQBCalcPts[RK],0)),"")</f>
        <v>393.75142926100978</v>
      </c>
      <c r="N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44.08530680673455</v>
      </c>
      <c r="P3" s="22">
        <v>2</v>
      </c>
      <c r="Q3" s="22" t="str">
        <f>IFERROR(INDEX(TableRBCalcPts[PLAYER],MATCH(TableRBRanks31[[#This Row],[RK]],TableRBCalcPts[RK],0)),"")</f>
        <v>Derrick Henry</v>
      </c>
      <c r="R3" s="22" t="str">
        <f>IFERROR(INDEX(TableRBCalcPts[TM],MATCH(TableRBRanks31[[#This Row],[Player]],TableRBCalcPts[PLAYER],0)),"")</f>
        <v>TEN</v>
      </c>
      <c r="S3" s="22">
        <f>IFERROR(INDEX(TableRBCalcPts[BYE],MATCH(TableRBRanks31[[#This Row],[RK]],TableRBCalcPts[RK],0)),"")</f>
        <v>6</v>
      </c>
      <c r="T3" s="279">
        <f>VLOOKUP(TableRBRanks31[[#This Row],[Player]],RB!B:O,4,FALSE)</f>
        <v>379.73627374053865</v>
      </c>
      <c r="U3" s="279">
        <f>VLOOKUP(TableRBRanks31[[#This Row],[Player]],RB!B:O,5,FALSE)</f>
        <v>1701.2185063576133</v>
      </c>
      <c r="V3" s="279">
        <f>VLOOKUP(TableRBRanks31[[#This Row],[Player]],RB!B:O,6,FALSE)</f>
        <v>15.341345459117761</v>
      </c>
      <c r="W3" s="279">
        <f>VLOOKUP(TableRBRanks31[[#This Row],[Player]],RB!B:O,7,FALSE)</f>
        <v>35.81076020525925</v>
      </c>
      <c r="X3" s="279">
        <f>VLOOKUP(TableRBRanks31[[#This Row],[Player]],RB!B:O,8,FALSE)</f>
        <v>29.597593309646772</v>
      </c>
      <c r="Y3" s="279">
        <f>VLOOKUP(TableRBRanks31[[#This Row],[Player]],RB!B:O,9,FALSE)</f>
        <v>232.46296780081911</v>
      </c>
      <c r="Z3" s="279">
        <f>VLOOKUP(TableRBRanks31[[#This Row],[Player]],RB!B:O,10,FALSE)</f>
        <v>0.67170110667653082</v>
      </c>
      <c r="AA3" s="272">
        <f>IFERROR(INDEX(TableRBCalcPts[Custom],MATCH(TableRBRanks31[[#This Row],[RK]],TableRBCalcPts[RK],0)),"")</f>
        <v>289.44642681060907</v>
      </c>
      <c r="AB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95.307839927672021</v>
      </c>
      <c r="AD3" s="274">
        <v>2</v>
      </c>
      <c r="AE3" s="274" t="str">
        <f>IFERROR(INDEX(TableWRCalcPts[PLAYER],MATCH(TableWRRanks32[[#This Row],[RK]],TableWRCalcPts[RK],0)),"")</f>
        <v>Ja'Marr Chase</v>
      </c>
      <c r="AF3" s="22" t="str">
        <f>IFERROR(INDEX(TableWRCalcPts[TM],MATCH(TableWRRanks32[[#This Row],[Player]],TableWRCalcPts[PLAYER],0)),"")</f>
        <v>CIN</v>
      </c>
      <c r="AG3" s="22">
        <f>IFERROR(INDEX(TableWRCalcPts[BYE],MATCH(TableWRRanks32[[#This Row],[RK]],TableWRCalcPts[RK],0)),"")</f>
        <v>10</v>
      </c>
      <c r="AH3" s="279">
        <f>VLOOKUP(TableWRRanks32[[#This Row],[Player]],WR!B:O,4,FALSE)</f>
        <v>46.033349728575963</v>
      </c>
      <c r="AI3" s="279">
        <f>VLOOKUP(TableWRRanks32[[#This Row],[Player]],WR!B:O,5,FALSE)</f>
        <v>0</v>
      </c>
      <c r="AJ3" s="279">
        <f>VLOOKUP(TableWRRanks32[[#This Row],[Player]],WR!B:O,6,FALSE)</f>
        <v>141.99341870262825</v>
      </c>
      <c r="AK3" s="279">
        <f>VLOOKUP(TableWRRanks32[[#This Row],[Player]],WR!B:O,7,FALSE)</f>
        <v>91.642552430676261</v>
      </c>
      <c r="AL3" s="279">
        <f>VLOOKUP(TableWRRanks32[[#This Row],[Player]],WR!B:O,8,FALSE)</f>
        <v>1573.5026252347116</v>
      </c>
      <c r="AM3" s="279">
        <f>VLOOKUP(TableWRRanks32[[#This Row],[Player]],WR!B:O,9,FALSE)</f>
        <v>12.00517436841859</v>
      </c>
      <c r="AN3" s="272">
        <f>IFERROR(INDEX(TableWRCalcPts[Custom],MATCH(TableWRRanks32[[#This Row],[RK]],TableWRCalcPts[RK],0)),"")</f>
        <v>233.9846437068403</v>
      </c>
      <c r="AO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58.884890369940763</v>
      </c>
      <c r="AQ3" s="274">
        <v>2</v>
      </c>
      <c r="AR3" s="274" t="str">
        <f>IFERROR(INDEX(TableTECalcPts[PLAYER],MATCH(TableTERanks33[[#This Row],[RK]],TableTECalcPts[RK],0)),"")</f>
        <v>Mark Andrews</v>
      </c>
      <c r="AS3" s="22" t="str">
        <f>IFERROR(INDEX(TableTECalcPts[TM],MATCH(TableTERanks33[[#This Row],[Player]],TableTECalcPts[PLAYER],0)),"")</f>
        <v>BAL</v>
      </c>
      <c r="AT3" s="22">
        <f>IFERROR(INDEX(TableTECalcPts[BYE],MATCH(TableTERanks33[[#This Row],[RK]],TableTECalcPts[RK],0)),"")</f>
        <v>10</v>
      </c>
      <c r="AU3" s="279">
        <f>VLOOKUP(TableTERanks33[[#This Row],[Player]],TE!B:O,4,FALSE)</f>
        <v>119.84557117550085</v>
      </c>
      <c r="AV3" s="279">
        <f>VLOOKUP(TableTERanks33[[#This Row],[Player]],TE!B:O,5,FALSE)</f>
        <v>79.443691066075004</v>
      </c>
      <c r="AW3" s="279">
        <f>VLOOKUP(TableTERanks33[[#This Row],[Player]],TE!B:O,6,FALSE)</f>
        <v>1013.1941631612659</v>
      </c>
      <c r="AX3" s="279">
        <f>VLOOKUP(TableTERanks33[[#This Row],[Player]],TE!B:O,7,FALSE)</f>
        <v>9.7715740011272256</v>
      </c>
      <c r="AY3" s="272">
        <f>IFERROR(INDEX(TableTECalcPts[Custom],MATCH(TableTERanks33[[#This Row],[RK]],TableTECalcPts[RK],0)),"")</f>
        <v>159.94886032288994</v>
      </c>
      <c r="AZ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28.80630683441748</v>
      </c>
    </row>
    <row r="4" spans="1:52" x14ac:dyDescent="0.3">
      <c r="A4" s="22">
        <v>3</v>
      </c>
      <c r="B4" s="22" t="str">
        <f>IFERROR(INDEX(TableQBCalcPts[PLAYER],MATCH(TableQBRanks30[[#This Row],[RK]],TableQBCalcPts[RK],0)),"")</f>
        <v>Justin Herbert</v>
      </c>
      <c r="C4" s="22" t="str">
        <f>IFERROR(INDEX(TableQBCalcPts[TM],MATCH(TableQBRanks30[[#This Row],[Player]],TableQBCalcPts[PLAYER],0)),"")</f>
        <v>LAC</v>
      </c>
      <c r="D4" s="22">
        <f>IFERROR(INDEX(TableQBCalcPts[BYE],MATCH(TableQBRanks30[[#This Row],[RK]],TableQBCalcPts[RK],0)),"")</f>
        <v>8</v>
      </c>
      <c r="E4" s="279">
        <f>VLOOKUP(TableQBRanks30[[#This Row],[Player]],QB!B:O,4,FALSE)</f>
        <v>683.19667350000009</v>
      </c>
      <c r="F4" s="279">
        <f>VLOOKUP(TableQBRanks30[[#This Row],[Player]],QB!B:O,5,FALSE)</f>
        <v>453.42264227056302</v>
      </c>
      <c r="G4" s="279">
        <f>VLOOKUP(TableQBRanks30[[#This Row],[Player]],QB!B:O,6,FALSE)</f>
        <v>5155.4198459273193</v>
      </c>
      <c r="H4" s="279">
        <f>VLOOKUP(TableQBRanks30[[#This Row],[Player]],QB!B:O,7,FALSE)</f>
        <v>38.268871007635518</v>
      </c>
      <c r="I4" s="279">
        <f>VLOOKUP(TableQBRanks30[[#This Row],[Player]],QB!B:O,8,FALSE)</f>
        <v>10.238594983099787</v>
      </c>
      <c r="J4" s="279">
        <f>VLOOKUP(TableQBRanks30[[#This Row],[Player]],QB!B:O,9,FALSE)</f>
        <v>56.347575291854504</v>
      </c>
      <c r="K4" s="279">
        <f>VLOOKUP(TableQBRanks30[[#This Row],[Player]],QB!B:O,10,FALSE)</f>
        <v>272.72226441257578</v>
      </c>
      <c r="L4" s="279">
        <f>VLOOKUP(TableQBRanks30[[#This Row],[Player]],QB!B:O,11,FALSE)</f>
        <v>3.1154603058103687</v>
      </c>
      <c r="M4" s="272">
        <f>IFERROR(INDEX(TableQBCalcPts[Custom],MATCH(TableQBRanks30[[#This Row],[RK]],TableQBCalcPts[RK],0)),"")</f>
        <v>384.78007617755509</v>
      </c>
      <c r="N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37.657405235825244</v>
      </c>
      <c r="P4" s="22">
        <v>3</v>
      </c>
      <c r="Q4" s="22" t="str">
        <f>IFERROR(INDEX(TableRBCalcPts[PLAYER],MATCH(TableRBRanks31[[#This Row],[RK]],TableRBCalcPts[RK],0)),"")</f>
        <v>Christian McCaffrey</v>
      </c>
      <c r="R4" s="22" t="str">
        <f>IFERROR(INDEX(TableRBCalcPts[TM],MATCH(TableRBRanks31[[#This Row],[Player]],TableRBCalcPts[PLAYER],0)),"")</f>
        <v>CAR</v>
      </c>
      <c r="S4" s="22">
        <f>IFERROR(INDEX(TableRBCalcPts[BYE],MATCH(TableRBRanks31[[#This Row],[RK]],TableRBCalcPts[RK],0)),"")</f>
        <v>13</v>
      </c>
      <c r="T4" s="279">
        <f>VLOOKUP(TableRBRanks31[[#This Row],[Player]],RB!B:O,4,FALSE)</f>
        <v>260.61946169948999</v>
      </c>
      <c r="U4" s="279">
        <f>VLOOKUP(TableRBRanks31[[#This Row],[Player]],RB!B:O,5,FALSE)</f>
        <v>1158.6820075018884</v>
      </c>
      <c r="V4" s="279">
        <f>VLOOKUP(TableRBRanks31[[#This Row],[Player]],RB!B:O,6,FALSE)</f>
        <v>10.763583768188937</v>
      </c>
      <c r="W4" s="279">
        <f>VLOOKUP(TableRBRanks31[[#This Row],[Player]],RB!B:O,7,FALSE)</f>
        <v>110.45809452544658</v>
      </c>
      <c r="X4" s="279">
        <f>VLOOKUP(TableRBRanks31[[#This Row],[Player]],RB!B:O,8,FALSE)</f>
        <v>87.173528199482448</v>
      </c>
      <c r="Y4" s="279">
        <f>VLOOKUP(TableRBRanks31[[#This Row],[Player]],RB!B:O,9,FALSE)</f>
        <v>697.52005654678067</v>
      </c>
      <c r="Z4" s="279">
        <f>VLOOKUP(TableRBRanks31[[#This Row],[Player]],RB!B:O,10,FALSE)</f>
        <v>2.7164661558891661</v>
      </c>
      <c r="AA4" s="272">
        <f>IFERROR(INDEX(TableRBCalcPts[Custom],MATCH(TableRBRanks31[[#This Row],[RK]],TableRBCalcPts[RK],0)),"")</f>
        <v>266.50050594933555</v>
      </c>
      <c r="AB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83.683122746278329</v>
      </c>
      <c r="AD4" s="22">
        <v>3</v>
      </c>
      <c r="AE4" s="274" t="str">
        <f>IFERROR(INDEX(TableWRCalcPts[PLAYER],MATCH(TableWRRanks32[[#This Row],[RK]],TableWRCalcPts[RK],0)),"")</f>
        <v>Deebo Samuel</v>
      </c>
      <c r="AF4" s="22" t="str">
        <f>IFERROR(INDEX(TableWRCalcPts[TM],MATCH(TableWRRanks32[[#This Row],[Player]],TableWRCalcPts[PLAYER],0)),"")</f>
        <v>SF</v>
      </c>
      <c r="AG4" s="22">
        <f>IFERROR(INDEX(TableWRCalcPts[BYE],MATCH(TableWRRanks32[[#This Row],[RK]],TableWRCalcPts[RK],0)),"")</f>
        <v>9</v>
      </c>
      <c r="AH4" s="279">
        <f>VLOOKUP(TableWRRanks32[[#This Row],[Player]],WR!B:O,4,FALSE)</f>
        <v>288.78783190619328</v>
      </c>
      <c r="AI4" s="279">
        <f>VLOOKUP(TableWRRanks32[[#This Row],[Player]],WR!B:O,5,FALSE)</f>
        <v>4.9415172616344023</v>
      </c>
      <c r="AJ4" s="279">
        <f>VLOOKUP(TableWRRanks32[[#This Row],[Player]],WR!B:O,6,FALSE)</f>
        <v>106.87867361572312</v>
      </c>
      <c r="AK4" s="279">
        <f>VLOOKUP(TableWRRanks32[[#This Row],[Player]],WR!B:O,7,FALSE)</f>
        <v>68.306160307808639</v>
      </c>
      <c r="AL4" s="279">
        <f>VLOOKUP(TableWRRanks32[[#This Row],[Player]],WR!B:O,8,FALSE)</f>
        <v>1125.6855218726864</v>
      </c>
      <c r="AM4" s="279">
        <f>VLOOKUP(TableWRRanks32[[#This Row],[Player]],WR!B:O,9,FALSE)</f>
        <v>5.6011051452403082</v>
      </c>
      <c r="AN4" s="272">
        <f>IFERROR(INDEX(TableWRCalcPts[Custom],MATCH(TableWRRanks32[[#This Row],[RK]],TableWRCalcPts[RK],0)),"")</f>
        <v>204.70306981913626</v>
      </c>
      <c r="AO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45.092292972246433</v>
      </c>
      <c r="AQ4" s="22">
        <v>3</v>
      </c>
      <c r="AR4" s="274" t="str">
        <f>IFERROR(INDEX(TableTECalcPts[PLAYER],MATCH(TableTERanks33[[#This Row],[RK]],TableTECalcPts[RK],0)),"")</f>
        <v>Kyle Pitts</v>
      </c>
      <c r="AS4" s="22" t="str">
        <f>IFERROR(INDEX(TableTECalcPts[TM],MATCH(TableTERanks33[[#This Row],[Player]],TableTECalcPts[PLAYER],0)),"")</f>
        <v>ATL</v>
      </c>
      <c r="AT4" s="22">
        <f>IFERROR(INDEX(TableTECalcPts[BYE],MATCH(TableTERanks33[[#This Row],[RK]],TableTECalcPts[RK],0)),"")</f>
        <v>14</v>
      </c>
      <c r="AU4" s="279">
        <f>VLOOKUP(TableTERanks33[[#This Row],[Player]],TE!B:O,4,FALSE)</f>
        <v>135.32458728893246</v>
      </c>
      <c r="AV4" s="279">
        <f>VLOOKUP(TableTERanks33[[#This Row],[Player]],TE!B:O,5,FALSE)</f>
        <v>82.953972008115599</v>
      </c>
      <c r="AW4" s="279">
        <f>VLOOKUP(TableTERanks33[[#This Row],[Player]],TE!B:O,6,FALSE)</f>
        <v>1214.6307347246861</v>
      </c>
      <c r="AX4" s="279">
        <f>VLOOKUP(TableTERanks33[[#This Row],[Player]],TE!B:O,7,FALSE)</f>
        <v>5.8067780405680924</v>
      </c>
      <c r="AY4" s="272">
        <f>IFERROR(INDEX(TableTECalcPts[Custom],MATCH(TableTERanks33[[#This Row],[RK]],TableTECalcPts[RK],0)),"")</f>
        <v>156.30374171587718</v>
      </c>
      <c r="AZ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26.980065847610799</v>
      </c>
    </row>
    <row r="5" spans="1:52" x14ac:dyDescent="0.3">
      <c r="A5" s="22">
        <v>4</v>
      </c>
      <c r="B5" s="22" t="str">
        <f>IFERROR(INDEX(TableQBCalcPts[PLAYER],MATCH(TableQBRanks30[[#This Row],[RK]],TableQBCalcPts[RK],0)),"")</f>
        <v>Patrick Mahomes</v>
      </c>
      <c r="C5" s="22" t="str">
        <f>IFERROR(INDEX(TableQBCalcPts[TM],MATCH(TableQBRanks30[[#This Row],[Player]],TableQBCalcPts[PLAYER],0)),"")</f>
        <v>KC</v>
      </c>
      <c r="D5" s="22">
        <f>IFERROR(INDEX(TableQBCalcPts[BYE],MATCH(TableQBRanks30[[#This Row],[RK]],TableQBCalcPts[RK],0)),"")</f>
        <v>8</v>
      </c>
      <c r="E5" s="279">
        <f>VLOOKUP(TableQBRanks30[[#This Row],[Player]],QB!B:O,4,FALSE)</f>
        <v>678.04668854999989</v>
      </c>
      <c r="F5" s="279">
        <f>VLOOKUP(TableQBRanks30[[#This Row],[Player]],QB!B:O,5,FALSE)</f>
        <v>444.79862768879997</v>
      </c>
      <c r="G5" s="279">
        <f>VLOOKUP(TableQBRanks30[[#This Row],[Player]],QB!B:O,6,FALSE)</f>
        <v>4999.5365752221114</v>
      </c>
      <c r="H5" s="279">
        <f>VLOOKUP(TableQBRanks30[[#This Row],[Player]],QB!B:O,7,FALSE)</f>
        <v>38.021539673322749</v>
      </c>
      <c r="I5" s="279">
        <f>VLOOKUP(TableQBRanks30[[#This Row],[Player]],QB!B:O,8,FALSE)</f>
        <v>8.9219512843902216</v>
      </c>
      <c r="J5" s="279">
        <f>VLOOKUP(TableQBRanks30[[#This Row],[Player]],QB!B:O,9,FALSE)</f>
        <v>64.285773136614523</v>
      </c>
      <c r="K5" s="279">
        <f>VLOOKUP(TableQBRanks30[[#This Row],[Player]],QB!B:O,10,FALSE)</f>
        <v>360.64318729640752</v>
      </c>
      <c r="L5" s="279">
        <f>VLOOKUP(TableQBRanks30[[#This Row],[Player]],QB!B:O,11,FALSE)</f>
        <v>2.3429894537262701</v>
      </c>
      <c r="M5" s="272">
        <f>IFERROR(INDEX(TableQBCalcPts[Custom],MATCH(TableQBRanks30[[#This Row],[RK]],TableQBCalcPts[RK],0)),"")</f>
        <v>384.34597458539344</v>
      </c>
      <c r="N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32.049851617238609</v>
      </c>
      <c r="P5" s="22">
        <v>4</v>
      </c>
      <c r="Q5" s="22" t="str">
        <f>IFERROR(INDEX(TableRBCalcPts[PLAYER],MATCH(TableRBRanks31[[#This Row],[RK]],TableRBCalcPts[RK],0)),"")</f>
        <v>Najee Harris</v>
      </c>
      <c r="R5" s="22" t="str">
        <f>IFERROR(INDEX(TableRBCalcPts[TM],MATCH(TableRBRanks31[[#This Row],[Player]],TableRBCalcPts[PLAYER],0)),"")</f>
        <v>PIT</v>
      </c>
      <c r="S5" s="22">
        <f>IFERROR(INDEX(TableRBCalcPts[BYE],MATCH(TableRBRanks31[[#This Row],[RK]],TableRBCalcPts[RK],0)),"")</f>
        <v>9</v>
      </c>
      <c r="T5" s="279">
        <f>VLOOKUP(TableRBRanks31[[#This Row],[Player]],RB!B:O,4,FALSE)</f>
        <v>314.37639603141486</v>
      </c>
      <c r="U5" s="279">
        <f>VLOOKUP(TableRBRanks31[[#This Row],[Player]],RB!B:O,5,FALSE)</f>
        <v>1260.2493763707737</v>
      </c>
      <c r="V5" s="279">
        <f>VLOOKUP(TableRBRanks31[[#This Row],[Player]],RB!B:O,6,FALSE)</f>
        <v>9.745668276973861</v>
      </c>
      <c r="W5" s="279">
        <f>VLOOKUP(TableRBRanks31[[#This Row],[Player]],RB!B:O,7,FALSE)</f>
        <v>90.392597467948804</v>
      </c>
      <c r="X5" s="279">
        <f>VLOOKUP(TableRBRanks31[[#This Row],[Player]],RB!B:O,8,FALSE)</f>
        <v>68.273528867541728</v>
      </c>
      <c r="Y5" s="279">
        <f>VLOOKUP(TableRBRanks31[[#This Row],[Player]],RB!B:O,9,FALSE)</f>
        <v>426.02682013346038</v>
      </c>
      <c r="Z5" s="279">
        <f>VLOOKUP(TableRBRanks31[[#This Row],[Player]],RB!B:O,10,FALSE)</f>
        <v>2.5092974256541307</v>
      </c>
      <c r="AA5" s="272">
        <f>IFERROR(INDEX(TableRBCalcPts[Custom],MATCH(TableRBRanks31[[#This Row],[RK]],TableRBCalcPts[RK],0)),"")</f>
        <v>242.15741386619138</v>
      </c>
      <c r="AB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71.350579524412225</v>
      </c>
      <c r="AD5" s="22">
        <v>4</v>
      </c>
      <c r="AE5" s="274" t="str">
        <f>IFERROR(INDEX(TableWRCalcPts[PLAYER],MATCH(TableWRRanks32[[#This Row],[RK]],TableWRCalcPts[RK],0)),"")</f>
        <v>Justin Jefferson</v>
      </c>
      <c r="AF5" s="22" t="str">
        <f>IFERROR(INDEX(TableWRCalcPts[TM],MATCH(TableWRRanks32[[#This Row],[Player]],TableWRCalcPts[PLAYER],0)),"")</f>
        <v>MIN</v>
      </c>
      <c r="AG5" s="22">
        <f>IFERROR(INDEX(TableWRCalcPts[BYE],MATCH(TableWRRanks32[[#This Row],[RK]],TableWRCalcPts[RK],0)),"")</f>
        <v>7</v>
      </c>
      <c r="AH5" s="279">
        <f>VLOOKUP(TableWRRanks32[[#This Row],[Player]],WR!B:O,4,FALSE)</f>
        <v>18.39880980917491</v>
      </c>
      <c r="AI5" s="279">
        <f>VLOOKUP(TableWRRanks32[[#This Row],[Player]],WR!B:O,5,FALSE)</f>
        <v>0</v>
      </c>
      <c r="AJ5" s="279">
        <f>VLOOKUP(TableWRRanks32[[#This Row],[Player]],WR!B:O,6,FALSE)</f>
        <v>153.07162114672514</v>
      </c>
      <c r="AK5" s="279">
        <f>VLOOKUP(TableWRRanks32[[#This Row],[Player]],WR!B:O,7,FALSE)</f>
        <v>99.809495727206254</v>
      </c>
      <c r="AL5" s="279">
        <f>VLOOKUP(TableWRRanks32[[#This Row],[Player]],WR!B:O,8,FALSE)</f>
        <v>1469.1957771044761</v>
      </c>
      <c r="AM5" s="279">
        <f>VLOOKUP(TableWRRanks32[[#This Row],[Player]],WR!B:O,9,FALSE)</f>
        <v>8.9828546154485629</v>
      </c>
      <c r="AN5" s="272">
        <f>IFERROR(INDEX(TableWRCalcPts[Custom],MATCH(TableWRRanks32[[#This Row],[RK]],TableWRCalcPts[RK],0)),"")</f>
        <v>202.65658638405648</v>
      </c>
      <c r="AO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44.128331055125614</v>
      </c>
      <c r="AQ5" s="22">
        <v>4</v>
      </c>
      <c r="AR5" s="22" t="str">
        <f>IFERROR(INDEX(TableTECalcPts[PLAYER],MATCH(TableTERanks33[[#This Row],[RK]],TableTECalcPts[RK],0)),"")</f>
        <v>Darren Waller</v>
      </c>
      <c r="AS5" s="22" t="str">
        <f>IFERROR(INDEX(TableTECalcPts[TM],MATCH(TableTERanks33[[#This Row],[Player]],TableTECalcPts[PLAYER],0)),"")</f>
        <v>LV</v>
      </c>
      <c r="AT5" s="22">
        <f>IFERROR(INDEX(TableTECalcPts[BYE],MATCH(TableTERanks33[[#This Row],[RK]],TableTECalcPts[RK],0)),"")</f>
        <v>6</v>
      </c>
      <c r="AU5" s="279">
        <f>VLOOKUP(TableTERanks33[[#This Row],[Player]],TE!B:O,4,FALSE)</f>
        <v>114.65790881999996</v>
      </c>
      <c r="AV5" s="279">
        <f>VLOOKUP(TableTERanks33[[#This Row],[Player]],TE!B:O,5,FALSE)</f>
        <v>75.032135531807967</v>
      </c>
      <c r="AW5" s="279">
        <f>VLOOKUP(TableTERanks33[[#This Row],[Player]],TE!B:O,6,FALSE)</f>
        <v>958.16037074118765</v>
      </c>
      <c r="AX5" s="279">
        <f>VLOOKUP(TableTERanks33[[#This Row],[Player]],TE!B:O,7,FALSE)</f>
        <v>6.0025708425446371</v>
      </c>
      <c r="AY5" s="272">
        <f>IFERROR(INDEX(TableTECalcPts[Custom],MATCH(TableTERanks33[[#This Row],[RK]],TableTECalcPts[RK],0)),"")</f>
        <v>131.83146212938658</v>
      </c>
      <c r="AZ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14.719208289928265</v>
      </c>
    </row>
    <row r="6" spans="1:52" x14ac:dyDescent="0.3">
      <c r="A6" s="22">
        <v>5</v>
      </c>
      <c r="B6" s="22" t="str">
        <f>IFERROR(INDEX(TableQBCalcPts[PLAYER],MATCH(TableQBRanks30[[#This Row],[RK]],TableQBCalcPts[RK],0)),"")</f>
        <v>Lamar Jackson</v>
      </c>
      <c r="C6" s="22" t="str">
        <f>IFERROR(INDEX(TableQBCalcPts[TM],MATCH(TableQBRanks30[[#This Row],[Player]],TableQBCalcPts[PLAYER],0)),"")</f>
        <v>BAL</v>
      </c>
      <c r="D6" s="22">
        <f>IFERROR(INDEX(TableQBCalcPts[BYE],MATCH(TableQBRanks30[[#This Row],[RK]],TableQBCalcPts[RK],0)),"")</f>
        <v>10</v>
      </c>
      <c r="E6" s="279">
        <f>VLOOKUP(TableQBRanks30[[#This Row],[Player]],QB!B:O,4,FALSE)</f>
        <v>494.6515</v>
      </c>
      <c r="F6" s="279">
        <f>VLOOKUP(TableQBRanks30[[#This Row],[Player]],QB!B:O,5,FALSE)</f>
        <v>321.06154047054855</v>
      </c>
      <c r="G6" s="279">
        <f>VLOOKUP(TableQBRanks30[[#This Row],[Player]],QB!B:O,6,FALSE)</f>
        <v>3615.1529456983767</v>
      </c>
      <c r="H6" s="279">
        <f>VLOOKUP(TableQBRanks30[[#This Row],[Player]],QB!B:O,7,FALSE)</f>
        <v>30.308209420419782</v>
      </c>
      <c r="I6" s="279">
        <f>VLOOKUP(TableQBRanks30[[#This Row],[Player]],QB!B:O,8,FALSE)</f>
        <v>9.4681371888136034</v>
      </c>
      <c r="J6" s="279">
        <f>VLOOKUP(TableQBRanks30[[#This Row],[Player]],QB!B:O,9,FALSE)</f>
        <v>173.58438227729116</v>
      </c>
      <c r="K6" s="279">
        <f>VLOOKUP(TableQBRanks30[[#This Row],[Player]],QB!B:O,10,FALSE)</f>
        <v>1025.8836992587908</v>
      </c>
      <c r="L6" s="279">
        <f>VLOOKUP(TableQBRanks30[[#This Row],[Player]],QB!B:O,11,FALSE)</f>
        <v>5.3811158505960259</v>
      </c>
      <c r="M6" s="272">
        <f>IFERROR(INDEX(TableQBCalcPts[Custom],MATCH(TableQBRanks30[[#This Row],[RK]],TableQBCalcPts[RK],0)),"")</f>
        <v>381.77774616144228</v>
      </c>
      <c r="N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29.46952870887959</v>
      </c>
      <c r="P6" s="22">
        <v>5</v>
      </c>
      <c r="Q6" s="22" t="str">
        <f>IFERROR(INDEX(TableRBCalcPts[PLAYER],MATCH(TableRBRanks31[[#This Row],[RK]],TableRBCalcPts[RK],0)),"")</f>
        <v>Austin Ekeler</v>
      </c>
      <c r="R6" s="22" t="str">
        <f>IFERROR(INDEX(TableRBCalcPts[TM],MATCH(TableRBRanks31[[#This Row],[Player]],TableRBCalcPts[PLAYER],0)),"")</f>
        <v>LAC</v>
      </c>
      <c r="S6" s="22">
        <f>IFERROR(INDEX(TableRBCalcPts[BYE],MATCH(TableRBRanks31[[#This Row],[RK]],TableRBCalcPts[RK],0)),"")</f>
        <v>8</v>
      </c>
      <c r="T6" s="279">
        <f>VLOOKUP(TableRBRanks31[[#This Row],[Player]],RB!B:O,4,FALSE)</f>
        <v>191.61353913823001</v>
      </c>
      <c r="U6" s="279">
        <f>VLOOKUP(TableRBRanks31[[#This Row],[Player]],RB!B:O,5,FALSE)</f>
        <v>845.01570759959441</v>
      </c>
      <c r="V6" s="279">
        <f>VLOOKUP(TableRBRanks31[[#This Row],[Player]],RB!B:O,6,FALSE)</f>
        <v>7.6837029194430224</v>
      </c>
      <c r="W6" s="279">
        <f>VLOOKUP(TableRBRanks31[[#This Row],[Player]],RB!B:O,7,FALSE)</f>
        <v>91.788707509266928</v>
      </c>
      <c r="X6" s="279">
        <f>VLOOKUP(TableRBRanks31[[#This Row],[Player]],RB!B:O,8,FALSE)</f>
        <v>74.193267968359308</v>
      </c>
      <c r="Y6" s="279">
        <f>VLOOKUP(TableRBRanks31[[#This Row],[Player]],RB!B:O,9,FALSE)</f>
        <v>677.3845365511205</v>
      </c>
      <c r="Z6" s="279">
        <f>VLOOKUP(TableRBRanks31[[#This Row],[Player]],RB!B:O,10,FALSE)</f>
        <v>5.6665964725697329</v>
      </c>
      <c r="AA6" s="272">
        <f>IFERROR(INDEX(TableRBCalcPts[Custom],MATCH(TableRBRanks31[[#This Row],[RK]],TableRBCalcPts[RK],0)),"")</f>
        <v>232.34182076714802</v>
      </c>
      <c r="AB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66.377865880280623</v>
      </c>
      <c r="AD6" s="274">
        <v>5</v>
      </c>
      <c r="AE6" s="22" t="str">
        <f>IFERROR(INDEX(TableWRCalcPts[PLAYER],MATCH(TableWRRanks32[[#This Row],[RK]],TableWRCalcPts[RK],0)),"")</f>
        <v>Stefon Diggs</v>
      </c>
      <c r="AF6" s="22" t="str">
        <f>IFERROR(INDEX(TableWRCalcPts[TM],MATCH(TableWRRanks32[[#This Row],[Player]],TableWRCalcPts[PLAYER],0)),"")</f>
        <v>BUF</v>
      </c>
      <c r="AG6" s="22">
        <f>IFERROR(INDEX(TableWRCalcPts[BYE],MATCH(TableWRRanks32[[#This Row],[RK]],TableWRCalcPts[RK],0)),"")</f>
        <v>7</v>
      </c>
      <c r="AH6" s="279">
        <f>VLOOKUP(TableWRRanks32[[#This Row],[Player]],WR!B:O,4,FALSE)</f>
        <v>1.0004489270511532</v>
      </c>
      <c r="AI6" s="279">
        <f>VLOOKUP(TableWRRanks32[[#This Row],[Player]],WR!B:O,5,FALSE)</f>
        <v>0</v>
      </c>
      <c r="AJ6" s="279">
        <f>VLOOKUP(TableWRRanks32[[#This Row],[Player]],WR!B:O,6,FALSE)</f>
        <v>157.38057876306368</v>
      </c>
      <c r="AK6" s="279">
        <f>VLOOKUP(TableWRRanks32[[#This Row],[Player]],WR!B:O,7,FALSE)</f>
        <v>103.18940848040141</v>
      </c>
      <c r="AL6" s="279">
        <f>VLOOKUP(TableWRRanks32[[#This Row],[Player]],WR!B:O,8,FALSE)</f>
        <v>1270.1682810512925</v>
      </c>
      <c r="AM6" s="279">
        <f>VLOOKUP(TableWRRanks32[[#This Row],[Player]],WR!B:O,9,FALSE)</f>
        <v>10.112562031079339</v>
      </c>
      <c r="AN6" s="272">
        <f>IFERROR(INDEX(TableWRCalcPts[Custom],MATCH(TableWRRanks32[[#This Row],[RK]],TableWRCalcPts[RK],0)),"")</f>
        <v>187.79224518431042</v>
      </c>
      <c r="AO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37.126730849606957</v>
      </c>
      <c r="AQ6" s="274">
        <v>5</v>
      </c>
      <c r="AR6" s="274" t="str">
        <f>IFERROR(INDEX(TableTECalcPts[PLAYER],MATCH(TableTERanks33[[#This Row],[RK]],TableTECalcPts[RK],0)),"")</f>
        <v>George Kittle</v>
      </c>
      <c r="AS6" s="22" t="str">
        <f>IFERROR(INDEX(TableTECalcPts[TM],MATCH(TableTERanks33[[#This Row],[Player]],TableTECalcPts[PLAYER],0)),"")</f>
        <v>SF</v>
      </c>
      <c r="AT6" s="22">
        <f>IFERROR(INDEX(TableTECalcPts[BYE],MATCH(TableTERanks33[[#This Row],[RK]],TableTECalcPts[RK],0)),"")</f>
        <v>9</v>
      </c>
      <c r="AU6" s="279">
        <f>VLOOKUP(TableTERanks33[[#This Row],[Player]],TE!B:O,4,FALSE)</f>
        <v>101.9458117565359</v>
      </c>
      <c r="AV6" s="279">
        <f>VLOOKUP(TableTERanks33[[#This Row],[Player]],TE!B:O,5,FALSE)</f>
        <v>70.403777599063687</v>
      </c>
      <c r="AW6" s="279">
        <f>VLOOKUP(TableTERanks33[[#This Row],[Player]],TE!B:O,6,FALSE)</f>
        <v>891.31182440414625</v>
      </c>
      <c r="AX6" s="279">
        <f>VLOOKUP(TableTERanks33[[#This Row],[Player]],TE!B:O,7,FALSE)</f>
        <v>6.1955324287176046</v>
      </c>
      <c r="AY6" s="272">
        <f>IFERROR(INDEX(TableTECalcPts[Custom],MATCH(TableTERanks33[[#This Row],[RK]],TableTECalcPts[RK],0)),"")</f>
        <v>126.30437701272027</v>
      </c>
      <c r="AZ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11.950083203516531</v>
      </c>
    </row>
    <row r="7" spans="1:52" x14ac:dyDescent="0.3">
      <c r="A7" s="22">
        <v>6</v>
      </c>
      <c r="B7" s="22" t="str">
        <f>IFERROR(INDEX(TableQBCalcPts[PLAYER],MATCH(TableQBRanks30[[#This Row],[RK]],TableQBCalcPts[RK],0)),"")</f>
        <v>Joe Burrow</v>
      </c>
      <c r="C7" s="22" t="str">
        <f>IFERROR(INDEX(TableQBCalcPts[TM],MATCH(TableQBRanks30[[#This Row],[Player]],TableQBCalcPts[PLAYER],0)),"")</f>
        <v>CIN</v>
      </c>
      <c r="D7" s="22">
        <f>IFERROR(INDEX(TableQBCalcPts[BYE],MATCH(TableQBRanks30[[#This Row],[RK]],TableQBCalcPts[RK],0)),"")</f>
        <v>10</v>
      </c>
      <c r="E7" s="279">
        <f>VLOOKUP(TableQBRanks30[[#This Row],[Player]],QB!B:O,4,FALSE)</f>
        <v>619.48004580000008</v>
      </c>
      <c r="F7" s="279">
        <f>VLOOKUP(TableQBRanks30[[#This Row],[Player]],QB!B:O,5,FALSE)</f>
        <v>420.15831819475358</v>
      </c>
      <c r="G7" s="279">
        <f>VLOOKUP(TableQBRanks30[[#This Row],[Player]],QB!B:O,6,FALSE)</f>
        <v>5130.1330651579419</v>
      </c>
      <c r="H7" s="279">
        <f>VLOOKUP(TableQBRanks30[[#This Row],[Player]],QB!B:O,7,FALSE)</f>
        <v>37.394090319333067</v>
      </c>
      <c r="I7" s="279">
        <f>VLOOKUP(TableQBRanks30[[#This Row],[Player]],QB!B:O,8,FALSE)</f>
        <v>9.9590801954200856</v>
      </c>
      <c r="J7" s="279">
        <f>VLOOKUP(TableQBRanks30[[#This Row],[Player]],QB!B:O,9,FALSE)</f>
        <v>39.767721090205143</v>
      </c>
      <c r="K7" s="279">
        <f>VLOOKUP(TableQBRanks30[[#This Row],[Player]],QB!B:O,10,FALSE)</f>
        <v>139.58470102662005</v>
      </c>
      <c r="L7" s="279">
        <f>VLOOKUP(TableQBRanks30[[#This Row],[Player]],QB!B:O,11,FALSE)</f>
        <v>2.1433940800279623</v>
      </c>
      <c r="M7" s="272">
        <f>IFERROR(INDEX(TableQBCalcPts[Custom],MATCH(TableQBRanks30[[#This Row],[RK]],TableQBCalcPts[RK],0)),"")</f>
        <v>361.68235807563957</v>
      </c>
      <c r="N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25.105983160565373</v>
      </c>
      <c r="P7" s="22">
        <v>6</v>
      </c>
      <c r="Q7" s="22" t="str">
        <f>IFERROR(INDEX(TableRBCalcPts[PLAYER],MATCH(TableRBRanks31[[#This Row],[RK]],TableRBCalcPts[RK],0)),"")</f>
        <v>Joe Mixon</v>
      </c>
      <c r="R7" s="22" t="str">
        <f>IFERROR(INDEX(TableRBCalcPts[TM],MATCH(TableRBRanks31[[#This Row],[Player]],TableRBCalcPts[PLAYER],0)),"")</f>
        <v>CIN</v>
      </c>
      <c r="S7" s="22">
        <f>IFERROR(INDEX(TableRBCalcPts[BYE],MATCH(TableRBRanks31[[#This Row],[RK]],TableRBCalcPts[RK],0)),"")</f>
        <v>10</v>
      </c>
      <c r="T7" s="279">
        <f>VLOOKUP(TableRBRanks31[[#This Row],[Player]],RB!B:O,4,FALSE)</f>
        <v>270.05028740043531</v>
      </c>
      <c r="U7" s="279">
        <f>VLOOKUP(TableRBRanks31[[#This Row],[Player]],RB!B:O,5,FALSE)</f>
        <v>1134.2112070818284</v>
      </c>
      <c r="V7" s="279">
        <f>VLOOKUP(TableRBRanks31[[#This Row],[Player]],RB!B:O,6,FALSE)</f>
        <v>10.288915949956586</v>
      </c>
      <c r="W7" s="279">
        <f>VLOOKUP(TableRBRanks31[[#This Row],[Player]],RB!B:O,7,FALSE)</f>
        <v>55.88072590833319</v>
      </c>
      <c r="X7" s="279">
        <f>VLOOKUP(TableRBRanks31[[#This Row],[Player]],RB!B:O,8,FALSE)</f>
        <v>43.727517730194201</v>
      </c>
      <c r="Y7" s="279">
        <f>VLOOKUP(TableRBRanks31[[#This Row],[Player]],RB!B:O,9,FALSE)</f>
        <v>319.64815460771962</v>
      </c>
      <c r="Z7" s="279">
        <f>VLOOKUP(TableRBRanks31[[#This Row],[Player]],RB!B:O,10,FALSE)</f>
        <v>2.973471205653206</v>
      </c>
      <c r="AA7" s="272">
        <f>IFERROR(INDEX(TableRBCalcPts[Custom],MATCH(TableRBRanks31[[#This Row],[RK]],TableRBCalcPts[RK],0)),"")</f>
        <v>224.96025910261358</v>
      </c>
      <c r="AB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62.638265834328578</v>
      </c>
      <c r="AD7" s="22">
        <v>6</v>
      </c>
      <c r="AE7" s="22" t="str">
        <f>IFERROR(INDEX(TableWRCalcPts[PLAYER],MATCH(TableWRRanks32[[#This Row],[RK]],TableWRCalcPts[RK],0)),"")</f>
        <v>Davante Adams</v>
      </c>
      <c r="AF7" s="22" t="str">
        <f>IFERROR(INDEX(TableWRCalcPts[TM],MATCH(TableWRRanks32[[#This Row],[Player]],TableWRCalcPts[PLAYER],0)),"")</f>
        <v>LV</v>
      </c>
      <c r="AG7" s="22">
        <f>IFERROR(INDEX(TableWRCalcPts[BYE],MATCH(TableWRRanks32[[#This Row],[RK]],TableWRCalcPts[RK],0)),"")</f>
        <v>6</v>
      </c>
      <c r="AH7" s="279">
        <f>VLOOKUP(TableWRRanks32[[#This Row],[Player]],WR!B:O,4,FALSE)</f>
        <v>0</v>
      </c>
      <c r="AI7" s="279">
        <f>VLOOKUP(TableWRRanks32[[#This Row],[Player]],WR!B:O,5,FALSE)</f>
        <v>0</v>
      </c>
      <c r="AJ7" s="279">
        <f>VLOOKUP(TableWRRanks32[[#This Row],[Player]],WR!B:O,6,FALSE)</f>
        <v>144.26736878999998</v>
      </c>
      <c r="AK7" s="279">
        <f>VLOOKUP(TableWRRanks32[[#This Row],[Player]],WR!B:O,7,FALSE)</f>
        <v>103.88693226567898</v>
      </c>
      <c r="AL7" s="279">
        <f>VLOOKUP(TableWRRanks32[[#This Row],[Player]],WR!B:O,8,FALSE)</f>
        <v>1299.625522643644</v>
      </c>
      <c r="AM7" s="279">
        <f>VLOOKUP(TableWRRanks32[[#This Row],[Player]],WR!B:O,9,FALSE)</f>
        <v>9.4537108361767874</v>
      </c>
      <c r="AN7" s="272">
        <f>IFERROR(INDEX(TableWRCalcPts[Custom],MATCH(TableWRRanks32[[#This Row],[RK]],TableWRCalcPts[RK],0)),"")</f>
        <v>186.68481728142513</v>
      </c>
      <c r="AO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36.60509539141583</v>
      </c>
      <c r="AQ7" s="22">
        <v>6</v>
      </c>
      <c r="AR7" s="274" t="str">
        <f>IFERROR(INDEX(TableTECalcPts[PLAYER],MATCH(TableTERanks33[[#This Row],[RK]],TableTECalcPts[RK],0)),"")</f>
        <v>Dallas Goedert</v>
      </c>
      <c r="AS7" s="22" t="str">
        <f>IFERROR(INDEX(TableTECalcPts[TM],MATCH(TableTERanks33[[#This Row],[Player]],TableTECalcPts[PLAYER],0)),"")</f>
        <v>PHI</v>
      </c>
      <c r="AT7" s="22">
        <f>IFERROR(INDEX(TableTECalcPts[BYE],MATCH(TableTERanks33[[#This Row],[RK]],TableTECalcPts[RK],0)),"")</f>
        <v>7</v>
      </c>
      <c r="AU7" s="279">
        <f>VLOOKUP(TableTERanks33[[#This Row],[Player]],TE!B:O,4,FALSE)</f>
        <v>96.403549491289709</v>
      </c>
      <c r="AV7" s="279">
        <f>VLOOKUP(TableTERanks33[[#This Row],[Player]],TE!B:O,5,FALSE)</f>
        <v>63.867351537979431</v>
      </c>
      <c r="AW7" s="279">
        <f>VLOOKUP(TableTERanks33[[#This Row],[Player]],TE!B:O,6,FALSE)</f>
        <v>863.48659279348192</v>
      </c>
      <c r="AX7" s="279">
        <f>VLOOKUP(TableTERanks33[[#This Row],[Player]],TE!B:O,7,FALSE)</f>
        <v>5.5564595838042097</v>
      </c>
      <c r="AY7" s="272">
        <f>IFERROR(INDEX(TableTECalcPts[Custom],MATCH(TableTERanks33[[#This Row],[RK]],TableTECalcPts[RK],0)),"")</f>
        <v>119.68741678217346</v>
      </c>
      <c r="AZ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8.6349197523613537</v>
      </c>
    </row>
    <row r="8" spans="1:52" x14ac:dyDescent="0.3">
      <c r="A8" s="22">
        <v>7</v>
      </c>
      <c r="B8" s="22" t="str">
        <f>IFERROR(INDEX(TableQBCalcPts[PLAYER],MATCH(TableQBRanks30[[#This Row],[RK]],TableQBCalcPts[RK],0)),"")</f>
        <v>Kyler Murray</v>
      </c>
      <c r="C8" s="22" t="str">
        <f>IFERROR(INDEX(TableQBCalcPts[TM],MATCH(TableQBRanks30[[#This Row],[Player]],TableQBCalcPts[PLAYER],0)),"")</f>
        <v>ARI</v>
      </c>
      <c r="D8" s="22">
        <f>IFERROR(INDEX(TableQBCalcPts[BYE],MATCH(TableQBRanks30[[#This Row],[RK]],TableQBCalcPts[RK],0)),"")</f>
        <v>13</v>
      </c>
      <c r="E8" s="279">
        <f>VLOOKUP(TableQBRanks30[[#This Row],[Player]],QB!B:O,4,FALSE)</f>
        <v>604.88196535000009</v>
      </c>
      <c r="F8" s="279">
        <f>VLOOKUP(TableQBRanks30[[#This Row],[Player]],QB!B:O,5,FALSE)</f>
        <v>403.45627088845009</v>
      </c>
      <c r="G8" s="279">
        <f>VLOOKUP(TableQBRanks30[[#This Row],[Player]],QB!B:O,6,FALSE)</f>
        <v>4485.3168405119823</v>
      </c>
      <c r="H8" s="279">
        <f>VLOOKUP(TableQBRanks30[[#This Row],[Player]],QB!B:O,7,FALSE)</f>
        <v>28.282284589280351</v>
      </c>
      <c r="I8" s="279">
        <f>VLOOKUP(TableQBRanks30[[#This Row],[Player]],QB!B:O,8,FALSE)</f>
        <v>9.0465899526061726</v>
      </c>
      <c r="J8" s="279">
        <f>VLOOKUP(TableQBRanks30[[#This Row],[Player]],QB!B:O,9,FALSE)</f>
        <v>95.56169749874222</v>
      </c>
      <c r="K8" s="279">
        <f>VLOOKUP(TableQBRanks30[[#This Row],[Player]],QB!B:O,10,FALSE)</f>
        <v>487.36465724358527</v>
      </c>
      <c r="L8" s="279">
        <f>VLOOKUP(TableQBRanks30[[#This Row],[Player]],QB!B:O,11,FALSE)</f>
        <v>5.0647699674333371</v>
      </c>
      <c r="M8" s="272">
        <f>IFERROR(INDEX(TableQBCalcPts[Custom],MATCH(TableQBRanks30[[#This Row],[RK]],TableQBCalcPts[RK],0)),"")</f>
        <v>353.57371760134686</v>
      </c>
      <c r="N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22.188019298595769</v>
      </c>
      <c r="P8" s="22">
        <v>7</v>
      </c>
      <c r="Q8" s="22" t="str">
        <f>IFERROR(INDEX(TableRBCalcPts[PLAYER],MATCH(TableRBRanks31[[#This Row],[RK]],TableRBCalcPts[RK],0)),"")</f>
        <v>Nick Chubb</v>
      </c>
      <c r="R8" s="22" t="str">
        <f>IFERROR(INDEX(TableRBCalcPts[TM],MATCH(TableRBRanks31[[#This Row],[Player]],TableRBCalcPts[PLAYER],0)),"")</f>
        <v>CLE</v>
      </c>
      <c r="S8" s="22">
        <f>IFERROR(INDEX(TableRBCalcPts[BYE],MATCH(TableRBRanks31[[#This Row],[RK]],TableRBCalcPts[RK],0)),"")</f>
        <v>9</v>
      </c>
      <c r="T8" s="279">
        <f>VLOOKUP(TableRBRanks31[[#This Row],[Player]],RB!B:O,4,FALSE)</f>
        <v>242.4209623448431</v>
      </c>
      <c r="U8" s="279">
        <f>VLOOKUP(TableRBRanks31[[#This Row],[Player]],RB!B:O,5,FALSE)</f>
        <v>1293.1631883249388</v>
      </c>
      <c r="V8" s="279">
        <f>VLOOKUP(TableRBRanks31[[#This Row],[Player]],RB!B:O,6,FALSE)</f>
        <v>9.5998701088557876</v>
      </c>
      <c r="W8" s="279">
        <f>VLOOKUP(TableRBRanks31[[#This Row],[Player]],RB!B:O,7,FALSE)</f>
        <v>39.088068229416074</v>
      </c>
      <c r="X8" s="279">
        <f>VLOOKUP(TableRBRanks31[[#This Row],[Player]],RB!B:O,8,FALSE)</f>
        <v>27.443732703873025</v>
      </c>
      <c r="Y8" s="279">
        <f>VLOOKUP(TableRBRanks31[[#This Row],[Player]],RB!B:O,9,FALSE)</f>
        <v>230.52735471253342</v>
      </c>
      <c r="Z8" s="279">
        <f>VLOOKUP(TableRBRanks31[[#This Row],[Player]],RB!B:O,10,FALSE)</f>
        <v>1.1562203046296531</v>
      </c>
      <c r="AA8" s="272">
        <f>IFERROR(INDEX(TableRBCalcPts[Custom],MATCH(TableRBRanks31[[#This Row],[RK]],TableRBCalcPts[RK],0)),"")</f>
        <v>216.90559678465985</v>
      </c>
      <c r="AB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58.5576637959999</v>
      </c>
      <c r="AD8" s="22">
        <v>7</v>
      </c>
      <c r="AE8" s="22" t="str">
        <f>IFERROR(INDEX(TableWRCalcPts[PLAYER],MATCH(TableWRRanks32[[#This Row],[RK]],TableWRCalcPts[RK],0)),"")</f>
        <v>CeeDee Lamb</v>
      </c>
      <c r="AF8" s="22" t="str">
        <f>IFERROR(INDEX(TableWRCalcPts[TM],MATCH(TableWRRanks32[[#This Row],[Player]],TableWRCalcPts[PLAYER],0)),"")</f>
        <v>DAL</v>
      </c>
      <c r="AG8" s="22">
        <f>IFERROR(INDEX(TableWRCalcPts[BYE],MATCH(TableWRRanks32[[#This Row],[RK]],TableWRCalcPts[RK],0)),"")</f>
        <v>9</v>
      </c>
      <c r="AH8" s="279">
        <f>VLOOKUP(TableWRRanks32[[#This Row],[Player]],WR!B:O,4,FALSE)</f>
        <v>72.741122938416865</v>
      </c>
      <c r="AI8" s="279">
        <f>VLOOKUP(TableWRRanks32[[#This Row],[Player]],WR!B:O,5,FALSE)</f>
        <v>0</v>
      </c>
      <c r="AJ8" s="279">
        <f>VLOOKUP(TableWRRanks32[[#This Row],[Player]],WR!B:O,6,FALSE)</f>
        <v>137.75489771262687</v>
      </c>
      <c r="AK8" s="279">
        <f>VLOOKUP(TableWRRanks32[[#This Row],[Player]],WR!B:O,7,FALSE)</f>
        <v>94.401862586935451</v>
      </c>
      <c r="AL8" s="279">
        <f>VLOOKUP(TableWRRanks32[[#This Row],[Player]],WR!B:O,8,FALSE)</f>
        <v>1268.1640666241594</v>
      </c>
      <c r="AM8" s="279">
        <f>VLOOKUP(TableWRRanks32[[#This Row],[Player]],WR!B:O,9,FALSE)</f>
        <v>8.2129620450633833</v>
      </c>
      <c r="AN8" s="272">
        <f>IFERROR(INDEX(TableWRCalcPts[Custom],MATCH(TableWRRanks32[[#This Row],[RK]],TableWRCalcPts[RK],0)),"")</f>
        <v>183.36829122663792</v>
      </c>
      <c r="AO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35.042901063745077</v>
      </c>
      <c r="AQ8" s="22">
        <v>7</v>
      </c>
      <c r="AR8" s="22" t="str">
        <f>IFERROR(INDEX(TableTECalcPts[PLAYER],MATCH(TableTERanks33[[#This Row],[RK]],TableTECalcPts[RK],0)),"")</f>
        <v>Dalton Schultz</v>
      </c>
      <c r="AS8" s="22" t="str">
        <f>IFERROR(INDEX(TableTECalcPts[TM],MATCH(TableTERanks33[[#This Row],[Player]],TableTECalcPts[PLAYER],0)),"")</f>
        <v>DAL</v>
      </c>
      <c r="AT8" s="22">
        <f>IFERROR(INDEX(TableTECalcPts[BYE],MATCH(TableTERanks33[[#This Row],[RK]],TableTECalcPts[RK],0)),"")</f>
        <v>9</v>
      </c>
      <c r="AU8" s="279">
        <f>VLOOKUP(TableTERanks33[[#This Row],[Player]],TE!B:O,4,FALSE)</f>
        <v>97.93002207058781</v>
      </c>
      <c r="AV8" s="279">
        <f>VLOOKUP(TableTERanks33[[#This Row],[Player]],TE!B:O,5,FALSE)</f>
        <v>72.693455382997328</v>
      </c>
      <c r="AW8" s="279">
        <f>VLOOKUP(TableTERanks33[[#This Row],[Player]],TE!B:O,6,FALSE)</f>
        <v>755.28500142934229</v>
      </c>
      <c r="AX8" s="279">
        <f>VLOOKUP(TableTERanks33[[#This Row],[Player]],TE!B:O,7,FALSE)</f>
        <v>7.3420389936827304</v>
      </c>
      <c r="AY8" s="272">
        <f>IFERROR(INDEX(TableTECalcPts[Custom],MATCH(TableTERanks33[[#This Row],[RK]],TableTECalcPts[RK],0)),"")</f>
        <v>119.58073410503061</v>
      </c>
      <c r="AZ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8.581470660963971</v>
      </c>
    </row>
    <row r="9" spans="1:52" x14ac:dyDescent="0.3">
      <c r="A9" s="22">
        <v>8</v>
      </c>
      <c r="B9" s="22" t="str">
        <f>IFERROR(INDEX(TableQBCalcPts[PLAYER],MATCH(TableQBRanks30[[#This Row],[RK]],TableQBCalcPts[RK],0)),"")</f>
        <v>Tom Brady</v>
      </c>
      <c r="C9" s="22" t="str">
        <f>IFERROR(INDEX(TableQBCalcPts[TM],MATCH(TableQBRanks30[[#This Row],[Player]],TableQBCalcPts[PLAYER],0)),"")</f>
        <v>TB</v>
      </c>
      <c r="D9" s="22">
        <f>IFERROR(INDEX(TableQBCalcPts[BYE],MATCH(TableQBRanks30[[#This Row],[RK]],TableQBCalcPts[RK],0)),"")</f>
        <v>11</v>
      </c>
      <c r="E9" s="279">
        <f>VLOOKUP(TableQBRanks30[[#This Row],[Player]],QB!B:O,4,FALSE)</f>
        <v>700.62992999999994</v>
      </c>
      <c r="F9" s="279">
        <f>VLOOKUP(TableQBRanks30[[#This Row],[Player]],QB!B:O,5,FALSE)</f>
        <v>471.52394289</v>
      </c>
      <c r="G9" s="279">
        <f>VLOOKUP(TableQBRanks30[[#This Row],[Player]],QB!B:O,6,FALSE)</f>
        <v>5064.1671466385997</v>
      </c>
      <c r="H9" s="279">
        <f>VLOOKUP(TableQBRanks30[[#This Row],[Player]],QB!B:O,7,FALSE)</f>
        <v>38.240591768379005</v>
      </c>
      <c r="I9" s="279">
        <f>VLOOKUP(TableQBRanks30[[#This Row],[Player]],QB!B:O,8,FALSE)</f>
        <v>9.0738867325646932</v>
      </c>
      <c r="J9" s="279">
        <f>VLOOKUP(TableQBRanks30[[#This Row],[Player]],QB!B:O,9,FALSE)</f>
        <v>21.319046566187502</v>
      </c>
      <c r="K9" s="279">
        <f>VLOOKUP(TableQBRanks30[[#This Row],[Player]],QB!B:O,10,FALSE)</f>
        <v>52.511562045284172</v>
      </c>
      <c r="L9" s="279">
        <f>VLOOKUP(TableQBRanks30[[#This Row],[Player]],QB!B:O,11,FALSE)</f>
        <v>1.7060637454723477</v>
      </c>
      <c r="M9" s="272">
        <f>IFERROR(INDEX(TableQBCalcPts[Custom],MATCH(TableQBRanks30[[#This Row],[RK]],TableQBCalcPts[RK],0)),"")</f>
        <v>352.86881815129311</v>
      </c>
      <c r="N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22.040173459408269</v>
      </c>
      <c r="P9" s="22">
        <v>8</v>
      </c>
      <c r="Q9" s="22" t="str">
        <f>IFERROR(INDEX(TableRBCalcPts[PLAYER],MATCH(TableRBRanks31[[#This Row],[RK]],TableRBCalcPts[RK],0)),"")</f>
        <v>Dalvin Cook</v>
      </c>
      <c r="R9" s="22" t="str">
        <f>IFERROR(INDEX(TableRBCalcPts[TM],MATCH(TableRBRanks31[[#This Row],[Player]],TableRBCalcPts[PLAYER],0)),"")</f>
        <v>MIN</v>
      </c>
      <c r="S9" s="22">
        <f>IFERROR(INDEX(TableRBCalcPts[BYE],MATCH(TableRBRanks31[[#This Row],[RK]],TableRBCalcPts[RK],0)),"")</f>
        <v>7</v>
      </c>
      <c r="T9" s="279">
        <f>VLOOKUP(TableRBRanks31[[#This Row],[Player]],RB!B:O,4,FALSE)</f>
        <v>268.77751984863761</v>
      </c>
      <c r="U9" s="279">
        <f>VLOOKUP(TableRBRanks31[[#This Row],[Player]],RB!B:O,5,FALSE)</f>
        <v>1239.0643665022194</v>
      </c>
      <c r="V9" s="279">
        <f>VLOOKUP(TableRBRanks31[[#This Row],[Player]],RB!B:O,6,FALSE)</f>
        <v>9.4878464506569067</v>
      </c>
      <c r="W9" s="279">
        <f>VLOOKUP(TableRBRanks31[[#This Row],[Player]],RB!B:O,7,FALSE)</f>
        <v>60.679089794621468</v>
      </c>
      <c r="X9" s="279">
        <f>VLOOKUP(TableRBRanks31[[#This Row],[Player]],RB!B:O,8,FALSE)</f>
        <v>43.252055205606183</v>
      </c>
      <c r="Y9" s="279">
        <f>VLOOKUP(TableRBRanks31[[#This Row],[Player]],RB!B:O,9,FALSE)</f>
        <v>306.45791580986298</v>
      </c>
      <c r="Z9" s="279">
        <f>VLOOKUP(TableRBRanks31[[#This Row],[Player]],RB!B:O,10,FALSE)</f>
        <v>0.86504110411212365</v>
      </c>
      <c r="AA9" s="272">
        <f>IFERROR(INDEX(TableRBCalcPts[Custom],MATCH(TableRBRanks31[[#This Row],[RK]],TableRBCalcPts[RK],0)),"")</f>
        <v>216.66955355982242</v>
      </c>
      <c r="AB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58.438081071562365</v>
      </c>
      <c r="AD9" s="274">
        <v>8</v>
      </c>
      <c r="AE9" s="274" t="str">
        <f>IFERROR(INDEX(TableWRCalcPts[PLAYER],MATCH(TableWRRanks32[[#This Row],[RK]],TableWRCalcPts[RK],0)),"")</f>
        <v>Mike Evans</v>
      </c>
      <c r="AF9" s="22" t="str">
        <f>IFERROR(INDEX(TableWRCalcPts[TM],MATCH(TableWRRanks32[[#This Row],[Player]],TableWRCalcPts[PLAYER],0)),"")</f>
        <v>TB</v>
      </c>
      <c r="AG9" s="22">
        <f>IFERROR(INDEX(TableWRCalcPts[BYE],MATCH(TableWRRanks32[[#This Row],[RK]],TableWRCalcPts[RK],0)),"")</f>
        <v>11</v>
      </c>
      <c r="AH9" s="279">
        <f>VLOOKUP(TableWRRanks32[[#This Row],[Player]],WR!B:O,4,FALSE)</f>
        <v>3.3751261084227284</v>
      </c>
      <c r="AI9" s="279">
        <f>VLOOKUP(TableWRRanks32[[#This Row],[Player]],WR!B:O,5,FALSE)</f>
        <v>0</v>
      </c>
      <c r="AJ9" s="279">
        <f>VLOOKUP(TableWRRanks32[[#This Row],[Player]],WR!B:O,6,FALSE)</f>
        <v>126.62289123768598</v>
      </c>
      <c r="AK9" s="279">
        <f>VLOOKUP(TableWRRanks32[[#This Row],[Player]],WR!B:O,7,FALSE)</f>
        <v>79.773471420797208</v>
      </c>
      <c r="AL9" s="279">
        <f>VLOOKUP(TableWRRanks32[[#This Row],[Player]],WR!B:O,8,FALSE)</f>
        <v>1112.3789496999063</v>
      </c>
      <c r="AM9" s="279">
        <f>VLOOKUP(TableWRRanks32[[#This Row],[Player]],WR!B:O,9,FALSE)</f>
        <v>11.248059470332405</v>
      </c>
      <c r="AN9" s="272">
        <f>IFERROR(INDEX(TableWRCalcPts[Custom],MATCH(TableWRRanks32[[#This Row],[RK]],TableWRCalcPts[RK],0)),"")</f>
        <v>179.06376440282733</v>
      </c>
      <c r="AO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33.015325439016571</v>
      </c>
      <c r="AQ9" s="274">
        <v>8</v>
      </c>
      <c r="AR9" s="274" t="str">
        <f>IFERROR(INDEX(TableTECalcPts[PLAYER],MATCH(TableTERanks33[[#This Row],[RK]],TableTECalcPts[RK],0)),"")</f>
        <v>Irv Smith</v>
      </c>
      <c r="AS9" s="22" t="str">
        <f>IFERROR(INDEX(TableTECalcPts[TM],MATCH(TableTERanks33[[#This Row],[Player]],TableTECalcPts[PLAYER],0)),"")</f>
        <v>MIN</v>
      </c>
      <c r="AT9" s="22">
        <f>IFERROR(INDEX(TableTECalcPts[BYE],MATCH(TableTERanks33[[#This Row],[RK]],TableTECalcPts[RK],0)),"")</f>
        <v>7</v>
      </c>
      <c r="AU9" s="279">
        <f>VLOOKUP(TableTERanks33[[#This Row],[Player]],TE!B:O,4,FALSE)</f>
        <v>90.117460091021982</v>
      </c>
      <c r="AV9" s="279">
        <f>VLOOKUP(TableTERanks33[[#This Row],[Player]],TE!B:O,5,FALSE)</f>
        <v>59.423453184019891</v>
      </c>
      <c r="AW9" s="279">
        <f>VLOOKUP(TableTERanks33[[#This Row],[Player]],TE!B:O,6,FALSE)</f>
        <v>656.03492315157951</v>
      </c>
      <c r="AX9" s="279">
        <f>VLOOKUP(TableTERanks33[[#This Row],[Player]],TE!B:O,7,FALSE)</f>
        <v>6.5365798502421883</v>
      </c>
      <c r="AY9" s="272">
        <f>IFERROR(INDEX(TableTECalcPts[Custom],MATCH(TableTERanks33[[#This Row],[RK]],TableTECalcPts[RK],0)),"")</f>
        <v>104.82297141661108</v>
      </c>
      <c r="AZ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1.1876835168893487</v>
      </c>
    </row>
    <row r="10" spans="1:52" x14ac:dyDescent="0.3">
      <c r="A10" s="22">
        <v>9</v>
      </c>
      <c r="B10" s="22" t="str">
        <f>IFERROR(INDEX(TableQBCalcPts[PLAYER],MATCH(TableQBRanks30[[#This Row],[RK]],TableQBCalcPts[RK],0)),"")</f>
        <v>Aaron Rodgers</v>
      </c>
      <c r="C10" s="22" t="str">
        <f>IFERROR(INDEX(TableQBCalcPts[TM],MATCH(TableQBRanks30[[#This Row],[Player]],TableQBCalcPts[PLAYER],0)),"")</f>
        <v>GB</v>
      </c>
      <c r="D10" s="22">
        <f>IFERROR(INDEX(TableQBCalcPts[BYE],MATCH(TableQBRanks30[[#This Row],[RK]],TableQBCalcPts[RK],0)),"")</f>
        <v>14</v>
      </c>
      <c r="E10" s="279">
        <f>VLOOKUP(TableQBRanks30[[#This Row],[Player]],QB!B:O,4,FALSE)</f>
        <v>586.58033609999995</v>
      </c>
      <c r="F10" s="279">
        <f>VLOOKUP(TableQBRanks30[[#This Row],[Player]],QB!B:O,5,FALSE)</f>
        <v>398.65738050458367</v>
      </c>
      <c r="G10" s="279">
        <f>VLOOKUP(TableQBRanks30[[#This Row],[Player]],QB!B:O,6,FALSE)</f>
        <v>4425.0969236008787</v>
      </c>
      <c r="H10" s="279">
        <f>VLOOKUP(TableQBRanks30[[#This Row],[Player]],QB!B:O,7,FALSE)</f>
        <v>36.317687363967572</v>
      </c>
      <c r="I10" s="279">
        <f>VLOOKUP(TableQBRanks30[[#This Row],[Player]],QB!B:O,8,FALSE)</f>
        <v>5.2972066548580266</v>
      </c>
      <c r="J10" s="279">
        <f>VLOOKUP(TableQBRanks30[[#This Row],[Player]],QB!B:O,9,FALSE)</f>
        <v>32.153089215713266</v>
      </c>
      <c r="K10" s="279">
        <f>VLOOKUP(TableQBRanks30[[#This Row],[Player]],QB!B:O,10,FALSE)</f>
        <v>119.28796099029621</v>
      </c>
      <c r="L10" s="279">
        <f>VLOOKUP(TableQBRanks30[[#This Row],[Player]],QB!B:O,11,FALSE)</f>
        <v>2.2329541101329613</v>
      </c>
      <c r="M10" s="272">
        <f>IFERROR(INDEX(TableQBCalcPts[Custom],MATCH(TableQBRanks30[[#This Row],[RK]],TableQBCalcPts[RK],0)),"")</f>
        <v>337.00673385001676</v>
      </c>
      <c r="N1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18.617724256750225</v>
      </c>
      <c r="P10" s="22">
        <v>9</v>
      </c>
      <c r="Q10" s="22" t="str">
        <f>IFERROR(INDEX(TableRBCalcPts[PLAYER],MATCH(TableRBRanks31[[#This Row],[RK]],TableRBCalcPts[RK],0)),"")</f>
        <v>James Conner</v>
      </c>
      <c r="R10" s="22" t="str">
        <f>IFERROR(INDEX(TableRBCalcPts[TM],MATCH(TableRBRanks31[[#This Row],[Player]],TableRBCalcPts[PLAYER],0)),"")</f>
        <v>ARI</v>
      </c>
      <c r="S10" s="22">
        <f>IFERROR(INDEX(TableRBCalcPts[BYE],MATCH(TableRBRanks31[[#This Row],[RK]],TableRBCalcPts[RK],0)),"")</f>
        <v>13</v>
      </c>
      <c r="T10" s="279">
        <f>VLOOKUP(TableRBRanks31[[#This Row],[Player]],RB!B:O,4,FALSE)</f>
        <v>207.09737456506932</v>
      </c>
      <c r="U10" s="279">
        <f>VLOOKUP(TableRBRanks31[[#This Row],[Player]],RB!B:O,5,FALSE)</f>
        <v>886.3767631384967</v>
      </c>
      <c r="V10" s="279">
        <f>VLOOKUP(TableRBRanks31[[#This Row],[Player]],RB!B:O,6,FALSE)</f>
        <v>10.596209583821869</v>
      </c>
      <c r="W10" s="279">
        <f>VLOOKUP(TableRBRanks31[[#This Row],[Player]],RB!B:O,7,FALSE)</f>
        <v>63.606144809999996</v>
      </c>
      <c r="X10" s="279">
        <f>VLOOKUP(TableRBRanks31[[#This Row],[Player]],RB!B:O,8,FALSE)</f>
        <v>51.648189585719997</v>
      </c>
      <c r="Y10" s="279">
        <f>VLOOKUP(TableRBRanks31[[#This Row],[Player]],RB!B:O,9,FALSE)</f>
        <v>404.4053244561876</v>
      </c>
      <c r="Z10" s="279">
        <f>VLOOKUP(TableRBRanks31[[#This Row],[Player]],RB!B:O,10,FALSE)</f>
        <v>3.0472431855574795</v>
      </c>
      <c r="AA10" s="272">
        <f>IFERROR(INDEX(TableRBCalcPts[Custom],MATCH(TableRBRanks31[[#This Row],[RK]],TableRBCalcPts[RK],0)),"")</f>
        <v>210.93892537574453</v>
      </c>
      <c r="AB1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55.534866495238234</v>
      </c>
      <c r="AD10" s="22">
        <v>9</v>
      </c>
      <c r="AE10" s="22" t="str">
        <f>IFERROR(INDEX(TableWRCalcPts[PLAYER],MATCH(TableWRRanks32[[#This Row],[RK]],TableWRCalcPts[RK],0)),"")</f>
        <v>Tee Higgins</v>
      </c>
      <c r="AF10" s="22" t="str">
        <f>IFERROR(INDEX(TableWRCalcPts[TM],MATCH(TableWRRanks32[[#This Row],[Player]],TableWRCalcPts[PLAYER],0)),"")</f>
        <v>CIN</v>
      </c>
      <c r="AG10" s="22">
        <f>IFERROR(INDEX(TableWRCalcPts[BYE],MATCH(TableWRRanks32[[#This Row],[RK]],TableWRCalcPts[RK],0)),"")</f>
        <v>10</v>
      </c>
      <c r="AH10" s="279">
        <f>VLOOKUP(TableWRRanks32[[#This Row],[Player]],WR!B:O,4,FALSE)</f>
        <v>0.69986468537057145</v>
      </c>
      <c r="AI10" s="279">
        <f>VLOOKUP(TableWRRanks32[[#This Row],[Player]],WR!B:O,5,FALSE)</f>
        <v>0</v>
      </c>
      <c r="AJ10" s="279">
        <f>VLOOKUP(TableWRRanks32[[#This Row],[Player]],WR!B:O,6,FALSE)</f>
        <v>131.98507200993194</v>
      </c>
      <c r="AK10" s="279">
        <f>VLOOKUP(TableWRRanks32[[#This Row],[Player]],WR!B:O,7,FALSE)</f>
        <v>86.96496394734416</v>
      </c>
      <c r="AL10" s="279">
        <f>VLOOKUP(TableWRRanks32[[#This Row],[Player]],WR!B:O,8,FALSE)</f>
        <v>1250.5561815628091</v>
      </c>
      <c r="AM10" s="279">
        <f>VLOOKUP(TableWRRanks32[[#This Row],[Player]],WR!B:O,9,FALSE)</f>
        <v>8.0007766831556619</v>
      </c>
      <c r="AN10" s="272">
        <f>IFERROR(INDEX(TableWRCalcPts[Custom],MATCH(TableWRRanks32[[#This Row],[RK]],TableWRCalcPts[RK],0)),"")</f>
        <v>173.13026472375194</v>
      </c>
      <c r="AO1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30.220449297908555</v>
      </c>
      <c r="AQ10" s="22">
        <v>9</v>
      </c>
      <c r="AR10" s="22" t="str">
        <f>IFERROR(INDEX(TableTECalcPts[PLAYER],MATCH(TableTERanks33[[#This Row],[RK]],TableTECalcPts[RK],0)),"")</f>
        <v>Dawson Knox</v>
      </c>
      <c r="AS10" s="22" t="str">
        <f>IFERROR(INDEX(TableTECalcPts[TM],MATCH(TableTERanks33[[#This Row],[Player]],TableTECalcPts[PLAYER],0)),"")</f>
        <v>BUF</v>
      </c>
      <c r="AT10" s="22">
        <f>IFERROR(INDEX(TableTECalcPts[BYE],MATCH(TableTERanks33[[#This Row],[RK]],TableTECalcPts[RK],0)),"")</f>
        <v>7</v>
      </c>
      <c r="AU10" s="279">
        <f>VLOOKUP(TableTERanks33[[#This Row],[Player]],TE!B:O,4,FALSE)</f>
        <v>74.995960382116522</v>
      </c>
      <c r="AV10" s="279">
        <f>VLOOKUP(TableTERanks33[[#This Row],[Player]],TE!B:O,5,FALSE)</f>
        <v>46.979269486406956</v>
      </c>
      <c r="AW10" s="279">
        <f>VLOOKUP(TableTERanks33[[#This Row],[Player]],TE!B:O,6,FALSE)</f>
        <v>572.15678107651104</v>
      </c>
      <c r="AX10" s="279">
        <f>VLOOKUP(TableTERanks33[[#This Row],[Player]],TE!B:O,7,FALSE)</f>
        <v>7.6106416567979274</v>
      </c>
      <c r="AY10" s="272">
        <f>IFERROR(INDEX(TableTECalcPts[Custom],MATCH(TableTERanks33[[#This Row],[RK]],TableTECalcPts[RK],0)),"")</f>
        <v>102.87952804843867</v>
      </c>
      <c r="AZ1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0.21399889448340834</v>
      </c>
    </row>
    <row r="11" spans="1:52" x14ac:dyDescent="0.3">
      <c r="A11" s="22">
        <v>10</v>
      </c>
      <c r="B11" s="22" t="str">
        <f>IFERROR(INDEX(TableQBCalcPts[PLAYER],MATCH(TableQBRanks30[[#This Row],[RK]],TableQBCalcPts[RK],0)),"")</f>
        <v>Matthew Stafford</v>
      </c>
      <c r="C11" s="22" t="str">
        <f>IFERROR(INDEX(TableQBCalcPts[TM],MATCH(TableQBRanks30[[#This Row],[Player]],TableQBCalcPts[PLAYER],0)),"")</f>
        <v>LAR</v>
      </c>
      <c r="D11" s="22">
        <f>IFERROR(INDEX(TableQBCalcPts[BYE],MATCH(TableQBRanks30[[#This Row],[RK]],TableQBCalcPts[RK],0)),"")</f>
        <v>7</v>
      </c>
      <c r="E11" s="279">
        <f>VLOOKUP(TableQBRanks30[[#This Row],[Player]],QB!B:O,4,FALSE)</f>
        <v>601.25340399999993</v>
      </c>
      <c r="F11" s="279">
        <f>VLOOKUP(TableQBRanks30[[#This Row],[Player]],QB!B:O,5,FALSE)</f>
        <v>401.63727387199998</v>
      </c>
      <c r="G11" s="279">
        <f>VLOOKUP(TableQBRanks30[[#This Row],[Player]],QB!B:O,6,FALSE)</f>
        <v>4800.0594957390258</v>
      </c>
      <c r="H11" s="279">
        <f>VLOOKUP(TableQBRanks30[[#This Row],[Player]],QB!B:O,7,FALSE)</f>
        <v>37.753903743967996</v>
      </c>
      <c r="I11" s="279">
        <f>VLOOKUP(TableQBRanks30[[#This Row],[Player]],QB!B:O,8,FALSE)</f>
        <v>10.532452986454619</v>
      </c>
      <c r="J11" s="279">
        <f>VLOOKUP(TableQBRanks30[[#This Row],[Player]],QB!B:O,9,FALSE)</f>
        <v>26.400119748850717</v>
      </c>
      <c r="K11" s="279">
        <f>VLOOKUP(TableQBRanks30[[#This Row],[Player]],QB!B:O,10,FALSE)</f>
        <v>69.595709957570037</v>
      </c>
      <c r="L11" s="279">
        <f>VLOOKUP(TableQBRanks30[[#This Row],[Player]],QB!B:O,11,FALSE)</f>
        <v>0.98545643210168243</v>
      </c>
      <c r="M11" s="272">
        <f>IFERROR(INDEX(TableQBCalcPts[Custom],MATCH(TableQBRanks30[[#This Row],[RK]],TableQBCalcPts[RK],0)),"")</f>
        <v>334.82539842089091</v>
      </c>
      <c r="N1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18.210140488875453</v>
      </c>
      <c r="P11" s="22">
        <v>10</v>
      </c>
      <c r="Q11" s="22" t="str">
        <f>IFERROR(INDEX(TableRBCalcPts[PLAYER],MATCH(TableRBRanks31[[#This Row],[RK]],TableRBCalcPts[RK],0)),"")</f>
        <v>Cam Akers</v>
      </c>
      <c r="R11" s="22" t="str">
        <f>IFERROR(INDEX(TableRBCalcPts[TM],MATCH(TableRBRanks31[[#This Row],[Player]],TableRBCalcPts[PLAYER],0)),"")</f>
        <v>LAR</v>
      </c>
      <c r="S11" s="22">
        <f>IFERROR(INDEX(TableRBCalcPts[BYE],MATCH(TableRBRanks31[[#This Row],[RK]],TableRBCalcPts[RK],0)),"")</f>
        <v>7</v>
      </c>
      <c r="T11" s="279">
        <f>VLOOKUP(TableRBRanks31[[#This Row],[Player]],RB!B:O,4,FALSE)</f>
        <v>271.02036367192011</v>
      </c>
      <c r="U11" s="279">
        <f>VLOOKUP(TableRBRanks31[[#This Row],[Player]],RB!B:O,5,FALSE)</f>
        <v>1140.9957310587836</v>
      </c>
      <c r="V11" s="279">
        <f>VLOOKUP(TableRBRanks31[[#This Row],[Player]],RB!B:O,6,FALSE)</f>
        <v>9.3231005103140525</v>
      </c>
      <c r="W11" s="279">
        <f>VLOOKUP(TableRBRanks31[[#This Row],[Player]],RB!B:O,7,FALSE)</f>
        <v>49.38389247562403</v>
      </c>
      <c r="X11" s="279">
        <f>VLOOKUP(TableRBRanks31[[#This Row],[Player]],RB!B:O,8,FALSE)</f>
        <v>34.97014815766606</v>
      </c>
      <c r="Y11" s="279">
        <f>VLOOKUP(TableRBRanks31[[#This Row],[Player]],RB!B:O,9,FALSE)</f>
        <v>280.09888092439837</v>
      </c>
      <c r="Z11" s="279">
        <f>VLOOKUP(TableRBRanks31[[#This Row],[Player]],RB!B:O,10,FALSE)</f>
        <v>2.0632387413022975</v>
      </c>
      <c r="AA11" s="272">
        <f>IFERROR(INDEX(TableRBCalcPts[Custom],MATCH(TableRBRanks31[[#This Row],[RK]],TableRBCalcPts[RK],0)),"")</f>
        <v>210.42749670801629</v>
      </c>
      <c r="AB1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55.275769740885188</v>
      </c>
      <c r="AD11" s="22">
        <v>10</v>
      </c>
      <c r="AE11" s="274" t="str">
        <f>IFERROR(INDEX(TableWRCalcPts[PLAYER],MATCH(TableWRRanks32[[#This Row],[RK]],TableWRCalcPts[RK],0)),"")</f>
        <v>Tyreek Hill</v>
      </c>
      <c r="AF11" s="22" t="str">
        <f>IFERROR(INDEX(TableWRCalcPts[TM],MATCH(TableWRRanks32[[#This Row],[Player]],TableWRCalcPts[PLAYER],0)),"")</f>
        <v>MIA</v>
      </c>
      <c r="AG11" s="22">
        <f>IFERROR(INDEX(TableWRCalcPts[BYE],MATCH(TableWRRanks32[[#This Row],[RK]],TableWRCalcPts[RK],0)),"")</f>
        <v>11</v>
      </c>
      <c r="AH11" s="279">
        <f>VLOOKUP(TableWRRanks32[[#This Row],[Player]],WR!B:O,4,FALSE)</f>
        <v>94.819767137725904</v>
      </c>
      <c r="AI11" s="279">
        <f>VLOOKUP(TableWRRanks32[[#This Row],[Player]],WR!B:O,5,FALSE)</f>
        <v>0</v>
      </c>
      <c r="AJ11" s="279">
        <f>VLOOKUP(TableWRRanks32[[#This Row],[Player]],WR!B:O,6,FALSE)</f>
        <v>136.70750666999999</v>
      </c>
      <c r="AK11" s="279">
        <f>VLOOKUP(TableWRRanks32[[#This Row],[Player]],WR!B:O,7,FALSE)</f>
        <v>94.123118342294987</v>
      </c>
      <c r="AL11" s="279">
        <f>VLOOKUP(TableWRRanks32[[#This Row],[Player]],WR!B:O,8,FALSE)</f>
        <v>1146.4195814091529</v>
      </c>
      <c r="AM11" s="279">
        <f>VLOOKUP(TableWRRanks32[[#This Row],[Player]],WR!B:O,9,FALSE)</f>
        <v>7.7180957040681895</v>
      </c>
      <c r="AN11" s="272">
        <f>IFERROR(INDEX(TableWRCalcPts[Custom],MATCH(TableWRRanks32[[#This Row],[RK]],TableWRCalcPts[RK],0)),"")</f>
        <v>170.43250907909703</v>
      </c>
      <c r="AO1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28.949716460022838</v>
      </c>
      <c r="AQ11" s="22">
        <v>10</v>
      </c>
      <c r="AR11" s="22" t="str">
        <f>IFERROR(INDEX(TableTECalcPts[PLAYER],MATCH(TableTERanks33[[#This Row],[RK]],TableTECalcPts[RK],0)),"")</f>
        <v>T.J. Hockenson</v>
      </c>
      <c r="AS11" s="22" t="str">
        <f>IFERROR(INDEX(TableTECalcPts[TM],MATCH(TableTERanks33[[#This Row],[Player]],TableTECalcPts[PLAYER],0)),"")</f>
        <v>DET</v>
      </c>
      <c r="AT11" s="22">
        <f>IFERROR(INDEX(TableTECalcPts[BYE],MATCH(TableTERanks33[[#This Row],[RK]],TableTECalcPts[RK],0)),"")</f>
        <v>6</v>
      </c>
      <c r="AU11" s="279">
        <f>VLOOKUP(TableTERanks33[[#This Row],[Player]],TE!B:O,4,FALSE)</f>
        <v>104.75772291496725</v>
      </c>
      <c r="AV11" s="279">
        <f>VLOOKUP(TableTERanks33[[#This Row],[Player]],TE!B:O,5,FALSE)</f>
        <v>70.533374838647447</v>
      </c>
      <c r="AW11" s="279">
        <f>VLOOKUP(TableTERanks33[[#This Row],[Player]],TE!B:O,6,FALSE)</f>
        <v>708.86041712840688</v>
      </c>
      <c r="AX11" s="279">
        <f>VLOOKUP(TableTERanks33[[#This Row],[Player]],TE!B:O,7,FALSE)</f>
        <v>5.2610585643052064</v>
      </c>
      <c r="AY11" s="272">
        <f>IFERROR(INDEX(TableTECalcPts[Custom],MATCH(TableTERanks33[[#This Row],[RK]],TableTECalcPts[RK],0)),"")</f>
        <v>102.45239309867193</v>
      </c>
      <c r="AZ1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2" spans="1:52" x14ac:dyDescent="0.3">
      <c r="A12" s="22">
        <v>11</v>
      </c>
      <c r="B12" s="22" t="str">
        <f>IFERROR(INDEX(TableQBCalcPts[PLAYER],MATCH(TableQBRanks30[[#This Row],[RK]],TableQBCalcPts[RK],0)),"")</f>
        <v>Dak Prescott</v>
      </c>
      <c r="C12" s="22" t="str">
        <f>IFERROR(INDEX(TableQBCalcPts[TM],MATCH(TableQBRanks30[[#This Row],[Player]],TableQBCalcPts[PLAYER],0)),"")</f>
        <v>DAL</v>
      </c>
      <c r="D12" s="22">
        <f>IFERROR(INDEX(TableQBCalcPts[BYE],MATCH(TableQBRanks30[[#This Row],[RK]],TableQBCalcPts[RK],0)),"")</f>
        <v>9</v>
      </c>
      <c r="E12" s="279">
        <f>VLOOKUP(TableQBRanks30[[#This Row],[Player]],QB!B:O,4,FALSE)</f>
        <v>626.92223999999999</v>
      </c>
      <c r="F12" s="279">
        <f>VLOOKUP(TableQBRanks30[[#This Row],[Player]],QB!B:O,5,FALSE)</f>
        <v>420.80921620897954</v>
      </c>
      <c r="G12" s="279">
        <f>VLOOKUP(TableQBRanks30[[#This Row],[Player]],QB!B:O,6,FALSE)</f>
        <v>4633.1094704608649</v>
      </c>
      <c r="H12" s="279">
        <f>VLOOKUP(TableQBRanks30[[#This Row],[Player]],QB!B:O,7,FALSE)</f>
        <v>33.117685315646689</v>
      </c>
      <c r="I12" s="279">
        <f>VLOOKUP(TableQBRanks30[[#This Row],[Player]],QB!B:O,8,FALSE)</f>
        <v>8.2662984259280616</v>
      </c>
      <c r="J12" s="279">
        <f>VLOOKUP(TableQBRanks30[[#This Row],[Player]],QB!B:O,9,FALSE)</f>
        <v>51.335939219324352</v>
      </c>
      <c r="K12" s="279">
        <f>VLOOKUP(TableQBRanks30[[#This Row],[Player]],QB!B:O,10,FALSE)</f>
        <v>186.94156246984693</v>
      </c>
      <c r="L12" s="279">
        <f>VLOOKUP(TableQBRanks30[[#This Row],[Player]],QB!B:O,11,FALSE)</f>
        <v>2.4121462502255273</v>
      </c>
      <c r="M12" s="272">
        <f>IFERROR(INDEX(TableQBCalcPts[Custom],MATCH(TableQBRanks30[[#This Row],[RK]],TableQBCalcPts[RK],0)),"")</f>
        <v>334.42955697750307</v>
      </c>
      <c r="N1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17.793509289528149</v>
      </c>
      <c r="P12" s="22">
        <v>11</v>
      </c>
      <c r="Q12" s="22" t="str">
        <f>IFERROR(INDEX(TableRBCalcPts[PLAYER],MATCH(TableRBRanks31[[#This Row],[RK]],TableRBCalcPts[RK],0)),"")</f>
        <v>Saquon Barkley</v>
      </c>
      <c r="R12" s="22" t="str">
        <f>IFERROR(INDEX(TableRBCalcPts[TM],MATCH(TableRBRanks31[[#This Row],[Player]],TableRBCalcPts[PLAYER],0)),"")</f>
        <v>NYG</v>
      </c>
      <c r="S12" s="22">
        <f>IFERROR(INDEX(TableRBCalcPts[BYE],MATCH(TableRBRanks31[[#This Row],[RK]],TableRBCalcPts[RK],0)),"")</f>
        <v>9</v>
      </c>
      <c r="T12" s="279">
        <f>VLOOKUP(TableRBRanks31[[#This Row],[Player]],RB!B:O,4,FALSE)</f>
        <v>224.14426125972329</v>
      </c>
      <c r="U12" s="279">
        <f>VLOOKUP(TableRBRanks31[[#This Row],[Player]],RB!B:O,5,FALSE)</f>
        <v>990.71763476797696</v>
      </c>
      <c r="V12" s="279">
        <f>VLOOKUP(TableRBRanks31[[#This Row],[Player]],RB!B:O,6,FALSE)</f>
        <v>6.2760393152722527</v>
      </c>
      <c r="W12" s="279">
        <f>VLOOKUP(TableRBRanks31[[#This Row],[Player]],RB!B:O,7,FALSE)</f>
        <v>89.515427445765965</v>
      </c>
      <c r="X12" s="279">
        <f>VLOOKUP(TableRBRanks31[[#This Row],[Player]],RB!B:O,8,FALSE)</f>
        <v>61.944675792470044</v>
      </c>
      <c r="Y12" s="279">
        <f>VLOOKUP(TableRBRanks31[[#This Row],[Player]],RB!B:O,9,FALSE)</f>
        <v>498.03519337145912</v>
      </c>
      <c r="Z12" s="279">
        <f>VLOOKUP(TableRBRanks31[[#This Row],[Player]],RB!B:O,10,FALSE)</f>
        <v>3.7166805475482025</v>
      </c>
      <c r="AA12" s="272">
        <f>IFERROR(INDEX(TableRBCalcPts[Custom],MATCH(TableRBRanks31[[#This Row],[RK]],TableRBCalcPts[RK],0)),"")</f>
        <v>208.83160199086635</v>
      </c>
      <c r="AB1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54.467267661133882</v>
      </c>
      <c r="AD12" s="274">
        <v>11</v>
      </c>
      <c r="AE12" s="274" t="str">
        <f>IFERROR(INDEX(TableWRCalcPts[PLAYER],MATCH(TableWRRanks32[[#This Row],[RK]],TableWRCalcPts[RK],0)),"")</f>
        <v>A.J. Brown</v>
      </c>
      <c r="AF12" s="22" t="str">
        <f>IFERROR(INDEX(TableWRCalcPts[TM],MATCH(TableWRRanks32[[#This Row],[Player]],TableWRCalcPts[PLAYER],0)),"")</f>
        <v>PHI</v>
      </c>
      <c r="AG12" s="22">
        <f>IFERROR(INDEX(TableWRCalcPts[BYE],MATCH(TableWRRanks32[[#This Row],[RK]],TableWRCalcPts[RK],0)),"")</f>
        <v>7</v>
      </c>
      <c r="AH12" s="279">
        <f>VLOOKUP(TableWRRanks32[[#This Row],[Player]],WR!B:O,4,FALSE)</f>
        <v>6.0973502029220494</v>
      </c>
      <c r="AI12" s="279">
        <f>VLOOKUP(TableWRRanks32[[#This Row],[Player]],WR!B:O,5,FALSE)</f>
        <v>0</v>
      </c>
      <c r="AJ12" s="279">
        <f>VLOOKUP(TableWRRanks32[[#This Row],[Player]],WR!B:O,6,FALSE)</f>
        <v>131.95235836620279</v>
      </c>
      <c r="AK12" s="279">
        <f>VLOOKUP(TableWRRanks32[[#This Row],[Player]],WR!B:O,7,FALSE)</f>
        <v>80.266619594161156</v>
      </c>
      <c r="AL12" s="279">
        <f>VLOOKUP(TableWRRanks32[[#This Row],[Player]],WR!B:O,8,FALSE)</f>
        <v>1158.2473207437454</v>
      </c>
      <c r="AM12" s="279">
        <f>VLOOKUP(TableWRRanks32[[#This Row],[Player]],WR!B:O,9,FALSE)</f>
        <v>8.829328155357727</v>
      </c>
      <c r="AN12" s="272">
        <f>IFERROR(INDEX(TableWRCalcPts[Custom],MATCH(TableWRRanks32[[#This Row],[RK]],TableWRCalcPts[RK],0)),"")</f>
        <v>169.4104360268131</v>
      </c>
      <c r="AO1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28.468285981755258</v>
      </c>
      <c r="AQ12" s="274">
        <v>11</v>
      </c>
      <c r="AR12" s="274" t="str">
        <f>IFERROR(INDEX(TableTECalcPts[PLAYER],MATCH(TableTERanks33[[#This Row],[RK]],TableTECalcPts[RK],0)),"")</f>
        <v>Zach Ertz</v>
      </c>
      <c r="AS12" s="22" t="str">
        <f>IFERROR(INDEX(TableTECalcPts[TM],MATCH(TableTERanks33[[#This Row],[Player]],TableTECalcPts[PLAYER],0)),"")</f>
        <v>ARI</v>
      </c>
      <c r="AT12" s="22">
        <f>IFERROR(INDEX(TableTECalcPts[BYE],MATCH(TableTERanks33[[#This Row],[RK]],TableTECalcPts[RK],0)),"")</f>
        <v>13</v>
      </c>
      <c r="AU12" s="279">
        <f>VLOOKUP(TableTERanks33[[#This Row],[Player]],TE!B:O,4,FALSE)</f>
        <v>97.279986180000023</v>
      </c>
      <c r="AV12" s="279">
        <f>VLOOKUP(TableTERanks33[[#This Row],[Player]],TE!B:O,5,FALSE)</f>
        <v>64.049142900912017</v>
      </c>
      <c r="AW12" s="279">
        <f>VLOOKUP(TableTERanks33[[#This Row],[Player]],TE!B:O,6,FALSE)</f>
        <v>678.2804233206582</v>
      </c>
      <c r="AX12" s="279">
        <f>VLOOKUP(TableTERanks33[[#This Row],[Player]],TE!B:O,7,FALSE)</f>
        <v>5.2520297178747857</v>
      </c>
      <c r="AY12" s="272">
        <f>IFERROR(INDEX(TableTECalcPts[Custom],MATCH(TableTERanks33[[#This Row],[RK]],TableTECalcPts[RK],0)),"")</f>
        <v>99.340220639314538</v>
      </c>
      <c r="AZ1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3" spans="1:52" x14ac:dyDescent="0.3">
      <c r="A13" s="22">
        <v>12</v>
      </c>
      <c r="B13" s="22" t="str">
        <f>IFERROR(INDEX(TableQBCalcPts[PLAYER],MATCH(TableQBRanks30[[#This Row],[RK]],TableQBCalcPts[RK],0)),"")</f>
        <v>Trey Lance</v>
      </c>
      <c r="C13" s="22" t="str">
        <f>IFERROR(INDEX(TableQBCalcPts[TM],MATCH(TableQBRanks30[[#This Row],[Player]],TableQBCalcPts[PLAYER],0)),"")</f>
        <v>SF</v>
      </c>
      <c r="D13" s="22">
        <f>IFERROR(INDEX(TableQBCalcPts[BYE],MATCH(TableQBRanks30[[#This Row],[RK]],TableQBCalcPts[RK],0)),"")</f>
        <v>9</v>
      </c>
      <c r="E13" s="279">
        <f>VLOOKUP(TableQBRanks30[[#This Row],[Player]],QB!B:O,4,FALSE)</f>
        <v>531.85365780000006</v>
      </c>
      <c r="F13" s="279">
        <f>VLOOKUP(TableQBRanks30[[#This Row],[Player]],QB!B:O,5,FALSE)</f>
        <v>331.34482880940004</v>
      </c>
      <c r="G13" s="279">
        <f>VLOOKUP(TableQBRanks30[[#This Row],[Player]],QB!B:O,6,FALSE)</f>
        <v>4055.6607046270565</v>
      </c>
      <c r="H13" s="279">
        <f>VLOOKUP(TableQBRanks30[[#This Row],[Player]],QB!B:O,7,FALSE)</f>
        <v>24.48638284901466</v>
      </c>
      <c r="I13" s="279">
        <f>VLOOKUP(TableQBRanks30[[#This Row],[Player]],QB!B:O,8,FALSE)</f>
        <v>13.585137981185403</v>
      </c>
      <c r="J13" s="279">
        <f>VLOOKUP(TableQBRanks30[[#This Row],[Player]],QB!B:O,9,FALSE)</f>
        <v>119.92000593798524</v>
      </c>
      <c r="K13" s="279">
        <f>VLOOKUP(TableQBRanks30[[#This Row],[Player]],QB!B:O,10,FALSE)</f>
        <v>600.79922974930605</v>
      </c>
      <c r="L13" s="279">
        <f>VLOOKUP(TableQBRanks30[[#This Row],[Player]],QB!B:O,11,FALSE)</f>
        <v>5.1565602553333649</v>
      </c>
      <c r="M13" s="272">
        <f>IFERROR(INDEX(TableQBCalcPts[Custom],MATCH(TableQBRanks30[[#This Row],[RK]],TableQBCalcPts[RK],0)),"")</f>
        <v>324.0209681257009</v>
      </c>
      <c r="N1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14.459731273768787</v>
      </c>
      <c r="P13" s="22">
        <v>12</v>
      </c>
      <c r="Q13" s="22" t="str">
        <f>IFERROR(INDEX(TableRBCalcPts[PLAYER],MATCH(TableRBRanks31[[#This Row],[RK]],TableRBCalcPts[RK],0)),"")</f>
        <v>J.K. Dobbins</v>
      </c>
      <c r="R13" s="22" t="str">
        <f>IFERROR(INDEX(TableRBCalcPts[TM],MATCH(TableRBRanks31[[#This Row],[Player]],TableRBCalcPts[PLAYER],0)),"")</f>
        <v>BAL</v>
      </c>
      <c r="S13" s="22">
        <f>IFERROR(INDEX(TableRBCalcPts[BYE],MATCH(TableRBRanks31[[#This Row],[RK]],TableRBCalcPts[RK],0)),"")</f>
        <v>10</v>
      </c>
      <c r="T13" s="279">
        <f>VLOOKUP(TableRBRanks31[[#This Row],[Player]],RB!B:O,4,FALSE)</f>
        <v>212.09482470304781</v>
      </c>
      <c r="U13" s="279">
        <f>VLOOKUP(TableRBRanks31[[#This Row],[Player]],RB!B:O,5,FALSE)</f>
        <v>1047.7484340330564</v>
      </c>
      <c r="V13" s="279">
        <f>VLOOKUP(TableRBRanks31[[#This Row],[Player]],RB!B:O,6,FALSE)</f>
        <v>10.350227445508734</v>
      </c>
      <c r="W13" s="279">
        <f>VLOOKUP(TableRBRanks31[[#This Row],[Player]],RB!B:O,7,FALSE)</f>
        <v>42.037810989016307</v>
      </c>
      <c r="X13" s="279">
        <f>VLOOKUP(TableRBRanks31[[#This Row],[Player]],RB!B:O,8,FALSE)</f>
        <v>30.775881425058838</v>
      </c>
      <c r="Y13" s="279">
        <f>VLOOKUP(TableRBRanks31[[#This Row],[Player]],RB!B:O,9,FALSE)</f>
        <v>249.28463954297658</v>
      </c>
      <c r="Z13" s="279">
        <f>VLOOKUP(TableRBRanks31[[#This Row],[Player]],RB!B:O,10,FALSE)</f>
        <v>1.4156905455527065</v>
      </c>
      <c r="AA13" s="272">
        <f>IFERROR(INDEX(TableRBCalcPts[Custom],MATCH(TableRBRanks31[[#This Row],[RK]],TableRBCalcPts[RK],0)),"")</f>
        <v>200.29881530397194</v>
      </c>
      <c r="AB1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50.144441281491098</v>
      </c>
      <c r="AD13" s="22">
        <v>12</v>
      </c>
      <c r="AE13" s="274" t="str">
        <f>IFERROR(INDEX(TableWRCalcPts[PLAYER],MATCH(TableWRRanks32[[#This Row],[RK]],TableWRCalcPts[RK],0)),"")</f>
        <v>Mike Williams</v>
      </c>
      <c r="AF13" s="22" t="str">
        <f>IFERROR(INDEX(TableWRCalcPts[TM],MATCH(TableWRRanks32[[#This Row],[Player]],TableWRCalcPts[PLAYER],0)),"")</f>
        <v>LAC</v>
      </c>
      <c r="AG13" s="22">
        <f>IFERROR(INDEX(TableWRCalcPts[BYE],MATCH(TableWRRanks32[[#This Row],[RK]],TableWRCalcPts[RK],0)),"")</f>
        <v>8</v>
      </c>
      <c r="AH13" s="279">
        <f>VLOOKUP(TableWRRanks32[[#This Row],[Player]],WR!B:O,4,FALSE)</f>
        <v>0</v>
      </c>
      <c r="AI13" s="279">
        <f>VLOOKUP(TableWRRanks32[[#This Row],[Player]],WR!B:O,5,FALSE)</f>
        <v>0</v>
      </c>
      <c r="AJ13" s="279">
        <f>VLOOKUP(TableWRRanks32[[#This Row],[Player]],WR!B:O,6,FALSE)</f>
        <v>115.94363053802141</v>
      </c>
      <c r="AK13" s="279">
        <f>VLOOKUP(TableWRRanks32[[#This Row],[Player]],WR!B:O,7,FALSE)</f>
        <v>72.668063202681012</v>
      </c>
      <c r="AL13" s="279">
        <f>VLOOKUP(TableWRRanks32[[#This Row],[Player]],WR!B:O,8,FALSE)</f>
        <v>1093.2870602124804</v>
      </c>
      <c r="AM13" s="279">
        <f>VLOOKUP(TableWRRanks32[[#This Row],[Player]],WR!B:O,9,FALSE)</f>
        <v>8.6474995211190393</v>
      </c>
      <c r="AN13" s="272">
        <f>IFERROR(INDEX(TableWRCalcPts[Custom],MATCH(TableWRRanks32[[#This Row],[RK]],TableWRCalcPts[RK],0)),"")</f>
        <v>161.21370314796229</v>
      </c>
      <c r="AO1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24.607351559036019</v>
      </c>
      <c r="AQ13" s="22">
        <v>12</v>
      </c>
      <c r="AR13" s="274" t="str">
        <f>IFERROR(INDEX(TableTECalcPts[PLAYER],MATCH(TableTERanks33[[#This Row],[RK]],TableTECalcPts[RK],0)),"")</f>
        <v>Cameron Brate</v>
      </c>
      <c r="AS13" s="22" t="str">
        <f>IFERROR(INDEX(TableTECalcPts[TM],MATCH(TableTERanks33[[#This Row],[Player]],TableTECalcPts[PLAYER],0)),"")</f>
        <v>TB</v>
      </c>
      <c r="AT13" s="22">
        <f>IFERROR(INDEX(TableTECalcPts[BYE],MATCH(TableTERanks33[[#This Row],[RK]],TableTECalcPts[RK],0)),"")</f>
        <v>11</v>
      </c>
      <c r="AU13" s="279">
        <f>VLOOKUP(TableTERanks33[[#This Row],[Player]],TE!B:O,4,FALSE)</f>
        <v>92.668149453278573</v>
      </c>
      <c r="AV13" s="279">
        <f>VLOOKUP(TableTERanks33[[#This Row],[Player]],TE!B:O,5,FALSE)</f>
        <v>61.695222063058196</v>
      </c>
      <c r="AW13" s="279">
        <f>VLOOKUP(TableTERanks33[[#This Row],[Player]],TE!B:O,6,FALSE)</f>
        <v>648.41678388274158</v>
      </c>
      <c r="AX13" s="279">
        <f>VLOOKUP(TableTERanks33[[#This Row],[Player]],TE!B:O,7,FALSE)</f>
        <v>5.7315745106689739</v>
      </c>
      <c r="AY13" s="272">
        <f>IFERROR(INDEX(TableTECalcPts[Custom],MATCH(TableTERanks33[[#This Row],[RK]],TableTECalcPts[RK],0)),"")</f>
        <v>99.231125452288012</v>
      </c>
      <c r="AZ1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4" spans="1:52" x14ac:dyDescent="0.3">
      <c r="A14" s="22">
        <v>13</v>
      </c>
      <c r="B14" s="22" t="str">
        <f>IFERROR(INDEX(TableQBCalcPts[PLAYER],MATCH(TableQBRanks30[[#This Row],[RK]],TableQBCalcPts[RK],0)),"")</f>
        <v>Russell Wilson</v>
      </c>
      <c r="C14" s="22" t="str">
        <f>IFERROR(INDEX(TableQBCalcPts[TM],MATCH(TableQBRanks30[[#This Row],[Player]],TableQBCalcPts[PLAYER],0)),"")</f>
        <v>DEN</v>
      </c>
      <c r="D14" s="22">
        <f>IFERROR(INDEX(TableQBCalcPts[BYE],MATCH(TableQBRanks30[[#This Row],[RK]],TableQBCalcPts[RK],0)),"")</f>
        <v>9</v>
      </c>
      <c r="E14" s="279">
        <f>VLOOKUP(TableQBRanks30[[#This Row],[Player]],QB!B:O,4,FALSE)</f>
        <v>578.71428439999988</v>
      </c>
      <c r="F14" s="279">
        <f>VLOOKUP(TableQBRanks30[[#This Row],[Player]],QB!B:O,5,FALSE)</f>
        <v>379.63657056639994</v>
      </c>
      <c r="G14" s="279">
        <f>VLOOKUP(TableQBRanks30[[#This Row],[Player]],QB!B:O,6,FALSE)</f>
        <v>4352.5105903618705</v>
      </c>
      <c r="H14" s="279">
        <f>VLOOKUP(TableQBRanks30[[#This Row],[Player]],QB!B:O,7,FALSE)</f>
        <v>31.927435584634232</v>
      </c>
      <c r="I14" s="279">
        <f>VLOOKUP(TableQBRanks30[[#This Row],[Player]],QB!B:O,8,FALSE)</f>
        <v>7.2440794789437346</v>
      </c>
      <c r="J14" s="279">
        <f>VLOOKUP(TableQBRanks30[[#This Row],[Player]],QB!B:O,9,FALSE)</f>
        <v>50.729726711340213</v>
      </c>
      <c r="K14" s="279">
        <f>VLOOKUP(TableQBRanks30[[#This Row],[Player]],QB!B:O,10,FALSE)</f>
        <v>231.84326106246735</v>
      </c>
      <c r="L14" s="279">
        <f>VLOOKUP(TableQBRanks30[[#This Row],[Player]],QB!B:O,11,FALSE)</f>
        <v>1.7964011331592831</v>
      </c>
      <c r="M14" s="272">
        <f>IFERROR(INDEX(TableQBCalcPts[Custom],MATCH(TableQBRanks30[[#This Row],[RK]],TableQBCalcPts[RK],0)),"")</f>
        <v>321.28473990032666</v>
      </c>
      <c r="N1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14.080085846053766</v>
      </c>
      <c r="P14" s="22">
        <v>13</v>
      </c>
      <c r="Q14" s="22" t="str">
        <f>IFERROR(INDEX(TableRBCalcPts[PLAYER],MATCH(TableRBRanks31[[#This Row],[RK]],TableRBCalcPts[RK],0)),"")</f>
        <v>Leonard Fournette</v>
      </c>
      <c r="R14" s="22" t="str">
        <f>IFERROR(INDEX(TableRBCalcPts[TM],MATCH(TableRBRanks31[[#This Row],[Player]],TableRBCalcPts[PLAYER],0)),"")</f>
        <v>TB</v>
      </c>
      <c r="S14" s="22">
        <f>IFERROR(INDEX(TableRBCalcPts[BYE],MATCH(TableRBRanks31[[#This Row],[RK]],TableRBCalcPts[RK],0)),"")</f>
        <v>11</v>
      </c>
      <c r="T14" s="279">
        <f>VLOOKUP(TableRBRanks31[[#This Row],[Player]],RB!B:O,4,FALSE)</f>
        <v>206.54928352033068</v>
      </c>
      <c r="U14" s="279">
        <f>VLOOKUP(TableRBRanks31[[#This Row],[Player]],RB!B:O,5,FALSE)</f>
        <v>917.07881883026823</v>
      </c>
      <c r="V14" s="279">
        <f>VLOOKUP(TableRBRanks31[[#This Row],[Player]],RB!B:O,6,FALSE)</f>
        <v>9.5219219702872451</v>
      </c>
      <c r="W14" s="279">
        <f>VLOOKUP(TableRBRanks31[[#This Row],[Player]],RB!B:O,7,FALSE)</f>
        <v>73.866945697740135</v>
      </c>
      <c r="X14" s="279">
        <f>VLOOKUP(TableRBRanks31[[#This Row],[Player]],RB!B:O,8,FALSE)</f>
        <v>58.871955721098892</v>
      </c>
      <c r="Y14" s="279">
        <f>VLOOKUP(TableRBRanks31[[#This Row],[Player]],RB!B:O,9,FALSE)</f>
        <v>386.78874908761975</v>
      </c>
      <c r="Z14" s="279">
        <f>VLOOKUP(TableRBRanks31[[#This Row],[Player]],RB!B:O,10,FALSE)</f>
        <v>2.1193904059595599</v>
      </c>
      <c r="AA14" s="272">
        <f>IFERROR(INDEX(TableRBCalcPts[Custom],MATCH(TableRBRanks31[[#This Row],[RK]],TableRBCalcPts[RK],0)),"")</f>
        <v>200.23463104926964</v>
      </c>
      <c r="AB1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50.111924660653621</v>
      </c>
      <c r="AD14" s="22">
        <v>13</v>
      </c>
      <c r="AE14" s="22" t="str">
        <f>IFERROR(INDEX(TableWRCalcPts[PLAYER],MATCH(TableWRRanks32[[#This Row],[RK]],TableWRCalcPts[RK],0)),"")</f>
        <v>Michael Pittman</v>
      </c>
      <c r="AF14" s="22" t="str">
        <f>IFERROR(INDEX(TableWRCalcPts[TM],MATCH(TableWRRanks32[[#This Row],[Player]],TableWRCalcPts[PLAYER],0)),"")</f>
        <v>IND</v>
      </c>
      <c r="AG14" s="22">
        <f>IFERROR(INDEX(TableWRCalcPts[BYE],MATCH(TableWRRanks32[[#This Row],[RK]],TableWRCalcPts[RK],0)),"")</f>
        <v>14</v>
      </c>
      <c r="AH14" s="279">
        <f>VLOOKUP(TableWRRanks32[[#This Row],[Player]],WR!B:O,4,FALSE)</f>
        <v>35.855971220908906</v>
      </c>
      <c r="AI14" s="279">
        <f>VLOOKUP(TableWRRanks32[[#This Row],[Player]],WR!B:O,5,FALSE)</f>
        <v>0</v>
      </c>
      <c r="AJ14" s="279">
        <f>VLOOKUP(TableWRRanks32[[#This Row],[Player]],WR!B:O,6,FALSE)</f>
        <v>127.11461144520709</v>
      </c>
      <c r="AK14" s="279">
        <f>VLOOKUP(TableWRRanks32[[#This Row],[Player]],WR!B:O,7,FALSE)</f>
        <v>84.149872776727094</v>
      </c>
      <c r="AL14" s="279">
        <f>VLOOKUP(TableWRRanks32[[#This Row],[Player]],WR!B:O,8,FALSE)</f>
        <v>1113.3028168360995</v>
      </c>
      <c r="AM14" s="279">
        <f>VLOOKUP(TableWRRanks32[[#This Row],[Player]],WR!B:O,9,FALSE)</f>
        <v>7.0685893132450763</v>
      </c>
      <c r="AN14" s="272">
        <f>IFERROR(INDEX(TableWRCalcPts[Custom],MATCH(TableWRRanks32[[#This Row],[RK]],TableWRCalcPts[RK],0)),"")</f>
        <v>157.32741468517131</v>
      </c>
      <c r="AO1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22.776780144256673</v>
      </c>
      <c r="AQ14" s="22">
        <v>13</v>
      </c>
      <c r="AR14" s="274" t="str">
        <f>IFERROR(INDEX(TableTECalcPts[PLAYER],MATCH(TableTERanks33[[#This Row],[RK]],TableTECalcPts[RK],0)),"")</f>
        <v>David Njoku</v>
      </c>
      <c r="AS14" s="22" t="str">
        <f>IFERROR(INDEX(TableTECalcPts[TM],MATCH(TableTERanks33[[#This Row],[Player]],TableTECalcPts[PLAYER],0)),"")</f>
        <v>CLE</v>
      </c>
      <c r="AT14" s="22">
        <f>IFERROR(INDEX(TableTECalcPts[BYE],MATCH(TableTERanks33[[#This Row],[RK]],TableTECalcPts[RK],0)),"")</f>
        <v>9</v>
      </c>
      <c r="AU14" s="279">
        <f>VLOOKUP(TableTERanks33[[#This Row],[Player]],TE!B:O,4,FALSE)</f>
        <v>76.365780692039579</v>
      </c>
      <c r="AV14" s="279">
        <f>VLOOKUP(TableTERanks33[[#This Row],[Player]],TE!B:O,5,FALSE)</f>
        <v>49.874491369971047</v>
      </c>
      <c r="AW14" s="279">
        <f>VLOOKUP(TableTERanks33[[#This Row],[Player]],TE!B:O,6,FALSE)</f>
        <v>600.98762100815111</v>
      </c>
      <c r="AX14" s="279">
        <f>VLOOKUP(TableTERanks33[[#This Row],[Player]],TE!B:O,7,FALSE)</f>
        <v>6.3340604039863226</v>
      </c>
      <c r="AY14" s="272">
        <f>IFERROR(INDEX(TableTECalcPts[Custom],MATCH(TableTERanks33[[#This Row],[RK]],TableTECalcPts[RK],0)),"")</f>
        <v>98.103124524733062</v>
      </c>
      <c r="AZ1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5" spans="1:52" x14ac:dyDescent="0.3">
      <c r="A15" s="22">
        <v>14</v>
      </c>
      <c r="B15" s="22" t="str">
        <f>IFERROR(INDEX(TableQBCalcPts[PLAYER],MATCH(TableQBRanks30[[#This Row],[RK]],TableQBCalcPts[RK],0)),"")</f>
        <v>Trevor Lawrence</v>
      </c>
      <c r="C15" s="22" t="str">
        <f>IFERROR(INDEX(TableQBCalcPts[TM],MATCH(TableQBRanks30[[#This Row],[Player]],TableQBCalcPts[PLAYER],0)),"")</f>
        <v>JAX</v>
      </c>
      <c r="D15" s="22">
        <f>IFERROR(INDEX(TableQBCalcPts[BYE],MATCH(TableQBRanks30[[#This Row],[RK]],TableQBCalcPts[RK],0)),"")</f>
        <v>11</v>
      </c>
      <c r="E15" s="279">
        <f>VLOOKUP(TableQBRanks30[[#This Row],[Player]],QB!B:O,4,FALSE)</f>
        <v>647.93520000000001</v>
      </c>
      <c r="F15" s="279">
        <f>VLOOKUP(TableQBRanks30[[#This Row],[Player]],QB!B:O,5,FALSE)</f>
        <v>410.14298159999998</v>
      </c>
      <c r="G15" s="279">
        <f>VLOOKUP(TableQBRanks30[[#This Row],[Player]],QB!B:O,6,FALSE)</f>
        <v>4540.2828063119996</v>
      </c>
      <c r="H15" s="279">
        <f>VLOOKUP(TableQBRanks30[[#This Row],[Player]],QB!B:O,7,FALSE)</f>
        <v>27.889722748800001</v>
      </c>
      <c r="I15" s="279">
        <f>VLOOKUP(TableQBRanks30[[#This Row],[Player]],QB!B:O,8,FALSE)</f>
        <v>10.529240895693187</v>
      </c>
      <c r="J15" s="279">
        <f>VLOOKUP(TableQBRanks30[[#This Row],[Player]],QB!B:O,9,FALSE)</f>
        <v>66.981975388584672</v>
      </c>
      <c r="K15" s="279">
        <f>VLOOKUP(TableQBRanks30[[#This Row],[Player]],QB!B:O,10,FALSE)</f>
        <v>330.27573816963746</v>
      </c>
      <c r="L15" s="279">
        <f>VLOOKUP(TableQBRanks30[[#This Row],[Player]],QB!B:O,11,FALSE)</f>
        <v>2.0787364507901929</v>
      </c>
      <c r="M15" s="272">
        <f>IFERROR(INDEX(TableQBCalcPts[Custom],MATCH(TableQBRanks30[[#This Row],[RK]],TableQBCalcPts[RK],0)),"")</f>
        <v>317.61171397799848</v>
      </c>
      <c r="N1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13.54689268333814</v>
      </c>
      <c r="P15" s="22">
        <v>14</v>
      </c>
      <c r="Q15" s="22" t="str">
        <f>IFERROR(INDEX(TableRBCalcPts[PLAYER],MATCH(TableRBRanks31[[#This Row],[RK]],TableRBCalcPts[RK],0)),"")</f>
        <v>Antonio Gibson</v>
      </c>
      <c r="R15" s="22" t="str">
        <f>IFERROR(INDEX(TableRBCalcPts[TM],MATCH(TableRBRanks31[[#This Row],[Player]],TableRBCalcPts[PLAYER],0)),"")</f>
        <v>WSH</v>
      </c>
      <c r="S15" s="22">
        <f>IFERROR(INDEX(TableRBCalcPts[BYE],MATCH(TableRBRanks31[[#This Row],[RK]],TableRBCalcPts[RK],0)),"")</f>
        <v>14</v>
      </c>
      <c r="T15" s="279">
        <f>VLOOKUP(TableRBRanks31[[#This Row],[Player]],RB!B:O,4,FALSE)</f>
        <v>252.49364514068449</v>
      </c>
      <c r="U15" s="279">
        <f>VLOOKUP(TableRBRanks31[[#This Row],[Player]],RB!B:O,5,FALSE)</f>
        <v>1081.3173132491916</v>
      </c>
      <c r="V15" s="279">
        <f>VLOOKUP(TableRBRanks31[[#This Row],[Player]],RB!B:O,6,FALSE)</f>
        <v>9.5190104218038041</v>
      </c>
      <c r="W15" s="279">
        <f>VLOOKUP(TableRBRanks31[[#This Row],[Player]],RB!B:O,7,FALSE)</f>
        <v>44.527982942900287</v>
      </c>
      <c r="X15" s="279">
        <f>VLOOKUP(TableRBRanks31[[#This Row],[Player]],RB!B:O,8,FALSE)</f>
        <v>34.237566084796029</v>
      </c>
      <c r="Y15" s="279">
        <f>VLOOKUP(TableRBRanks31[[#This Row],[Player]],RB!B:O,9,FALSE)</f>
        <v>254.38511601003449</v>
      </c>
      <c r="Z15" s="279">
        <f>VLOOKUP(TableRBRanks31[[#This Row],[Player]],RB!B:O,10,FALSE)</f>
        <v>1.5601303716845818</v>
      </c>
      <c r="AA15" s="272">
        <f>IFERROR(INDEX(TableRBCalcPts[Custom],MATCH(TableRBRanks31[[#This Row],[RK]],TableRBCalcPts[RK],0)),"")</f>
        <v>200.04508768685292</v>
      </c>
      <c r="AB1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50.015899402176274</v>
      </c>
      <c r="AD15" s="274">
        <v>14</v>
      </c>
      <c r="AE15" s="274" t="str">
        <f>IFERROR(INDEX(TableWRCalcPts[PLAYER],MATCH(TableWRRanks32[[#This Row],[RK]],TableWRCalcPts[RK],0)),"")</f>
        <v>Amari Cooper</v>
      </c>
      <c r="AF15" s="22" t="str">
        <f>IFERROR(INDEX(TableWRCalcPts[TM],MATCH(TableWRRanks32[[#This Row],[Player]],TableWRCalcPts[PLAYER],0)),"")</f>
        <v>CLE</v>
      </c>
      <c r="AG15" s="22">
        <f>IFERROR(INDEX(TableWRCalcPts[BYE],MATCH(TableWRRanks32[[#This Row],[RK]],TableWRCalcPts[RK],0)),"")</f>
        <v>9</v>
      </c>
      <c r="AH15" s="279">
        <f>VLOOKUP(TableWRRanks32[[#This Row],[Player]],WR!B:O,4,FALSE)</f>
        <v>0.99980053536719471</v>
      </c>
      <c r="AI15" s="279">
        <f>VLOOKUP(TableWRRanks32[[#This Row],[Player]],WR!B:O,5,FALSE)</f>
        <v>0</v>
      </c>
      <c r="AJ15" s="279">
        <f>VLOOKUP(TableWRRanks32[[#This Row],[Player]],WR!B:O,6,FALSE)</f>
        <v>124.11200271348541</v>
      </c>
      <c r="AK15" s="279">
        <f>VLOOKUP(TableWRRanks32[[#This Row],[Player]],WR!B:O,7,FALSE)</f>
        <v>78.525664116822227</v>
      </c>
      <c r="AL15" s="279">
        <f>VLOOKUP(TableWRRanks32[[#This Row],[Player]],WR!B:O,8,FALSE)</f>
        <v>1068.7342886299505</v>
      </c>
      <c r="AM15" s="279">
        <f>VLOOKUP(TableWRRanks32[[#This Row],[Player]],WR!B:O,9,FALSE)</f>
        <v>8.3237203963831554</v>
      </c>
      <c r="AN15" s="272">
        <f>IFERROR(INDEX(TableWRCalcPts[Custom],MATCH(TableWRRanks32[[#This Row],[RK]],TableWRCalcPts[RK],0)),"")</f>
        <v>156.91573129483072</v>
      </c>
      <c r="AO1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22.582863544006234</v>
      </c>
      <c r="AQ15" s="274">
        <v>14</v>
      </c>
      <c r="AR15" s="274" t="str">
        <f>IFERROR(INDEX(TableTECalcPts[PLAYER],MATCH(TableTERanks33[[#This Row],[RK]],TableTECalcPts[RK],0)),"")</f>
        <v>Pat Freiermuth</v>
      </c>
      <c r="AS15" s="22" t="str">
        <f>IFERROR(INDEX(TableTECalcPts[TM],MATCH(TableTERanks33[[#This Row],[Player]],TableTECalcPts[PLAYER],0)),"")</f>
        <v>PIT</v>
      </c>
      <c r="AT15" s="22">
        <f>IFERROR(INDEX(TableTECalcPts[BYE],MATCH(TableTERanks33[[#This Row],[RK]],TableTECalcPts[RK],0)),"")</f>
        <v>9</v>
      </c>
      <c r="AU15" s="279">
        <f>VLOOKUP(TableTERanks33[[#This Row],[Player]],TE!B:O,4,FALSE)</f>
        <v>98.310197246163298</v>
      </c>
      <c r="AV15" s="279">
        <f>VLOOKUP(TableTERanks33[[#This Row],[Player]],TE!B:O,5,FALSE)</f>
        <v>62.928357257269127</v>
      </c>
      <c r="AW15" s="279">
        <f>VLOOKUP(TableTERanks33[[#This Row],[Player]],TE!B:O,6,FALSE)</f>
        <v>596.56082679891131</v>
      </c>
      <c r="AX15" s="279">
        <f>VLOOKUP(TableTERanks33[[#This Row],[Player]],TE!B:O,7,FALSE)</f>
        <v>6.0322920479128053</v>
      </c>
      <c r="AY15" s="272">
        <f>IFERROR(INDEX(TableTECalcPts[Custom],MATCH(TableTERanks33[[#This Row],[RK]],TableTECalcPts[RK],0)),"")</f>
        <v>95.849834967367968</v>
      </c>
      <c r="AZ1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6" spans="1:52" x14ac:dyDescent="0.3">
      <c r="A16" s="22">
        <v>15</v>
      </c>
      <c r="B16" s="22" t="str">
        <f>IFERROR(INDEX(TableQBCalcPts[PLAYER],MATCH(TableQBRanks30[[#This Row],[RK]],TableQBCalcPts[RK],0)),"")</f>
        <v>Justin Fields</v>
      </c>
      <c r="C16" s="22" t="str">
        <f>IFERROR(INDEX(TableQBCalcPts[TM],MATCH(TableQBRanks30[[#This Row],[Player]],TableQBCalcPts[PLAYER],0)),"")</f>
        <v>CHI</v>
      </c>
      <c r="D16" s="22">
        <f>IFERROR(INDEX(TableQBCalcPts[BYE],MATCH(TableQBRanks30[[#This Row],[RK]],TableQBCalcPts[RK],0)),"")</f>
        <v>14</v>
      </c>
      <c r="E16" s="279">
        <f>VLOOKUP(TableQBRanks30[[#This Row],[Player]],QB!B:O,4,FALSE)</f>
        <v>555.81244349999997</v>
      </c>
      <c r="F16" s="279">
        <f>VLOOKUP(TableQBRanks30[[#This Row],[Player]],QB!B:O,5,FALSE)</f>
        <v>346.82696474400001</v>
      </c>
      <c r="G16" s="279">
        <f>VLOOKUP(TableQBRanks30[[#This Row],[Player]],QB!B:O,6,FALSE)</f>
        <v>3880.99373548536</v>
      </c>
      <c r="H16" s="279">
        <f>VLOOKUP(TableQBRanks30[[#This Row],[Player]],QB!B:O,7,FALSE)</f>
        <v>19.769136990408001</v>
      </c>
      <c r="I16" s="279">
        <f>VLOOKUP(TableQBRanks30[[#This Row],[Player]],QB!B:O,8,FALSE)</f>
        <v>10.242241068988218</v>
      </c>
      <c r="J16" s="279">
        <f>VLOOKUP(TableQBRanks30[[#This Row],[Player]],QB!B:O,9,FALSE)</f>
        <v>116.82231299571052</v>
      </c>
      <c r="K16" s="279">
        <f>VLOOKUP(TableQBRanks30[[#This Row],[Player]],QB!B:O,10,FALSE)</f>
        <v>620.32648200722281</v>
      </c>
      <c r="L16" s="279">
        <f>VLOOKUP(TableQBRanks30[[#This Row],[Player]],QB!B:O,11,FALSE)</f>
        <v>5.6074710237941048</v>
      </c>
      <c r="M16" s="272">
        <f>IFERROR(INDEX(TableQBCalcPts[Custom],MATCH(TableQBRanks30[[#This Row],[RK]],TableQBCalcPts[RK],0)),"")</f>
        <v>309.50928958655686</v>
      </c>
      <c r="N1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11.875907757401784</v>
      </c>
      <c r="P16" s="22">
        <v>15</v>
      </c>
      <c r="Q16" s="22" t="str">
        <f>IFERROR(INDEX(TableRBCalcPts[PLAYER],MATCH(TableRBRanks31[[#This Row],[RK]],TableRBCalcPts[RK],0)),"")</f>
        <v>D'Andre Swift</v>
      </c>
      <c r="R16" s="22" t="str">
        <f>IFERROR(INDEX(TableRBCalcPts[TM],MATCH(TableRBRanks31[[#This Row],[Player]],TableRBCalcPts[PLAYER],0)),"")</f>
        <v>DET</v>
      </c>
      <c r="S16" s="22">
        <f>IFERROR(INDEX(TableRBCalcPts[BYE],MATCH(TableRBRanks31[[#This Row],[RK]],TableRBCalcPts[RK],0)),"")</f>
        <v>6</v>
      </c>
      <c r="T16" s="279">
        <f>VLOOKUP(TableRBRanks31[[#This Row],[Player]],RB!B:O,4,FALSE)</f>
        <v>198.22233644337862</v>
      </c>
      <c r="U16" s="279">
        <f>VLOOKUP(TableRBRanks31[[#This Row],[Player]],RB!B:O,5,FALSE)</f>
        <v>862.26716352869698</v>
      </c>
      <c r="V16" s="279">
        <f>VLOOKUP(TableRBRanks31[[#This Row],[Player]],RB!B:O,6,FALSE)</f>
        <v>7.0963596446729547</v>
      </c>
      <c r="W16" s="279">
        <f>VLOOKUP(TableRBRanks31[[#This Row],[Player]],RB!B:O,7,FALSE)</f>
        <v>87.902294242053841</v>
      </c>
      <c r="X16" s="279">
        <f>VLOOKUP(TableRBRanks31[[#This Row],[Player]],RB!B:O,8,FALSE)</f>
        <v>68.651691803044059</v>
      </c>
      <c r="Y16" s="279">
        <f>VLOOKUP(TableRBRanks31[[#This Row],[Player]],RB!B:O,9,FALSE)</f>
        <v>505.2764516704043</v>
      </c>
      <c r="Z16" s="279">
        <f>VLOOKUP(TableRBRanks31[[#This Row],[Player]],RB!B:O,10,FALSE)</f>
        <v>3.0206744393339386</v>
      </c>
      <c r="AA16" s="272">
        <f>IFERROR(INDEX(TableRBCalcPts[Custom],MATCH(TableRBRanks31[[#This Row],[RK]],TableRBCalcPts[RK],0)),"")</f>
        <v>197.4565660239515</v>
      </c>
      <c r="AB1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48.704518942395943</v>
      </c>
      <c r="AD16" s="22">
        <v>15</v>
      </c>
      <c r="AE16" s="274" t="str">
        <f>IFERROR(INDEX(TableWRCalcPts[PLAYER],MATCH(TableWRRanks32[[#This Row],[RK]],TableWRCalcPts[RK],0)),"")</f>
        <v>Keenan Allen</v>
      </c>
      <c r="AF16" s="22" t="str">
        <f>IFERROR(INDEX(TableWRCalcPts[TM],MATCH(TableWRRanks32[[#This Row],[Player]],TableWRCalcPts[PLAYER],0)),"")</f>
        <v>LAC</v>
      </c>
      <c r="AG16" s="22">
        <f>IFERROR(INDEX(TableWRCalcPts[BYE],MATCH(TableWRRanks32[[#This Row],[RK]],TableWRCalcPts[RK],0)),"")</f>
        <v>8</v>
      </c>
      <c r="AH16" s="279">
        <f>VLOOKUP(TableWRRanks32[[#This Row],[Player]],WR!B:O,4,FALSE)</f>
        <v>0.80011821658051208</v>
      </c>
      <c r="AI16" s="279">
        <f>VLOOKUP(TableWRRanks32[[#This Row],[Player]],WR!B:O,5,FALSE)</f>
        <v>0</v>
      </c>
      <c r="AJ16" s="279">
        <f>VLOOKUP(TableWRRanks32[[#This Row],[Player]],WR!B:O,6,FALSE)</f>
        <v>144.23939751456231</v>
      </c>
      <c r="AK16" s="279">
        <f>VLOOKUP(TableWRRanks32[[#This Row],[Player]],WR!B:O,7,FALSE)</f>
        <v>100.71892109018958</v>
      </c>
      <c r="AL16" s="279">
        <f>VLOOKUP(TableWRRanks32[[#This Row],[Player]],WR!B:O,8,FALSE)</f>
        <v>1098.8434290939683</v>
      </c>
      <c r="AM16" s="279">
        <f>VLOOKUP(TableWRRanks32[[#This Row],[Player]],WR!B:O,9,FALSE)</f>
        <v>6.8488866341328922</v>
      </c>
      <c r="AN16" s="272">
        <f>IFERROR(INDEX(TableWRCalcPts[Custom],MATCH(TableWRRanks32[[#This Row],[RK]],TableWRCalcPts[RK],0)),"")</f>
        <v>151.05767453585224</v>
      </c>
      <c r="AO1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19.82352353314155</v>
      </c>
      <c r="AQ16" s="22">
        <v>15</v>
      </c>
      <c r="AR16" s="274" t="str">
        <f>IFERROR(INDEX(TableTECalcPts[PLAYER],MATCH(TableTERanks33[[#This Row],[RK]],TableTECalcPts[RK],0)),"")</f>
        <v>Hunter Henry</v>
      </c>
      <c r="AS16" s="22" t="str">
        <f>IFERROR(INDEX(TableTECalcPts[TM],MATCH(TableTERanks33[[#This Row],[Player]],TableTECalcPts[PLAYER],0)),"")</f>
        <v>NE</v>
      </c>
      <c r="AT16" s="22">
        <f>IFERROR(INDEX(TableTECalcPts[BYE],MATCH(TableTERanks33[[#This Row],[RK]],TableTECalcPts[RK],0)),"")</f>
        <v>10</v>
      </c>
      <c r="AU16" s="279">
        <f>VLOOKUP(TableTERanks33[[#This Row],[Player]],TE!B:O,4,FALSE)</f>
        <v>72.442791560720281</v>
      </c>
      <c r="AV16" s="279">
        <f>VLOOKUP(TableTERanks33[[#This Row],[Player]],TE!B:O,5,FALSE)</f>
        <v>47.01537172290746</v>
      </c>
      <c r="AW16" s="279">
        <f>VLOOKUP(TableTERanks33[[#This Row],[Player]],TE!B:O,6,FALSE)</f>
        <v>542.32098588777001</v>
      </c>
      <c r="AX16" s="279">
        <f>VLOOKUP(TableTERanks33[[#This Row],[Player]],TE!B:O,7,FALSE)</f>
        <v>6.9074502910789626</v>
      </c>
      <c r="AY16" s="272">
        <f>IFERROR(INDEX(TableTECalcPts[Custom],MATCH(TableTERanks33[[#This Row],[RK]],TableTECalcPts[RK],0)),"")</f>
        <v>95.676800335250789</v>
      </c>
      <c r="AZ1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7" spans="1:52" x14ac:dyDescent="0.3">
      <c r="A17" s="22">
        <v>16</v>
      </c>
      <c r="B17" s="22" t="str">
        <f>IFERROR(INDEX(TableQBCalcPts[PLAYER],MATCH(TableQBRanks30[[#This Row],[RK]],TableQBCalcPts[RK],0)),"")</f>
        <v>Derek Carr</v>
      </c>
      <c r="C17" s="22" t="str">
        <f>IFERROR(INDEX(TableQBCalcPts[TM],MATCH(TableQBRanks30[[#This Row],[Player]],TableQBCalcPts[PLAYER],0)),"")</f>
        <v>LV</v>
      </c>
      <c r="D17" s="22">
        <f>IFERROR(INDEX(TableQBCalcPts[BYE],MATCH(TableQBRanks30[[#This Row],[RK]],TableQBCalcPts[RK],0)),"")</f>
        <v>6</v>
      </c>
      <c r="E17" s="279">
        <f>VLOOKUP(TableQBRanks30[[#This Row],[Player]],QB!B:O,4,FALSE)</f>
        <v>617.38873979999994</v>
      </c>
      <c r="F17" s="279">
        <f>VLOOKUP(TableQBRanks30[[#This Row],[Player]],QB!B:O,5,FALSE)</f>
        <v>417.97217684459997</v>
      </c>
      <c r="G17" s="279">
        <f>VLOOKUP(TableQBRanks30[[#This Row],[Player]],QB!B:O,6,FALSE)</f>
        <v>4614.4128323643836</v>
      </c>
      <c r="H17" s="279">
        <f>VLOOKUP(TableQBRanks30[[#This Row],[Player]],QB!B:O,7,FALSE)</f>
        <v>30.093996732811195</v>
      </c>
      <c r="I17" s="279">
        <f>VLOOKUP(TableQBRanks30[[#This Row],[Player]],QB!B:O,8,FALSE)</f>
        <v>9.6929929279980254</v>
      </c>
      <c r="J17" s="279">
        <f>VLOOKUP(TableQBRanks30[[#This Row],[Player]],QB!B:O,9,FALSE)</f>
        <v>31.348661726637555</v>
      </c>
      <c r="K17" s="279">
        <f>VLOOKUP(TableQBRanks30[[#This Row],[Player]],QB!B:O,10,FALSE)</f>
        <v>108.49668481845534</v>
      </c>
      <c r="L17" s="279">
        <f>VLOOKUP(TableQBRanks30[[#This Row],[Player]],QB!B:O,11,FALSE)</f>
        <v>0.94045985179912661</v>
      </c>
      <c r="M17" s="272">
        <f>IFERROR(INDEX(TableQBCalcPts[Custom],MATCH(TableQBRanks30[[#This Row],[RK]],TableQBCalcPts[RK],0)),"")</f>
        <v>302.05894196246436</v>
      </c>
      <c r="N1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10.6668664538655</v>
      </c>
      <c r="P17" s="22">
        <v>16</v>
      </c>
      <c r="Q17" s="22" t="str">
        <f>IFERROR(INDEX(TableRBCalcPts[PLAYER],MATCH(TableRBRanks31[[#This Row],[RK]],TableRBCalcPts[RK],0)),"")</f>
        <v>Aaron Jones</v>
      </c>
      <c r="R17" s="22" t="str">
        <f>IFERROR(INDEX(TableRBCalcPts[TM],MATCH(TableRBRanks31[[#This Row],[Player]],TableRBCalcPts[PLAYER],0)),"")</f>
        <v>GB</v>
      </c>
      <c r="S17" s="22">
        <f>IFERROR(INDEX(TableRBCalcPts[BYE],MATCH(TableRBRanks31[[#This Row],[RK]],TableRBCalcPts[RK],0)),"")</f>
        <v>14</v>
      </c>
      <c r="T17" s="279">
        <f>VLOOKUP(TableRBRanks31[[#This Row],[Player]],RB!B:O,4,FALSE)</f>
        <v>192.53322090294935</v>
      </c>
      <c r="U17" s="279">
        <f>VLOOKUP(TableRBRanks31[[#This Row],[Player]],RB!B:O,5,FALSE)</f>
        <v>893.35414498968498</v>
      </c>
      <c r="V17" s="279">
        <f>VLOOKUP(TableRBRanks31[[#This Row],[Player]],RB!B:O,6,FALSE)</f>
        <v>5.9300232038108405</v>
      </c>
      <c r="W17" s="279">
        <f>VLOOKUP(TableRBRanks31[[#This Row],[Player]],RB!B:O,7,FALSE)</f>
        <v>72.285657579999977</v>
      </c>
      <c r="X17" s="279">
        <f>VLOOKUP(TableRBRanks31[[#This Row],[Player]],RB!B:O,8,FALSE)</f>
        <v>55.804527651759983</v>
      </c>
      <c r="Y17" s="279">
        <f>VLOOKUP(TableRBRanks31[[#This Row],[Player]],RB!B:O,9,FALSE)</f>
        <v>474.89653031647742</v>
      </c>
      <c r="Z17" s="279">
        <f>VLOOKUP(TableRBRanks31[[#This Row],[Player]],RB!B:O,10,FALSE)</f>
        <v>4.0179259909267184</v>
      </c>
      <c r="AA17" s="272">
        <f>IFERROR(INDEX(TableRBCalcPts[Custom],MATCH(TableRBRanks31[[#This Row],[RK]],TableRBCalcPts[RK],0)),"")</f>
        <v>196.51276269904162</v>
      </c>
      <c r="AB1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48.226375276109124</v>
      </c>
      <c r="AD17" s="22">
        <v>16</v>
      </c>
      <c r="AE17" s="22" t="str">
        <f>IFERROR(INDEX(TableWRCalcPts[PLAYER],MATCH(TableWRRanks32[[#This Row],[RK]],TableWRCalcPts[RK],0)),"")</f>
        <v>Diontae Johnson</v>
      </c>
      <c r="AF17" s="22" t="str">
        <f>IFERROR(INDEX(TableWRCalcPts[TM],MATCH(TableWRRanks32[[#This Row],[Player]],TableWRCalcPts[PLAYER],0)),"")</f>
        <v>PIT</v>
      </c>
      <c r="AG17" s="22">
        <f>IFERROR(INDEX(TableWRCalcPts[BYE],MATCH(TableWRRanks32[[#This Row],[RK]],TableWRCalcPts[RK],0)),"")</f>
        <v>9</v>
      </c>
      <c r="AH17" s="279">
        <f>VLOOKUP(TableWRRanks32[[#This Row],[Player]],WR!B:O,4,FALSE)</f>
        <v>46.001830129884716</v>
      </c>
      <c r="AI17" s="279">
        <f>VLOOKUP(TableWRRanks32[[#This Row],[Player]],WR!B:O,5,FALSE)</f>
        <v>0</v>
      </c>
      <c r="AJ17" s="279">
        <f>VLOOKUP(TableWRRanks32[[#This Row],[Player]],WR!B:O,6,FALSE)</f>
        <v>158.35199556428987</v>
      </c>
      <c r="AK17" s="279">
        <f>VLOOKUP(TableWRRanks32[[#This Row],[Player]],WR!B:O,7,FALSE)</f>
        <v>100.58518758243692</v>
      </c>
      <c r="AL17" s="279">
        <f>VLOOKUP(TableWRRanks32[[#This Row],[Player]],WR!B:O,8,FALSE)</f>
        <v>1066.2029883738312</v>
      </c>
      <c r="AM17" s="279">
        <f>VLOOKUP(TableWRRanks32[[#This Row],[Player]],WR!B:O,9,FALSE)</f>
        <v>6.6010038950483434</v>
      </c>
      <c r="AN17" s="272">
        <f>IFERROR(INDEX(TableWRCalcPts[Custom],MATCH(TableWRRanks32[[#This Row],[RK]],TableWRCalcPts[RK],0)),"")</f>
        <v>150.82650522066166</v>
      </c>
      <c r="AO1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19.714635079694609</v>
      </c>
      <c r="AQ17" s="22">
        <v>16</v>
      </c>
      <c r="AR17" s="274" t="str">
        <f>IFERROR(INDEX(TableTECalcPts[PLAYER],MATCH(TableTERanks33[[#This Row],[RK]],TableTECalcPts[RK],0)),"")</f>
        <v>Cole Kmet</v>
      </c>
      <c r="AS17" s="22" t="str">
        <f>IFERROR(INDEX(TableTECalcPts[TM],MATCH(TableTERanks33[[#This Row],[Player]],TableTECalcPts[PLAYER],0)),"")</f>
        <v>CHI</v>
      </c>
      <c r="AT17" s="22">
        <f>IFERROR(INDEX(TableTECalcPts[BYE],MATCH(TableTERanks33[[#This Row],[RK]],TableTECalcPts[RK],0)),"")</f>
        <v>14</v>
      </c>
      <c r="AU17" s="279">
        <f>VLOOKUP(TableTERanks33[[#This Row],[Player]],TE!B:O,4,FALSE)</f>
        <v>88.967808762398676</v>
      </c>
      <c r="AV17" s="279">
        <f>VLOOKUP(TableTERanks33[[#This Row],[Player]],TE!B:O,5,FALSE)</f>
        <v>58.007011313083936</v>
      </c>
      <c r="AW17" s="279">
        <f>VLOOKUP(TableTERanks33[[#This Row],[Player]],TE!B:O,6,FALSE)</f>
        <v>662.44006919541857</v>
      </c>
      <c r="AX17" s="279">
        <f>VLOOKUP(TableTERanks33[[#This Row],[Player]],TE!B:O,7,FALSE)</f>
        <v>4.4085328597943789</v>
      </c>
      <c r="AY17" s="272">
        <f>IFERROR(INDEX(TableTECalcPts[Custom],MATCH(TableTERanks33[[#This Row],[RK]],TableTECalcPts[RK],0)),"")</f>
        <v>92.695204078308137</v>
      </c>
      <c r="AZ1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8" spans="1:52" x14ac:dyDescent="0.3">
      <c r="A18" s="22">
        <v>17</v>
      </c>
      <c r="B18" s="22" t="str">
        <f>IFERROR(INDEX(TableQBCalcPts[PLAYER],MATCH(TableQBRanks30[[#This Row],[RK]],TableQBCalcPts[RK],0)),"")</f>
        <v>Kirk Cousins</v>
      </c>
      <c r="C18" s="22" t="str">
        <f>IFERROR(INDEX(TableQBCalcPts[TM],MATCH(TableQBRanks30[[#This Row],[Player]],TableQBCalcPts[PLAYER],0)),"")</f>
        <v>MIN</v>
      </c>
      <c r="D18" s="22">
        <f>IFERROR(INDEX(TableQBCalcPts[BYE],MATCH(TableQBRanks30[[#This Row],[RK]],TableQBCalcPts[RK],0)),"")</f>
        <v>7</v>
      </c>
      <c r="E18" s="279">
        <f>VLOOKUP(TableQBRanks30[[#This Row],[Player]],QB!B:O,4,FALSE)</f>
        <v>594.88550549999991</v>
      </c>
      <c r="F18" s="279">
        <f>VLOOKUP(TableQBRanks30[[#This Row],[Player]],QB!B:O,5,FALSE)</f>
        <v>394.15474834428454</v>
      </c>
      <c r="G18" s="279">
        <f>VLOOKUP(TableQBRanks30[[#This Row],[Player]],QB!B:O,6,FALSE)</f>
        <v>4403.6670414729006</v>
      </c>
      <c r="H18" s="279">
        <f>VLOOKUP(TableQBRanks30[[#This Row],[Player]],QB!B:O,7,FALSE)</f>
        <v>31.048460602424925</v>
      </c>
      <c r="I18" s="279">
        <f>VLOOKUP(TableQBRanks30[[#This Row],[Player]],QB!B:O,8,FALSE)</f>
        <v>7.3485228624001389</v>
      </c>
      <c r="J18" s="279">
        <f>VLOOKUP(TableQBRanks30[[#This Row],[Player]],QB!B:O,9,FALSE)</f>
        <v>26.52114475271901</v>
      </c>
      <c r="K18" s="279">
        <f>VLOOKUP(TableQBRanks30[[#This Row],[Player]],QB!B:O,10,FALSE)</f>
        <v>105.61340308826387</v>
      </c>
      <c r="L18" s="279">
        <f>VLOOKUP(TableQBRanks30[[#This Row],[Player]],QB!B:O,11,FALSE)</f>
        <v>0.95476121109788425</v>
      </c>
      <c r="M18" s="272">
        <f>IFERROR(INDEX(TableQBCalcPts[Custom],MATCH(TableQBRanks30[[#This Row],[RK]],TableQBCalcPts[RK],0)),"")</f>
        <v>301.93338591922918</v>
      </c>
      <c r="N1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9.7891730418633891</v>
      </c>
      <c r="P18" s="22">
        <v>17</v>
      </c>
      <c r="Q18" s="22" t="str">
        <f>IFERROR(INDEX(TableRBCalcPts[PLAYER],MATCH(TableRBRanks31[[#This Row],[RK]],TableRBCalcPts[RK],0)),"")</f>
        <v>Javonte Williams</v>
      </c>
      <c r="R18" s="22" t="str">
        <f>IFERROR(INDEX(TableRBCalcPts[TM],MATCH(TableRBRanks31[[#This Row],[Player]],TableRBCalcPts[PLAYER],0)),"")</f>
        <v>DEN</v>
      </c>
      <c r="S18" s="22">
        <f>IFERROR(INDEX(TableRBCalcPts[BYE],MATCH(TableRBRanks31[[#This Row],[RK]],TableRBCalcPts[RK],0)),"")</f>
        <v>9</v>
      </c>
      <c r="T18" s="279">
        <f>VLOOKUP(TableRBRanks31[[#This Row],[Player]],RB!B:O,4,FALSE)</f>
        <v>215.14839453470179</v>
      </c>
      <c r="U18" s="279">
        <f>VLOOKUP(TableRBRanks31[[#This Row],[Player]],RB!B:O,5,FALSE)</f>
        <v>953.49686561483679</v>
      </c>
      <c r="V18" s="279">
        <f>VLOOKUP(TableRBRanks31[[#This Row],[Player]],RB!B:O,6,FALSE)</f>
        <v>7.0353525012847484</v>
      </c>
      <c r="W18" s="279">
        <f>VLOOKUP(TableRBRanks31[[#This Row],[Player]],RB!B:O,7,FALSE)</f>
        <v>66.727022380707382</v>
      </c>
      <c r="X18" s="279">
        <f>VLOOKUP(TableRBRanks31[[#This Row],[Player]],RB!B:O,8,FALSE)</f>
        <v>52.82111091656796</v>
      </c>
      <c r="Y18" s="279">
        <f>VLOOKUP(TableRBRanks31[[#This Row],[Player]],RB!B:O,9,FALSE)</f>
        <v>364.06813087684418</v>
      </c>
      <c r="Z18" s="279">
        <f>VLOOKUP(TableRBRanks31[[#This Row],[Player]],RB!B:O,10,FALSE)</f>
        <v>3.127946973411873</v>
      </c>
      <c r="AA18" s="272">
        <f>IFERROR(INDEX(TableRBCalcPts[Custom],MATCH(TableRBRanks31[[#This Row],[RK]],TableRBCalcPts[RK],0)),"")</f>
        <v>192.73629649734781</v>
      </c>
      <c r="AB1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46.313165873653872</v>
      </c>
      <c r="AD18" s="274">
        <v>17</v>
      </c>
      <c r="AE18" s="22" t="str">
        <f>IFERROR(INDEX(TableWRCalcPts[PLAYER],MATCH(TableWRRanks32[[#This Row],[RK]],TableWRCalcPts[RK],0)),"")</f>
        <v>Allen Robinson</v>
      </c>
      <c r="AF18" s="22" t="str">
        <f>IFERROR(INDEX(TableWRCalcPts[TM],MATCH(TableWRRanks32[[#This Row],[Player]],TableWRCalcPts[PLAYER],0)),"")</f>
        <v>LAR</v>
      </c>
      <c r="AG18" s="22">
        <f>IFERROR(INDEX(TableWRCalcPts[BYE],MATCH(TableWRRanks32[[#This Row],[RK]],TableWRCalcPts[RK],0)),"")</f>
        <v>7</v>
      </c>
      <c r="AH18" s="279">
        <f>VLOOKUP(TableWRRanks32[[#This Row],[Player]],WR!B:O,4,FALSE)</f>
        <v>0</v>
      </c>
      <c r="AI18" s="279">
        <f>VLOOKUP(TableWRRanks32[[#This Row],[Player]],WR!B:O,5,FALSE)</f>
        <v>0</v>
      </c>
      <c r="AJ18" s="279">
        <f>VLOOKUP(TableWRRanks32[[#This Row],[Player]],WR!B:O,6,FALSE)</f>
        <v>117.76158974956499</v>
      </c>
      <c r="AK18" s="279">
        <f>VLOOKUP(TableWRRanks32[[#This Row],[Player]],WR!B:O,7,FALSE)</f>
        <v>80.056757874592165</v>
      </c>
      <c r="AL18" s="279">
        <f>VLOOKUP(TableWRRanks32[[#This Row],[Player]],WR!B:O,8,FALSE)</f>
        <v>1047.1423929996656</v>
      </c>
      <c r="AM18" s="279">
        <f>VLOOKUP(TableWRRanks32[[#This Row],[Player]],WR!B:O,9,FALSE)</f>
        <v>7.6053919980862554</v>
      </c>
      <c r="AN18" s="272">
        <f>IFERROR(INDEX(TableWRCalcPts[Custom],MATCH(TableWRRanks32[[#This Row],[RK]],TableWRCalcPts[RK],0)),"")</f>
        <v>150.34659128848409</v>
      </c>
      <c r="AO1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19.488579619784748</v>
      </c>
      <c r="AQ18" s="274">
        <v>17</v>
      </c>
      <c r="AR18" s="22" t="str">
        <f>IFERROR(INDEX(TableTECalcPts[PLAYER],MATCH(TableTERanks33[[#This Row],[RK]],TableTECalcPts[RK],0)),"")</f>
        <v>Brevin Jordan</v>
      </c>
      <c r="AS18" s="22" t="str">
        <f>IFERROR(INDEX(TableTECalcPts[TM],MATCH(TableTERanks33[[#This Row],[Player]],TableTECalcPts[PLAYER],0)),"")</f>
        <v>HOU</v>
      </c>
      <c r="AT18" s="22">
        <f>IFERROR(INDEX(TableTECalcPts[BYE],MATCH(TableTERanks33[[#This Row],[RK]],TableTECalcPts[RK],0)),"")</f>
        <v>6</v>
      </c>
      <c r="AU18" s="279">
        <f>VLOOKUP(TableTERanks33[[#This Row],[Player]],TE!B:O,4,FALSE)</f>
        <v>85.027608823573715</v>
      </c>
      <c r="AV18" s="279">
        <f>VLOOKUP(TableTERanks33[[#This Row],[Player]],TE!B:O,5,FALSE)</f>
        <v>53.083122111818199</v>
      </c>
      <c r="AW18" s="279">
        <f>VLOOKUP(TableTERanks33[[#This Row],[Player]],TE!B:O,6,FALSE)</f>
        <v>549.94114507843653</v>
      </c>
      <c r="AX18" s="279">
        <f>VLOOKUP(TableTERanks33[[#This Row],[Player]],TE!B:O,7,FALSE)</f>
        <v>5.4144784554054555</v>
      </c>
      <c r="AY18" s="272">
        <f>IFERROR(INDEX(TableTECalcPts[Custom],MATCH(TableTERanks33[[#This Row],[RK]],TableTECalcPts[RK],0)),"")</f>
        <v>87.480985240276397</v>
      </c>
      <c r="AZ1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19" spans="1:52" x14ac:dyDescent="0.3">
      <c r="A19" s="22">
        <v>18</v>
      </c>
      <c r="B19" s="22" t="str">
        <f>IFERROR(INDEX(TableQBCalcPts[PLAYER],MATCH(TableQBRanks30[[#This Row],[RK]],TableQBCalcPts[RK],0)),"")</f>
        <v>Tua Tagovailoa</v>
      </c>
      <c r="C19" s="22" t="str">
        <f>IFERROR(INDEX(TableQBCalcPts[TM],MATCH(TableQBRanks30[[#This Row],[Player]],TableQBCalcPts[PLAYER],0)),"")</f>
        <v>MIA</v>
      </c>
      <c r="D19" s="22">
        <f>IFERROR(INDEX(TableQBCalcPts[BYE],MATCH(TableQBRanks30[[#This Row],[RK]],TableQBCalcPts[RK],0)),"")</f>
        <v>11</v>
      </c>
      <c r="E19" s="279">
        <f>VLOOKUP(TableQBRanks30[[#This Row],[Player]],QB!B:O,4,FALSE)</f>
        <v>611.08885469999984</v>
      </c>
      <c r="F19" s="279">
        <f>VLOOKUP(TableQBRanks30[[#This Row],[Player]],QB!B:O,5,FALSE)</f>
        <v>405.93703942062996</v>
      </c>
      <c r="G19" s="279">
        <f>VLOOKUP(TableQBRanks30[[#This Row],[Player]],QB!B:O,6,FALSE)</f>
        <v>4290.7545066760586</v>
      </c>
      <c r="H19" s="279">
        <f>VLOOKUP(TableQBRanks30[[#This Row],[Player]],QB!B:O,7,FALSE)</f>
        <v>26.971654891819306</v>
      </c>
      <c r="I19" s="279">
        <f>VLOOKUP(TableQBRanks30[[#This Row],[Player]],QB!B:O,8,FALSE)</f>
        <v>9.6335162674567894</v>
      </c>
      <c r="J19" s="279">
        <f>VLOOKUP(TableQBRanks30[[#This Row],[Player]],QB!B:O,9,FALSE)</f>
        <v>53.23026696557271</v>
      </c>
      <c r="K19" s="279">
        <f>VLOOKUP(TableQBRanks30[[#This Row],[Player]],QB!B:O,10,FALSE)</f>
        <v>172.24639029749829</v>
      </c>
      <c r="L19" s="279">
        <f>VLOOKUP(TableQBRanks30[[#This Row],[Player]],QB!B:O,11,FALSE)</f>
        <v>3.5113534088989367</v>
      </c>
      <c r="M19" s="272">
        <f>IFERROR(INDEX(TableQBCalcPts[Custom],MATCH(TableQBRanks30[[#This Row],[RK]],TableQBCalcPts[RK],0)),"")</f>
        <v>298.54252678254943</v>
      </c>
      <c r="N1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8.7586588411684385</v>
      </c>
      <c r="P19" s="22">
        <v>18</v>
      </c>
      <c r="Q19" s="22" t="str">
        <f>IFERROR(INDEX(TableRBCalcPts[PLAYER],MATCH(TableRBRanks31[[#This Row],[RK]],TableRBCalcPts[RK],0)),"")</f>
        <v>Alvin Kamara</v>
      </c>
      <c r="R19" s="22" t="str">
        <f>IFERROR(INDEX(TableRBCalcPts[TM],MATCH(TableRBRanks31[[#This Row],[Player]],TableRBCalcPts[PLAYER],0)),"")</f>
        <v>NO</v>
      </c>
      <c r="S19" s="22">
        <f>IFERROR(INDEX(TableRBCalcPts[BYE],MATCH(TableRBRanks31[[#This Row],[RK]],TableRBCalcPts[RK],0)),"")</f>
        <v>14</v>
      </c>
      <c r="T19" s="279">
        <f>VLOOKUP(TableRBRanks31[[#This Row],[Player]],RB!B:O,4,FALSE)</f>
        <v>203.26700376832514</v>
      </c>
      <c r="U19" s="279">
        <f>VLOOKUP(TableRBRanks31[[#This Row],[Player]],RB!B:O,5,FALSE)</f>
        <v>835.42738548781642</v>
      </c>
      <c r="V19" s="279">
        <f>VLOOKUP(TableRBRanks31[[#This Row],[Player]],RB!B:O,6,FALSE)</f>
        <v>7.0533650307608831</v>
      </c>
      <c r="W19" s="279">
        <f>VLOOKUP(TableRBRanks31[[#This Row],[Player]],RB!B:O,7,FALSE)</f>
        <v>74.422920901695932</v>
      </c>
      <c r="X19" s="279">
        <f>VLOOKUP(TableRBRanks31[[#This Row],[Player]],RB!B:O,8,FALSE)</f>
        <v>52.282101933441396</v>
      </c>
      <c r="Y19" s="279">
        <f>VLOOKUP(TableRBRanks31[[#This Row],[Player]],RB!B:O,9,FALSE)</f>
        <v>430.80451993155714</v>
      </c>
      <c r="Z19" s="279">
        <f>VLOOKUP(TableRBRanks31[[#This Row],[Player]],RB!B:O,10,FALSE)</f>
        <v>3.5428003283845166</v>
      </c>
      <c r="AA19" s="272">
        <f>IFERROR(INDEX(TableRBCalcPts[Custom],MATCH(TableRBRanks31[[#This Row],[RK]],TableRBCalcPts[RK],0)),"")</f>
        <v>190.20018269680975</v>
      </c>
      <c r="AB1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45.028335953367638</v>
      </c>
      <c r="AD19" s="22">
        <v>18</v>
      </c>
      <c r="AE19" s="22" t="str">
        <f>IFERROR(INDEX(TableWRCalcPts[PLAYER],MATCH(TableWRRanks32[[#This Row],[RK]],TableWRCalcPts[RK],0)),"")</f>
        <v>DK Metcalf</v>
      </c>
      <c r="AF19" s="22" t="str">
        <f>IFERROR(INDEX(TableWRCalcPts[TM],MATCH(TableWRRanks32[[#This Row],[Player]],TableWRCalcPts[PLAYER],0)),"")</f>
        <v>SEA</v>
      </c>
      <c r="AG19" s="22">
        <f>IFERROR(INDEX(TableWRCalcPts[BYE],MATCH(TableWRRanks32[[#This Row],[RK]],TableWRCalcPts[RK],0)),"")</f>
        <v>11</v>
      </c>
      <c r="AH19" s="279">
        <f>VLOOKUP(TableWRRanks32[[#This Row],[Player]],WR!B:O,4,FALSE)</f>
        <v>2.1261463131328147</v>
      </c>
      <c r="AI19" s="279">
        <f>VLOOKUP(TableWRRanks32[[#This Row],[Player]],WR!B:O,5,FALSE)</f>
        <v>0</v>
      </c>
      <c r="AJ19" s="279">
        <f>VLOOKUP(TableWRRanks32[[#This Row],[Player]],WR!B:O,6,FALSE)</f>
        <v>135.78543679376551</v>
      </c>
      <c r="AK19" s="279">
        <f>VLOOKUP(TableWRRanks32[[#This Row],[Player]],WR!B:O,7,FALSE)</f>
        <v>77.886526544903901</v>
      </c>
      <c r="AL19" s="279">
        <f>VLOOKUP(TableWRRanks32[[#This Row],[Player]],WR!B:O,8,FALSE)</f>
        <v>1122.3448475120651</v>
      </c>
      <c r="AM19" s="279">
        <f>VLOOKUP(TableWRRanks32[[#This Row],[Player]],WR!B:O,9,FALSE)</f>
        <v>6.308808650137216</v>
      </c>
      <c r="AN19" s="272">
        <f>IFERROR(INDEX(TableWRCalcPts[Custom],MATCH(TableWRRanks32[[#This Row],[RK]],TableWRCalcPts[RK],0)),"")</f>
        <v>150.29995128334309</v>
      </c>
      <c r="AO1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19.46661062262622</v>
      </c>
      <c r="AQ19" s="22">
        <v>18</v>
      </c>
      <c r="AR19" s="274" t="str">
        <f>IFERROR(INDEX(TableTECalcPts[PLAYER],MATCH(TableTERanks33[[#This Row],[RK]],TableTECalcPts[RK],0)),"")</f>
        <v>Gerald Everett</v>
      </c>
      <c r="AS19" s="22" t="str">
        <f>IFERROR(INDEX(TableTECalcPts[TM],MATCH(TableTERanks33[[#This Row],[Player]],TableTECalcPts[PLAYER],0)),"")</f>
        <v>LAC</v>
      </c>
      <c r="AT19" s="22">
        <f>IFERROR(INDEX(TableTECalcPts[BYE],MATCH(TableTERanks33[[#This Row],[RK]],TableTECalcPts[RK],0)),"")</f>
        <v>8</v>
      </c>
      <c r="AU19" s="279">
        <f>VLOOKUP(TableTERanks33[[#This Row],[Player]],TE!B:O,4,FALSE)</f>
        <v>77.985894349978679</v>
      </c>
      <c r="AV19" s="279">
        <f>VLOOKUP(TableTERanks33[[#This Row],[Player]],TE!B:O,5,FALSE)</f>
        <v>54.192408952280417</v>
      </c>
      <c r="AW19" s="279">
        <f>VLOOKUP(TableTERanks33[[#This Row],[Player]],TE!B:O,6,FALSE)</f>
        <v>569.12460424581741</v>
      </c>
      <c r="AX19" s="279">
        <f>VLOOKUP(TableTERanks33[[#This Row],[Player]],TE!B:O,7,FALSE)</f>
        <v>4.9315092146575177</v>
      </c>
      <c r="AY19" s="272">
        <f>IFERROR(INDEX(TableTECalcPts[Custom],MATCH(TableTERanks33[[#This Row],[RK]],TableTECalcPts[RK],0)),"")</f>
        <v>86.501515712526853</v>
      </c>
      <c r="AZ1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0" spans="1:52" x14ac:dyDescent="0.3">
      <c r="A20" s="22">
        <v>19</v>
      </c>
      <c r="B20" s="22" t="str">
        <f>IFERROR(INDEX(TableQBCalcPts[PLAYER],MATCH(TableQBRanks30[[#This Row],[RK]],TableQBCalcPts[RK],0)),"")</f>
        <v>Carson Wentz</v>
      </c>
      <c r="C20" s="22" t="str">
        <f>IFERROR(INDEX(TableQBCalcPts[TM],MATCH(TableQBRanks30[[#This Row],[Player]],TableQBCalcPts[PLAYER],0)),"")</f>
        <v>WSH</v>
      </c>
      <c r="D20" s="22">
        <f>IFERROR(INDEX(TableQBCalcPts[BYE],MATCH(TableQBRanks30[[#This Row],[RK]],TableQBCalcPts[RK],0)),"")</f>
        <v>14</v>
      </c>
      <c r="E20" s="279">
        <f>VLOOKUP(TableQBRanks30[[#This Row],[Player]],QB!B:O,4,FALSE)</f>
        <v>597.30170324999995</v>
      </c>
      <c r="F20" s="279">
        <f>VLOOKUP(TableQBRanks30[[#This Row],[Player]],QB!B:O,5,FALSE)</f>
        <v>377.49467645399994</v>
      </c>
      <c r="G20" s="279">
        <f>VLOOKUP(TableQBRanks30[[#This Row],[Player]],QB!B:O,6,FALSE)</f>
        <v>4193.9658554039388</v>
      </c>
      <c r="H20" s="279">
        <f>VLOOKUP(TableQBRanks30[[#This Row],[Player]],QB!B:O,7,FALSE)</f>
        <v>25.197074665159352</v>
      </c>
      <c r="I20" s="279">
        <f>VLOOKUP(TableQBRanks30[[#This Row],[Player]],QB!B:O,8,FALSE)</f>
        <v>7.9688501132900651</v>
      </c>
      <c r="J20" s="279">
        <f>VLOOKUP(TableQBRanks30[[#This Row],[Player]],QB!B:O,9,FALSE)</f>
        <v>45.103943615323686</v>
      </c>
      <c r="K20" s="279">
        <f>VLOOKUP(TableQBRanks30[[#This Row],[Player]],QB!B:O,10,FALSE)</f>
        <v>184.64007933328469</v>
      </c>
      <c r="L20" s="279">
        <f>VLOOKUP(TableQBRanks30[[#This Row],[Player]],QB!B:O,11,FALSE)</f>
        <v>1.1621087251777349</v>
      </c>
      <c r="M20" s="272">
        <f>IFERROR(INDEX(TableQBCalcPts[Custom],MATCH(TableQBRanks30[[#This Row],[RK]],TableQBCalcPts[RK],0)),"")</f>
        <v>278.04589293460975</v>
      </c>
      <c r="N2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5.5647706521677289</v>
      </c>
      <c r="P20" s="22">
        <v>19</v>
      </c>
      <c r="Q20" s="22" t="str">
        <f>IFERROR(INDEX(TableRBCalcPts[PLAYER],MATCH(TableRBRanks31[[#This Row],[RK]],TableRBCalcPts[RK],0)),"")</f>
        <v>Josh Jacobs</v>
      </c>
      <c r="R20" s="22" t="str">
        <f>IFERROR(INDEX(TableRBCalcPts[TM],MATCH(TableRBRanks31[[#This Row],[Player]],TableRBCalcPts[PLAYER],0)),"")</f>
        <v>LV</v>
      </c>
      <c r="S20" s="22">
        <f>IFERROR(INDEX(TableRBCalcPts[BYE],MATCH(TableRBRanks31[[#This Row],[RK]],TableRBCalcPts[RK],0)),"")</f>
        <v>6</v>
      </c>
      <c r="T20" s="279">
        <f>VLOOKUP(TableRBRanks31[[#This Row],[Player]],RB!B:O,4,FALSE)</f>
        <v>232.0349158558592</v>
      </c>
      <c r="U20" s="279">
        <f>VLOOKUP(TableRBRanks31[[#This Row],[Player]],RB!B:O,5,FALSE)</f>
        <v>969.49231727326003</v>
      </c>
      <c r="V20" s="279">
        <f>VLOOKUP(TableRBRanks31[[#This Row],[Player]],RB!B:O,6,FALSE)</f>
        <v>9.0957687015496802</v>
      </c>
      <c r="W20" s="279">
        <f>VLOOKUP(TableRBRanks31[[#This Row],[Player]],RB!B:O,7,FALSE)</f>
        <v>60.478896959999986</v>
      </c>
      <c r="X20" s="279">
        <f>VLOOKUP(TableRBRanks31[[#This Row],[Player]],RB!B:O,8,FALSE)</f>
        <v>44.222169457151985</v>
      </c>
      <c r="Y20" s="279">
        <f>VLOOKUP(TableRBRanks31[[#This Row],[Player]],RB!B:O,9,FALSE)</f>
        <v>313.53518145120756</v>
      </c>
      <c r="Z20" s="279">
        <f>VLOOKUP(TableRBRanks31[[#This Row],[Player]],RB!B:O,10,FALSE)</f>
        <v>0.88444338914303966</v>
      </c>
      <c r="AA20" s="272">
        <f>IFERROR(INDEX(TableRBCalcPts[Custom],MATCH(TableRBRanks31[[#This Row],[RK]],TableRBCalcPts[RK],0)),"")</f>
        <v>188.18402241660306</v>
      </c>
      <c r="AB2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44.006921594298781</v>
      </c>
      <c r="AD20" s="22">
        <v>19</v>
      </c>
      <c r="AE20" s="22" t="str">
        <f>IFERROR(INDEX(TableWRCalcPts[PLAYER],MATCH(TableWRRanks32[[#This Row],[RK]],TableWRCalcPts[RK],0)),"")</f>
        <v>Gabriel Davis</v>
      </c>
      <c r="AF20" s="22" t="str">
        <f>IFERROR(INDEX(TableWRCalcPts[TM],MATCH(TableWRRanks32[[#This Row],[Player]],TableWRCalcPts[PLAYER],0)),"")</f>
        <v>BUF</v>
      </c>
      <c r="AG20" s="22">
        <f>IFERROR(INDEX(TableWRCalcPts[BYE],MATCH(TableWRRanks32[[#This Row],[RK]],TableWRCalcPts[RK],0)),"")</f>
        <v>7</v>
      </c>
      <c r="AH20" s="279">
        <f>VLOOKUP(TableWRRanks32[[#This Row],[Player]],WR!B:O,4,FALSE)</f>
        <v>0</v>
      </c>
      <c r="AI20" s="279">
        <f>VLOOKUP(TableWRRanks32[[#This Row],[Player]],WR!B:O,5,FALSE)</f>
        <v>0</v>
      </c>
      <c r="AJ20" s="279">
        <f>VLOOKUP(TableWRRanks32[[#This Row],[Player]],WR!B:O,6,FALSE)</f>
        <v>113.91983316322182</v>
      </c>
      <c r="AK20" s="279">
        <f>VLOOKUP(TableWRRanks32[[#This Row],[Player]],WR!B:O,7,FALSE)</f>
        <v>65.4241601856383</v>
      </c>
      <c r="AL20" s="279">
        <f>VLOOKUP(TableWRRanks32[[#This Row],[Player]],WR!B:O,8,FALSE)</f>
        <v>1000.0308328399603</v>
      </c>
      <c r="AM20" s="279">
        <f>VLOOKUP(TableWRRanks32[[#This Row],[Player]],WR!B:O,9,FALSE)</f>
        <v>8.308868343576064</v>
      </c>
      <c r="AN20" s="272">
        <f>IFERROR(INDEX(TableWRCalcPts[Custom],MATCH(TableWRRanks32[[#This Row],[RK]],TableWRCalcPts[RK],0)),"")</f>
        <v>149.8562933454524</v>
      </c>
      <c r="AO2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19.257632944613249</v>
      </c>
      <c r="AQ20" s="22">
        <v>19</v>
      </c>
      <c r="AR20" s="22" t="str">
        <f>IFERROR(INDEX(TableTECalcPts[PLAYER],MATCH(TableTERanks33[[#This Row],[RK]],TableTECalcPts[RK],0)),"")</f>
        <v>Mike Gesicki</v>
      </c>
      <c r="AS20" s="22" t="str">
        <f>IFERROR(INDEX(TableTECalcPts[TM],MATCH(TableTERanks33[[#This Row],[Player]],TableTECalcPts[PLAYER],0)),"")</f>
        <v>MIA</v>
      </c>
      <c r="AT20" s="22">
        <f>IFERROR(INDEX(TableTECalcPts[BYE],MATCH(TableTERanks33[[#This Row],[RK]],TableTECalcPts[RK],0)),"")</f>
        <v>11</v>
      </c>
      <c r="AU20" s="279">
        <f>VLOOKUP(TableTERanks33[[#This Row],[Player]],TE!B:O,4,FALSE)</f>
        <v>93.238299479999966</v>
      </c>
      <c r="AV20" s="279">
        <f>VLOOKUP(TableTERanks33[[#This Row],[Player]],TE!B:O,5,FALSE)</f>
        <v>61.341477227891978</v>
      </c>
      <c r="AW20" s="279">
        <f>VLOOKUP(TableTERanks33[[#This Row],[Player]],TE!B:O,6,FALSE)</f>
        <v>645.92575520970252</v>
      </c>
      <c r="AX20" s="279">
        <f>VLOOKUP(TableTERanks33[[#This Row],[Player]],TE!B:O,7,FALSE)</f>
        <v>3.5069706518021251</v>
      </c>
      <c r="AY20" s="272">
        <f>IFERROR(INDEX(TableTECalcPts[Custom],MATCH(TableTERanks33[[#This Row],[RK]],TableTECalcPts[RK],0)),"")</f>
        <v>85.63439943178301</v>
      </c>
      <c r="AZ2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1" spans="1:52" x14ac:dyDescent="0.3">
      <c r="A21" s="22">
        <v>20</v>
      </c>
      <c r="B21" s="22" t="str">
        <f>IFERROR(INDEX(TableQBCalcPts[PLAYER],MATCH(TableQBRanks30[[#This Row],[RK]],TableQBCalcPts[RK],0)),"")</f>
        <v>Matt Ryan</v>
      </c>
      <c r="C21" s="22" t="str">
        <f>IFERROR(INDEX(TableQBCalcPts[TM],MATCH(TableQBRanks30[[#This Row],[Player]],TableQBCalcPts[PLAYER],0)),"")</f>
        <v>IND</v>
      </c>
      <c r="D21" s="22">
        <f>IFERROR(INDEX(TableQBCalcPts[BYE],MATCH(TableQBRanks30[[#This Row],[RK]],TableQBCalcPts[RK],0)),"")</f>
        <v>14</v>
      </c>
      <c r="E21" s="279">
        <f>VLOOKUP(TableQBRanks30[[#This Row],[Player]],QB!B:O,4,FALSE)</f>
        <v>556.94066400000008</v>
      </c>
      <c r="F21" s="279">
        <f>VLOOKUP(TableQBRanks30[[#This Row],[Player]],QB!B:O,5,FALSE)</f>
        <v>369.25166023200006</v>
      </c>
      <c r="G21" s="279">
        <f>VLOOKUP(TableQBRanks30[[#This Row],[Player]],QB!B:O,6,FALSE)</f>
        <v>4176.2362772239212</v>
      </c>
      <c r="H21" s="279">
        <f>VLOOKUP(TableQBRanks30[[#This Row],[Player]],QB!B:O,7,FALSE)</f>
        <v>25.847616216240006</v>
      </c>
      <c r="I21" s="279">
        <f>VLOOKUP(TableQBRanks30[[#This Row],[Player]],QB!B:O,8,FALSE)</f>
        <v>8.2227669554099254</v>
      </c>
      <c r="J21" s="279">
        <f>VLOOKUP(TableQBRanks30[[#This Row],[Player]],QB!B:O,9,FALSE)</f>
        <v>36.297072469025615</v>
      </c>
      <c r="K21" s="279">
        <f>VLOOKUP(TableQBRanks30[[#This Row],[Player]],QB!B:O,10,FALSE)</f>
        <v>109.61715885645735</v>
      </c>
      <c r="L21" s="279">
        <f>VLOOKUP(TableQBRanks30[[#This Row],[Player]],QB!B:O,11,FALSE)</f>
        <v>1.9680104549167567</v>
      </c>
      <c r="M21" s="272">
        <f>IFERROR(INDEX(TableQBCalcPts[Custom],MATCH(TableQBRanks30[[#This Row],[RK]],TableQBCalcPts[RK],0)),"")</f>
        <v>276.76416065824327</v>
      </c>
      <c r="N2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4.066778130034705</v>
      </c>
      <c r="P21" s="22">
        <v>20</v>
      </c>
      <c r="Q21" s="22" t="str">
        <f>IFERROR(INDEX(TableRBCalcPts[PLAYER],MATCH(TableRBRanks31[[#This Row],[RK]],TableRBCalcPts[RK],0)),"")</f>
        <v>Ezekiel Elliott</v>
      </c>
      <c r="R21" s="22" t="str">
        <f>IFERROR(INDEX(TableRBCalcPts[TM],MATCH(TableRBRanks31[[#This Row],[Player]],TableRBCalcPts[PLAYER],0)),"")</f>
        <v>DAL</v>
      </c>
      <c r="S21" s="22">
        <f>IFERROR(INDEX(TableRBCalcPts[BYE],MATCH(TableRBRanks31[[#This Row],[RK]],TableRBCalcPts[RK],0)),"")</f>
        <v>9</v>
      </c>
      <c r="T21" s="279">
        <f>VLOOKUP(TableRBRanks31[[#This Row],[Player]],RB!B:O,4,FALSE)</f>
        <v>219.68713102982608</v>
      </c>
      <c r="U21" s="279">
        <f>VLOOKUP(TableRBRanks31[[#This Row],[Player]],RB!B:O,5,FALSE)</f>
        <v>924.88282163556778</v>
      </c>
      <c r="V21" s="279">
        <f>VLOOKUP(TableRBRanks31[[#This Row],[Player]],RB!B:O,6,FALSE)</f>
        <v>8.8328303299313937</v>
      </c>
      <c r="W21" s="279">
        <f>VLOOKUP(TableRBRanks31[[#This Row],[Player]],RB!B:O,7,FALSE)</f>
        <v>60.716613683764443</v>
      </c>
      <c r="X21" s="279">
        <f>VLOOKUP(TableRBRanks31[[#This Row],[Player]],RB!B:O,8,FALSE)</f>
        <v>43.290945556524044</v>
      </c>
      <c r="Y21" s="279">
        <f>VLOOKUP(TableRBRanks31[[#This Row],[Player]],RB!B:O,9,FALSE)</f>
        <v>267.02302116065783</v>
      </c>
      <c r="Z21" s="279">
        <f>VLOOKUP(TableRBRanks31[[#This Row],[Player]],RB!B:O,10,FALSE)</f>
        <v>1.695938448839684</v>
      </c>
      <c r="AA21" s="272">
        <f>IFERROR(INDEX(TableRBCalcPts[Custom],MATCH(TableRBRanks31[[#This Row],[RK]],TableRBCalcPts[RK],0)),"")</f>
        <v>182.36319695224904</v>
      </c>
      <c r="AB2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41.058011842780772</v>
      </c>
      <c r="AD21" s="274">
        <v>20</v>
      </c>
      <c r="AE21" s="22" t="str">
        <f>IFERROR(INDEX(TableWRCalcPts[PLAYER],MATCH(TableWRRanks32[[#This Row],[RK]],TableWRCalcPts[RK],0)),"")</f>
        <v>Rashod Bateman</v>
      </c>
      <c r="AF21" s="22" t="str">
        <f>IFERROR(INDEX(TableWRCalcPts[TM],MATCH(TableWRRanks32[[#This Row],[Player]],TableWRCalcPts[PLAYER],0)),"")</f>
        <v>BAL</v>
      </c>
      <c r="AG21" s="22">
        <f>IFERROR(INDEX(TableWRCalcPts[BYE],MATCH(TableWRRanks32[[#This Row],[RK]],TableWRCalcPts[RK],0)),"")</f>
        <v>10</v>
      </c>
      <c r="AH21" s="279">
        <f>VLOOKUP(TableWRRanks32[[#This Row],[Player]],WR!B:O,4,FALSE)</f>
        <v>14.020492848613818</v>
      </c>
      <c r="AI21" s="279">
        <f>VLOOKUP(TableWRRanks32[[#This Row],[Player]],WR!B:O,5,FALSE)</f>
        <v>0</v>
      </c>
      <c r="AJ21" s="279">
        <f>VLOOKUP(TableWRRanks32[[#This Row],[Player]],WR!B:O,6,FALSE)</f>
        <v>119.33559002156258</v>
      </c>
      <c r="AK21" s="279">
        <f>VLOOKUP(TableWRRanks32[[#This Row],[Player]],WR!B:O,7,FALSE)</f>
        <v>77.00725624091433</v>
      </c>
      <c r="AL21" s="279">
        <f>VLOOKUP(TableWRRanks32[[#This Row],[Player]],WR!B:O,8,FALSE)</f>
        <v>959.51041276179262</v>
      </c>
      <c r="AM21" s="279">
        <f>VLOOKUP(TableWRRanks32[[#This Row],[Player]],WR!B:O,9,FALSE)</f>
        <v>8.54780544274149</v>
      </c>
      <c r="AN21" s="272">
        <f>IFERROR(INDEX(TableWRCalcPts[Custom],MATCH(TableWRRanks32[[#This Row],[RK]],TableWRCalcPts[RK],0)),"")</f>
        <v>148.63992321748958</v>
      </c>
      <c r="AO2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18.684682066838949</v>
      </c>
      <c r="AQ21" s="274">
        <v>20</v>
      </c>
      <c r="AR21" s="274" t="str">
        <f>IFERROR(INDEX(TableTECalcPts[PLAYER],MATCH(TableTERanks33[[#This Row],[RK]],TableTECalcPts[RK],0)),"")</f>
        <v>Albert Okwuegbunam</v>
      </c>
      <c r="AS21" s="22" t="str">
        <f>IFERROR(INDEX(TableTECalcPts[TM],MATCH(TableTERanks33[[#This Row],[Player]],TableTECalcPts[PLAYER],0)),"")</f>
        <v>DEN</v>
      </c>
      <c r="AT21" s="22">
        <f>IFERROR(INDEX(TableTECalcPts[BYE],MATCH(TableTERanks33[[#This Row],[RK]],TableTECalcPts[RK],0)),"")</f>
        <v>9</v>
      </c>
      <c r="AU21" s="279">
        <f>VLOOKUP(TableTERanks33[[#This Row],[Player]],TE!B:O,4,FALSE)</f>
        <v>71.451059363412327</v>
      </c>
      <c r="AV21" s="279">
        <f>VLOOKUP(TableTERanks33[[#This Row],[Player]],TE!B:O,5,FALSE)</f>
        <v>51.712184174399567</v>
      </c>
      <c r="AW21" s="279">
        <f>VLOOKUP(TableTERanks33[[#This Row],[Player]],TE!B:O,6,FALSE)</f>
        <v>537.05538115973718</v>
      </c>
      <c r="AX21" s="279">
        <f>VLOOKUP(TableTERanks33[[#This Row],[Player]],TE!B:O,7,FALSE)</f>
        <v>5.2746427857887559</v>
      </c>
      <c r="AY21" s="272">
        <f>IFERROR(INDEX(TableTECalcPts[Custom],MATCH(TableTERanks33[[#This Row],[RK]],TableTECalcPts[RK],0)),"")</f>
        <v>85.353394830706264</v>
      </c>
      <c r="AZ2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2" spans="1:52" x14ac:dyDescent="0.3">
      <c r="A22" s="22">
        <v>21</v>
      </c>
      <c r="B22" s="22" t="str">
        <f>IFERROR(INDEX(TableQBCalcPts[PLAYER],MATCH(TableQBRanks30[[#This Row],[RK]],TableQBCalcPts[RK],0)),"")</f>
        <v>Zach Wilson</v>
      </c>
      <c r="C22" s="22" t="str">
        <f>IFERROR(INDEX(TableQBCalcPts[TM],MATCH(TableQBRanks30[[#This Row],[Player]],TableQBCalcPts[PLAYER],0)),"")</f>
        <v>NYJ</v>
      </c>
      <c r="D22" s="22">
        <f>IFERROR(INDEX(TableQBCalcPts[BYE],MATCH(TableQBRanks30[[#This Row],[RK]],TableQBCalcPts[RK],0)),"")</f>
        <v>10</v>
      </c>
      <c r="E22" s="279">
        <f>VLOOKUP(TableQBRanks30[[#This Row],[Player]],QB!B:O,4,FALSE)</f>
        <v>580.95329279999999</v>
      </c>
      <c r="F22" s="279">
        <f>VLOOKUP(TableQBRanks30[[#This Row],[Player]],QB!B:O,5,FALSE)</f>
        <v>353.21960202240001</v>
      </c>
      <c r="G22" s="279">
        <f>VLOOKUP(TableQBRanks30[[#This Row],[Player]],QB!B:O,6,FALSE)</f>
        <v>3917.2053864284162</v>
      </c>
      <c r="H22" s="279">
        <f>VLOOKUP(TableQBRanks30[[#This Row],[Player]],QB!B:O,7,FALSE)</f>
        <v>23.312493733478401</v>
      </c>
      <c r="I22" s="279">
        <f>VLOOKUP(TableQBRanks30[[#This Row],[Player]],QB!B:O,8,FALSE)</f>
        <v>9.2849039727885767</v>
      </c>
      <c r="J22" s="279">
        <f>VLOOKUP(TableQBRanks30[[#This Row],[Player]],QB!B:O,9,FALSE)</f>
        <v>41.993782067041032</v>
      </c>
      <c r="K22" s="279">
        <f>VLOOKUP(TableQBRanks30[[#This Row],[Player]],QB!B:O,10,FALSE)</f>
        <v>242.30412252682675</v>
      </c>
      <c r="L22" s="279">
        <f>VLOOKUP(TableQBRanks30[[#This Row],[Player]],QB!B:O,11,FALSE)</f>
        <v>3.5005861905159033</v>
      </c>
      <c r="M22" s="272">
        <f>IFERROR(INDEX(TableQBCalcPts[Custom],MATCH(TableQBRanks30[[#This Row],[RK]],TableQBCalcPts[RK],0)),"")</f>
        <v>276.60231184125121</v>
      </c>
      <c r="N2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1.8392513870929776</v>
      </c>
      <c r="P22" s="22">
        <v>21</v>
      </c>
      <c r="Q22" s="22" t="str">
        <f>IFERROR(INDEX(TableRBCalcPts[PLAYER],MATCH(TableRBRanks31[[#This Row],[RK]],TableRBCalcPts[RK],0)),"")</f>
        <v>Damien Harris</v>
      </c>
      <c r="R22" s="22" t="str">
        <f>IFERROR(INDEX(TableRBCalcPts[TM],MATCH(TableRBRanks31[[#This Row],[Player]],TableRBCalcPts[PLAYER],0)),"")</f>
        <v>NE</v>
      </c>
      <c r="S22" s="22">
        <f>IFERROR(INDEX(TableRBCalcPts[BYE],MATCH(TableRBRanks31[[#This Row],[RK]],TableRBCalcPts[RK],0)),"")</f>
        <v>10</v>
      </c>
      <c r="T22" s="279">
        <f>VLOOKUP(TableRBRanks31[[#This Row],[Player]],RB!B:O,4,FALSE)</f>
        <v>203.79760002807143</v>
      </c>
      <c r="U22" s="279">
        <f>VLOOKUP(TableRBRanks31[[#This Row],[Player]],RB!B:O,5,FALSE)</f>
        <v>933.3930081285672</v>
      </c>
      <c r="V22" s="279">
        <f>VLOOKUP(TableRBRanks31[[#This Row],[Player]],RB!B:O,6,FALSE)</f>
        <v>10.760513281482172</v>
      </c>
      <c r="W22" s="279">
        <f>VLOOKUP(TableRBRanks31[[#This Row],[Player]],RB!B:O,7,FALSE)</f>
        <v>23.097701657041245</v>
      </c>
      <c r="X22" s="279">
        <f>VLOOKUP(TableRBRanks31[[#This Row],[Player]],RB!B:O,8,FALSE)</f>
        <v>17.833735449401544</v>
      </c>
      <c r="Y22" s="279">
        <f>VLOOKUP(TableRBRanks31[[#This Row],[Player]],RB!B:O,9,FALSE)</f>
        <v>128.93790729917316</v>
      </c>
      <c r="Z22" s="279">
        <f>VLOOKUP(TableRBRanks31[[#This Row],[Player]],RB!B:O,10,FALSE)</f>
        <v>0.31514254234365502</v>
      </c>
      <c r="AA22" s="272">
        <f>IFERROR(INDEX(TableRBCalcPts[Custom],MATCH(TableRBRanks31[[#This Row],[RK]],TableRBCalcPts[RK],0)),"")</f>
        <v>172.68702648572901</v>
      </c>
      <c r="AB2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36.155931610207055</v>
      </c>
      <c r="AD22" s="22">
        <v>21</v>
      </c>
      <c r="AE22" s="274" t="str">
        <f>IFERROR(INDEX(TableWRCalcPts[PLAYER],MATCH(TableWRRanks32[[#This Row],[RK]],TableWRCalcPts[RK],0)),"")</f>
        <v>Jaylen Waddle</v>
      </c>
      <c r="AF22" s="22" t="str">
        <f>IFERROR(INDEX(TableWRCalcPts[TM],MATCH(TableWRRanks32[[#This Row],[Player]],TableWRCalcPts[PLAYER],0)),"")</f>
        <v>MIA</v>
      </c>
      <c r="AG22" s="22">
        <f>IFERROR(INDEX(TableWRCalcPts[BYE],MATCH(TableWRRanks32[[#This Row],[RK]],TableWRCalcPts[RK],0)),"")</f>
        <v>11</v>
      </c>
      <c r="AH22" s="279">
        <f>VLOOKUP(TableWRRanks32[[#This Row],[Player]],WR!B:O,4,FALSE)</f>
        <v>38.114690848732053</v>
      </c>
      <c r="AI22" s="279">
        <f>VLOOKUP(TableWRRanks32[[#This Row],[Player]],WR!B:O,5,FALSE)</f>
        <v>0.59522942401563184</v>
      </c>
      <c r="AJ22" s="279">
        <f>VLOOKUP(TableWRRanks32[[#This Row],[Player]],WR!B:O,6,FALSE)</f>
        <v>131.03761007999995</v>
      </c>
      <c r="AK22" s="279">
        <f>VLOOKUP(TableWRRanks32[[#This Row],[Player]],WR!B:O,7,FALSE)</f>
        <v>92.512552716479959</v>
      </c>
      <c r="AL22" s="279">
        <f>VLOOKUP(TableWRRanks32[[#This Row],[Player]],WR!B:O,8,FALSE)</f>
        <v>1006.5365735553021</v>
      </c>
      <c r="AM22" s="279">
        <f>VLOOKUP(TableWRRanks32[[#This Row],[Player]],WR!B:O,9,FALSE)</f>
        <v>6.6193696454552056</v>
      </c>
      <c r="AN22" s="272">
        <f>IFERROR(INDEX(TableWRCalcPts[Custom],MATCH(TableWRRanks32[[#This Row],[RK]],TableWRCalcPts[RK],0)),"")</f>
        <v>147.75272085722844</v>
      </c>
      <c r="AO2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18.266780180407061</v>
      </c>
      <c r="AQ22" s="22">
        <v>21</v>
      </c>
      <c r="AR22" s="22" t="str">
        <f>IFERROR(INDEX(TableTECalcPts[PLAYER],MATCH(TableTERanks33[[#This Row],[RK]],TableTECalcPts[RK],0)),"")</f>
        <v>Noah Fant</v>
      </c>
      <c r="AS22" s="22" t="str">
        <f>IFERROR(INDEX(TableTECalcPts[TM],MATCH(TableTERanks33[[#This Row],[Player]],TableTECalcPts[PLAYER],0)),"")</f>
        <v>SEA</v>
      </c>
      <c r="AT22" s="22">
        <f>IFERROR(INDEX(TableTECalcPts[BYE],MATCH(TableTERanks33[[#This Row],[RK]],TableTECalcPts[RK],0)),"")</f>
        <v>11</v>
      </c>
      <c r="AU22" s="279">
        <f>VLOOKUP(TableTERanks33[[#This Row],[Player]],TE!B:O,4,FALSE)</f>
        <v>89.61504957256038</v>
      </c>
      <c r="AV22" s="279">
        <f>VLOOKUP(TableTERanks33[[#This Row],[Player]],TE!B:O,5,FALSE)</f>
        <v>58.509665865924674</v>
      </c>
      <c r="AW22" s="279">
        <f>VLOOKUP(TableTERanks33[[#This Row],[Player]],TE!B:O,6,FALSE)</f>
        <v>616.10678156818676</v>
      </c>
      <c r="AX22" s="279">
        <f>VLOOKUP(TableTERanks33[[#This Row],[Player]],TE!B:O,7,FALSE)</f>
        <v>3.8240641668661874</v>
      </c>
      <c r="AY22" s="272">
        <f>IFERROR(INDEX(TableTECalcPts[Custom],MATCH(TableTERanks33[[#This Row],[RK]],TableTECalcPts[RK],0)),"")</f>
        <v>84.555063158015798</v>
      </c>
      <c r="AZ2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3" spans="1:52" x14ac:dyDescent="0.3">
      <c r="A23" s="22">
        <v>22</v>
      </c>
      <c r="B23" s="22" t="str">
        <f>IFERROR(INDEX(TableQBCalcPts[PLAYER],MATCH(TableQBRanks30[[#This Row],[RK]],TableQBCalcPts[RK],0)),"")</f>
        <v>Daniel Jones</v>
      </c>
      <c r="C23" s="22" t="str">
        <f>IFERROR(INDEX(TableQBCalcPts[TM],MATCH(TableQBRanks30[[#This Row],[Player]],TableQBCalcPts[PLAYER],0)),"")</f>
        <v>NYG</v>
      </c>
      <c r="D23" s="22">
        <f>IFERROR(INDEX(TableQBCalcPts[BYE],MATCH(TableQBRanks30[[#This Row],[RK]],TableQBCalcPts[RK],0)),"")</f>
        <v>9</v>
      </c>
      <c r="E23" s="279">
        <f>VLOOKUP(TableQBRanks30[[#This Row],[Player]],QB!B:O,4,FALSE)</f>
        <v>544.26556800000003</v>
      </c>
      <c r="F23" s="279">
        <f>VLOOKUP(TableQBRanks30[[#This Row],[Player]],QB!B:O,5,FALSE)</f>
        <v>340.60310019955267</v>
      </c>
      <c r="G23" s="279">
        <f>VLOOKUP(TableQBRanks30[[#This Row],[Player]],QB!B:O,6,FALSE)</f>
        <v>3733.0099781870977</v>
      </c>
      <c r="H23" s="279">
        <f>VLOOKUP(TableQBRanks30[[#This Row],[Player]],QB!B:O,7,FALSE)</f>
        <v>22.479804613170476</v>
      </c>
      <c r="I23" s="279">
        <f>VLOOKUP(TableQBRanks30[[#This Row],[Player]],QB!B:O,8,FALSE)</f>
        <v>8.4057052686485019</v>
      </c>
      <c r="J23" s="279">
        <f>VLOOKUP(TableQBRanks30[[#This Row],[Player]],QB!B:O,9,FALSE)</f>
        <v>64.100296116710538</v>
      </c>
      <c r="K23" s="279">
        <f>VLOOKUP(TableQBRanks30[[#This Row],[Player]],QB!B:O,10,FALSE)</f>
        <v>337.1675575738974</v>
      </c>
      <c r="L23" s="279">
        <f>VLOOKUP(TableQBRanks30[[#This Row],[Player]],QB!B:O,11,FALSE)</f>
        <v>2.6967999280838546</v>
      </c>
      <c r="M23" s="272">
        <f>IFERROR(INDEX(TableQBCalcPts[Custom],MATCH(TableQBRanks30[[#This Row],[RK]],TableQBCalcPts[RK],0)),"")</f>
        <v>272.32576236876167</v>
      </c>
      <c r="N2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3" s="22">
        <v>22</v>
      </c>
      <c r="Q23" s="22" t="str">
        <f>IFERROR(INDEX(TableRBCalcPts[PLAYER],MATCH(TableRBRanks31[[#This Row],[RK]],TableRBCalcPts[RK],0)),"")</f>
        <v>Elijah Mitchell</v>
      </c>
      <c r="R23" s="22" t="str">
        <f>IFERROR(INDEX(TableRBCalcPts[TM],MATCH(TableRBRanks31[[#This Row],[Player]],TableRBCalcPts[PLAYER],0)),"")</f>
        <v>SF</v>
      </c>
      <c r="S23" s="22">
        <f>IFERROR(INDEX(TableRBCalcPts[BYE],MATCH(TableRBRanks31[[#This Row],[RK]],TableRBCalcPts[RK],0)),"")</f>
        <v>9</v>
      </c>
      <c r="T23" s="279">
        <f>VLOOKUP(TableRBRanks31[[#This Row],[Player]],RB!B:O,4,FALSE)</f>
        <v>243.90509682302084</v>
      </c>
      <c r="U23" s="279">
        <f>VLOOKUP(TableRBRanks31[[#This Row],[Player]],RB!B:O,5,FALSE)</f>
        <v>1047.6730162378904</v>
      </c>
      <c r="V23" s="279">
        <f>VLOOKUP(TableRBRanks31[[#This Row],[Player]],RB!B:O,6,FALSE)</f>
        <v>7.6098390208782503</v>
      </c>
      <c r="W23" s="279">
        <f>VLOOKUP(TableRBRanks31[[#This Row],[Player]],RB!B:O,7,FALSE)</f>
        <v>23.020022009540362</v>
      </c>
      <c r="X23" s="279">
        <f>VLOOKUP(TableRBRanks31[[#This Row],[Player]],RB!B:O,8,FALSE)</f>
        <v>15.913741215195254</v>
      </c>
      <c r="Y23" s="279">
        <f>VLOOKUP(TableRBRanks31[[#This Row],[Player]],RB!B:O,9,FALSE)</f>
        <v>108.53171508763164</v>
      </c>
      <c r="Z23" s="279">
        <f>VLOOKUP(TableRBRanks31[[#This Row],[Player]],RB!B:O,10,FALSE)</f>
        <v>0.66235787645763544</v>
      </c>
      <c r="AA23" s="272">
        <f>IFERROR(INDEX(TableRBCalcPts[Custom],MATCH(TableRBRanks31[[#This Row],[RK]],TableRBCalcPts[RK],0)),"")</f>
        <v>165.25365451656748</v>
      </c>
      <c r="AB2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32.390083755678788</v>
      </c>
      <c r="AD23" s="22">
        <v>22</v>
      </c>
      <c r="AE23" s="22" t="str">
        <f>IFERROR(INDEX(TableWRCalcPts[PLAYER],MATCH(TableWRRanks32[[#This Row],[RK]],TableWRCalcPts[RK],0)),"")</f>
        <v>DJ Moore</v>
      </c>
      <c r="AF23" s="22" t="str">
        <f>IFERROR(INDEX(TableWRCalcPts[TM],MATCH(TableWRRanks32[[#This Row],[Player]],TableWRCalcPts[PLAYER],0)),"")</f>
        <v>CAR</v>
      </c>
      <c r="AG23" s="22">
        <f>IFERROR(INDEX(TableWRCalcPts[BYE],MATCH(TableWRRanks32[[#This Row],[RK]],TableWRCalcPts[RK],0)),"")</f>
        <v>13</v>
      </c>
      <c r="AH23" s="279">
        <f>VLOOKUP(TableWRRanks32[[#This Row],[Player]],WR!B:O,4,FALSE)</f>
        <v>47.838873543612245</v>
      </c>
      <c r="AI23" s="279">
        <f>VLOOKUP(TableWRRanks32[[#This Row],[Player]],WR!B:O,5,FALSE)</f>
        <v>0</v>
      </c>
      <c r="AJ23" s="279">
        <f>VLOOKUP(TableWRRanks32[[#This Row],[Player]],WR!B:O,6,FALSE)</f>
        <v>139.43743232539856</v>
      </c>
      <c r="AK23" s="279">
        <f>VLOOKUP(TableWRRanks32[[#This Row],[Player]],WR!B:O,7,FALSE)</f>
        <v>85.865570825980441</v>
      </c>
      <c r="AL23" s="279">
        <f>VLOOKUP(TableWRRanks32[[#This Row],[Player]],WR!B:O,8,FALSE)</f>
        <v>1137.2537381854802</v>
      </c>
      <c r="AM23" s="279">
        <f>VLOOKUP(TableWRRanks32[[#This Row],[Player]],WR!B:O,9,FALSE)</f>
        <v>4.5194476345675323</v>
      </c>
      <c r="AN23" s="272">
        <f>IFERROR(INDEX(TableWRCalcPts[Custom],MATCH(TableWRRanks32[[#This Row],[RK]],TableWRCalcPts[RK],0)),"")</f>
        <v>145.62594698031444</v>
      </c>
      <c r="AO2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17.264998788713289</v>
      </c>
      <c r="AQ23" s="22">
        <v>22</v>
      </c>
      <c r="AR23" s="22" t="str">
        <f>IFERROR(INDEX(TableTECalcPts[PLAYER],MATCH(TableTERanks33[[#This Row],[RK]],TableTECalcPts[RK],0)),"")</f>
        <v>Logan Thomas</v>
      </c>
      <c r="AS23" s="22" t="str">
        <f>IFERROR(INDEX(TableTECalcPts[TM],MATCH(TableTERanks33[[#This Row],[Player]],TableTECalcPts[PLAYER],0)),"")</f>
        <v>WSH</v>
      </c>
      <c r="AT23" s="22">
        <f>IFERROR(INDEX(TableTECalcPts[BYE],MATCH(TableTERanks33[[#This Row],[RK]],TableTECalcPts[RK],0)),"")</f>
        <v>14</v>
      </c>
      <c r="AU23" s="279">
        <f>VLOOKUP(TableTERanks33[[#This Row],[Player]],TE!B:O,4,FALSE)</f>
        <v>75.849448797866884</v>
      </c>
      <c r="AV23" s="279">
        <f>VLOOKUP(TableTERanks33[[#This Row],[Player]],TE!B:O,5,FALSE)</f>
        <v>47.861002191454006</v>
      </c>
      <c r="AW23" s="279">
        <f>VLOOKUP(TableTERanks33[[#This Row],[Player]],TE!B:O,6,FALSE)</f>
        <v>517.85604371153238</v>
      </c>
      <c r="AX23" s="279">
        <f>VLOOKUP(TableTERanks33[[#This Row],[Player]],TE!B:O,7,FALSE)</f>
        <v>5.4496941743956686</v>
      </c>
      <c r="AY23" s="272">
        <f>IFERROR(INDEX(TableTECalcPts[Custom],MATCH(TableTERanks33[[#This Row],[RK]],TableTECalcPts[RK],0)),"")</f>
        <v>84.483769417527256</v>
      </c>
      <c r="AZ2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4" spans="1:52" x14ac:dyDescent="0.3">
      <c r="A24" s="22">
        <v>23</v>
      </c>
      <c r="B24" s="22" t="str">
        <f>IFERROR(INDEX(TableQBCalcPts[PLAYER],MATCH(TableQBRanks30[[#This Row],[RK]],TableQBCalcPts[RK],0)),"")</f>
        <v>Ryan Tannehill</v>
      </c>
      <c r="C24" s="22" t="str">
        <f>IFERROR(INDEX(TableQBCalcPts[TM],MATCH(TableQBRanks30[[#This Row],[Player]],TableQBCalcPts[PLAYER],0)),"")</f>
        <v>TEN</v>
      </c>
      <c r="D24" s="22">
        <f>IFERROR(INDEX(TableQBCalcPts[BYE],MATCH(TableQBRanks30[[#This Row],[RK]],TableQBCalcPts[RK],0)),"")</f>
        <v>6</v>
      </c>
      <c r="E24" s="279">
        <f>VLOOKUP(TableQBRanks30[[#This Row],[Player]],QB!B:O,4,FALSE)</f>
        <v>535.31787699999995</v>
      </c>
      <c r="F24" s="279">
        <f>VLOOKUP(TableQBRanks30[[#This Row],[Player]],QB!B:O,5,FALSE)</f>
        <v>356.08976112867651</v>
      </c>
      <c r="G24" s="279">
        <f>VLOOKUP(TableQBRanks30[[#This Row],[Player]],QB!B:O,6,FALSE)</f>
        <v>3710.4970662453034</v>
      </c>
      <c r="H24" s="279">
        <f>VLOOKUP(TableQBRanks30[[#This Row],[Player]],QB!B:O,7,FALSE)</f>
        <v>22.789744712235297</v>
      </c>
      <c r="I24" s="279">
        <f>VLOOKUP(TableQBRanks30[[#This Row],[Player]],QB!B:O,8,FALSE)</f>
        <v>8.5573818942207041</v>
      </c>
      <c r="J24" s="279">
        <f>VLOOKUP(TableQBRanks30[[#This Row],[Player]],QB!B:O,9,FALSE)</f>
        <v>48.022270163649296</v>
      </c>
      <c r="K24" s="279">
        <f>VLOOKUP(TableQBRanks30[[#This Row],[Player]],QB!B:O,10,FALSE)</f>
        <v>240.59157351988296</v>
      </c>
      <c r="L24" s="279">
        <f>VLOOKUP(TableQBRanks30[[#This Row],[Player]],QB!B:O,11,FALSE)</f>
        <v>4.0999163461648704</v>
      </c>
      <c r="M24" s="272">
        <f>IFERROR(INDEX(TableQBCalcPts[Custom],MATCH(TableQBRanks30[[#This Row],[RK]],TableQBCalcPts[RK],0)),"")</f>
        <v>271.12275313928944</v>
      </c>
      <c r="N2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4" s="22">
        <v>23</v>
      </c>
      <c r="Q24" s="22" t="str">
        <f>IFERROR(INDEX(TableRBCalcPts[PLAYER],MATCH(TableRBRanks31[[#This Row],[RK]],TableRBCalcPts[RK],0)),"")</f>
        <v>David Montgomery</v>
      </c>
      <c r="R24" s="22" t="str">
        <f>IFERROR(INDEX(TableRBCalcPts[TM],MATCH(TableRBRanks31[[#This Row],[Player]],TableRBCalcPts[PLAYER],0)),"")</f>
        <v>CHI</v>
      </c>
      <c r="S24" s="22">
        <f>IFERROR(INDEX(TableRBCalcPts[BYE],MATCH(TableRBRanks31[[#This Row],[RK]],TableRBCalcPts[RK],0)),"")</f>
        <v>14</v>
      </c>
      <c r="T24" s="279">
        <f>VLOOKUP(TableRBRanks31[[#This Row],[Player]],RB!B:O,4,FALSE)</f>
        <v>213.76713098971263</v>
      </c>
      <c r="U24" s="279">
        <f>VLOOKUP(TableRBRanks31[[#This Row],[Player]],RB!B:O,5,FALSE)</f>
        <v>842.24249609946776</v>
      </c>
      <c r="V24" s="279">
        <f>VLOOKUP(TableRBRanks31[[#This Row],[Player]],RB!B:O,6,FALSE)</f>
        <v>6.6909111999780055</v>
      </c>
      <c r="W24" s="279">
        <f>VLOOKUP(TableRBRanks31[[#This Row],[Player]],RB!B:O,7,FALSE)</f>
        <v>60.287396727151737</v>
      </c>
      <c r="X24" s="279">
        <f>VLOOKUP(TableRBRanks31[[#This Row],[Player]],RB!B:O,8,FALSE)</f>
        <v>43.780707503257588</v>
      </c>
      <c r="Y24" s="279">
        <f>VLOOKUP(TableRBRanks31[[#This Row],[Player]],RB!B:O,9,FALSE)</f>
        <v>310.95572235731669</v>
      </c>
      <c r="Z24" s="279">
        <f>VLOOKUP(TableRBRanks31[[#This Row],[Player]],RB!B:O,10,FALSE)</f>
        <v>0.96317556507166691</v>
      </c>
      <c r="AA24" s="272">
        <f>IFERROR(INDEX(TableRBCalcPts[Custom],MATCH(TableRBRanks31[[#This Row],[RK]],TableRBCalcPts[RK],0)),"")</f>
        <v>161.24434243597648</v>
      </c>
      <c r="AB2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30.358911447947364</v>
      </c>
      <c r="AD24" s="274">
        <v>23</v>
      </c>
      <c r="AE24" s="274" t="str">
        <f>IFERROR(INDEX(TableWRCalcPts[PLAYER],MATCH(TableWRRanks32[[#This Row],[RK]],TableWRCalcPts[RK],0)),"")</f>
        <v>Terry McLaurin</v>
      </c>
      <c r="AF24" s="22" t="str">
        <f>IFERROR(INDEX(TableWRCalcPts[TM],MATCH(TableWRRanks32[[#This Row],[Player]],TableWRCalcPts[PLAYER],0)),"")</f>
        <v>WSH</v>
      </c>
      <c r="AG24" s="22">
        <f>IFERROR(INDEX(TableWRCalcPts[BYE],MATCH(TableWRRanks32[[#This Row],[RK]],TableWRCalcPts[RK],0)),"")</f>
        <v>14</v>
      </c>
      <c r="AH24" s="279">
        <f>VLOOKUP(TableWRRanks32[[#This Row],[Player]],WR!B:O,4,FALSE)</f>
        <v>8.4967173486249123</v>
      </c>
      <c r="AI24" s="279">
        <f>VLOOKUP(TableWRRanks32[[#This Row],[Player]],WR!B:O,5,FALSE)</f>
        <v>0</v>
      </c>
      <c r="AJ24" s="279">
        <f>VLOOKUP(TableWRRanks32[[#This Row],[Player]],WR!B:O,6,FALSE)</f>
        <v>128.88239673783883</v>
      </c>
      <c r="AK24" s="279">
        <f>VLOOKUP(TableWRRanks32[[#This Row],[Player]],WR!B:O,7,FALSE)</f>
        <v>77.443207355625276</v>
      </c>
      <c r="AL24" s="279">
        <f>VLOOKUP(TableWRRanks32[[#This Row],[Player]],WR!B:O,8,FALSE)</f>
        <v>1072.3594165371694</v>
      </c>
      <c r="AM24" s="279">
        <f>VLOOKUP(TableWRRanks32[[#This Row],[Player]],WR!B:O,9,FALSE)</f>
        <v>6.1180133810943973</v>
      </c>
      <c r="AN24" s="272">
        <f>IFERROR(INDEX(TableWRCalcPts[Custom],MATCH(TableWRRanks32[[#This Row],[RK]],TableWRCalcPts[RK],0)),"")</f>
        <v>144.79369367514585</v>
      </c>
      <c r="AO2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16.872979738947961</v>
      </c>
      <c r="AQ24" s="274">
        <v>23</v>
      </c>
      <c r="AR24" s="22" t="str">
        <f>IFERROR(INDEX(TableTECalcPts[PLAYER],MATCH(TableTERanks33[[#This Row],[RK]],TableTECalcPts[RK],0)),"")</f>
        <v>Robert Tonyan</v>
      </c>
      <c r="AS24" s="22" t="str">
        <f>IFERROR(INDEX(TableTECalcPts[TM],MATCH(TableTERanks33[[#This Row],[Player]],TableTECalcPts[PLAYER],0)),"")</f>
        <v>GB</v>
      </c>
      <c r="AT24" s="22">
        <f>IFERROR(INDEX(TableTECalcPts[BYE],MATCH(TableTERanks33[[#This Row],[RK]],TableTECalcPts[RK],0)),"")</f>
        <v>14</v>
      </c>
      <c r="AU24" s="279">
        <f>VLOOKUP(TableTERanks33[[#This Row],[Player]],TE!B:O,4,FALSE)</f>
        <v>65.768098289999983</v>
      </c>
      <c r="AV24" s="279">
        <f>VLOOKUP(TableTERanks33[[#This Row],[Player]],TE!B:O,5,FALSE)</f>
        <v>46.300741196159983</v>
      </c>
      <c r="AW24" s="279">
        <f>VLOOKUP(TableTERanks33[[#This Row],[Player]],TE!B:O,6,FALSE)</f>
        <v>496.80695303479666</v>
      </c>
      <c r="AX24" s="279">
        <f>VLOOKUP(TableTERanks33[[#This Row],[Player]],TE!B:O,7,FALSE)</f>
        <v>5.2413672484903833</v>
      </c>
      <c r="AY24" s="272">
        <f>IFERROR(INDEX(TableTECalcPts[Custom],MATCH(TableTERanks33[[#This Row],[RK]],TableTECalcPts[RK],0)),"")</f>
        <v>81.128898794421957</v>
      </c>
      <c r="AZ2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5" spans="1:52" x14ac:dyDescent="0.3">
      <c r="A25" s="22">
        <v>24</v>
      </c>
      <c r="B25" s="22" t="str">
        <f>IFERROR(INDEX(TableQBCalcPts[PLAYER],MATCH(TableQBRanks30[[#This Row],[RK]],TableQBCalcPts[RK],0)),"")</f>
        <v>Jared Goff</v>
      </c>
      <c r="C25" s="22" t="str">
        <f>IFERROR(INDEX(TableQBCalcPts[TM],MATCH(TableQBRanks30[[#This Row],[Player]],TableQBCalcPts[PLAYER],0)),"")</f>
        <v>DET</v>
      </c>
      <c r="D25" s="22">
        <f>IFERROR(INDEX(TableQBCalcPts[BYE],MATCH(TableQBRanks30[[#This Row],[RK]],TableQBCalcPts[RK],0)),"")</f>
        <v>6</v>
      </c>
      <c r="E25" s="279">
        <f>VLOOKUP(TableQBRanks30[[#This Row],[Player]],QB!B:O,4,FALSE)</f>
        <v>613.66644539999993</v>
      </c>
      <c r="F25" s="279">
        <f>VLOOKUP(TableQBRanks30[[#This Row],[Player]],QB!B:O,5,FALSE)</f>
        <v>400.72418884619998</v>
      </c>
      <c r="G25" s="279">
        <f>VLOOKUP(TableQBRanks30[[#This Row],[Player]],QB!B:O,6,FALSE)</f>
        <v>4151.5025964466313</v>
      </c>
      <c r="H25" s="279">
        <f>VLOOKUP(TableQBRanks30[[#This Row],[Player]],QB!B:O,7,FALSE)</f>
        <v>24.8448997084644</v>
      </c>
      <c r="I25" s="279">
        <f>VLOOKUP(TableQBRanks30[[#This Row],[Player]],QB!B:O,8,FALSE)</f>
        <v>10.819553098847399</v>
      </c>
      <c r="J25" s="279">
        <f>VLOOKUP(TableQBRanks30[[#This Row],[Player]],QB!B:O,9,FALSE)</f>
        <v>22.631872773843334</v>
      </c>
      <c r="K25" s="279">
        <f>VLOOKUP(TableQBRanks30[[#This Row],[Player]],QB!B:O,10,FALSE)</f>
        <v>91.865059811952278</v>
      </c>
      <c r="L25" s="279">
        <f>VLOOKUP(TableQBRanks30[[#This Row],[Player]],QB!B:O,11,FALSE)</f>
        <v>0.86001116540604672</v>
      </c>
      <c r="M25" s="272">
        <f>IFERROR(INDEX(TableQBCalcPts[Custom],MATCH(TableQBRanks30[[#This Row],[RK]],TableQBCalcPts[RK],0)),"")</f>
        <v>258.14716946765958</v>
      </c>
      <c r="N2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5" s="22">
        <v>24</v>
      </c>
      <c r="Q25" s="22" t="str">
        <f>IFERROR(INDEX(TableRBCalcPts[PLAYER],MATCH(TableRBRanks31[[#This Row],[RK]],TableRBCalcPts[RK],0)),"")</f>
        <v>Breece Hall</v>
      </c>
      <c r="R25" s="22" t="str">
        <f>IFERROR(INDEX(TableRBCalcPts[TM],MATCH(TableRBRanks31[[#This Row],[Player]],TableRBCalcPts[PLAYER],0)),"")</f>
        <v>NYJ</v>
      </c>
      <c r="S25" s="22">
        <f>IFERROR(INDEX(TableRBCalcPts[BYE],MATCH(TableRBRanks31[[#This Row],[RK]],TableRBCalcPts[RK],0)),"")</f>
        <v>10</v>
      </c>
      <c r="T25" s="279">
        <f>VLOOKUP(TableRBRanks31[[#This Row],[Player]],RB!B:O,4,FALSE)</f>
        <v>203.9689600937854</v>
      </c>
      <c r="U25" s="279">
        <f>VLOOKUP(TableRBRanks31[[#This Row],[Player]],RB!B:O,5,FALSE)</f>
        <v>883.18559720609073</v>
      </c>
      <c r="V25" s="279">
        <f>VLOOKUP(TableRBRanks31[[#This Row],[Player]],RB!B:O,6,FALSE)</f>
        <v>5.7700016970295254</v>
      </c>
      <c r="W25" s="279">
        <f>VLOOKUP(TableRBRanks31[[#This Row],[Player]],RB!B:O,7,FALSE)</f>
        <v>54.895446352006935</v>
      </c>
      <c r="X25" s="279">
        <f>VLOOKUP(TableRBRanks31[[#This Row],[Player]],RB!B:O,8,FALSE)</f>
        <v>38.542092883744068</v>
      </c>
      <c r="Y25" s="279">
        <f>VLOOKUP(TableRBRanks31[[#This Row],[Player]],RB!B:O,9,FALSE)</f>
        <v>297.12666365516208</v>
      </c>
      <c r="Z25" s="279">
        <f>VLOOKUP(TableRBRanks31[[#This Row],[Player]],RB!B:O,10,FALSE)</f>
        <v>1.2296354960036333</v>
      </c>
      <c r="AA25" s="272">
        <f>IFERROR(INDEX(TableRBCalcPts[Custom],MATCH(TableRBRanks31[[#This Row],[RK]],TableRBCalcPts[RK],0)),"")</f>
        <v>160.02904924432423</v>
      </c>
      <c r="AB2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29.743227303874772</v>
      </c>
      <c r="AD25" s="22">
        <v>24</v>
      </c>
      <c r="AE25" s="274" t="str">
        <f>IFERROR(INDEX(TableWRCalcPts[PLAYER],MATCH(TableWRRanks32[[#This Row],[RK]],TableWRCalcPts[RK],0)),"")</f>
        <v>Brandin Cooks</v>
      </c>
      <c r="AF25" s="22" t="str">
        <f>IFERROR(INDEX(TableWRCalcPts[TM],MATCH(TableWRRanks32[[#This Row],[Player]],TableWRCalcPts[PLAYER],0)),"")</f>
        <v>HOU</v>
      </c>
      <c r="AG25" s="22">
        <f>IFERROR(INDEX(TableWRCalcPts[BYE],MATCH(TableWRRanks32[[#This Row],[RK]],TableWRCalcPts[RK],0)),"")</f>
        <v>6</v>
      </c>
      <c r="AH25" s="279">
        <f>VLOOKUP(TableWRRanks32[[#This Row],[Player]],WR!B:O,4,FALSE)</f>
        <v>24.210573720233942</v>
      </c>
      <c r="AI25" s="279">
        <f>VLOOKUP(TableWRRanks32[[#This Row],[Player]],WR!B:O,5,FALSE)</f>
        <v>0</v>
      </c>
      <c r="AJ25" s="279">
        <f>VLOOKUP(TableWRRanks32[[#This Row],[Player]],WR!B:O,6,FALSE)</f>
        <v>134.1629903715409</v>
      </c>
      <c r="AK25" s="279">
        <f>VLOOKUP(TableWRRanks32[[#This Row],[Player]],WR!B:O,7,FALSE)</f>
        <v>90.648377056133569</v>
      </c>
      <c r="AL25" s="279">
        <f>VLOOKUP(TableWRRanks32[[#This Row],[Player]],WR!B:O,8,FALSE)</f>
        <v>1079.6221707385507</v>
      </c>
      <c r="AM25" s="279">
        <f>VLOOKUP(TableWRRanks32[[#This Row],[Player]],WR!B:O,9,FALSE)</f>
        <v>5.4389026233680138</v>
      </c>
      <c r="AN25" s="272">
        <f>IFERROR(INDEX(TableWRCalcPts[Custom],MATCH(TableWRRanks32[[#This Row],[RK]],TableWRCalcPts[RK],0)),"")</f>
        <v>143.01669018608655</v>
      </c>
      <c r="AO2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16.035951859473727</v>
      </c>
      <c r="AQ25" s="22">
        <v>24</v>
      </c>
      <c r="AR25" s="22" t="str">
        <f>IFERROR(INDEX(TableTECalcPts[PLAYER],MATCH(TableTERanks33[[#This Row],[RK]],TableTECalcPts[RK],0)),"")</f>
        <v>Mo Alie-Cox</v>
      </c>
      <c r="AS25" s="22" t="str">
        <f>IFERROR(INDEX(TableTECalcPts[TM],MATCH(TableTERanks33[[#This Row],[Player]],TableTECalcPts[PLAYER],0)),"")</f>
        <v>IND</v>
      </c>
      <c r="AT25" s="22">
        <f>IFERROR(INDEX(TableTECalcPts[BYE],MATCH(TableTERanks33[[#This Row],[RK]],TableTECalcPts[RK],0)),"")</f>
        <v>14</v>
      </c>
      <c r="AU25" s="279">
        <f>VLOOKUP(TableTERanks33[[#This Row],[Player]],TE!B:O,4,FALSE)</f>
        <v>60.791903207334535</v>
      </c>
      <c r="AV25" s="279">
        <f>VLOOKUP(TableTERanks33[[#This Row],[Player]],TE!B:O,5,FALSE)</f>
        <v>40.365823729670133</v>
      </c>
      <c r="AW25" s="279">
        <f>VLOOKUP(TableTERanks33[[#This Row],[Player]],TE!B:O,6,FALSE)</f>
        <v>506.869552961073</v>
      </c>
      <c r="AX25" s="279">
        <f>VLOOKUP(TableTERanks33[[#This Row],[Player]],TE!B:O,7,FALSE)</f>
        <v>4.9657608252160292</v>
      </c>
      <c r="AY25" s="272">
        <f>IFERROR(INDEX(TableTECalcPts[Custom],MATCH(TableTERanks33[[#This Row],[RK]],TableTECalcPts[RK],0)),"")</f>
        <v>80.481520247403466</v>
      </c>
      <c r="AZ2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6" spans="1:52" x14ac:dyDescent="0.3">
      <c r="A26" s="22">
        <v>25</v>
      </c>
      <c r="B26" s="22" t="str">
        <f>IFERROR(INDEX(TableQBCalcPts[PLAYER],MATCH(TableQBRanks30[[#This Row],[RK]],TableQBCalcPts[RK],0)),"")</f>
        <v>Jameis Winston</v>
      </c>
      <c r="C26" s="22" t="str">
        <f>IFERROR(INDEX(TableQBCalcPts[TM],MATCH(TableQBRanks30[[#This Row],[Player]],TableQBCalcPts[PLAYER],0)),"")</f>
        <v>NO</v>
      </c>
      <c r="D26" s="22">
        <f>IFERROR(INDEX(TableQBCalcPts[BYE],MATCH(TableQBRanks30[[#This Row],[RK]],TableQBCalcPts[RK],0)),"")</f>
        <v>14</v>
      </c>
      <c r="E26" s="279">
        <f>VLOOKUP(TableQBRanks30[[#This Row],[Player]],QB!B:O,4,FALSE)</f>
        <v>523.894676</v>
      </c>
      <c r="F26" s="279">
        <f>VLOOKUP(TableQBRanks30[[#This Row],[Player]],QB!B:O,5,FALSE)</f>
        <v>326.91027782399999</v>
      </c>
      <c r="G26" s="279">
        <f>VLOOKUP(TableQBRanks30[[#This Row],[Player]],QB!B:O,6,FALSE)</f>
        <v>3837.9266616537598</v>
      </c>
      <c r="H26" s="279">
        <f>VLOOKUP(TableQBRanks30[[#This Row],[Player]],QB!B:O,7,FALSE)</f>
        <v>23.210629725503996</v>
      </c>
      <c r="I26" s="279">
        <f>VLOOKUP(TableQBRanks30[[#This Row],[Player]],QB!B:O,8,FALSE)</f>
        <v>7.2692267559589059</v>
      </c>
      <c r="J26" s="279">
        <f>VLOOKUP(TableQBRanks30[[#This Row],[Player]],QB!B:O,9,FALSE)</f>
        <v>25.851913197467784</v>
      </c>
      <c r="K26" s="279">
        <f>VLOOKUP(TableQBRanks30[[#This Row],[Player]],QB!B:O,10,FALSE)</f>
        <v>148.37858851567731</v>
      </c>
      <c r="L26" s="279">
        <f>VLOOKUP(TableQBRanks30[[#This Row],[Player]],QB!B:O,11,FALSE)</f>
        <v>1.9130415766126159</v>
      </c>
      <c r="M26" s="272">
        <f>IFERROR(INDEX(TableQBCalcPts[Custom],MATCH(TableQBRanks30[[#This Row],[RK]],TableQBCalcPts[RK],0)),"")</f>
        <v>258.137240167492</v>
      </c>
      <c r="N2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6" s="22">
        <v>25</v>
      </c>
      <c r="Q26" s="22" t="str">
        <f>IFERROR(INDEX(TableRBCalcPts[PLAYER],MATCH(TableRBRanks31[[#This Row],[RK]],TableRBCalcPts[RK],0)),"")</f>
        <v>Travis Etienne</v>
      </c>
      <c r="R26" s="22" t="str">
        <f>IFERROR(INDEX(TableRBCalcPts[TM],MATCH(TableRBRanks31[[#This Row],[Player]],TableRBCalcPts[PLAYER],0)),"")</f>
        <v>JAX</v>
      </c>
      <c r="S26" s="22">
        <f>IFERROR(INDEX(TableRBCalcPts[BYE],MATCH(TableRBRanks31[[#This Row],[RK]],TableRBCalcPts[RK],0)),"")</f>
        <v>11</v>
      </c>
      <c r="T26" s="279">
        <f>VLOOKUP(TableRBRanks31[[#This Row],[Player]],RB!B:O,4,FALSE)</f>
        <v>166.71887280785086</v>
      </c>
      <c r="U26" s="279">
        <f>VLOOKUP(TableRBRanks31[[#This Row],[Player]],RB!B:O,5,FALSE)</f>
        <v>718.55834180183717</v>
      </c>
      <c r="V26" s="279">
        <f>VLOOKUP(TableRBRanks31[[#This Row],[Player]],RB!B:O,6,FALSE)</f>
        <v>5.5684103517822185</v>
      </c>
      <c r="W26" s="279">
        <f>VLOOKUP(TableRBRanks31[[#This Row],[Player]],RB!B:O,7,FALSE)</f>
        <v>62.857808953422207</v>
      </c>
      <c r="X26" s="279">
        <f>VLOOKUP(TableRBRanks31[[#This Row],[Player]],RB!B:O,8,FALSE)</f>
        <v>50.789109634365147</v>
      </c>
      <c r="Y26" s="279">
        <f>VLOOKUP(TableRBRanks31[[#This Row],[Player]],RB!B:O,9,FALSE)</f>
        <v>410.88389694201402</v>
      </c>
      <c r="Z26" s="279">
        <f>VLOOKUP(TableRBRanks31[[#This Row],[Player]],RB!B:O,10,FALSE)</f>
        <v>2.2347208239120664</v>
      </c>
      <c r="AA26" s="272">
        <f>IFERROR(INDEX(TableRBCalcPts[Custom],MATCH(TableRBRanks31[[#This Row],[RK]],TableRBCalcPts[RK],0)),"")</f>
        <v>159.76301092855081</v>
      </c>
      <c r="AB2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29.60844865633312</v>
      </c>
      <c r="AD26" s="22">
        <v>25</v>
      </c>
      <c r="AE26" s="274" t="str">
        <f>IFERROR(INDEX(TableWRCalcPts[PLAYER],MATCH(TableWRRanks32[[#This Row],[RK]],TableWRCalcPts[RK],0)),"")</f>
        <v>DeVonta Smith</v>
      </c>
      <c r="AF26" s="22" t="str">
        <f>IFERROR(INDEX(TableWRCalcPts[TM],MATCH(TableWRRanks32[[#This Row],[Player]],TableWRCalcPts[PLAYER],0)),"")</f>
        <v>PHI</v>
      </c>
      <c r="AG26" s="22">
        <f>IFERROR(INDEX(TableWRCalcPts[BYE],MATCH(TableWRRanks32[[#This Row],[RK]],TableWRCalcPts[RK],0)),"")</f>
        <v>7</v>
      </c>
      <c r="AH26" s="279">
        <f>VLOOKUP(TableWRRanks32[[#This Row],[Player]],WR!B:O,4,FALSE)</f>
        <v>0</v>
      </c>
      <c r="AI26" s="279">
        <f>VLOOKUP(TableWRRanks32[[#This Row],[Player]],WR!B:O,5,FALSE)</f>
        <v>0</v>
      </c>
      <c r="AJ26" s="279">
        <f>VLOOKUP(TableWRRanks32[[#This Row],[Player]],WR!B:O,6,FALSE)</f>
        <v>116.2867815738682</v>
      </c>
      <c r="AK26" s="279">
        <f>VLOOKUP(TableWRRanks32[[#This Row],[Player]],WR!B:O,7,FALSE)</f>
        <v>69.795326300635693</v>
      </c>
      <c r="AL26" s="279">
        <f>VLOOKUP(TableWRRanks32[[#This Row],[Player]],WR!B:O,8,FALSE)</f>
        <v>995.28135304706495</v>
      </c>
      <c r="AM26" s="279">
        <f>VLOOKUP(TableWRRanks32[[#This Row],[Player]],WR!B:O,9,FALSE)</f>
        <v>7.0493279563642055</v>
      </c>
      <c r="AN26" s="272">
        <f>IFERROR(INDEX(TableWRCalcPts[Custom],MATCH(TableWRRanks32[[#This Row],[RK]],TableWRCalcPts[RK],0)),"")</f>
        <v>141.82410304289172</v>
      </c>
      <c r="AO2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15.474203560327144</v>
      </c>
      <c r="AQ26" s="22">
        <v>25</v>
      </c>
      <c r="AR26" s="22" t="str">
        <f>IFERROR(INDEX(TableTECalcPts[PLAYER],MATCH(TableTERanks33[[#This Row],[RK]],TableTECalcPts[RK],0)),"")</f>
        <v>Hayden Hurst</v>
      </c>
      <c r="AS26" s="22" t="str">
        <f>IFERROR(INDEX(TableTECalcPts[TM],MATCH(TableTERanks33[[#This Row],[Player]],TableTECalcPts[PLAYER],0)),"")</f>
        <v>CIN</v>
      </c>
      <c r="AT26" s="22">
        <f>IFERROR(INDEX(TableTECalcPts[BYE],MATCH(TableTERanks33[[#This Row],[RK]],TableTECalcPts[RK],0)),"")</f>
        <v>10</v>
      </c>
      <c r="AU26" s="279">
        <f>VLOOKUP(TableTERanks33[[#This Row],[Player]],TE!B:O,4,FALSE)</f>
        <v>69.43290518058032</v>
      </c>
      <c r="AV26" s="279">
        <f>VLOOKUP(TableTERanks33[[#This Row],[Player]],TE!B:O,5,FALSE)</f>
        <v>45.672965027785736</v>
      </c>
      <c r="AW26" s="279">
        <f>VLOOKUP(TableTERanks33[[#This Row],[Player]],TE!B:O,6,FALSE)</f>
        <v>494.95327366166907</v>
      </c>
      <c r="AX26" s="279">
        <f>VLOOKUP(TableTERanks33[[#This Row],[Player]],TE!B:O,7,FALSE)</f>
        <v>4.9326802230008591</v>
      </c>
      <c r="AY26" s="272">
        <f>IFERROR(INDEX(TableTECalcPts[Custom],MATCH(TableTERanks33[[#This Row],[RK]],TableTECalcPts[RK],0)),"")</f>
        <v>79.091408704172068</v>
      </c>
      <c r="AZ2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7" spans="1:52" x14ac:dyDescent="0.3">
      <c r="A27" s="22">
        <v>26</v>
      </c>
      <c r="B27" s="22" t="str">
        <f>IFERROR(INDEX(TableQBCalcPts[PLAYER],MATCH(TableQBRanks30[[#This Row],[RK]],TableQBCalcPts[RK],0)),"")</f>
        <v>Mac Jones</v>
      </c>
      <c r="C27" s="22" t="str">
        <f>IFERROR(INDEX(TableQBCalcPts[TM],MATCH(TableQBRanks30[[#This Row],[Player]],TableQBCalcPts[PLAYER],0)),"")</f>
        <v>NE</v>
      </c>
      <c r="D27" s="22">
        <f>IFERROR(INDEX(TableQBCalcPts[BYE],MATCH(TableQBRanks30[[#This Row],[RK]],TableQBCalcPts[RK],0)),"")</f>
        <v>10</v>
      </c>
      <c r="E27" s="279">
        <f>VLOOKUP(TableQBRanks30[[#This Row],[Player]],QB!B:O,4,FALSE)</f>
        <v>514.63265279999996</v>
      </c>
      <c r="F27" s="279">
        <f>VLOOKUP(TableQBRanks30[[#This Row],[Player]],QB!B:O,5,FALSE)</f>
        <v>346.34777533440001</v>
      </c>
      <c r="G27" s="279">
        <f>VLOOKUP(TableQBRanks30[[#This Row],[Player]],QB!B:O,6,FALSE)</f>
        <v>3785.5811844049922</v>
      </c>
      <c r="H27" s="279">
        <f>VLOOKUP(TableQBRanks30[[#This Row],[Player]],QB!B:O,7,FALSE)</f>
        <v>23.689073921544175</v>
      </c>
      <c r="I27" s="279">
        <f>VLOOKUP(TableQBRanks30[[#This Row],[Player]],QB!B:O,8,FALSE)</f>
        <v>9.128797571894447</v>
      </c>
      <c r="J27" s="279">
        <f>VLOOKUP(TableQBRanks30[[#This Row],[Player]],QB!B:O,9,FALSE)</f>
        <v>36.020719118291382</v>
      </c>
      <c r="K27" s="279">
        <f>VLOOKUP(TableQBRanks30[[#This Row],[Player]],QB!B:O,10,FALSE)</f>
        <v>127.43824394751014</v>
      </c>
      <c r="L27" s="279">
        <f>VLOOKUP(TableQBRanks30[[#This Row],[Player]],QB!B:O,11,FALSE)</f>
        <v>0.43198251698430029</v>
      </c>
      <c r="M27" s="272">
        <f>IFERROR(INDEX(TableQBCalcPts[Custom],MATCH(TableQBRanks30[[#This Row],[RK]],TableQBCalcPts[RK],0)),"")</f>
        <v>243.25766741524433</v>
      </c>
      <c r="N2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7" s="22">
        <v>26</v>
      </c>
      <c r="Q27" s="22" t="str">
        <f>IFERROR(INDEX(TableRBCalcPts[PLAYER],MATCH(TableRBRanks31[[#This Row],[RK]],TableRBCalcPts[RK],0)),"")</f>
        <v>AJ Dillon</v>
      </c>
      <c r="R27" s="22" t="str">
        <f>IFERROR(INDEX(TableRBCalcPts[TM],MATCH(TableRBRanks31[[#This Row],[Player]],TableRBCalcPts[PLAYER],0)),"")</f>
        <v>GB</v>
      </c>
      <c r="S27" s="22">
        <f>IFERROR(INDEX(TableRBCalcPts[BYE],MATCH(TableRBRanks31[[#This Row],[RK]],TableRBCalcPts[RK],0)),"")</f>
        <v>14</v>
      </c>
      <c r="T27" s="279">
        <f>VLOOKUP(TableRBRanks31[[#This Row],[Player]],RB!B:O,4,FALSE)</f>
        <v>183.10851778182595</v>
      </c>
      <c r="U27" s="279">
        <f>VLOOKUP(TableRBRanks31[[#This Row],[Player]],RB!B:O,5,FALSE)</f>
        <v>807.50856341785243</v>
      </c>
      <c r="V27" s="279">
        <f>VLOOKUP(TableRBRanks31[[#This Row],[Player]],RB!B:O,6,FALSE)</f>
        <v>6.2806221599166294</v>
      </c>
      <c r="W27" s="279">
        <f>VLOOKUP(TableRBRanks31[[#This Row],[Player]],RB!B:O,7,FALSE)</f>
        <v>43.252893469999982</v>
      </c>
      <c r="X27" s="279">
        <f>VLOOKUP(TableRBRanks31[[#This Row],[Player]],RB!B:O,8,FALSE)</f>
        <v>34.693145852286989</v>
      </c>
      <c r="Y27" s="279">
        <f>VLOOKUP(TableRBRanks31[[#This Row],[Player]],RB!B:O,9,FALSE)</f>
        <v>278.23902973534166</v>
      </c>
      <c r="Z27" s="279">
        <f>VLOOKUP(TableRBRanks31[[#This Row],[Player]],RB!B:O,10,FALSE)</f>
        <v>1.9428161677280713</v>
      </c>
      <c r="AA27" s="272">
        <f>IFERROR(INDEX(TableRBCalcPts[Custom],MATCH(TableRBRanks31[[#This Row],[RK]],TableRBCalcPts[RK],0)),"")</f>
        <v>157.91538928118763</v>
      </c>
      <c r="AB2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28.672418272603039</v>
      </c>
      <c r="AD27" s="274">
        <v>26</v>
      </c>
      <c r="AE27" s="22" t="str">
        <f>IFERROR(INDEX(TableWRCalcPts[PLAYER],MATCH(TableWRRanks32[[#This Row],[RK]],TableWRCalcPts[RK],0)),"")</f>
        <v>JuJu Smith-Schuster</v>
      </c>
      <c r="AF27" s="22" t="str">
        <f>IFERROR(INDEX(TableWRCalcPts[TM],MATCH(TableWRRanks32[[#This Row],[Player]],TableWRCalcPts[PLAYER],0)),"")</f>
        <v>KC</v>
      </c>
      <c r="AG27" s="22">
        <f>IFERROR(INDEX(TableWRCalcPts[BYE],MATCH(TableWRRanks32[[#This Row],[RK]],TableWRCalcPts[RK],0)),"")</f>
        <v>8</v>
      </c>
      <c r="AH27" s="279">
        <f>VLOOKUP(TableWRRanks32[[#This Row],[Player]],WR!B:O,4,FALSE)</f>
        <v>3.9982755183042147</v>
      </c>
      <c r="AI27" s="279">
        <f>VLOOKUP(TableWRRanks32[[#This Row],[Player]],WR!B:O,5,FALSE)</f>
        <v>0</v>
      </c>
      <c r="AJ27" s="279">
        <f>VLOOKUP(TableWRRanks32[[#This Row],[Player]],WR!B:O,6,FALSE)</f>
        <v>126.65714008401829</v>
      </c>
      <c r="AK27" s="279">
        <f>VLOOKUP(TableWRRanks32[[#This Row],[Player]],WR!B:O,7,FALSE)</f>
        <v>85.013573197146499</v>
      </c>
      <c r="AL27" s="279">
        <f>VLOOKUP(TableWRRanks32[[#This Row],[Player]],WR!B:O,8,FALSE)</f>
        <v>944.50079822029761</v>
      </c>
      <c r="AM27" s="279">
        <f>VLOOKUP(TableWRRanks32[[#This Row],[Player]],WR!B:O,9,FALSE)</f>
        <v>7.8212487341374777</v>
      </c>
      <c r="AN27" s="272">
        <f>IFERROR(INDEX(TableWRCalcPts[Custom],MATCH(TableWRRanks32[[#This Row],[RK]],TableWRCalcPts[RK],0)),"")</f>
        <v>141.77739977868507</v>
      </c>
      <c r="AO2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15.452204766039964</v>
      </c>
      <c r="AQ27" s="274">
        <v>26</v>
      </c>
      <c r="AR27" s="22" t="str">
        <f>IFERROR(INDEX(TableTECalcPts[PLAYER],MATCH(TableTERanks33[[#This Row],[RK]],TableTECalcPts[RK],0)),"")</f>
        <v>Evan Engram</v>
      </c>
      <c r="AS27" s="22" t="str">
        <f>IFERROR(INDEX(TableTECalcPts[TM],MATCH(TableTERanks33[[#This Row],[Player]],TableTECalcPts[PLAYER],0)),"")</f>
        <v>JAX</v>
      </c>
      <c r="AT27" s="22">
        <f>IFERROR(INDEX(TableTECalcPts[BYE],MATCH(TableTERanks33[[#This Row],[RK]],TableTECalcPts[RK],0)),"")</f>
        <v>11</v>
      </c>
      <c r="AU27" s="279">
        <f>VLOOKUP(TableTERanks33[[#This Row],[Player]],TE!B:O,4,FALSE)</f>
        <v>79.227030035042574</v>
      </c>
      <c r="AV27" s="279">
        <f>VLOOKUP(TableTERanks33[[#This Row],[Player]],TE!B:O,5,FALSE)</f>
        <v>47.789744517137677</v>
      </c>
      <c r="AW27" s="279">
        <f>VLOOKUP(TableTERanks33[[#This Row],[Player]],TE!B:O,6,FALSE)</f>
        <v>535.24513859194201</v>
      </c>
      <c r="AX27" s="279">
        <f>VLOOKUP(TableTERanks33[[#This Row],[Player]],TE!B:O,7,FALSE)</f>
        <v>4.2532872620252533</v>
      </c>
      <c r="AY27" s="272">
        <f>IFERROR(INDEX(TableTECalcPts[Custom],MATCH(TableTERanks33[[#This Row],[RK]],TableTECalcPts[RK],0)),"")</f>
        <v>79.044237431345721</v>
      </c>
      <c r="AZ2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8" spans="1:52" x14ac:dyDescent="0.3">
      <c r="A28" s="22">
        <v>27</v>
      </c>
      <c r="B28" s="22" t="str">
        <f>IFERROR(INDEX(TableQBCalcPts[PLAYER],MATCH(TableQBRanks30[[#This Row],[RK]],TableQBCalcPts[RK],0)),"")</f>
        <v>Davis Mills</v>
      </c>
      <c r="C28" s="22" t="str">
        <f>IFERROR(INDEX(TableQBCalcPts[TM],MATCH(TableQBRanks30[[#This Row],[Player]],TableQBCalcPts[PLAYER],0)),"")</f>
        <v>HOU</v>
      </c>
      <c r="D28" s="22">
        <f>IFERROR(INDEX(TableQBCalcPts[BYE],MATCH(TableQBRanks30[[#This Row],[RK]],TableQBCalcPts[RK],0)),"")</f>
        <v>6</v>
      </c>
      <c r="E28" s="279">
        <f>VLOOKUP(TableQBRanks30[[#This Row],[Player]],QB!B:O,4,FALSE)</f>
        <v>568.7915999999999</v>
      </c>
      <c r="F28" s="279">
        <f>VLOOKUP(TableQBRanks30[[#This Row],[Player]],QB!B:O,5,FALSE)</f>
        <v>373.5977168634646</v>
      </c>
      <c r="G28" s="279">
        <f>VLOOKUP(TableQBRanks30[[#This Row],[Player]],QB!B:O,6,FALSE)</f>
        <v>3945.1918900781861</v>
      </c>
      <c r="H28" s="279">
        <f>VLOOKUP(TableQBRanks30[[#This Row],[Player]],QB!B:O,7,FALSE)</f>
        <v>22.154344610003449</v>
      </c>
      <c r="I28" s="279">
        <f>VLOOKUP(TableQBRanks30[[#This Row],[Player]],QB!B:O,8,FALSE)</f>
        <v>9.3473719545889082</v>
      </c>
      <c r="J28" s="279">
        <f>VLOOKUP(TableQBRanks30[[#This Row],[Player]],QB!B:O,9,FALSE)</f>
        <v>20.987462521644744</v>
      </c>
      <c r="K28" s="279">
        <f>VLOOKUP(TableQBRanks30[[#This Row],[Player]],QB!B:O,10,FALSE)</f>
        <v>77.750759540607561</v>
      </c>
      <c r="L28" s="279">
        <f>VLOOKUP(TableQBRanks30[[#This Row],[Player]],QB!B:O,11,FALSE)</f>
        <v>0.45167544650204683</v>
      </c>
      <c r="M28" s="272">
        <f>IFERROR(INDEX(TableQBCalcPts[Custom],MATCH(TableQBRanks30[[#This Row],[RK]],TableQBCalcPts[RK],0)),"")</f>
        <v>238.21543876703646</v>
      </c>
      <c r="N2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8" s="22">
        <v>27</v>
      </c>
      <c r="Q28" s="22" t="str">
        <f>IFERROR(INDEX(TableRBCalcPts[PLAYER],MATCH(TableRBRanks31[[#This Row],[RK]],TableRBCalcPts[RK],0)),"")</f>
        <v>Ken Walker</v>
      </c>
      <c r="R28" s="22" t="str">
        <f>IFERROR(INDEX(TableRBCalcPts[TM],MATCH(TableRBRanks31[[#This Row],[Player]],TableRBCalcPts[PLAYER],0)),"")</f>
        <v>SEA</v>
      </c>
      <c r="S28" s="22">
        <f>IFERROR(INDEX(TableRBCalcPts[BYE],MATCH(TableRBRanks31[[#This Row],[RK]],TableRBCalcPts[RK],0)),"")</f>
        <v>11</v>
      </c>
      <c r="T28" s="279">
        <f>VLOOKUP(TableRBRanks31[[#This Row],[Player]],RB!B:O,4,FALSE)</f>
        <v>191.1002574649799</v>
      </c>
      <c r="U28" s="279">
        <f>VLOOKUP(TableRBRanks31[[#This Row],[Player]],RB!B:O,5,FALSE)</f>
        <v>842.75213542056144</v>
      </c>
      <c r="V28" s="279">
        <f>VLOOKUP(TableRBRanks31[[#This Row],[Player]],RB!B:O,6,FALSE)</f>
        <v>7.4146899896412206</v>
      </c>
      <c r="W28" s="279">
        <f>VLOOKUP(TableRBRanks31[[#This Row],[Player]],RB!B:O,7,FALSE)</f>
        <v>24.440468065243742</v>
      </c>
      <c r="X28" s="279">
        <f>VLOOKUP(TableRBRanks31[[#This Row],[Player]],RB!B:O,8,FALSE)</f>
        <v>15.5221412682363</v>
      </c>
      <c r="Y28" s="279">
        <f>VLOOKUP(TableRBRanks31[[#This Row],[Player]],RB!B:O,9,FALSE)</f>
        <v>113.73513786493783</v>
      </c>
      <c r="Z28" s="279">
        <f>VLOOKUP(TableRBRanks31[[#This Row],[Player]],RB!B:O,10,FALSE)</f>
        <v>0.35700924916943488</v>
      </c>
      <c r="AA28" s="272">
        <f>IFERROR(INDEX(TableRBCalcPts[Custom],MATCH(TableRBRanks31[[#This Row],[RK]],TableRBCalcPts[RK],0)),"")</f>
        <v>142.27892276141387</v>
      </c>
      <c r="AB2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20.750770581597585</v>
      </c>
      <c r="AD28" s="22">
        <v>27</v>
      </c>
      <c r="AE28" s="274" t="str">
        <f>IFERROR(INDEX(TableWRCalcPts[PLAYER],MATCH(TableWRRanks32[[#This Row],[RK]],TableWRCalcPts[RK],0)),"")</f>
        <v>Elijah Moore</v>
      </c>
      <c r="AF28" s="22" t="str">
        <f>IFERROR(INDEX(TableWRCalcPts[TM],MATCH(TableWRRanks32[[#This Row],[Player]],TableWRCalcPts[PLAYER],0)),"")</f>
        <v>NYJ</v>
      </c>
      <c r="AG28" s="22">
        <f>IFERROR(INDEX(TableWRCalcPts[BYE],MATCH(TableWRRanks32[[#This Row],[RK]],TableWRCalcPts[RK],0)),"")</f>
        <v>10</v>
      </c>
      <c r="AH28" s="279">
        <f>VLOOKUP(TableWRRanks32[[#This Row],[Player]],WR!B:O,4,FALSE)</f>
        <v>48.408106177419924</v>
      </c>
      <c r="AI28" s="279">
        <f>VLOOKUP(TableWRRanks32[[#This Row],[Player]],WR!B:O,5,FALSE)</f>
        <v>0.52998874924410777</v>
      </c>
      <c r="AJ28" s="279">
        <f>VLOOKUP(TableWRRanks32[[#This Row],[Player]],WR!B:O,6,FALSE)</f>
        <v>118.33440225873129</v>
      </c>
      <c r="AK28" s="279">
        <f>VLOOKUP(TableWRRanks32[[#This Row],[Player]],WR!B:O,7,FALSE)</f>
        <v>70.361635583041632</v>
      </c>
      <c r="AL28" s="279">
        <f>VLOOKUP(TableWRRanks32[[#This Row],[Player]],WR!B:O,8,FALSE)</f>
        <v>925.95912427282792</v>
      </c>
      <c r="AM28" s="279">
        <f>VLOOKUP(TableWRRanks32[[#This Row],[Player]],WR!B:O,9,FALSE)</f>
        <v>6.6139937448059136</v>
      </c>
      <c r="AN28" s="272">
        <f>IFERROR(INDEX(TableWRCalcPts[Custom],MATCH(TableWRRanks32[[#This Row],[RK]],TableWRCalcPts[RK],0)),"")</f>
        <v>140.30061800932492</v>
      </c>
      <c r="AO2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14.756591324387074</v>
      </c>
      <c r="AQ28" s="22">
        <v>27</v>
      </c>
      <c r="AR28" s="274" t="str">
        <f>IFERROR(INDEX(TableTECalcPts[PLAYER],MATCH(TableTERanks33[[#This Row],[RK]],TableTECalcPts[RK],0)),"")</f>
        <v>Tyler Higbee</v>
      </c>
      <c r="AS28" s="22" t="str">
        <f>IFERROR(INDEX(TableTECalcPts[TM],MATCH(TableTERanks33[[#This Row],[Player]],TableTECalcPts[PLAYER],0)),"")</f>
        <v>LAR</v>
      </c>
      <c r="AT28" s="22">
        <f>IFERROR(INDEX(TableTECalcPts[BYE],MATCH(TableTERanks33[[#This Row],[RK]],TableTECalcPts[RK],0)),"")</f>
        <v>7</v>
      </c>
      <c r="AU28" s="279">
        <f>VLOOKUP(TableTERanks33[[#This Row],[Player]],TE!B:O,4,FALSE)</f>
        <v>82.390270222675767</v>
      </c>
      <c r="AV28" s="279">
        <f>VLOOKUP(TableTERanks33[[#This Row],[Player]],TE!B:O,5,FALSE)</f>
        <v>54.70713942785671</v>
      </c>
      <c r="AW28" s="279">
        <f>VLOOKUP(TableTERanks33[[#This Row],[Player]],TE!B:O,6,FALSE)</f>
        <v>523.54732432458877</v>
      </c>
      <c r="AX28" s="279">
        <f>VLOOKUP(TableTERanks33[[#This Row],[Player]],TE!B:O,7,FALSE)</f>
        <v>4.2671568753728231</v>
      </c>
      <c r="AY28" s="272">
        <f>IFERROR(INDEX(TableTECalcPts[Custom],MATCH(TableTERanks33[[#This Row],[RK]],TableTECalcPts[RK],0)),"")</f>
        <v>77.95767368469582</v>
      </c>
      <c r="AZ2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29" spans="1:52" x14ac:dyDescent="0.3">
      <c r="A29" s="22">
        <v>28</v>
      </c>
      <c r="B29" s="22" t="str">
        <f>IFERROR(INDEX(TableQBCalcPts[PLAYER],MATCH(TableQBRanks30[[#This Row],[RK]],TableQBCalcPts[RK],0)),"")</f>
        <v>Kenny Pickett</v>
      </c>
      <c r="C29" s="22" t="str">
        <f>IFERROR(INDEX(TableQBCalcPts[TM],MATCH(TableQBRanks30[[#This Row],[Player]],TableQBCalcPts[PLAYER],0)),"")</f>
        <v>PIT</v>
      </c>
      <c r="D29" s="22">
        <f>IFERROR(INDEX(TableQBCalcPts[BYE],MATCH(TableQBRanks30[[#This Row],[RK]],TableQBCalcPts[RK],0)),"")</f>
        <v>9</v>
      </c>
      <c r="E29" s="279">
        <f>VLOOKUP(TableQBRanks30[[#This Row],[Player]],QB!B:O,4,FALSE)</f>
        <v>527.84054400000002</v>
      </c>
      <c r="F29" s="279">
        <f>VLOOKUP(TableQBRanks30[[#This Row],[Player]],QB!B:O,5,FALSE)</f>
        <v>322.510572384</v>
      </c>
      <c r="G29" s="279">
        <f>VLOOKUP(TableQBRanks30[[#This Row],[Player]],QB!B:O,6,FALSE)</f>
        <v>3402.4865386512001</v>
      </c>
      <c r="H29" s="279">
        <f>VLOOKUP(TableQBRanks30[[#This Row],[Player]],QB!B:O,7,FALSE)</f>
        <v>19.673144915424</v>
      </c>
      <c r="I29" s="279">
        <f>VLOOKUP(TableQBRanks30[[#This Row],[Player]],QB!B:O,8,FALSE)</f>
        <v>7.5146377885526316</v>
      </c>
      <c r="J29" s="279">
        <f>VLOOKUP(TableQBRanks30[[#This Row],[Player]],QB!B:O,9,FALSE)</f>
        <v>28.017146906232178</v>
      </c>
      <c r="K29" s="279">
        <f>VLOOKUP(TableQBRanks30[[#This Row],[Player]],QB!B:O,10,FALSE)</f>
        <v>112.90910203211568</v>
      </c>
      <c r="L29" s="279">
        <f>VLOOKUP(TableQBRanks30[[#This Row],[Player]],QB!B:O,11,FALSE)</f>
        <v>1.1107621728924826</v>
      </c>
      <c r="M29" s="272">
        <f>IFERROR(INDEX(TableQBCalcPts[Custom],MATCH(TableQBRanks30[[#This Row],[RK]],TableQBCalcPts[RK],0)),"")</f>
        <v>217.71824887120525</v>
      </c>
      <c r="N2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29" s="22">
        <v>28</v>
      </c>
      <c r="Q29" s="22" t="str">
        <f>IFERROR(INDEX(TableRBCalcPts[PLAYER],MATCH(TableRBRanks31[[#This Row],[RK]],TableRBCalcPts[RK],0)),"")</f>
        <v>Clyde Edwards-Helaire</v>
      </c>
      <c r="R29" s="22" t="str">
        <f>IFERROR(INDEX(TableRBCalcPts[TM],MATCH(TableRBRanks31[[#This Row],[Player]],TableRBCalcPts[PLAYER],0)),"")</f>
        <v>KC</v>
      </c>
      <c r="S29" s="22">
        <f>IFERROR(INDEX(TableRBCalcPts[BYE],MATCH(TableRBRanks31[[#This Row],[RK]],TableRBCalcPts[RK],0)),"")</f>
        <v>8</v>
      </c>
      <c r="T29" s="279">
        <f>VLOOKUP(TableRBRanks31[[#This Row],[Player]],RB!B:O,4,FALSE)</f>
        <v>156.33109410844907</v>
      </c>
      <c r="U29" s="279">
        <f>VLOOKUP(TableRBRanks31[[#This Row],[Player]],RB!B:O,5,FALSE)</f>
        <v>699.50490949402524</v>
      </c>
      <c r="V29" s="279">
        <f>VLOOKUP(TableRBRanks31[[#This Row],[Player]],RB!B:O,6,FALSE)</f>
        <v>4.6987212792087494</v>
      </c>
      <c r="W29" s="279">
        <f>VLOOKUP(TableRBRanks31[[#This Row],[Player]],RB!B:O,7,FALSE)</f>
        <v>48.181529524558577</v>
      </c>
      <c r="X29" s="279">
        <f>VLOOKUP(TableRBRanks31[[#This Row],[Player]],RB!B:O,8,FALSE)</f>
        <v>37.499684428963938</v>
      </c>
      <c r="Y29" s="279">
        <f>VLOOKUP(TableRBRanks31[[#This Row],[Player]],RB!B:O,9,FALSE)</f>
        <v>265.12276891277503</v>
      </c>
      <c r="Z29" s="279">
        <f>VLOOKUP(TableRBRanks31[[#This Row],[Player]],RB!B:O,10,FALSE)</f>
        <v>2.4374794878826562</v>
      </c>
      <c r="AA29" s="272">
        <f>IFERROR(INDEX(TableRBCalcPts[Custom],MATCH(TableRBRanks31[[#This Row],[RK]],TableRBCalcPts[RK],0)),"")</f>
        <v>139.27997244322847</v>
      </c>
      <c r="AB2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19.231461354448921</v>
      </c>
      <c r="AD29" s="22">
        <v>28</v>
      </c>
      <c r="AE29" s="274" t="str">
        <f>IFERROR(INDEX(TableWRCalcPts[PLAYER],MATCH(TableWRRanks32[[#This Row],[RK]],TableWRCalcPts[RK],0)),"")</f>
        <v>Courtland Sutton</v>
      </c>
      <c r="AF29" s="22" t="str">
        <f>IFERROR(INDEX(TableWRCalcPts[TM],MATCH(TableWRRanks32[[#This Row],[Player]],TableWRCalcPts[PLAYER],0)),"")</f>
        <v>DEN</v>
      </c>
      <c r="AG29" s="22">
        <f>IFERROR(INDEX(TableWRCalcPts[BYE],MATCH(TableWRRanks32[[#This Row],[RK]],TableWRCalcPts[RK],0)),"")</f>
        <v>9</v>
      </c>
      <c r="AH29" s="279">
        <f>VLOOKUP(TableWRRanks32[[#This Row],[Player]],WR!B:O,4,FALSE)</f>
        <v>1.0003064639893262</v>
      </c>
      <c r="AI29" s="279">
        <f>VLOOKUP(TableWRRanks32[[#This Row],[Player]],WR!B:O,5,FALSE)</f>
        <v>0</v>
      </c>
      <c r="AJ29" s="279">
        <f>VLOOKUP(TableWRRanks32[[#This Row],[Player]],WR!B:O,6,FALSE)</f>
        <v>111.79618378301021</v>
      </c>
      <c r="AK29" s="279">
        <f>VLOOKUP(TableWRRanks32[[#This Row],[Player]],WR!B:O,7,FALSE)</f>
        <v>67.893822411422093</v>
      </c>
      <c r="AL29" s="279">
        <f>VLOOKUP(TableWRRanks32[[#This Row],[Player]],WR!B:O,8,FALSE)</f>
        <v>983.78148674150611</v>
      </c>
      <c r="AM29" s="279">
        <f>VLOOKUP(TableWRRanks32[[#This Row],[Player]],WR!B:O,9,FALSE)</f>
        <v>6.6535945963193655</v>
      </c>
      <c r="AN29" s="272">
        <f>IFERROR(INDEX(TableWRCalcPts[Custom],MATCH(TableWRRanks32[[#This Row],[RK]],TableWRCalcPts[RK],0)),"")</f>
        <v>138.39974689846576</v>
      </c>
      <c r="AO2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13.86121766593773</v>
      </c>
      <c r="AQ29" s="22">
        <v>28</v>
      </c>
      <c r="AR29" s="22" t="str">
        <f>IFERROR(INDEX(TableTECalcPts[PLAYER],MATCH(TableTERanks33[[#This Row],[RK]],TableTECalcPts[RK],0)),"")</f>
        <v>Austin Hooper</v>
      </c>
      <c r="AS29" s="22" t="str">
        <f>IFERROR(INDEX(TableTECalcPts[TM],MATCH(TableTERanks33[[#This Row],[Player]],TableTECalcPts[PLAYER],0)),"")</f>
        <v>TEN</v>
      </c>
      <c r="AT29" s="22">
        <f>IFERROR(INDEX(TableTECalcPts[BYE],MATCH(TableTERanks33[[#This Row],[RK]],TableTECalcPts[RK],0)),"")</f>
        <v>6</v>
      </c>
      <c r="AU29" s="279">
        <f>VLOOKUP(TableTERanks33[[#This Row],[Player]],TE!B:O,4,FALSE)</f>
        <v>73.421316502595076</v>
      </c>
      <c r="AV29" s="279">
        <f>VLOOKUP(TableTERanks33[[#This Row],[Player]],TE!B:O,5,FALSE)</f>
        <v>51.042499232604101</v>
      </c>
      <c r="AW29" s="279">
        <f>VLOOKUP(TableTERanks33[[#This Row],[Player]],TE!B:O,6,FALSE)</f>
        <v>498.02703945724369</v>
      </c>
      <c r="AX29" s="279">
        <f>VLOOKUP(TableTERanks33[[#This Row],[Player]],TE!B:O,7,FALSE)</f>
        <v>4.1344424378409323</v>
      </c>
      <c r="AY29" s="272">
        <f>IFERROR(INDEX(TableTECalcPts[Custom],MATCH(TableTERanks33[[#This Row],[RK]],TableTECalcPts[RK],0)),"")</f>
        <v>74.609358572769963</v>
      </c>
      <c r="AZ2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0" spans="1:52" x14ac:dyDescent="0.3">
      <c r="A30" s="22">
        <v>29</v>
      </c>
      <c r="B30" s="22" t="str">
        <f>IFERROR(INDEX(TableQBCalcPts[PLAYER],MATCH(TableQBRanks30[[#This Row],[RK]],TableQBCalcPts[RK],0)),"")</f>
        <v>Deshaun Watson</v>
      </c>
      <c r="C30" s="22" t="str">
        <f>IFERROR(INDEX(TableQBCalcPts[TM],MATCH(TableQBRanks30[[#This Row],[Player]],TableQBCalcPts[PLAYER],0)),"")</f>
        <v>CLE</v>
      </c>
      <c r="D30" s="22">
        <f>IFERROR(INDEX(TableQBCalcPts[BYE],MATCH(TableQBRanks30[[#This Row],[RK]],TableQBCalcPts[RK],0)),"")</f>
        <v>9</v>
      </c>
      <c r="E30" s="279">
        <f>VLOOKUP(TableQBRanks30[[#This Row],[Player]],QB!B:O,4,FALSE)</f>
        <v>276.77232000000004</v>
      </c>
      <c r="F30" s="279">
        <f>VLOOKUP(TableQBRanks30[[#This Row],[Player]],QB!B:O,5,FALSE)</f>
        <v>182.45860618510085</v>
      </c>
      <c r="G30" s="279">
        <f>VLOOKUP(TableQBRanks30[[#This Row],[Player]],QB!B:O,6,FALSE)</f>
        <v>2265.5017241412725</v>
      </c>
      <c r="H30" s="279">
        <f>VLOOKUP(TableQBRanks30[[#This Row],[Player]],QB!B:O,7,FALSE)</f>
        <v>15.910359668620705</v>
      </c>
      <c r="I30" s="279">
        <f>VLOOKUP(TableQBRanks30[[#This Row],[Player]],QB!B:O,8,FALSE)</f>
        <v>3.4538361548477265</v>
      </c>
      <c r="J30" s="279">
        <f>VLOOKUP(TableQBRanks30[[#This Row],[Player]],QB!B:O,9,FALSE)</f>
        <v>86.013589908041283</v>
      </c>
      <c r="K30" s="279">
        <f>VLOOKUP(TableQBRanks30[[#This Row],[Player]],QB!B:O,10,FALSE)</f>
        <v>390.12896754391994</v>
      </c>
      <c r="L30" s="279">
        <f>VLOOKUP(TableQBRanks30[[#This Row],[Player]],QB!B:O,11,FALSE)</f>
        <v>4.214665905494023</v>
      </c>
      <c r="M30" s="272">
        <f>IFERROR(INDEX(TableQBCalcPts[Custom],MATCH(TableQBRanks30[[#This Row],[RK]],TableQBCalcPts[RK],0)),"")</f>
        <v>211.65472751779441</v>
      </c>
      <c r="N3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0" s="22">
        <v>29</v>
      </c>
      <c r="Q30" s="22" t="str">
        <f>IFERROR(INDEX(TableRBCalcPts[PLAYER],MATCH(TableRBRanks31[[#This Row],[RK]],TableRBCalcPts[RK],0)),"")</f>
        <v>Tony Pollard</v>
      </c>
      <c r="R30" s="22" t="str">
        <f>IFERROR(INDEX(TableRBCalcPts[TM],MATCH(TableRBRanks31[[#This Row],[Player]],TableRBCalcPts[PLAYER],0)),"")</f>
        <v>DAL</v>
      </c>
      <c r="S30" s="22">
        <f>IFERROR(INDEX(TableRBCalcPts[BYE],MATCH(TableRBRanks31[[#This Row],[RK]],TableRBCalcPts[RK],0)),"")</f>
        <v>9</v>
      </c>
      <c r="T30" s="279">
        <f>VLOOKUP(TableRBRanks31[[#This Row],[Player]],RB!B:O,4,FALSE)</f>
        <v>148.35615462465293</v>
      </c>
      <c r="U30" s="279">
        <f>VLOOKUP(TableRBRanks31[[#This Row],[Player]],RB!B:O,5,FALSE)</f>
        <v>718.04378838332013</v>
      </c>
      <c r="V30" s="279">
        <f>VLOOKUP(TableRBRanks31[[#This Row],[Player]],RB!B:O,6,FALSE)</f>
        <v>4.2726572531900047</v>
      </c>
      <c r="W30" s="279">
        <f>VLOOKUP(TableRBRanks31[[#This Row],[Player]],RB!B:O,7,FALSE)</f>
        <v>56.85765009316021</v>
      </c>
      <c r="X30" s="279">
        <f>VLOOKUP(TableRBRanks31[[#This Row],[Player]],RB!B:O,8,FALSE)</f>
        <v>43.899791636928995</v>
      </c>
      <c r="Y30" s="279">
        <f>VLOOKUP(TableRBRanks31[[#This Row],[Player]],RB!B:O,9,FALSE)</f>
        <v>326.73990885990042</v>
      </c>
      <c r="Z30" s="279">
        <f>VLOOKUP(TableRBRanks31[[#This Row],[Player]],RB!B:O,10,FALSE)</f>
        <v>1.2567681645092461</v>
      </c>
      <c r="AA30" s="272">
        <f>IFERROR(INDEX(TableRBCalcPts[Custom],MATCH(TableRBRanks31[[#This Row],[RK]],TableRBCalcPts[RK],0)),"")</f>
        <v>137.65492223051754</v>
      </c>
      <c r="AB3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18.408188702087834</v>
      </c>
      <c r="AD30" s="274">
        <v>29</v>
      </c>
      <c r="AE30" s="274" t="str">
        <f>IFERROR(INDEX(TableWRCalcPts[PLAYER],MATCH(TableWRRanks32[[#This Row],[RK]],TableWRCalcPts[RK],0)),"")</f>
        <v>Tyler Lockett</v>
      </c>
      <c r="AF30" s="22" t="str">
        <f>IFERROR(INDEX(TableWRCalcPts[TM],MATCH(TableWRRanks32[[#This Row],[Player]],TableWRCalcPts[PLAYER],0)),"")</f>
        <v>SEA</v>
      </c>
      <c r="AG30" s="22">
        <f>IFERROR(INDEX(TableWRCalcPts[BYE],MATCH(TableWRRanks32[[#This Row],[RK]],TableWRCalcPts[RK],0)),"")</f>
        <v>11</v>
      </c>
      <c r="AH30" s="279">
        <f>VLOOKUP(TableWRRanks32[[#This Row],[Player]],WR!B:O,4,FALSE)</f>
        <v>6.5535333416564399</v>
      </c>
      <c r="AI30" s="279">
        <f>VLOOKUP(TableWRRanks32[[#This Row],[Player]],WR!B:O,5,FALSE)</f>
        <v>0</v>
      </c>
      <c r="AJ30" s="279">
        <f>VLOOKUP(TableWRRanks32[[#This Row],[Player]],WR!B:O,6,FALSE)</f>
        <v>123.28217373724937</v>
      </c>
      <c r="AK30" s="279">
        <f>VLOOKUP(TableWRRanks32[[#This Row],[Player]],WR!B:O,7,FALSE)</f>
        <v>80.996388145372833</v>
      </c>
      <c r="AL30" s="279">
        <f>VLOOKUP(TableWRRanks32[[#This Row],[Player]],WR!B:O,8,FALSE)</f>
        <v>1047.2832987196707</v>
      </c>
      <c r="AM30" s="279">
        <f>VLOOKUP(TableWRRanks32[[#This Row],[Player]],WR!B:O,9,FALSE)</f>
        <v>5.0780803335474474</v>
      </c>
      <c r="AN30" s="272">
        <f>IFERROR(INDEX(TableWRCalcPts[Custom],MATCH(TableWRRanks32[[#This Row],[RK]],TableWRCalcPts[RK],0)),"")</f>
        <v>135.85216520741739</v>
      </c>
      <c r="AO3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12.661221766225431</v>
      </c>
      <c r="AQ30" s="274">
        <v>29</v>
      </c>
      <c r="AR30" s="274" t="str">
        <f>IFERROR(INDEX(TableTECalcPts[PLAYER],MATCH(TableTERanks33[[#This Row],[RK]],TableTECalcPts[RK],0)),"")</f>
        <v>C.J. Uzomah</v>
      </c>
      <c r="AS30" s="22" t="str">
        <f>IFERROR(INDEX(TableTECalcPts[TM],MATCH(TableTERanks33[[#This Row],[Player]],TableTECalcPts[PLAYER],0)),"")</f>
        <v>NYJ</v>
      </c>
      <c r="AT30" s="22">
        <f>IFERROR(INDEX(TableTECalcPts[BYE],MATCH(TableTERanks33[[#This Row],[RK]],TableTECalcPts[RK],0)),"")</f>
        <v>10</v>
      </c>
      <c r="AU30" s="279">
        <f>VLOOKUP(TableTERanks33[[#This Row],[Player]],TE!B:O,4,FALSE)</f>
        <v>67.192258659604789</v>
      </c>
      <c r="AV30" s="279">
        <f>VLOOKUP(TableTERanks33[[#This Row],[Player]],TE!B:O,5,FALSE)</f>
        <v>43.701845032206954</v>
      </c>
      <c r="AW30" s="279">
        <f>VLOOKUP(TableTERanks33[[#This Row],[Player]],TE!B:O,6,FALSE)</f>
        <v>449.25496693108744</v>
      </c>
      <c r="AX30" s="279">
        <f>VLOOKUP(TableTERanks33[[#This Row],[Player]],TE!B:O,7,FALSE)</f>
        <v>3.3846359000993189</v>
      </c>
      <c r="AY30" s="272">
        <f>IFERROR(INDEX(TableTECalcPts[Custom],MATCH(TableTERanks33[[#This Row],[RK]],TableTECalcPts[RK],0)),"")</f>
        <v>65.233312093704654</v>
      </c>
      <c r="AZ3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1" spans="1:52" x14ac:dyDescent="0.3">
      <c r="A31" s="22">
        <v>30</v>
      </c>
      <c r="B31" s="22" t="str">
        <f>IFERROR(INDEX(TableQBCalcPts[PLAYER],MATCH(TableQBRanks30[[#This Row],[RK]],TableQBCalcPts[RK],0)),"")</f>
        <v>Marcus Mariota</v>
      </c>
      <c r="C31" s="22" t="str">
        <f>IFERROR(INDEX(TableQBCalcPts[TM],MATCH(TableQBRanks30[[#This Row],[Player]],TableQBCalcPts[PLAYER],0)),"")</f>
        <v>ATL</v>
      </c>
      <c r="D31" s="22">
        <f>IFERROR(INDEX(TableQBCalcPts[BYE],MATCH(TableQBRanks30[[#This Row],[RK]],TableQBCalcPts[RK],0)),"")</f>
        <v>14</v>
      </c>
      <c r="E31" s="279">
        <f>VLOOKUP(TableQBRanks30[[#This Row],[Player]],QB!B:O,4,FALSE)</f>
        <v>453.06680999999998</v>
      </c>
      <c r="F31" s="279">
        <f>VLOOKUP(TableQBRanks30[[#This Row],[Player]],QB!B:O,5,FALSE)</f>
        <v>285.82060924630895</v>
      </c>
      <c r="G31" s="279">
        <f>VLOOKUP(TableQBRanks30[[#This Row],[Player]],QB!B:O,6,FALSE)</f>
        <v>3289.795212425016</v>
      </c>
      <c r="H31" s="279">
        <f>VLOOKUP(TableQBRanks30[[#This Row],[Player]],QB!B:O,7,FALSE)</f>
        <v>16.810781356444785</v>
      </c>
      <c r="I31" s="279">
        <f>VLOOKUP(TableQBRanks30[[#This Row],[Player]],QB!B:O,8,FALSE)</f>
        <v>8.0473601831645905</v>
      </c>
      <c r="J31" s="279">
        <f>VLOOKUP(TableQBRanks30[[#This Row],[Player]],QB!B:O,9,FALSE)</f>
        <v>30.373596275357116</v>
      </c>
      <c r="K31" s="279">
        <f>VLOOKUP(TableQBRanks30[[#This Row],[Player]],QB!B:O,10,FALSE)</f>
        <v>182.40966705779738</v>
      </c>
      <c r="L31" s="279">
        <f>VLOOKUP(TableQBRanks30[[#This Row],[Player]],QB!B:O,11,FALSE)</f>
        <v>1.359585713984468</v>
      </c>
      <c r="M31" s="272">
        <f>IFERROR(INDEX(TableQBCalcPts[Custom],MATCH(TableQBRanks30[[#This Row],[RK]],TableQBCalcPts[RK],0)),"")</f>
        <v>209.13869454613715</v>
      </c>
      <c r="N3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1" s="22">
        <v>30</v>
      </c>
      <c r="Q31" s="22" t="str">
        <f>IFERROR(INDEX(TableRBCalcPts[PLAYER],MATCH(TableRBRanks31[[#This Row],[RK]],TableRBCalcPts[RK],0)),"")</f>
        <v>Cordarrelle Patterson</v>
      </c>
      <c r="R31" s="22" t="str">
        <f>IFERROR(INDEX(TableRBCalcPts[TM],MATCH(TableRBRanks31[[#This Row],[Player]],TableRBCalcPts[PLAYER],0)),"")</f>
        <v>ATL</v>
      </c>
      <c r="S31" s="22">
        <f>IFERROR(INDEX(TableRBCalcPts[BYE],MATCH(TableRBRanks31[[#This Row],[RK]],TableRBCalcPts[RK],0)),"")</f>
        <v>14</v>
      </c>
      <c r="T31" s="279">
        <f>VLOOKUP(TableRBRanks31[[#This Row],[Player]],RB!B:O,4,FALSE)</f>
        <v>114.20472199534274</v>
      </c>
      <c r="U31" s="279">
        <f>VLOOKUP(TableRBRanks31[[#This Row],[Player]],RB!B:O,5,FALSE)</f>
        <v>446.11019177669237</v>
      </c>
      <c r="V31" s="279">
        <f>VLOOKUP(TableRBRanks31[[#This Row],[Player]],RB!B:O,6,FALSE)</f>
        <v>4.0660862757981384</v>
      </c>
      <c r="W31" s="279">
        <f>VLOOKUP(TableRBRanks31[[#This Row],[Player]],RB!B:O,7,FALSE)</f>
        <v>67.338550612674524</v>
      </c>
      <c r="X31" s="279">
        <f>VLOOKUP(TableRBRanks31[[#This Row],[Player]],RB!B:O,8,FALSE)</f>
        <v>50.867541132814331</v>
      </c>
      <c r="Y31" s="279">
        <f>VLOOKUP(TableRBRanks31[[#This Row],[Player]],RB!B:O,9,FALSE)</f>
        <v>473.98077882062245</v>
      </c>
      <c r="Z31" s="279">
        <f>VLOOKUP(TableRBRanks31[[#This Row],[Player]],RB!B:O,10,FALSE)</f>
        <v>3.2675368181686331</v>
      </c>
      <c r="AA31" s="272">
        <f>IFERROR(INDEX(TableRBCalcPts[Custom],MATCH(TableRBRanks31[[#This Row],[RK]],TableRBCalcPts[RK],0)),"")</f>
        <v>136.0108356235321</v>
      </c>
      <c r="AB3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17.575271952157834</v>
      </c>
      <c r="AD31" s="22">
        <v>30</v>
      </c>
      <c r="AE31" s="22" t="str">
        <f>IFERROR(INDEX(TableWRCalcPts[PLAYER],MATCH(TableWRRanks32[[#This Row],[RK]],TableWRCalcPts[RK],0)),"")</f>
        <v>Jerry Jeudy</v>
      </c>
      <c r="AF31" s="22" t="str">
        <f>IFERROR(INDEX(TableWRCalcPts[TM],MATCH(TableWRRanks32[[#This Row],[Player]],TableWRCalcPts[PLAYER],0)),"")</f>
        <v>DEN</v>
      </c>
      <c r="AG31" s="22">
        <f>IFERROR(INDEX(TableWRCalcPts[BYE],MATCH(TableWRRanks32[[#This Row],[RK]],TableWRCalcPts[RK],0)),"")</f>
        <v>9</v>
      </c>
      <c r="AH31" s="279">
        <f>VLOOKUP(TableWRRanks32[[#This Row],[Player]],WR!B:O,4,FALSE)</f>
        <v>12.133467331574533</v>
      </c>
      <c r="AI31" s="279">
        <f>VLOOKUP(TableWRRanks32[[#This Row],[Player]],WR!B:O,5,FALSE)</f>
        <v>2.5007661599733163E-2</v>
      </c>
      <c r="AJ31" s="279">
        <f>VLOOKUP(TableWRRanks32[[#This Row],[Player]],WR!B:O,6,FALSE)</f>
        <v>113.96739220775687</v>
      </c>
      <c r="AK31" s="279">
        <f>VLOOKUP(TableWRRanks32[[#This Row],[Player]],WR!B:O,7,FALSE)</f>
        <v>69.611283160497905</v>
      </c>
      <c r="AL31" s="279">
        <f>VLOOKUP(TableWRRanks32[[#This Row],[Player]],WR!B:O,8,FALSE)</f>
        <v>980.82297973141544</v>
      </c>
      <c r="AM31" s="279">
        <f>VLOOKUP(TableWRRanks32[[#This Row],[Player]],WR!B:O,9,FALSE)</f>
        <v>5.9865703518028193</v>
      </c>
      <c r="AN31" s="272">
        <f>IFERROR(INDEX(TableWRCalcPts[Custom],MATCH(TableWRRanks32[[#This Row],[RK]],TableWRCalcPts[RK],0)),"")</f>
        <v>135.36511278671432</v>
      </c>
      <c r="AO3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12.431803840259684</v>
      </c>
      <c r="AQ31" s="22">
        <v>30</v>
      </c>
      <c r="AR31" s="22" t="str">
        <f>IFERROR(INDEX(TableTECalcPts[PLAYER],MATCH(TableTERanks33[[#This Row],[RK]],TableTECalcPts[RK],0)),"")</f>
        <v>Dan Arnold</v>
      </c>
      <c r="AS31" s="22" t="str">
        <f>IFERROR(INDEX(TableTECalcPts[TM],MATCH(TableTERanks33[[#This Row],[Player]],TableTECalcPts[PLAYER],0)),"")</f>
        <v>JAX</v>
      </c>
      <c r="AT31" s="22">
        <f>IFERROR(INDEX(TableTECalcPts[BYE],MATCH(TableTERanks33[[#This Row],[RK]],TableTECalcPts[RK],0)),"")</f>
        <v>11</v>
      </c>
      <c r="AU31" s="279">
        <f>VLOOKUP(TableTERanks33[[#This Row],[Player]],TE!B:O,4,FALSE)</f>
        <v>49.57186802311999</v>
      </c>
      <c r="AV31" s="279">
        <f>VLOOKUP(TableTERanks33[[#This Row],[Player]],TE!B:O,5,FALSE)</f>
        <v>30.660200372299716</v>
      </c>
      <c r="AW31" s="279">
        <f>VLOOKUP(TableTERanks33[[#This Row],[Player]],TE!B:O,6,FALSE)</f>
        <v>372.86242107403086</v>
      </c>
      <c r="AX31" s="279">
        <f>VLOOKUP(TableTERanks33[[#This Row],[Player]],TE!B:O,7,FALSE)</f>
        <v>2.790078233879274</v>
      </c>
      <c r="AY31" s="272">
        <f>IFERROR(INDEX(TableTECalcPts[Custom],MATCH(TableTERanks33[[#This Row],[RK]],TableTECalcPts[RK],0)),"")</f>
        <v>54.026711510678737</v>
      </c>
      <c r="AZ3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2" spans="1:52" x14ac:dyDescent="0.3">
      <c r="A32" s="22">
        <v>31</v>
      </c>
      <c r="B32" s="22" t="str">
        <f>IFERROR(INDEX(TableQBCalcPts[PLAYER],MATCH(TableQBRanks30[[#This Row],[RK]],TableQBCalcPts[RK],0)),"")</f>
        <v>Sam Darnold</v>
      </c>
      <c r="C32" s="22" t="str">
        <f>IFERROR(INDEX(TableQBCalcPts[TM],MATCH(TableQBRanks30[[#This Row],[Player]],TableQBCalcPts[PLAYER],0)),"")</f>
        <v>CAR</v>
      </c>
      <c r="D32" s="22">
        <f>IFERROR(INDEX(TableQBCalcPts[BYE],MATCH(TableQBRanks30[[#This Row],[RK]],TableQBCalcPts[RK],0)),"")</f>
        <v>13</v>
      </c>
      <c r="E32" s="279">
        <f>VLOOKUP(TableQBRanks30[[#This Row],[Player]],QB!B:O,4,FALSE)</f>
        <v>437.03593849999987</v>
      </c>
      <c r="F32" s="279">
        <f>VLOOKUP(TableQBRanks30[[#This Row],[Player]],QB!B:O,5,FALSE)</f>
        <v>269.6511740544999</v>
      </c>
      <c r="G32" s="279">
        <f>VLOOKUP(TableQBRanks30[[#This Row],[Player]],QB!B:O,6,FALSE)</f>
        <v>2904.1431445669637</v>
      </c>
      <c r="H32" s="279">
        <f>VLOOKUP(TableQBRanks30[[#This Row],[Player]],QB!B:O,7,FALSE)</f>
        <v>11.835034186481824</v>
      </c>
      <c r="I32" s="279">
        <f>VLOOKUP(TableQBRanks30[[#This Row],[Player]],QB!B:O,8,FALSE)</f>
        <v>8.1900632541385381</v>
      </c>
      <c r="J32" s="279">
        <f>VLOOKUP(TableQBRanks30[[#This Row],[Player]],QB!B:O,9,FALSE)</f>
        <v>40.507422682692706</v>
      </c>
      <c r="K32" s="279">
        <f>VLOOKUP(TableQBRanks30[[#This Row],[Player]],QB!B:O,10,FALSE)</f>
        <v>178.23265980384792</v>
      </c>
      <c r="L32" s="279">
        <f>VLOOKUP(TableQBRanks30[[#This Row],[Player]],QB!B:O,11,FALSE)</f>
        <v>2.9026693253343501</v>
      </c>
      <c r="M32" s="272">
        <f>IFERROR(INDEX(TableQBCalcPts[Custom],MATCH(TableQBRanks30[[#This Row],[RK]],TableQBCalcPts[RK],0)),"")</f>
        <v>182.36501795271968</v>
      </c>
      <c r="N3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2" s="22">
        <v>31</v>
      </c>
      <c r="Q32" s="22" t="str">
        <f>IFERROR(INDEX(TableRBCalcPts[PLAYER],MATCH(TableRBRanks31[[#This Row],[RK]],TableRBCalcPts[RK],0)),"")</f>
        <v>Devin Singletary</v>
      </c>
      <c r="R32" s="22" t="str">
        <f>IFERROR(INDEX(TableRBCalcPts[TM],MATCH(TableRBRanks31[[#This Row],[Player]],TableRBCalcPts[PLAYER],0)),"")</f>
        <v>BUF</v>
      </c>
      <c r="S32" s="22">
        <f>IFERROR(INDEX(TableRBCalcPts[BYE],MATCH(TableRBRanks31[[#This Row],[RK]],TableRBCalcPts[RK],0)),"")</f>
        <v>7</v>
      </c>
      <c r="T32" s="279">
        <f>VLOOKUP(TableRBRanks31[[#This Row],[Player]],RB!B:O,4,FALSE)</f>
        <v>164.07108211576426</v>
      </c>
      <c r="U32" s="279">
        <f>VLOOKUP(TableRBRanks31[[#This Row],[Player]],RB!B:O,5,FALSE)</f>
        <v>736.67915869978151</v>
      </c>
      <c r="V32" s="279">
        <f>VLOOKUP(TableRBRanks31[[#This Row],[Player]],RB!B:O,6,FALSE)</f>
        <v>5.7895261192420922</v>
      </c>
      <c r="W32" s="279">
        <f>VLOOKUP(TableRBRanks31[[#This Row],[Player]],RB!B:O,7,FALSE)</f>
        <v>45.579983249220071</v>
      </c>
      <c r="X32" s="279">
        <f>VLOOKUP(TableRBRanks31[[#This Row],[Player]],RB!B:O,8,FALSE)</f>
        <v>33.824905569246212</v>
      </c>
      <c r="Y32" s="279">
        <f>VLOOKUP(TableRBRanks31[[#This Row],[Player]],RB!B:O,9,FALSE)</f>
        <v>200.88530733828148</v>
      </c>
      <c r="Z32" s="279">
        <f>VLOOKUP(TableRBRanks31[[#This Row],[Player]],RB!B:O,10,FALSE)</f>
        <v>1.0823969782158789</v>
      </c>
      <c r="AA32" s="272">
        <f>IFERROR(INDEX(TableRBCalcPts[Custom],MATCH(TableRBRanks31[[#This Row],[RK]],TableRBCalcPts[RK],0)),"")</f>
        <v>134.98798518855412</v>
      </c>
      <c r="AB3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17.057081939328484</v>
      </c>
      <c r="AD32" s="22">
        <v>31</v>
      </c>
      <c r="AE32" s="274" t="str">
        <f>IFERROR(INDEX(TableWRCalcPts[PLAYER],MATCH(TableWRRanks32[[#This Row],[RK]],TableWRCalcPts[RK],0)),"")</f>
        <v>Allen Lazard</v>
      </c>
      <c r="AF32" s="22" t="str">
        <f>IFERROR(INDEX(TableWRCalcPts[TM],MATCH(TableWRRanks32[[#This Row],[Player]],TableWRCalcPts[PLAYER],0)),"")</f>
        <v>GB</v>
      </c>
      <c r="AG32" s="22">
        <f>IFERROR(INDEX(TableWRCalcPts[BYE],MATCH(TableWRRanks32[[#This Row],[RK]],TableWRCalcPts[RK],0)),"")</f>
        <v>14</v>
      </c>
      <c r="AH32" s="279">
        <f>VLOOKUP(TableWRRanks32[[#This Row],[Player]],WR!B:O,4,FALSE)</f>
        <v>31.515852311690772</v>
      </c>
      <c r="AI32" s="279">
        <f>VLOOKUP(TableWRRanks32[[#This Row],[Player]],WR!B:O,5,FALSE)</f>
        <v>2.4999486230776555E-2</v>
      </c>
      <c r="AJ32" s="279">
        <f>VLOOKUP(TableWRRanks32[[#This Row],[Player]],WR!B:O,6,FALSE)</f>
        <v>98.355894739999982</v>
      </c>
      <c r="AK32" s="279">
        <f>VLOOKUP(TableWRRanks32[[#This Row],[Player]],WR!B:O,7,FALSE)</f>
        <v>64.698507559972001</v>
      </c>
      <c r="AL32" s="279">
        <f>VLOOKUP(TableWRRanks32[[#This Row],[Player]],WR!B:O,8,FALSE)</f>
        <v>843.02155350643511</v>
      </c>
      <c r="AM32" s="279">
        <f>VLOOKUP(TableWRRanks32[[#This Row],[Player]],WR!B:O,9,FALSE)</f>
        <v>7.8932179223165839</v>
      </c>
      <c r="AN32" s="272">
        <f>IFERROR(INDEX(TableWRCalcPts[Custom],MATCH(TableWRRanks32[[#This Row],[RK]],TableWRCalcPts[RK],0)),"")</f>
        <v>134.96304503309676</v>
      </c>
      <c r="AO3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12.242416525441508</v>
      </c>
      <c r="AQ32" s="22">
        <v>31</v>
      </c>
      <c r="AR32" s="274" t="str">
        <f>IFERROR(INDEX(TableTECalcPts[PLAYER],MATCH(TableTERanks33[[#This Row],[RK]],TableTECalcPts[RK],0)),"")</f>
        <v>Tommy Tremble</v>
      </c>
      <c r="AS32" s="22" t="str">
        <f>IFERROR(INDEX(TableTECalcPts[TM],MATCH(TableTERanks33[[#This Row],[Player]],TableTECalcPts[PLAYER],0)),"")</f>
        <v>CAR</v>
      </c>
      <c r="AT32" s="22">
        <f>IFERROR(INDEX(TableTECalcPts[BYE],MATCH(TableTERanks33[[#This Row],[RK]],TableTECalcPts[RK],0)),"")</f>
        <v>13</v>
      </c>
      <c r="AU32" s="279">
        <f>VLOOKUP(TableTERanks33[[#This Row],[Player]],TE!B:O,4,FALSE)</f>
        <v>60.533532028069587</v>
      </c>
      <c r="AV32" s="279">
        <f>VLOOKUP(TableTERanks33[[#This Row],[Player]],TE!B:O,5,FALSE)</f>
        <v>37.409722793347001</v>
      </c>
      <c r="AW32" s="279">
        <f>VLOOKUP(TableTERanks33[[#This Row],[Player]],TE!B:O,6,FALSE)</f>
        <v>384.97270779498683</v>
      </c>
      <c r="AX32" s="279">
        <f>VLOOKUP(TableTERanks33[[#This Row],[Player]],TE!B:O,7,FALSE)</f>
        <v>1.9975499754331536</v>
      </c>
      <c r="AY32" s="272">
        <f>IFERROR(INDEX(TableTECalcPts[Custom],MATCH(TableTERanks33[[#This Row],[RK]],TableTECalcPts[RK],0)),"")</f>
        <v>50.482570632097605</v>
      </c>
      <c r="AZ3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3" spans="1:52" x14ac:dyDescent="0.3">
      <c r="A33" s="22">
        <v>32</v>
      </c>
      <c r="B33" s="22" t="str">
        <f>IFERROR(INDEX(TableQBCalcPts[PLAYER],MATCH(TableQBRanks30[[#This Row],[RK]],TableQBCalcPts[RK],0)),"")</f>
        <v>Drew Lock</v>
      </c>
      <c r="C33" s="22" t="str">
        <f>IFERROR(INDEX(TableQBCalcPts[TM],MATCH(TableQBRanks30[[#This Row],[Player]],TableQBCalcPts[PLAYER],0)),"")</f>
        <v>SEA</v>
      </c>
      <c r="D33" s="22">
        <f>IFERROR(INDEX(TableQBCalcPts[BYE],MATCH(TableQBRanks30[[#This Row],[RK]],TableQBCalcPts[RK],0)),"")</f>
        <v>11</v>
      </c>
      <c r="E33" s="279">
        <f>VLOOKUP(TableQBRanks30[[#This Row],[Player]],QB!B:O,4,FALSE)</f>
        <v>349.05842399999995</v>
      </c>
      <c r="F33" s="279">
        <f>VLOOKUP(TableQBRanks30[[#This Row],[Player]],QB!B:O,5,FALSE)</f>
        <v>215.71810603199995</v>
      </c>
      <c r="G33" s="279">
        <f>VLOOKUP(TableQBRanks30[[#This Row],[Player]],QB!B:O,6,FALSE)</f>
        <v>2476.4438572473596</v>
      </c>
      <c r="H33" s="279">
        <f>VLOOKUP(TableQBRanks30[[#This Row],[Player]],QB!B:O,7,FALSE)</f>
        <v>12.511650149855997</v>
      </c>
      <c r="I33" s="279">
        <f>VLOOKUP(TableQBRanks30[[#This Row],[Player]],QB!B:O,8,FALSE)</f>
        <v>5.829927815749409</v>
      </c>
      <c r="J33" s="279">
        <f>VLOOKUP(TableQBRanks30[[#This Row],[Player]],QB!B:O,9,FALSE)</f>
        <v>30.410395784168831</v>
      </c>
      <c r="K33" s="279">
        <f>VLOOKUP(TableQBRanks30[[#This Row],[Player]],QB!B:O,10,FALSE)</f>
        <v>140.0955325952267</v>
      </c>
      <c r="L33" s="279">
        <f>VLOOKUP(TableQBRanks30[[#This Row],[Player]],QB!B:O,11,FALSE)</f>
        <v>1.6421613723451169</v>
      </c>
      <c r="M33" s="272">
        <f>IFERROR(INDEX(TableQBCalcPts[Custom],MATCH(TableQBRanks30[[#This Row],[RK]],TableQBCalcPts[RK],0)),"")</f>
        <v>161.30702075141295</v>
      </c>
      <c r="N3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3" s="22">
        <v>32</v>
      </c>
      <c r="Q33" s="22" t="str">
        <f>IFERROR(INDEX(TableRBCalcPts[PLAYER],MATCH(TableRBRanks31[[#This Row],[RK]],TableRBCalcPts[RK],0)),"")</f>
        <v>Melvin Gordon</v>
      </c>
      <c r="R33" s="22" t="str">
        <f>IFERROR(INDEX(TableRBCalcPts[TM],MATCH(TableRBRanks31[[#This Row],[Player]],TableRBCalcPts[PLAYER],0)),"")</f>
        <v>DEN</v>
      </c>
      <c r="S33" s="22">
        <f>IFERROR(INDEX(TableRBCalcPts[BYE],MATCH(TableRBRanks31[[#This Row],[RK]],TableRBCalcPts[RK],0)),"")</f>
        <v>9</v>
      </c>
      <c r="T33" s="279">
        <f>VLOOKUP(TableRBRanks31[[#This Row],[Player]],RB!B:O,4,FALSE)</f>
        <v>156.70926103164786</v>
      </c>
      <c r="U33" s="279">
        <f>VLOOKUP(TableRBRanks31[[#This Row],[Player]],RB!B:O,5,FALSE)</f>
        <v>699.74798185772386</v>
      </c>
      <c r="V33" s="279">
        <f>VLOOKUP(TableRBRanks31[[#This Row],[Player]],RB!B:O,6,FALSE)</f>
        <v>6.1804935184044512</v>
      </c>
      <c r="W33" s="279">
        <f>VLOOKUP(TableRBRanks31[[#This Row],[Player]],RB!B:O,7,FALSE)</f>
        <v>33.998839433115798</v>
      </c>
      <c r="X33" s="279">
        <f>VLOOKUP(TableRBRanks31[[#This Row],[Player]],RB!B:O,8,FALSE)</f>
        <v>24.592360527838341</v>
      </c>
      <c r="Y33" s="279">
        <f>VLOOKUP(TableRBRanks31[[#This Row],[Player]],RB!B:O,9,FALSE)</f>
        <v>167.01049901556337</v>
      </c>
      <c r="Z33" s="279">
        <f>VLOOKUP(TableRBRanks31[[#This Row],[Player]],RB!B:O,10,FALSE)</f>
        <v>1.111362063116615</v>
      </c>
      <c r="AA33" s="272">
        <f>IFERROR(INDEX(TableRBCalcPts[Custom],MATCH(TableRBRanks31[[#This Row],[RK]],TableRBCalcPts[RK],0)),"")</f>
        <v>130.42698157645512</v>
      </c>
      <c r="AB3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14.746415160055749</v>
      </c>
      <c r="AD33" s="274">
        <v>32</v>
      </c>
      <c r="AE33" s="22" t="str">
        <f>IFERROR(INDEX(TableWRCalcPts[PLAYER],MATCH(TableWRRanks32[[#This Row],[RK]],TableWRCalcPts[RK],0)),"")</f>
        <v>Darnell Mooney</v>
      </c>
      <c r="AF33" s="22" t="str">
        <f>IFERROR(INDEX(TableWRCalcPts[TM],MATCH(TableWRRanks32[[#This Row],[Player]],TableWRCalcPts[PLAYER],0)),"")</f>
        <v>CHI</v>
      </c>
      <c r="AG33" s="22">
        <f>IFERROR(INDEX(TableWRCalcPts[BYE],MATCH(TableWRRanks32[[#This Row],[RK]],TableWRCalcPts[RK],0)),"")</f>
        <v>14</v>
      </c>
      <c r="AH33" s="279">
        <f>VLOOKUP(TableWRRanks32[[#This Row],[Player]],WR!B:O,4,FALSE)</f>
        <v>30.171173521760245</v>
      </c>
      <c r="AI33" s="279">
        <f>VLOOKUP(TableWRRanks32[[#This Row],[Player]],WR!B:O,5,FALSE)</f>
        <v>0</v>
      </c>
      <c r="AJ33" s="279">
        <f>VLOOKUP(TableWRRanks32[[#This Row],[Player]],WR!B:O,6,FALSE)</f>
        <v>124.67199517362447</v>
      </c>
      <c r="AK33" s="279">
        <f>VLOOKUP(TableWRRanks32[[#This Row],[Player]],WR!B:O,7,FALSE)</f>
        <v>73.436299602231898</v>
      </c>
      <c r="AL33" s="279">
        <f>VLOOKUP(TableWRRanks32[[#This Row],[Player]],WR!B:O,8,FALSE)</f>
        <v>1053.8108992920277</v>
      </c>
      <c r="AM33" s="279">
        <f>VLOOKUP(TableWRRanks32[[#This Row],[Player]],WR!B:O,9,FALSE)</f>
        <v>4.3091956701704817</v>
      </c>
      <c r="AN33" s="272">
        <f>IFERROR(INDEX(TableWRCalcPts[Custom],MATCH(TableWRRanks32[[#This Row],[RK]],TableWRCalcPts[RK],0)),"")</f>
        <v>134.25338130240169</v>
      </c>
      <c r="AO3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11.908141251757085</v>
      </c>
      <c r="AQ33" s="274">
        <v>32</v>
      </c>
      <c r="AR33" s="22" t="str">
        <f>IFERROR(INDEX(TableTECalcPts[PLAYER],MATCH(TableTERanks33[[#This Row],[RK]],TableTECalcPts[RK],0)),"")</f>
        <v>Adam Trautman</v>
      </c>
      <c r="AS33" s="22" t="str">
        <f>IFERROR(INDEX(TableTECalcPts[TM],MATCH(TableTERanks33[[#This Row],[Player]],TableTECalcPts[PLAYER],0)),"")</f>
        <v>NO</v>
      </c>
      <c r="AT33" s="22">
        <f>IFERROR(INDEX(TableTECalcPts[BYE],MATCH(TableTERanks33[[#This Row],[RK]],TableTECalcPts[RK],0)),"")</f>
        <v>14</v>
      </c>
      <c r="AU33" s="279">
        <f>VLOOKUP(TableTERanks33[[#This Row],[Player]],TE!B:O,4,FALSE)</f>
        <v>47.018986415021374</v>
      </c>
      <c r="AV33" s="279">
        <f>VLOOKUP(TableTERanks33[[#This Row],[Player]],TE!B:O,5,FALSE)</f>
        <v>29.057733604483207</v>
      </c>
      <c r="AW33" s="279">
        <f>VLOOKUP(TableTERanks33[[#This Row],[Player]],TE!B:O,6,FALSE)</f>
        <v>331.83931776319821</v>
      </c>
      <c r="AX33" s="279">
        <f>VLOOKUP(TableTERanks33[[#This Row],[Player]],TE!B:O,7,FALSE)</f>
        <v>2.8476578932393544</v>
      </c>
      <c r="AY33" s="272">
        <f>IFERROR(INDEX(TableTECalcPts[Custom],MATCH(TableTERanks33[[#This Row],[RK]],TableTECalcPts[RK],0)),"")</f>
        <v>50.26987913575595</v>
      </c>
      <c r="AZ3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4" spans="1:52" x14ac:dyDescent="0.3">
      <c r="A34" s="22">
        <v>33</v>
      </c>
      <c r="B34" s="22" t="str">
        <f>IFERROR(INDEX(TableQBCalcPts[PLAYER],MATCH(TableQBRanks30[[#This Row],[RK]],TableQBCalcPts[RK],0)),"")</f>
        <v>Jacoby Brissett</v>
      </c>
      <c r="C34" s="22" t="str">
        <f>IFERROR(INDEX(TableQBCalcPts[TM],MATCH(TableQBRanks30[[#This Row],[Player]],TableQBCalcPts[PLAYER],0)),"")</f>
        <v>CLE</v>
      </c>
      <c r="D34" s="22">
        <f>IFERROR(INDEX(TableQBCalcPts[BYE],MATCH(TableQBRanks30[[#This Row],[RK]],TableQBCalcPts[RK],0)),"")</f>
        <v>9</v>
      </c>
      <c r="E34" s="279">
        <f>VLOOKUP(TableQBRanks30[[#This Row],[Player]],QB!B:O,4,FALSE)</f>
        <v>276.77232000000004</v>
      </c>
      <c r="F34" s="279">
        <f>VLOOKUP(TableQBRanks30[[#This Row],[Player]],QB!B:O,5,FALSE)</f>
        <v>173.81301696000003</v>
      </c>
      <c r="G34" s="279">
        <f>VLOOKUP(TableQBRanks30[[#This Row],[Player]],QB!B:O,6,FALSE)</f>
        <v>1873.7043228288003</v>
      </c>
      <c r="H34" s="279">
        <f>VLOOKUP(TableQBRanks30[[#This Row],[Player]],QB!B:O,7,FALSE)</f>
        <v>14.339573899200003</v>
      </c>
      <c r="I34" s="279">
        <f>VLOOKUP(TableQBRanks30[[#This Row],[Player]],QB!B:O,8,FALSE)</f>
        <v>3.2976447285908996</v>
      </c>
      <c r="J34" s="279">
        <f>VLOOKUP(TableQBRanks30[[#This Row],[Player]],QB!B:O,9,FALSE)</f>
        <v>13.357889761858702</v>
      </c>
      <c r="K34" s="279">
        <f>VLOOKUP(TableQBRanks30[[#This Row],[Player]],QB!B:O,10,FALSE)</f>
        <v>53.707767100346274</v>
      </c>
      <c r="L34" s="279">
        <f>VLOOKUP(TableQBRanks30[[#This Row],[Player]],QB!B:O,11,FALSE)</f>
        <v>0.59275342048080326</v>
      </c>
      <c r="M34" s="272">
        <f>IFERROR(INDEX(TableQBCalcPts[Custom],MATCH(TableQBRanks30[[#This Row],[RK]],TableQBCalcPts[RK],0)),"")</f>
        <v>134.63847628568968</v>
      </c>
      <c r="N3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4" s="22">
        <v>33</v>
      </c>
      <c r="Q34" s="22" t="str">
        <f>IFERROR(INDEX(TableRBCalcPts[PLAYER],MATCH(TableRBRanks31[[#This Row],[RK]],TableRBCalcPts[RK],0)),"")</f>
        <v>Miles Sanders</v>
      </c>
      <c r="R34" s="22" t="str">
        <f>IFERROR(INDEX(TableRBCalcPts[TM],MATCH(TableRBRanks31[[#This Row],[Player]],TableRBCalcPts[PLAYER],0)),"")</f>
        <v>PHI</v>
      </c>
      <c r="S34" s="22">
        <f>IFERROR(INDEX(TableRBCalcPts[BYE],MATCH(TableRBRanks31[[#This Row],[RK]],TableRBCalcPts[RK],0)),"")</f>
        <v>7</v>
      </c>
      <c r="T34" s="279">
        <f>VLOOKUP(TableRBRanks31[[#This Row],[Player]],RB!B:O,4,FALSE)</f>
        <v>172.90609589361964</v>
      </c>
      <c r="U34" s="279">
        <f>VLOOKUP(TableRBRanks31[[#This Row],[Player]],RB!B:O,5,FALSE)</f>
        <v>858.41901799898108</v>
      </c>
      <c r="V34" s="279">
        <f>VLOOKUP(TableRBRanks31[[#This Row],[Player]],RB!B:O,6,FALSE)</f>
        <v>3.4927031370511163</v>
      </c>
      <c r="W34" s="279">
        <f>VLOOKUP(TableRBRanks31[[#This Row],[Player]],RB!B:O,7,FALSE)</f>
        <v>34.34376450627196</v>
      </c>
      <c r="X34" s="279">
        <f>VLOOKUP(TableRBRanks31[[#This Row],[Player]],RB!B:O,8,FALSE)</f>
        <v>25.641054580382647</v>
      </c>
      <c r="Y34" s="279">
        <f>VLOOKUP(TableRBRanks31[[#This Row],[Player]],RB!B:O,9,FALSE)</f>
        <v>174.61558169240581</v>
      </c>
      <c r="Z34" s="279">
        <f>VLOOKUP(TableRBRanks31[[#This Row],[Player]],RB!B:O,10,FALSE)</f>
        <v>0.66666741908994875</v>
      </c>
      <c r="AA34" s="272">
        <f>IFERROR(INDEX(TableRBCalcPts[Custom],MATCH(TableRBRanks31[[#This Row],[RK]],TableRBCalcPts[RK],0)),"")</f>
        <v>128.25968330598508</v>
      </c>
      <c r="AB3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13.648432229047781</v>
      </c>
      <c r="AD34" s="22">
        <v>33</v>
      </c>
      <c r="AE34" s="22" t="str">
        <f>IFERROR(INDEX(TableWRCalcPts[PLAYER],MATCH(TableWRRanks32[[#This Row],[RK]],TableWRCalcPts[RK],0)),"")</f>
        <v>Drake London</v>
      </c>
      <c r="AF34" s="22" t="str">
        <f>IFERROR(INDEX(TableWRCalcPts[TM],MATCH(TableWRRanks32[[#This Row],[Player]],TableWRCalcPts[PLAYER],0)),"")</f>
        <v>ATL</v>
      </c>
      <c r="AG34" s="22">
        <f>IFERROR(INDEX(TableWRCalcPts[BYE],MATCH(TableWRRanks32[[#This Row],[RK]],TableWRCalcPts[RK],0)),"")</f>
        <v>14</v>
      </c>
      <c r="AH34" s="279">
        <f>VLOOKUP(TableWRRanks32[[#This Row],[Player]],WR!B:O,4,FALSE)</f>
        <v>1.1244435376285671</v>
      </c>
      <c r="AI34" s="279">
        <f>VLOOKUP(TableWRRanks32[[#This Row],[Player]],WR!B:O,5,FALSE)</f>
        <v>0</v>
      </c>
      <c r="AJ34" s="279">
        <f>VLOOKUP(TableWRRanks32[[#This Row],[Player]],WR!B:O,6,FALSE)</f>
        <v>119.39568732054308</v>
      </c>
      <c r="AK34" s="279">
        <f>VLOOKUP(TableWRRanks32[[#This Row],[Player]],WR!B:O,7,FALSE)</f>
        <v>71.219527486703953</v>
      </c>
      <c r="AL34" s="279">
        <f>VLOOKUP(TableWRRanks32[[#This Row],[Player]],WR!B:O,8,FALSE)</f>
        <v>962.17581634537044</v>
      </c>
      <c r="AM34" s="279">
        <f>VLOOKUP(TableWRRanks32[[#This Row],[Player]],WR!B:O,9,FALSE)</f>
        <v>6.2673184188299471</v>
      </c>
      <c r="AN34" s="272">
        <f>IFERROR(INDEX(TableWRCalcPts[Custom],MATCH(TableWRRanks32[[#This Row],[RK]],TableWRCalcPts[RK],0)),"")</f>
        <v>133.93393650127959</v>
      </c>
      <c r="AO3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11.757672101787183</v>
      </c>
      <c r="AQ34" s="22">
        <v>33</v>
      </c>
      <c r="AR34" s="274" t="str">
        <f>IFERROR(INDEX(TableTECalcPts[PLAYER],MATCH(TableTERanks33[[#This Row],[RK]],TableTECalcPts[RK],0)),"")</f>
        <v>Ricky Seals-Jones</v>
      </c>
      <c r="AS34" s="22" t="str">
        <f>IFERROR(INDEX(TableTECalcPts[TM],MATCH(TableTERanks33[[#This Row],[Player]],TableTECalcPts[PLAYER],0)),"")</f>
        <v>NYG</v>
      </c>
      <c r="AT34" s="22">
        <f>IFERROR(INDEX(TableTECalcPts[BYE],MATCH(TableTERanks33[[#This Row],[RK]],TableTECalcPts[RK],0)),"")</f>
        <v>9</v>
      </c>
      <c r="AU34" s="279">
        <f>VLOOKUP(TableTERanks33[[#This Row],[Player]],TE!B:O,4,FALSE)</f>
        <v>42.943211815198531</v>
      </c>
      <c r="AV34" s="279">
        <f>VLOOKUP(TableTERanks33[[#This Row],[Player]],TE!B:O,5,FALSE)</f>
        <v>26.826624420954523</v>
      </c>
      <c r="AW34" s="279">
        <f>VLOOKUP(TableTERanks33[[#This Row],[Player]],TE!B:O,6,FALSE)</f>
        <v>295.89766736312839</v>
      </c>
      <c r="AX34" s="279">
        <f>VLOOKUP(TableTERanks33[[#This Row],[Player]],TE!B:O,7,FALSE)</f>
        <v>2.2802630757811349</v>
      </c>
      <c r="AY34" s="272">
        <f>IFERROR(INDEX(TableTECalcPts[Custom],MATCH(TableTERanks33[[#This Row],[RK]],TableTECalcPts[RK],0)),"")</f>
        <v>43.271345190999646</v>
      </c>
      <c r="AZ3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5" spans="1:52" x14ac:dyDescent="0.3">
      <c r="A35" s="22">
        <v>34</v>
      </c>
      <c r="B35" s="22" t="str">
        <f>IFERROR(INDEX(TableQBCalcPts[PLAYER],MATCH(TableQBRanks30[[#This Row],[RK]],TableQBCalcPts[RK],0)),"")</f>
        <v>Geno Smith</v>
      </c>
      <c r="C35" s="22" t="str">
        <f>IFERROR(INDEX(TableQBCalcPts[TM],MATCH(TableQBRanks30[[#This Row],[Player]],TableQBCalcPts[PLAYER],0)),"")</f>
        <v>SEA</v>
      </c>
      <c r="D35" s="22">
        <f>IFERROR(INDEX(TableQBCalcPts[BYE],MATCH(TableQBRanks30[[#This Row],[RK]],TableQBCalcPts[RK],0)),"")</f>
        <v>11</v>
      </c>
      <c r="E35" s="279">
        <f>VLOOKUP(TableQBRanks30[[#This Row],[Player]],QB!B:O,4,FALSE)</f>
        <v>232.70561599999996</v>
      </c>
      <c r="F35" s="279">
        <f>VLOOKUP(TableQBRanks30[[#This Row],[Player]],QB!B:O,5,FALSE)</f>
        <v>150.76678049807032</v>
      </c>
      <c r="G35" s="279">
        <f>VLOOKUP(TableQBRanks30[[#This Row],[Player]],QB!B:O,6,FALSE)</f>
        <v>1672.0035957235998</v>
      </c>
      <c r="H35" s="279">
        <f>VLOOKUP(TableQBRanks30[[#This Row],[Player]],QB!B:O,7,FALSE)</f>
        <v>8.6633661477744344</v>
      </c>
      <c r="I35" s="279">
        <f>VLOOKUP(TableQBRanks30[[#This Row],[Player]],QB!B:O,8,FALSE)</f>
        <v>3.1370041471525831</v>
      </c>
      <c r="J35" s="279">
        <f>VLOOKUP(TableQBRanks30[[#This Row],[Player]],QB!B:O,9,FALSE)</f>
        <v>15.378041080599093</v>
      </c>
      <c r="K35" s="279">
        <f>VLOOKUP(TableQBRanks30[[#This Row],[Player]],QB!B:O,10,FALSE)</f>
        <v>61.064923192057371</v>
      </c>
      <c r="L35" s="279">
        <f>VLOOKUP(TableQBRanks30[[#This Row],[Player]],QB!B:O,11,FALSE)</f>
        <v>0.90730442375534648</v>
      </c>
      <c r="M35" s="272">
        <f>IFERROR(INDEX(TableQBCalcPts[Custom],MATCH(TableQBRanks30[[#This Row],[RK]],TableQBCalcPts[RK],0)),"")</f>
        <v>106.80991898747439</v>
      </c>
      <c r="N3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5" s="22">
        <v>34</v>
      </c>
      <c r="Q35" s="22" t="str">
        <f>IFERROR(INDEX(TableRBCalcPts[PLAYER],MATCH(TableRBRanks31[[#This Row],[RK]],TableRBCalcPts[RK],0)),"")</f>
        <v>Rashaad Penny</v>
      </c>
      <c r="R35" s="22" t="str">
        <f>IFERROR(INDEX(TableRBCalcPts[TM],MATCH(TableRBRanks31[[#This Row],[Player]],TableRBCalcPts[PLAYER],0)),"")</f>
        <v>SEA</v>
      </c>
      <c r="S35" s="22">
        <f>IFERROR(INDEX(TableRBCalcPts[BYE],MATCH(TableRBRanks31[[#This Row],[RK]],TableRBCalcPts[RK],0)),"")</f>
        <v>11</v>
      </c>
      <c r="T35" s="279">
        <f>VLOOKUP(TableRBRanks31[[#This Row],[Player]],RB!B:O,4,FALSE)</f>
        <v>135.7269802474585</v>
      </c>
      <c r="U35" s="279">
        <f>VLOOKUP(TableRBRanks31[[#This Row],[Player]],RB!B:O,5,FALSE)</f>
        <v>652.84677499027532</v>
      </c>
      <c r="V35" s="279">
        <f>VLOOKUP(TableRBRanks31[[#This Row],[Player]],RB!B:O,6,FALSE)</f>
        <v>5.2911679040614379</v>
      </c>
      <c r="W35" s="279">
        <f>VLOOKUP(TableRBRanks31[[#This Row],[Player]],RB!B:O,7,FALSE)</f>
        <v>39.570281629442256</v>
      </c>
      <c r="X35" s="279">
        <f>VLOOKUP(TableRBRanks31[[#This Row],[Player]],RB!B:O,8,FALSE)</f>
        <v>29.428418447816206</v>
      </c>
      <c r="Y35" s="279">
        <f>VLOOKUP(TableRBRanks31[[#This Row],[Player]],RB!B:O,9,FALSE)</f>
        <v>204.34758155676522</v>
      </c>
      <c r="Z35" s="279">
        <f>VLOOKUP(TableRBRanks31[[#This Row],[Player]],RB!B:O,10,FALSE)</f>
        <v>1.0888514825691995</v>
      </c>
      <c r="AA35" s="272">
        <f>IFERROR(INDEX(TableRBCalcPts[Custom],MATCH(TableRBRanks31[[#This Row],[RK]],TableRBCalcPts[RK],0)),"")</f>
        <v>123.99955197448789</v>
      </c>
      <c r="AB3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11.490191460082608</v>
      </c>
      <c r="AD35" s="22">
        <v>34</v>
      </c>
      <c r="AE35" s="274" t="str">
        <f>IFERROR(INDEX(TableWRCalcPts[PLAYER],MATCH(TableWRRanks32[[#This Row],[RK]],TableWRCalcPts[RK],0)),"")</f>
        <v>Chris Godwin</v>
      </c>
      <c r="AF35" s="22" t="str">
        <f>IFERROR(INDEX(TableWRCalcPts[TM],MATCH(TableWRRanks32[[#This Row],[Player]],TableWRCalcPts[PLAYER],0)),"")</f>
        <v>TB</v>
      </c>
      <c r="AG35" s="22">
        <f>IFERROR(INDEX(TableWRCalcPts[BYE],MATCH(TableWRRanks32[[#This Row],[RK]],TableWRCalcPts[RK],0)),"")</f>
        <v>11</v>
      </c>
      <c r="AH35" s="279">
        <f>VLOOKUP(TableWRRanks32[[#This Row],[Player]],WR!B:O,4,FALSE)</f>
        <v>20.850529060470159</v>
      </c>
      <c r="AI35" s="279">
        <f>VLOOKUP(TableWRRanks32[[#This Row],[Player]],WR!B:O,5,FALSE)</f>
        <v>0.30001120963757588</v>
      </c>
      <c r="AJ35" s="279">
        <f>VLOOKUP(TableWRRanks32[[#This Row],[Player]],WR!B:O,6,FALSE)</f>
        <v>107.52334898395679</v>
      </c>
      <c r="AK35" s="279">
        <f>VLOOKUP(TableWRRanks32[[#This Row],[Player]],WR!B:O,7,FALSE)</f>
        <v>78.330759734812531</v>
      </c>
      <c r="AL35" s="279">
        <f>VLOOKUP(TableWRRanks32[[#This Row],[Player]],WR!B:O,8,FALSE)</f>
        <v>916.46988889730653</v>
      </c>
      <c r="AM35" s="279">
        <f>VLOOKUP(TableWRRanks32[[#This Row],[Player]],WR!B:O,9,FALSE)</f>
        <v>6.18813001905019</v>
      </c>
      <c r="AN35" s="272">
        <f>IFERROR(INDEX(TableWRCalcPts[Custom],MATCH(TableWRRanks32[[#This Row],[RK]],TableWRCalcPts[RK],0)),"")</f>
        <v>132.66088916790426</v>
      </c>
      <c r="AO3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11.158024370938005</v>
      </c>
      <c r="AQ35" s="22">
        <v>34</v>
      </c>
      <c r="AR35" s="274" t="str">
        <f>IFERROR(INDEX(TableTECalcPts[PLAYER],MATCH(TableTERanks33[[#This Row],[RK]],TableTECalcPts[RK],0)),"")</f>
        <v>Jonnu Smith</v>
      </c>
      <c r="AS35" s="22" t="str">
        <f>IFERROR(INDEX(TableTECalcPts[TM],MATCH(TableTERanks33[[#This Row],[Player]],TableTECalcPts[PLAYER],0)),"")</f>
        <v>NE</v>
      </c>
      <c r="AT35" s="22">
        <f>IFERROR(INDEX(TableTECalcPts[BYE],MATCH(TableTERanks33[[#This Row],[RK]],TableTECalcPts[RK],0)),"")</f>
        <v>10</v>
      </c>
      <c r="AU35" s="279">
        <f>VLOOKUP(TableTERanks33[[#This Row],[Player]],TE!B:O,4,FALSE)</f>
        <v>41.885031986195834</v>
      </c>
      <c r="AV35" s="279">
        <f>VLOOKUP(TableTERanks33[[#This Row],[Player]],TE!B:O,5,FALSE)</f>
        <v>27.275532829410729</v>
      </c>
      <c r="AW35" s="279">
        <f>VLOOKUP(TableTERanks33[[#This Row],[Player]],TE!B:O,6,FALSE)</f>
        <v>303.57668039134143</v>
      </c>
      <c r="AX35" s="279">
        <f>VLOOKUP(TableTERanks33[[#This Row],[Player]],TE!B:O,7,FALSE)</f>
        <v>1.8547362323999297</v>
      </c>
      <c r="AY35" s="272">
        <f>IFERROR(INDEX(TableTECalcPts[Custom],MATCH(TableTERanks33[[#This Row],[RK]],TableTECalcPts[RK],0)),"")</f>
        <v>41.486085433533724</v>
      </c>
      <c r="AZ3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6" spans="1:52" x14ac:dyDescent="0.3">
      <c r="A36" s="22">
        <v>35</v>
      </c>
      <c r="B36" s="22" t="str">
        <f>IFERROR(INDEX(TableQBCalcPts[PLAYER],MATCH(TableQBRanks30[[#This Row],[RK]],TableQBCalcPts[RK],0)),"")</f>
        <v>Desmond Ridder</v>
      </c>
      <c r="C36" s="22" t="str">
        <f>IFERROR(INDEX(TableQBCalcPts[TM],MATCH(TableQBRanks30[[#This Row],[Player]],TableQBCalcPts[PLAYER],0)),"")</f>
        <v>ATL</v>
      </c>
      <c r="D36" s="22">
        <f>IFERROR(INDEX(TableQBCalcPts[BYE],MATCH(TableQBRanks30[[#This Row],[RK]],TableQBCalcPts[RK],0)),"")</f>
        <v>14</v>
      </c>
      <c r="E36" s="279">
        <f>VLOOKUP(TableQBRanks30[[#This Row],[Player]],QB!B:O,4,FALSE)</f>
        <v>194.17149000000003</v>
      </c>
      <c r="F36" s="279">
        <f>VLOOKUP(TableQBRanks30[[#This Row],[Player]],QB!B:O,5,FALSE)</f>
        <v>117.12286686057021</v>
      </c>
      <c r="G36" s="279">
        <f>VLOOKUP(TableQBRanks30[[#This Row],[Player]],QB!B:O,6,FALSE)</f>
        <v>1323.4883955244434</v>
      </c>
      <c r="H36" s="279">
        <f>VLOOKUP(TableQBRanks30[[#This Row],[Player]],QB!B:O,7,FALSE)</f>
        <v>7.0111129962407857</v>
      </c>
      <c r="I36" s="279">
        <f>VLOOKUP(TableQBRanks30[[#This Row],[Player]],QB!B:O,8,FALSE)</f>
        <v>2.9081830254177503</v>
      </c>
      <c r="J36" s="279">
        <f>VLOOKUP(TableQBRanks30[[#This Row],[Player]],QB!B:O,9,FALSE)</f>
        <v>17.640769971000349</v>
      </c>
      <c r="K36" s="279">
        <f>VLOOKUP(TableQBRanks30[[#This Row],[Player]],QB!B:O,10,FALSE)</f>
        <v>82.55534517571256</v>
      </c>
      <c r="L36" s="279">
        <f>VLOOKUP(TableQBRanks30[[#This Row],[Player]],QB!B:O,11,FALSE)</f>
        <v>0.65767453134186415</v>
      </c>
      <c r="M36" s="272">
        <f>IFERROR(INDEX(TableQBCalcPts[Custom],MATCH(TableQBRanks30[[#This Row],[RK]],TableQBCalcPts[RK],0)),"")</f>
        <v>87.369203460727817</v>
      </c>
      <c r="N3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6" s="22">
        <v>35</v>
      </c>
      <c r="Q36" s="22" t="str">
        <f>IFERROR(INDEX(TableRBCalcPts[PLAYER],MATCH(TableRBRanks31[[#This Row],[RK]],TableRBCalcPts[RK],0)),"")</f>
        <v>Kareem Hunt</v>
      </c>
      <c r="R36" s="22" t="str">
        <f>IFERROR(INDEX(TableRBCalcPts[TM],MATCH(TableRBRanks31[[#This Row],[Player]],TableRBCalcPts[PLAYER],0)),"")</f>
        <v>CLE</v>
      </c>
      <c r="S36" s="22">
        <f>IFERROR(INDEX(TableRBCalcPts[BYE],MATCH(TableRBRanks31[[#This Row],[RK]],TableRBCalcPts[RK],0)),"")</f>
        <v>9</v>
      </c>
      <c r="T36" s="279">
        <f>VLOOKUP(TableRBRanks31[[#This Row],[Player]],RB!B:O,4,FALSE)</f>
        <v>104.88417146348313</v>
      </c>
      <c r="U36" s="279">
        <f>VLOOKUP(TableRBRanks31[[#This Row],[Player]],RB!B:O,5,FALSE)</f>
        <v>502.30665648709174</v>
      </c>
      <c r="V36" s="279">
        <f>VLOOKUP(TableRBRanks31[[#This Row],[Player]],RB!B:O,6,FALSE)</f>
        <v>4.2058552756856731</v>
      </c>
      <c r="W36" s="279">
        <f>VLOOKUP(TableRBRanks31[[#This Row],[Player]],RB!B:O,7,FALSE)</f>
        <v>61.981024311204955</v>
      </c>
      <c r="X36" s="279">
        <f>VLOOKUP(TableRBRanks31[[#This Row],[Player]],RB!B:O,8,FALSE)</f>
        <v>46.076693472949763</v>
      </c>
      <c r="Y36" s="279">
        <f>VLOOKUP(TableRBRanks31[[#This Row],[Player]],RB!B:O,9,FALSE)</f>
        <v>369.99584858778655</v>
      </c>
      <c r="Z36" s="279">
        <f>VLOOKUP(TableRBRanks31[[#This Row],[Player]],RB!B:O,10,FALSE)</f>
        <v>1.8430677389179906</v>
      </c>
      <c r="AA36" s="272">
        <f>IFERROR(INDEX(TableRBCalcPts[Custom],MATCH(TableRBRanks31[[#This Row],[RK]],TableRBCalcPts[RK],0)),"")</f>
        <v>123.52378859510981</v>
      </c>
      <c r="AB3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11.249163228355876</v>
      </c>
      <c r="AD36" s="274">
        <v>35</v>
      </c>
      <c r="AE36" s="22" t="str">
        <f>IFERROR(INDEX(TableWRCalcPts[PLAYER],MATCH(TableWRRanks32[[#This Row],[RK]],TableWRCalcPts[RK],0)),"")</f>
        <v>Hunter Renfrow</v>
      </c>
      <c r="AF36" s="22" t="str">
        <f>IFERROR(INDEX(TableWRCalcPts[TM],MATCH(TableWRRanks32[[#This Row],[Player]],TableWRCalcPts[PLAYER],0)),"")</f>
        <v>LV</v>
      </c>
      <c r="AG36" s="22">
        <f>IFERROR(INDEX(TableWRCalcPts[BYE],MATCH(TableWRRanks32[[#This Row],[RK]],TableWRCalcPts[RK],0)),"")</f>
        <v>6</v>
      </c>
      <c r="AH36" s="279">
        <f>VLOOKUP(TableWRRanks32[[#This Row],[Player]],WR!B:O,4,FALSE)</f>
        <v>9.7218714167991465</v>
      </c>
      <c r="AI36" s="279">
        <f>VLOOKUP(TableWRRanks32[[#This Row],[Player]],WR!B:O,5,FALSE)</f>
        <v>2.4991957369663618E-2</v>
      </c>
      <c r="AJ36" s="279">
        <f>VLOOKUP(TableWRRanks32[[#This Row],[Player]],WR!B:O,6,FALSE)</f>
        <v>112.76794328999996</v>
      </c>
      <c r="AK36" s="279">
        <f>VLOOKUP(TableWRRanks32[[#This Row],[Player]],WR!B:O,7,FALSE)</f>
        <v>85.624699340096967</v>
      </c>
      <c r="AL36" s="279">
        <f>VLOOKUP(TableWRRanks32[[#This Row],[Player]],WR!B:O,8,FALSE)</f>
        <v>882.79065019639972</v>
      </c>
      <c r="AM36" s="279">
        <f>VLOOKUP(TableWRRanks32[[#This Row],[Player]],WR!B:O,9,FALSE)</f>
        <v>7.1924747445681456</v>
      </c>
      <c r="AN36" s="272">
        <f>IFERROR(INDEX(TableWRCalcPts[Custom],MATCH(TableWRRanks32[[#This Row],[RK]],TableWRCalcPts[RK],0)),"")</f>
        <v>132.55605237294674</v>
      </c>
      <c r="AO3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11.108642745795205</v>
      </c>
      <c r="AQ36" s="274">
        <v>35</v>
      </c>
      <c r="AR36" s="274" t="str">
        <f>IFERROR(INDEX(TableTECalcPts[PLAYER],MATCH(TableTERanks33[[#This Row],[RK]],TableTECalcPts[RK],0)),"")</f>
        <v>Cade Otton</v>
      </c>
      <c r="AS36" s="22" t="str">
        <f>IFERROR(INDEX(TableTECalcPts[TM],MATCH(TableTERanks33[[#This Row],[Player]],TableTECalcPts[PLAYER],0)),"")</f>
        <v>TB</v>
      </c>
      <c r="AT36" s="22">
        <f>IFERROR(INDEX(TableTECalcPts[BYE],MATCH(TableTERanks33[[#This Row],[RK]],TableTECalcPts[RK],0)),"")</f>
        <v>11</v>
      </c>
      <c r="AU36" s="279">
        <f>VLOOKUP(TableTERanks33[[#This Row],[Player]],TE!B:O,4,FALSE)</f>
        <v>37.491694053616513</v>
      </c>
      <c r="AV36" s="279">
        <f>VLOOKUP(TableTERanks33[[#This Row],[Player]],TE!B:O,5,FALSE)</f>
        <v>23.394817089456705</v>
      </c>
      <c r="AW36" s="279">
        <f>VLOOKUP(TableTERanks33[[#This Row],[Player]],TE!B:O,6,FALSE)</f>
        <v>252.43346447786581</v>
      </c>
      <c r="AX36" s="279">
        <f>VLOOKUP(TableTERanks33[[#This Row],[Player]],TE!B:O,7,FALSE)</f>
        <v>2.2225076234983869</v>
      </c>
      <c r="AY36" s="272">
        <f>IFERROR(INDEX(TableTECalcPts[Custom],MATCH(TableTERanks33[[#This Row],[RK]],TableTECalcPts[RK],0)),"")</f>
        <v>38.578392188776903</v>
      </c>
      <c r="AZ3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7" spans="1:52" x14ac:dyDescent="0.3">
      <c r="A37" s="22">
        <v>36</v>
      </c>
      <c r="B37" s="22" t="str">
        <f>IFERROR(INDEX(TableQBCalcPts[PLAYER],MATCH(TableQBRanks30[[#This Row],[RK]],TableQBCalcPts[RK],0)),"")</f>
        <v>Matt Corral</v>
      </c>
      <c r="C37" s="22" t="str">
        <f>IFERROR(INDEX(TableQBCalcPts[TM],MATCH(TableQBRanks30[[#This Row],[Player]],TableQBCalcPts[PLAYER],0)),"")</f>
        <v>CAR</v>
      </c>
      <c r="D37" s="22">
        <f>IFERROR(INDEX(TableQBCalcPts[BYE],MATCH(TableQBRanks30[[#This Row],[RK]],TableQBCalcPts[RK],0)),"")</f>
        <v>13</v>
      </c>
      <c r="E37" s="279">
        <f>VLOOKUP(TableQBRanks30[[#This Row],[Player]],QB!B:O,4,FALSE)</f>
        <v>187.30111649999998</v>
      </c>
      <c r="F37" s="279">
        <f>VLOOKUP(TableQBRanks30[[#This Row],[Player]],QB!B:O,5,FALSE)</f>
        <v>115.75208999699998</v>
      </c>
      <c r="G37" s="279">
        <f>VLOOKUP(TableQBRanks30[[#This Row],[Player]],QB!B:O,6,FALSE)</f>
        <v>1222.5798242202841</v>
      </c>
      <c r="H37" s="279">
        <f>VLOOKUP(TableQBRanks30[[#This Row],[Player]],QB!B:O,7,FALSE)</f>
        <v>6.17211809198397</v>
      </c>
      <c r="I37" s="279">
        <f>VLOOKUP(TableQBRanks30[[#This Row],[Player]],QB!B:O,8,FALSE)</f>
        <v>3.083215315079495</v>
      </c>
      <c r="J37" s="279">
        <f>VLOOKUP(TableQBRanks30[[#This Row],[Player]],QB!B:O,9,FALSE)</f>
        <v>12.204496060476657</v>
      </c>
      <c r="K37" s="279">
        <f>VLOOKUP(TableQBRanks30[[#This Row],[Player]],QB!B:O,10,FALSE)</f>
        <v>54.554097390330654</v>
      </c>
      <c r="L37" s="279">
        <f>VLOOKUP(TableQBRanks30[[#This Row],[Player]],QB!B:O,11,FALSE)</f>
        <v>0.52019163536457891</v>
      </c>
      <c r="M37" s="272">
        <f>IFERROR(INDEX(TableQBCalcPts[Custom],MATCH(TableQBRanks30[[#This Row],[RK]],TableQBCalcPts[RK],0)),"")</f>
        <v>76.001794257808797</v>
      </c>
      <c r="N3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7" s="22">
        <v>36</v>
      </c>
      <c r="Q37" s="22" t="str">
        <f>IFERROR(INDEX(TableRBCalcPts[PLAYER],MATCH(TableRBRanks31[[#This Row],[RK]],TableRBCalcPts[RK],0)),"")</f>
        <v>Chase Edmonds</v>
      </c>
      <c r="R37" s="22" t="str">
        <f>IFERROR(INDEX(TableRBCalcPts[TM],MATCH(TableRBRanks31[[#This Row],[Player]],TableRBCalcPts[PLAYER],0)),"")</f>
        <v>MIA</v>
      </c>
      <c r="S37" s="22">
        <f>IFERROR(INDEX(TableRBCalcPts[BYE],MATCH(TableRBRanks31[[#This Row],[RK]],TableRBCalcPts[RK],0)),"")</f>
        <v>11</v>
      </c>
      <c r="T37" s="279">
        <f>VLOOKUP(TableRBRanks31[[#This Row],[Player]],RB!B:O,4,FALSE)</f>
        <v>133.25061131395191</v>
      </c>
      <c r="U37" s="279">
        <f>VLOOKUP(TableRBRanks31[[#This Row],[Player]],RB!B:O,5,FALSE)</f>
        <v>562.31757974487698</v>
      </c>
      <c r="V37" s="279">
        <f>VLOOKUP(TableRBRanks31[[#This Row],[Player]],RB!B:O,6,FALSE)</f>
        <v>3.4778409552941452</v>
      </c>
      <c r="W37" s="279">
        <f>VLOOKUP(TableRBRanks31[[#This Row],[Player]],RB!B:O,7,FALSE)</f>
        <v>64.888816529999971</v>
      </c>
      <c r="X37" s="279">
        <f>VLOOKUP(TableRBRanks31[[#This Row],[Player]],RB!B:O,8,FALSE)</f>
        <v>46.337103884072974</v>
      </c>
      <c r="Y37" s="279">
        <f>VLOOKUP(TableRBRanks31[[#This Row],[Player]],RB!B:O,9,FALSE)</f>
        <v>325.28646926619228</v>
      </c>
      <c r="Z37" s="279">
        <f>VLOOKUP(TableRBRanks31[[#This Row],[Player]],RB!B:O,10,FALSE)</f>
        <v>1.2641449059534762</v>
      </c>
      <c r="AA37" s="272">
        <f>IFERROR(INDEX(TableRBCalcPts[Custom],MATCH(TableRBRanks31[[#This Row],[RK]],TableRBCalcPts[RK],0)),"")</f>
        <v>117.21232006859266</v>
      </c>
      <c r="AB3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8.051686994405447</v>
      </c>
      <c r="AD37" s="22">
        <v>36</v>
      </c>
      <c r="AE37" s="274" t="str">
        <f>IFERROR(INDEX(TableWRCalcPts[PLAYER],MATCH(TableWRRanks32[[#This Row],[RK]],TableWRCalcPts[RK],0)),"")</f>
        <v>Amon-Ra St. Brown</v>
      </c>
      <c r="AF37" s="22" t="str">
        <f>IFERROR(INDEX(TableWRCalcPts[TM],MATCH(TableWRRanks32[[#This Row],[Player]],TableWRCalcPts[PLAYER],0)),"")</f>
        <v>DET</v>
      </c>
      <c r="AG37" s="22">
        <f>IFERROR(INDEX(TableWRCalcPts[BYE],MATCH(TableWRRanks32[[#This Row],[RK]],TableWRCalcPts[RK],0)),"")</f>
        <v>6</v>
      </c>
      <c r="AH37" s="279">
        <f>VLOOKUP(TableWRRanks32[[#This Row],[Player]],WR!B:O,4,FALSE)</f>
        <v>67.814583866748478</v>
      </c>
      <c r="AI37" s="279">
        <f>VLOOKUP(TableWRRanks32[[#This Row],[Player]],WR!B:O,5,FALSE)</f>
        <v>0.67528712317935868</v>
      </c>
      <c r="AJ37" s="279">
        <f>VLOOKUP(TableWRRanks32[[#This Row],[Player]],WR!B:O,6,FALSE)</f>
        <v>120.78660575706679</v>
      </c>
      <c r="AK37" s="279">
        <f>VLOOKUP(TableWRRanks32[[#This Row],[Player]],WR!B:O,7,FALSE)</f>
        <v>82.69056180943538</v>
      </c>
      <c r="AL37" s="279">
        <f>VLOOKUP(TableWRRanks32[[#This Row],[Player]],WR!B:O,8,FALSE)</f>
        <v>895.53878439618518</v>
      </c>
      <c r="AM37" s="279">
        <f>VLOOKUP(TableWRRanks32[[#This Row],[Player]],WR!B:O,9,FALSE)</f>
        <v>5.355817171266442</v>
      </c>
      <c r="AN37" s="272">
        <f>IFERROR(INDEX(TableWRCalcPts[Custom],MATCH(TableWRRanks32[[#This Row],[RK]],TableWRCalcPts[RK],0)),"")</f>
        <v>132.52196259296818</v>
      </c>
      <c r="AO3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11.092585323047938</v>
      </c>
      <c r="AQ37" s="22">
        <v>36</v>
      </c>
      <c r="AR37" s="274" t="str">
        <f>IFERROR(INDEX(TableTECalcPts[PLAYER],MATCH(TableTERanks33[[#This Row],[RK]],TableTECalcPts[RK],0)),"")</f>
        <v>Geoff Swaim</v>
      </c>
      <c r="AS37" s="22" t="str">
        <f>IFERROR(INDEX(TableTECalcPts[TM],MATCH(TableTERanks33[[#This Row],[Player]],TableTECalcPts[PLAYER],0)),"")</f>
        <v>TEN</v>
      </c>
      <c r="AT37" s="22">
        <f>IFERROR(INDEX(TableTECalcPts[BYE],MATCH(TableTERanks33[[#This Row],[RK]],TableTECalcPts[RK],0)),"")</f>
        <v>6</v>
      </c>
      <c r="AU37" s="279">
        <f>VLOOKUP(TableTERanks33[[#This Row],[Player]],TE!B:O,4,FALSE)</f>
        <v>43.059117948890346</v>
      </c>
      <c r="AV37" s="279">
        <f>VLOOKUP(TableTERanks33[[#This Row],[Player]],TE!B:O,5,FALSE)</f>
        <v>29.021845497552096</v>
      </c>
      <c r="AW37" s="279">
        <f>VLOOKUP(TableTERanks33[[#This Row],[Player]],TE!B:O,6,FALSE)</f>
        <v>233.81900049940919</v>
      </c>
      <c r="AX37" s="279">
        <f>VLOOKUP(TableTERanks33[[#This Row],[Player]],TE!B:O,7,FALSE)</f>
        <v>2.4668568672919284</v>
      </c>
      <c r="AY37" s="272">
        <f>IFERROR(INDEX(TableTECalcPts[Custom],MATCH(TableTERanks33[[#This Row],[RK]],TableTECalcPts[RK],0)),"")</f>
        <v>38.183041253692494</v>
      </c>
      <c r="AZ3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8" spans="1:52" x14ac:dyDescent="0.3">
      <c r="A38" s="22">
        <v>37</v>
      </c>
      <c r="B38" s="22" t="str">
        <f>IFERROR(INDEX(TableQBCalcPts[PLAYER],MATCH(TableQBRanks30[[#This Row],[RK]],TableQBCalcPts[RK],0)),"")</f>
        <v>Mitchell Trubisky</v>
      </c>
      <c r="C38" s="22" t="str">
        <f>IFERROR(INDEX(TableQBCalcPts[TM],MATCH(TableQBRanks30[[#This Row],[Player]],TableQBCalcPts[PLAYER],0)),"")</f>
        <v>PIT</v>
      </c>
      <c r="D38" s="22">
        <f>IFERROR(INDEX(TableQBCalcPts[BYE],MATCH(TableQBRanks30[[#This Row],[RK]],TableQBCalcPts[RK],0)),"")</f>
        <v>9</v>
      </c>
      <c r="E38" s="279">
        <f>VLOOKUP(TableQBRanks30[[#This Row],[Player]],QB!B:O,4,FALSE)</f>
        <v>118.76412239999999</v>
      </c>
      <c r="F38" s="279">
        <f>VLOOKUP(TableQBRanks30[[#This Row],[Player]],QB!B:O,5,FALSE)</f>
        <v>75.890274213599994</v>
      </c>
      <c r="G38" s="279">
        <f>VLOOKUP(TableQBRanks30[[#This Row],[Player]],QB!B:O,6,FALSE)</f>
        <v>766.49176955735993</v>
      </c>
      <c r="H38" s="279">
        <f>VLOOKUP(TableQBRanks30[[#This Row],[Player]],QB!B:O,7,FALSE)</f>
        <v>4.3257456301751995</v>
      </c>
      <c r="I38" s="279">
        <f>VLOOKUP(TableQBRanks30[[#This Row],[Player]],QB!B:O,8,FALSE)</f>
        <v>1.3657874075999998</v>
      </c>
      <c r="J38" s="279">
        <f>VLOOKUP(TableQBRanks30[[#This Row],[Player]],QB!B:O,9,FALSE)</f>
        <v>16.726711385027528</v>
      </c>
      <c r="K38" s="279">
        <f>VLOOKUP(TableQBRanks30[[#This Row],[Player]],QB!B:O,10,FALSE)</f>
        <v>59.923489845585884</v>
      </c>
      <c r="L38" s="279">
        <f>VLOOKUP(TableQBRanks30[[#This Row],[Player]],QB!B:O,11,FALSE)</f>
        <v>0.53525476432088093</v>
      </c>
      <c r="M38" s="272">
        <f>IFERROR(INDEX(TableQBCalcPts[Custom],MATCH(TableQBRanks30[[#This Row],[RK]],TableQBCalcPts[RK],0)),"")</f>
        <v>54.43495605827907</v>
      </c>
      <c r="N3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8" s="22">
        <v>37</v>
      </c>
      <c r="Q38" s="22" t="str">
        <f>IFERROR(INDEX(TableRBCalcPts[PLAYER],MATCH(TableRBRanks31[[#This Row],[RK]],TableRBCalcPts[RK],0)),"")</f>
        <v>Gus Edwards</v>
      </c>
      <c r="R38" s="22" t="str">
        <f>IFERROR(INDEX(TableRBCalcPts[TM],MATCH(TableRBRanks31[[#This Row],[Player]],TableRBCalcPts[PLAYER],0)),"")</f>
        <v>BAL</v>
      </c>
      <c r="S38" s="22">
        <f>IFERROR(INDEX(TableRBCalcPts[BYE],MATCH(TableRBRanks31[[#This Row],[RK]],TableRBCalcPts[RK],0)),"")</f>
        <v>10</v>
      </c>
      <c r="T38" s="279">
        <f>VLOOKUP(TableRBRanks31[[#This Row],[Player]],RB!B:O,4,FALSE)</f>
        <v>128.75132990103714</v>
      </c>
      <c r="U38" s="279">
        <f>VLOOKUP(TableRBRanks31[[#This Row],[Player]],RB!B:O,5,FALSE)</f>
        <v>623.15643672101976</v>
      </c>
      <c r="V38" s="279">
        <f>VLOOKUP(TableRBRanks31[[#This Row],[Player]],RB!B:O,6,FALSE)</f>
        <v>6.0513125053487453</v>
      </c>
      <c r="W38" s="279">
        <f>VLOOKUP(TableRBRanks31[[#This Row],[Player]],RB!B:O,7,FALSE)</f>
        <v>19.470006810744145</v>
      </c>
      <c r="X38" s="279">
        <f>VLOOKUP(TableRBRanks31[[#This Row],[Player]],RB!B:O,8,FALSE)</f>
        <v>14.485685067193645</v>
      </c>
      <c r="Y38" s="279">
        <f>VLOOKUP(TableRBRanks31[[#This Row],[Player]],RB!B:O,9,FALSE)</f>
        <v>118.63776070031594</v>
      </c>
      <c r="Z38" s="279">
        <f>VLOOKUP(TableRBRanks31[[#This Row],[Player]],RB!B:O,10,FALSE)</f>
        <v>0.86914110403161859</v>
      </c>
      <c r="AA38" s="272">
        <f>IFERROR(INDEX(TableRBCalcPts[Custom],MATCH(TableRBRanks31[[#This Row],[RK]],TableRBCalcPts[RK],0)),"")</f>
        <v>115.70214139841576</v>
      </c>
      <c r="AB3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7.2866098357977718</v>
      </c>
      <c r="AD38" s="22">
        <v>37</v>
      </c>
      <c r="AE38" s="274" t="str">
        <f>IFERROR(INDEX(TableWRCalcPts[PLAYER],MATCH(TableWRRanks32[[#This Row],[RK]],TableWRCalcPts[RK],0)),"")</f>
        <v>Marquise Brown</v>
      </c>
      <c r="AF38" s="22" t="str">
        <f>IFERROR(INDEX(TableWRCalcPts[TM],MATCH(TableWRRanks32[[#This Row],[Player]],TableWRCalcPts[PLAYER],0)),"")</f>
        <v>ARI</v>
      </c>
      <c r="AG38" s="22">
        <f>IFERROR(INDEX(TableWRCalcPts[BYE],MATCH(TableWRRanks32[[#This Row],[RK]],TableWRCalcPts[RK],0)),"")</f>
        <v>13</v>
      </c>
      <c r="AH38" s="279">
        <f>VLOOKUP(TableWRRanks32[[#This Row],[Player]],WR!B:O,4,FALSE)</f>
        <v>1.8748567297988012</v>
      </c>
      <c r="AI38" s="279">
        <f>VLOOKUP(TableWRRanks32[[#This Row],[Player]],WR!B:O,5,FALSE)</f>
        <v>0</v>
      </c>
      <c r="AJ38" s="279">
        <f>VLOOKUP(TableWRRanks32[[#This Row],[Player]],WR!B:O,6,FALSE)</f>
        <v>112.24613789999999</v>
      </c>
      <c r="AK38" s="279">
        <f>VLOOKUP(TableWRRanks32[[#This Row],[Player]],WR!B:O,7,FALSE)</f>
        <v>72.163042055909997</v>
      </c>
      <c r="AL38" s="279">
        <f>VLOOKUP(TableWRRanks32[[#This Row],[Player]],WR!B:O,8,FALSE)</f>
        <v>950.38726387633471</v>
      </c>
      <c r="AM38" s="279">
        <f>VLOOKUP(TableWRRanks32[[#This Row],[Player]],WR!B:O,9,FALSE)</f>
        <v>6.0616955326964401</v>
      </c>
      <c r="AN38" s="272">
        <f>IFERROR(INDEX(TableWRCalcPts[Custom],MATCH(TableWRRanks32[[#This Row],[RK]],TableWRCalcPts[RK],0)),"")</f>
        <v>131.59638525679199</v>
      </c>
      <c r="AO3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10.656607543736378</v>
      </c>
      <c r="AQ38" s="22">
        <v>37</v>
      </c>
      <c r="AR38" s="274" t="str">
        <f>IFERROR(INDEX(TableTECalcPts[PLAYER],MATCH(TableTERanks33[[#This Row],[RK]],TableTECalcPts[RK],0)),"")</f>
        <v>Harrison Bryant</v>
      </c>
      <c r="AS38" s="22" t="str">
        <f>IFERROR(INDEX(TableTECalcPts[TM],MATCH(TableTERanks33[[#This Row],[Player]],TableTECalcPts[PLAYER],0)),"")</f>
        <v>CLE</v>
      </c>
      <c r="AT38" s="22">
        <f>IFERROR(INDEX(TableTECalcPts[BYE],MATCH(TableTERanks33[[#This Row],[RK]],TableTECalcPts[RK],0)),"")</f>
        <v>9</v>
      </c>
      <c r="AU38" s="279">
        <f>VLOOKUP(TableTERanks33[[#This Row],[Player]],TE!B:O,4,FALSE)</f>
        <v>34.86263901158329</v>
      </c>
      <c r="AV38" s="279">
        <f>VLOOKUP(TableTERanks33[[#This Row],[Player]],TE!B:O,5,FALSE)</f>
        <v>21.775204326634924</v>
      </c>
      <c r="AW38" s="279">
        <f>VLOOKUP(TableTERanks33[[#This Row],[Player]],TE!B:O,6,FALSE)</f>
        <v>232.12367812192829</v>
      </c>
      <c r="AX38" s="279">
        <f>VLOOKUP(TableTERanks33[[#This Row],[Player]],TE!B:O,7,FALSE)</f>
        <v>2.4823732932363813</v>
      </c>
      <c r="AY38" s="272">
        <f>IFERROR(INDEX(TableTECalcPts[Custom],MATCH(TableTERanks33[[#This Row],[RK]],TableTECalcPts[RK],0)),"")</f>
        <v>38.106607571611121</v>
      </c>
      <c r="AZ3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39" spans="1:52" x14ac:dyDescent="0.3">
      <c r="A39" s="22">
        <v>38</v>
      </c>
      <c r="B39" s="22" t="str">
        <f>IFERROR(INDEX(TableQBCalcPts[PLAYER],MATCH(TableQBRanks30[[#This Row],[RK]],TableQBCalcPts[RK],0)),"")</f>
        <v>Taysom Hill</v>
      </c>
      <c r="C39" s="22" t="str">
        <f>IFERROR(INDEX(TableQBCalcPts[TM],MATCH(TableQBRanks30[[#This Row],[Player]],TableQBCalcPts[PLAYER],0)),"")</f>
        <v>NO</v>
      </c>
      <c r="D39" s="22">
        <f>IFERROR(INDEX(TableQBCalcPts[BYE],MATCH(TableQBRanks30[[#This Row],[RK]],TableQBCalcPts[RK],0)),"")</f>
        <v>14</v>
      </c>
      <c r="E39" s="279">
        <f>VLOOKUP(TableQBRanks30[[#This Row],[Player]],QB!B:O,4,FALSE)</f>
        <v>5.5146807999999998</v>
      </c>
      <c r="F39" s="279">
        <f>VLOOKUP(TableQBRanks30[[#This Row],[Player]],QB!B:O,5,FALSE)</f>
        <v>3.3143231607999999</v>
      </c>
      <c r="G39" s="279">
        <f>VLOOKUP(TableQBRanks30[[#This Row],[Player]],QB!B:O,6,FALSE)</f>
        <v>36.457554768800001</v>
      </c>
      <c r="H39" s="279">
        <f>VLOOKUP(TableQBRanks30[[#This Row],[Player]],QB!B:O,7,FALSE)</f>
        <v>0.22095487738666666</v>
      </c>
      <c r="I39" s="279">
        <f>VLOOKUP(TableQBRanks30[[#This Row],[Player]],QB!B:O,8,FALSE)</f>
        <v>0.16571615804000001</v>
      </c>
      <c r="J39" s="279">
        <f>VLOOKUP(TableQBRanks30[[#This Row],[Player]],QB!B:O,9,FALSE)</f>
        <v>40.045120443136376</v>
      </c>
      <c r="K39" s="279">
        <f>VLOOKUP(TableQBRanks30[[#This Row],[Player]],QB!B:O,10,FALSE)</f>
        <v>209.83643112203461</v>
      </c>
      <c r="L39" s="279">
        <f>VLOOKUP(TableQBRanks30[[#This Row],[Player]],QB!B:O,11,FALSE)</f>
        <v>3.4438803581097281</v>
      </c>
      <c r="M39" s="272">
        <f>IFERROR(INDEX(TableQBCalcPts[Custom],MATCH(TableQBRanks30[[#This Row],[RK]],TableQBCalcPts[RK],0)),"")</f>
        <v>43.6576146450805</v>
      </c>
      <c r="N3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39" s="22">
        <v>38</v>
      </c>
      <c r="Q39" s="22" t="str">
        <f>IFERROR(INDEX(TableRBCalcPts[PLAYER],MATCH(TableRBRanks31[[#This Row],[RK]],TableRBCalcPts[RK],0)),"")</f>
        <v>Rhamondre Stevenson</v>
      </c>
      <c r="R39" s="22" t="str">
        <f>IFERROR(INDEX(TableRBCalcPts[TM],MATCH(TableRBRanks31[[#This Row],[Player]],TableRBCalcPts[PLAYER],0)),"")</f>
        <v>NE</v>
      </c>
      <c r="S39" s="22">
        <f>IFERROR(INDEX(TableRBCalcPts[BYE],MATCH(TableRBRanks31[[#This Row],[RK]],TableRBCalcPts[RK],0)),"")</f>
        <v>10</v>
      </c>
      <c r="T39" s="279">
        <f>VLOOKUP(TableRBRanks31[[#This Row],[Player]],RB!B:O,4,FALSE)</f>
        <v>154.69260919259062</v>
      </c>
      <c r="U39" s="279">
        <f>VLOOKUP(TableRBRanks31[[#This Row],[Player]],RB!B:O,5,FALSE)</f>
        <v>696.11674136665783</v>
      </c>
      <c r="V39" s="279">
        <f>VLOOKUP(TableRBRanks31[[#This Row],[Player]],RB!B:O,6,FALSE)</f>
        <v>5.5689339309332624</v>
      </c>
      <c r="W39" s="279">
        <f>VLOOKUP(TableRBRanks31[[#This Row],[Player]],RB!B:O,7,FALSE)</f>
        <v>16.273380712915422</v>
      </c>
      <c r="X39" s="279">
        <f>VLOOKUP(TableRBRanks31[[#This Row],[Player]],RB!B:O,8,FALSE)</f>
        <v>11.925133386424422</v>
      </c>
      <c r="Y39" s="279">
        <f>VLOOKUP(TableRBRanks31[[#This Row],[Player]],RB!B:O,9,FALSE)</f>
        <v>92.062029743196533</v>
      </c>
      <c r="Z39" s="279">
        <f>VLOOKUP(TableRBRanks31[[#This Row],[Player]],RB!B:O,10,FALSE)</f>
        <v>0.38160426836558153</v>
      </c>
      <c r="AA39" s="272">
        <f>IFERROR(INDEX(TableRBCalcPts[Custom],MATCH(TableRBRanks31[[#This Row],[RK]],TableRBCalcPts[RK],0)),"")</f>
        <v>114.52110630677849</v>
      </c>
      <c r="AB3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6.6882813135044792</v>
      </c>
      <c r="AD39" s="274">
        <v>38</v>
      </c>
      <c r="AE39" s="22" t="str">
        <f>IFERROR(INDEX(TableWRCalcPts[PLAYER],MATCH(TableWRRanks32[[#This Row],[RK]],TableWRCalcPts[RK],0)),"")</f>
        <v>Christian Kirk</v>
      </c>
      <c r="AF39" s="22" t="str">
        <f>IFERROR(INDEX(TableWRCalcPts[TM],MATCH(TableWRRanks32[[#This Row],[Player]],TableWRCalcPts[PLAYER],0)),"")</f>
        <v>JAX</v>
      </c>
      <c r="AG39" s="22">
        <f>IFERROR(INDEX(TableWRCalcPts[BYE],MATCH(TableWRRanks32[[#This Row],[RK]],TableWRCalcPts[RK],0)),"")</f>
        <v>11</v>
      </c>
      <c r="AH39" s="279">
        <f>VLOOKUP(TableWRRanks32[[#This Row],[Player]],WR!B:O,4,FALSE)</f>
        <v>4.3736670038943073</v>
      </c>
      <c r="AI39" s="279">
        <f>VLOOKUP(TableWRRanks32[[#This Row],[Player]],WR!B:O,5,FALSE)</f>
        <v>0</v>
      </c>
      <c r="AJ39" s="279">
        <f>VLOOKUP(TableWRRanks32[[#This Row],[Player]],WR!B:O,6,FALSE)</f>
        <v>117.85839178766665</v>
      </c>
      <c r="AK39" s="279">
        <f>VLOOKUP(TableWRRanks32[[#This Row],[Player]],WR!B:O,7,FALSE)</f>
        <v>76.784742249664816</v>
      </c>
      <c r="AL39" s="279">
        <f>VLOOKUP(TableWRRanks32[[#This Row],[Player]],WR!B:O,8,FALSE)</f>
        <v>945.98802451587051</v>
      </c>
      <c r="AM39" s="279">
        <f>VLOOKUP(TableWRRanks32[[#This Row],[Player]],WR!B:O,9,FALSE)</f>
        <v>4.8374387617288832</v>
      </c>
      <c r="AN39" s="272">
        <f>IFERROR(INDEX(TableWRCalcPts[Custom],MATCH(TableWRRanks32[[#This Row],[RK]],TableWRCalcPts[RK],0)),"")</f>
        <v>124.06080172234979</v>
      </c>
      <c r="AO3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7.1070965015413279</v>
      </c>
      <c r="AQ39" s="274">
        <v>38</v>
      </c>
      <c r="AR39" s="22" t="str">
        <f>IFERROR(INDEX(TableTECalcPts[PLAYER],MATCH(TableTERanks33[[#This Row],[RK]],TableTECalcPts[RK],0)),"")</f>
        <v>O.J. Howard</v>
      </c>
      <c r="AS39" s="22" t="str">
        <f>IFERROR(INDEX(TableTECalcPts[TM],MATCH(TableTERanks33[[#This Row],[Player]],TableTECalcPts[PLAYER],0)),"")</f>
        <v>BUF</v>
      </c>
      <c r="AT39" s="22">
        <f>IFERROR(INDEX(TableTECalcPts[BYE],MATCH(TableTERanks33[[#This Row],[RK]],TableTECalcPts[RK],0)),"")</f>
        <v>7</v>
      </c>
      <c r="AU39" s="279">
        <f>VLOOKUP(TableTERanks33[[#This Row],[Player]],TE!B:O,4,FALSE)</f>
        <v>34.241799563511762</v>
      </c>
      <c r="AV39" s="279">
        <f>VLOOKUP(TableTERanks33[[#This Row],[Player]],TE!B:O,5,FALSE)</f>
        <v>22.016822817435578</v>
      </c>
      <c r="AW39" s="279">
        <f>VLOOKUP(TableTERanks33[[#This Row],[Player]],TE!B:O,6,FALSE)</f>
        <v>230.36094321130582</v>
      </c>
      <c r="AX39" s="279">
        <f>VLOOKUP(TableTERanks33[[#This Row],[Player]],TE!B:O,7,FALSE)</f>
        <v>2.0035308763866375</v>
      </c>
      <c r="AY39" s="272">
        <f>IFERROR(INDEX(TableTECalcPts[Custom],MATCH(TableTERanks33[[#This Row],[RK]],TableTECalcPts[RK],0)),"")</f>
        <v>35.057279579450409</v>
      </c>
      <c r="AZ3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0" spans="1:52" x14ac:dyDescent="0.3">
      <c r="A40" s="22">
        <v>39</v>
      </c>
      <c r="B40" s="22" t="str">
        <f>IFERROR(INDEX(TableQBCalcPts[PLAYER],MATCH(TableQBRanks30[[#This Row],[RK]],TableQBCalcPts[RK],0)),"")</f>
        <v>Tyrod Taylor</v>
      </c>
      <c r="C40" s="22" t="str">
        <f>IFERROR(INDEX(TableQBCalcPts[TM],MATCH(TableQBRanks30[[#This Row],[Player]],TableQBCalcPts[PLAYER],0)),"")</f>
        <v>NYG</v>
      </c>
      <c r="D40" s="22">
        <f>IFERROR(INDEX(TableQBCalcPts[BYE],MATCH(TableQBRanks30[[#This Row],[RK]],TableQBCalcPts[RK],0)),"")</f>
        <v>9</v>
      </c>
      <c r="E40" s="279">
        <f>VLOOKUP(TableQBRanks30[[#This Row],[Player]],QB!B:O,4,FALSE)</f>
        <v>60.473951999999983</v>
      </c>
      <c r="F40" s="279">
        <f>VLOOKUP(TableQBRanks30[[#This Row],[Player]],QB!B:O,5,FALSE)</f>
        <v>36.528886997247362</v>
      </c>
      <c r="G40" s="279">
        <f>VLOOKUP(TableQBRanks30[[#This Row],[Player]],QB!B:O,6,FALSE)</f>
        <v>397.06900166007881</v>
      </c>
      <c r="H40" s="279">
        <f>VLOOKUP(TableQBRanks30[[#This Row],[Player]],QB!B:O,7,FALSE)</f>
        <v>2.2374683373879338</v>
      </c>
      <c r="I40" s="279">
        <f>VLOOKUP(TableQBRanks30[[#This Row],[Player]],QB!B:O,8,FALSE)</f>
        <v>0.97713326257072664</v>
      </c>
      <c r="J40" s="279">
        <f>VLOOKUP(TableQBRanks30[[#This Row],[Player]],QB!B:O,9,FALSE)</f>
        <v>5.5694923861184602</v>
      </c>
      <c r="K40" s="279">
        <f>VLOOKUP(TableQBRanks30[[#This Row],[Player]],QB!B:O,10,FALSE)</f>
        <v>27.568987311286378</v>
      </c>
      <c r="L40" s="279">
        <f>VLOOKUP(TableQBRanks30[[#This Row],[Player]],QB!B:O,11,FALSE)</f>
        <v>0.40020304570911097</v>
      </c>
      <c r="M40" s="272">
        <f>IFERROR(INDEX(TableQBCalcPts[Custom],MATCH(TableQBRanks30[[#This Row],[RK]],TableQBCalcPts[RK],0)),"")</f>
        <v>28.036483896196742</v>
      </c>
      <c r="N4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0" s="22">
        <v>39</v>
      </c>
      <c r="Q40" s="22" t="str">
        <f>IFERROR(INDEX(TableRBCalcPts[PLAYER],MATCH(TableRBRanks31[[#This Row],[RK]],TableRBCalcPts[RK],0)),"")</f>
        <v>Ronald Jones</v>
      </c>
      <c r="R40" s="22" t="str">
        <f>IFERROR(INDEX(TableRBCalcPts[TM],MATCH(TableRBRanks31[[#This Row],[Player]],TableRBCalcPts[PLAYER],0)),"")</f>
        <v>KC</v>
      </c>
      <c r="S40" s="22">
        <f>IFERROR(INDEX(TableRBCalcPts[BYE],MATCH(TableRBRanks31[[#This Row],[RK]],TableRBCalcPts[RK],0)),"")</f>
        <v>8</v>
      </c>
      <c r="T40" s="279">
        <f>VLOOKUP(TableRBRanks31[[#This Row],[Player]],RB!B:O,4,FALSE)</f>
        <v>140.7401224588194</v>
      </c>
      <c r="U40" s="279">
        <f>VLOOKUP(TableRBRanks31[[#This Row],[Player]],RB!B:O,5,FALSE)</f>
        <v>603.98690427815916</v>
      </c>
      <c r="V40" s="279">
        <f>VLOOKUP(TableRBRanks31[[#This Row],[Player]],RB!B:O,6,FALSE)</f>
        <v>5.7281229840739494</v>
      </c>
      <c r="W40" s="279">
        <f>VLOOKUP(TableRBRanks31[[#This Row],[Player]],RB!B:O,7,FALSE)</f>
        <v>26.016061206447002</v>
      </c>
      <c r="X40" s="279">
        <f>VLOOKUP(TableRBRanks31[[#This Row],[Player]],RB!B:O,8,FALSE)</f>
        <v>17.486104265795024</v>
      </c>
      <c r="Y40" s="279">
        <f>VLOOKUP(TableRBRanks31[[#This Row],[Player]],RB!B:O,9,FALSE)</f>
        <v>122.05300777524927</v>
      </c>
      <c r="Z40" s="279">
        <f>VLOOKUP(TableRBRanks31[[#This Row],[Player]],RB!B:O,10,FALSE)</f>
        <v>0.4447790934447316</v>
      </c>
      <c r="AA40" s="272">
        <f>IFERROR(INDEX(TableRBCalcPts[Custom],MATCH(TableRBRanks31[[#This Row],[RK]],TableRBCalcPts[RK],0)),"")</f>
        <v>109.64140367045293</v>
      </c>
      <c r="AB4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4.2161572519104835</v>
      </c>
      <c r="AD40" s="22">
        <v>39</v>
      </c>
      <c r="AE40" s="22" t="str">
        <f>IFERROR(INDEX(TableWRCalcPts[PLAYER],MATCH(TableWRRanks32[[#This Row],[RK]],TableWRCalcPts[RK],0)),"")</f>
        <v>Adam Thielen</v>
      </c>
      <c r="AF40" s="22" t="str">
        <f>IFERROR(INDEX(TableWRCalcPts[TM],MATCH(TableWRRanks32[[#This Row],[Player]],TableWRCalcPts[PLAYER],0)),"")</f>
        <v>MIN</v>
      </c>
      <c r="AG40" s="22">
        <f>IFERROR(INDEX(TableWRCalcPts[BYE],MATCH(TableWRRanks32[[#This Row],[RK]],TableWRCalcPts[RK],0)),"")</f>
        <v>7</v>
      </c>
      <c r="AH40" s="279">
        <f>VLOOKUP(TableWRRanks32[[#This Row],[Player]],WR!B:O,4,FALSE)</f>
        <v>1.2499361274728533</v>
      </c>
      <c r="AI40" s="279">
        <f>VLOOKUP(TableWRRanks32[[#This Row],[Player]],WR!B:O,5,FALSE)</f>
        <v>0</v>
      </c>
      <c r="AJ40" s="279">
        <f>VLOOKUP(TableWRRanks32[[#This Row],[Player]],WR!B:O,6,FALSE)</f>
        <v>105.13703677285898</v>
      </c>
      <c r="AK40" s="279">
        <f>VLOOKUP(TableWRRanks32[[#This Row],[Player]],WR!B:O,7,FALSE)</f>
        <v>70.327027341628721</v>
      </c>
      <c r="AL40" s="279">
        <f>VLOOKUP(TableWRRanks32[[#This Row],[Player]],WR!B:O,8,FALSE)</f>
        <v>793.99213868698826</v>
      </c>
      <c r="AM40" s="279">
        <f>VLOOKUP(TableWRRanks32[[#This Row],[Player]],WR!B:O,9,FALSE)</f>
        <v>7.3140108435293865</v>
      </c>
      <c r="AN40" s="272">
        <f>IFERROR(INDEX(TableWRCalcPts[Custom],MATCH(TableWRRanks32[[#This Row],[RK]],TableWRCalcPts[RK],0)),"")</f>
        <v>123.40827254262244</v>
      </c>
      <c r="AO4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6.799733505933828</v>
      </c>
      <c r="AQ40" s="22">
        <v>39</v>
      </c>
      <c r="AR40" s="274" t="str">
        <f>IFERROR(INDEX(TableTECalcPts[PLAYER],MATCH(TableTERanks33[[#This Row],[RK]],TableTECalcPts[RK],0)),"")</f>
        <v>Donald Parham</v>
      </c>
      <c r="AS40" s="22" t="str">
        <f>IFERROR(INDEX(TableTECalcPts[TM],MATCH(TableTERanks33[[#This Row],[Player]],TableTECalcPts[PLAYER],0)),"")</f>
        <v>LAC</v>
      </c>
      <c r="AT40" s="22">
        <f>IFERROR(INDEX(TableTECalcPts[BYE],MATCH(TableTERanks33[[#This Row],[RK]],TableTECalcPts[RK],0)),"")</f>
        <v>8</v>
      </c>
      <c r="AU40" s="279">
        <f>VLOOKUP(TableTERanks33[[#This Row],[Player]],TE!B:O,4,FALSE)</f>
        <v>28.295766976540936</v>
      </c>
      <c r="AV40" s="279">
        <f>VLOOKUP(TableTERanks33[[#This Row],[Player]],TE!B:O,5,FALSE)</f>
        <v>18.369941502547089</v>
      </c>
      <c r="AW40" s="279">
        <f>VLOOKUP(TableTERanks33[[#This Row],[Player]],TE!B:O,6,FALSE)</f>
        <v>183.88311444049637</v>
      </c>
      <c r="AX40" s="279">
        <f>VLOOKUP(TableTERanks33[[#This Row],[Player]],TE!B:O,7,FALSE)</f>
        <v>2.4053411572600738</v>
      </c>
      <c r="AY40" s="272">
        <f>IFERROR(INDEX(TableTECalcPts[Custom],MATCH(TableTERanks33[[#This Row],[RK]],TableTECalcPts[RK],0)),"")</f>
        <v>32.820358387610085</v>
      </c>
      <c r="AZ4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1" spans="1:52" x14ac:dyDescent="0.3">
      <c r="A41" s="22">
        <v>40</v>
      </c>
      <c r="B41" s="22" t="str">
        <f>IFERROR(INDEX(TableQBCalcPts[PLAYER],MATCH(TableQBRanks30[[#This Row],[RK]],TableQBCalcPts[RK],0)),"")</f>
        <v>Gardner Minshew</v>
      </c>
      <c r="C41" s="22" t="str">
        <f>IFERROR(INDEX(TableQBCalcPts[TM],MATCH(TableQBRanks30[[#This Row],[Player]],TableQBCalcPts[PLAYER],0)),"")</f>
        <v>PHI</v>
      </c>
      <c r="D41" s="22">
        <f>IFERROR(INDEX(TableQBCalcPts[BYE],MATCH(TableQBRanks30[[#This Row],[RK]],TableQBCalcPts[RK],0)),"")</f>
        <v>7</v>
      </c>
      <c r="E41" s="279">
        <f>VLOOKUP(TableQBRanks30[[#This Row],[Player]],QB!B:O,4,FALSE)</f>
        <v>30.111559250000028</v>
      </c>
      <c r="F41" s="279">
        <f>VLOOKUP(TableQBRanks30[[#This Row],[Player]],QB!B:O,5,FALSE)</f>
        <v>19.105690323723408</v>
      </c>
      <c r="G41" s="279">
        <f>VLOOKUP(TableQBRanks30[[#This Row],[Player]],QB!B:O,6,FALSE)</f>
        <v>231.35845360501807</v>
      </c>
      <c r="H41" s="279">
        <f>VLOOKUP(TableQBRanks30[[#This Row],[Player]],QB!B:O,7,FALSE)</f>
        <v>1.6726322536379954</v>
      </c>
      <c r="I41" s="279">
        <f>VLOOKUP(TableQBRanks30[[#This Row],[Player]],QB!B:O,8,FALSE)</f>
        <v>0.44889400943339258</v>
      </c>
      <c r="J41" s="279">
        <f>VLOOKUP(TableQBRanks30[[#This Row],[Player]],QB!B:O,9,FALSE)</f>
        <v>6.7054995637414816</v>
      </c>
      <c r="K41" s="279">
        <f>VLOOKUP(TableQBRanks30[[#This Row],[Player]],QB!B:O,10,FALSE)</f>
        <v>29.235978097912863</v>
      </c>
      <c r="L41" s="279">
        <f>VLOOKUP(TableQBRanks30[[#This Row],[Player]],QB!B:O,11,FALSE)</f>
        <v>6.0948697960497469E-2</v>
      </c>
      <c r="M41" s="272">
        <f>IFERROR(INDEX(TableQBCalcPts[Custom],MATCH(TableQBRanks30[[#This Row],[RK]],TableQBCalcPts[RK],0)),"")</f>
        <v>18.33636913744019</v>
      </c>
      <c r="N4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1" s="22">
        <v>40</v>
      </c>
      <c r="Q41" s="22" t="str">
        <f>IFERROR(INDEX(TableRBCalcPts[PLAYER],MATCH(TableRBRanks31[[#This Row],[RK]],TableRBCalcPts[RK],0)),"")</f>
        <v>Isaiah Spiller</v>
      </c>
      <c r="R41" s="22" t="str">
        <f>IFERROR(INDEX(TableRBCalcPts[TM],MATCH(TableRBRanks31[[#This Row],[Player]],TableRBCalcPts[PLAYER],0)),"")</f>
        <v>LAC</v>
      </c>
      <c r="S41" s="22">
        <f>IFERROR(INDEX(TableRBCalcPts[BYE],MATCH(TableRBRanks31[[#This Row],[RK]],TableRBCalcPts[RK],0)),"")</f>
        <v>8</v>
      </c>
      <c r="T41" s="279">
        <f>VLOOKUP(TableRBRanks31[[#This Row],[Player]],RB!B:O,4,FALSE)</f>
        <v>135.07183906465394</v>
      </c>
      <c r="U41" s="279">
        <f>VLOOKUP(TableRBRanks31[[#This Row],[Player]],RB!B:O,5,FALSE)</f>
        <v>571.79329848445252</v>
      </c>
      <c r="V41" s="279">
        <f>VLOOKUP(TableRBRanks31[[#This Row],[Player]],RB!B:O,6,FALSE)</f>
        <v>4.0386479880331532</v>
      </c>
      <c r="W41" s="279">
        <f>VLOOKUP(TableRBRanks31[[#This Row],[Player]],RB!B:O,7,FALSE)</f>
        <v>35.70639180615148</v>
      </c>
      <c r="X41" s="279">
        <f>VLOOKUP(TableRBRanks31[[#This Row],[Player]],RB!B:O,8,FALSE)</f>
        <v>23.994695293733798</v>
      </c>
      <c r="Y41" s="279">
        <f>VLOOKUP(TableRBRanks31[[#This Row],[Player]],RB!B:O,9,FALSE)</f>
        <v>186.4387824323116</v>
      </c>
      <c r="Z41" s="279">
        <f>VLOOKUP(TableRBRanks31[[#This Row],[Player]],RB!B:O,10,FALSE)</f>
        <v>0.7738482244257211</v>
      </c>
      <c r="AA41" s="272">
        <f>IFERROR(INDEX(TableRBCalcPts[Custom],MATCH(TableRBRanks31[[#This Row],[RK]],TableRBCalcPts[RK],0)),"")</f>
        <v>104.69818536642967</v>
      </c>
      <c r="AB4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1.711855284795194</v>
      </c>
      <c r="AD41" s="22">
        <v>40</v>
      </c>
      <c r="AE41" s="274" t="str">
        <f>IFERROR(INDEX(TableWRCalcPts[PLAYER],MATCH(TableWRRanks32[[#This Row],[RK]],TableWRCalcPts[RK],0)),"")</f>
        <v>Michael Gallup</v>
      </c>
      <c r="AF41" s="22" t="str">
        <f>IFERROR(INDEX(TableWRCalcPts[TM],MATCH(TableWRRanks32[[#This Row],[Player]],TableWRCalcPts[PLAYER],0)),"")</f>
        <v>DAL</v>
      </c>
      <c r="AG41" s="22">
        <f>IFERROR(INDEX(TableWRCalcPts[BYE],MATCH(TableWRRanks32[[#This Row],[RK]],TableWRCalcPts[RK],0)),"")</f>
        <v>9</v>
      </c>
      <c r="AH41" s="279">
        <f>VLOOKUP(TableWRRanks32[[#This Row],[Player]],WR!B:O,4,FALSE)</f>
        <v>0</v>
      </c>
      <c r="AI41" s="279">
        <f>VLOOKUP(TableWRRanks32[[#This Row],[Player]],WR!B:O,5,FALSE)</f>
        <v>0</v>
      </c>
      <c r="AJ41" s="279">
        <f>VLOOKUP(TableWRRanks32[[#This Row],[Player]],WR!B:O,6,FALSE)</f>
        <v>107.07015746384266</v>
      </c>
      <c r="AK41" s="279">
        <f>VLOOKUP(TableWRRanks32[[#This Row],[Player]],WR!B:O,7,FALSE)</f>
        <v>61.421880526807001</v>
      </c>
      <c r="AL41" s="279">
        <f>VLOOKUP(TableWRRanks32[[#This Row],[Player]],WR!B:O,8,FALSE)</f>
        <v>816.29679220126502</v>
      </c>
      <c r="AM41" s="279">
        <f>VLOOKUP(TableWRRanks32[[#This Row],[Player]],WR!B:O,9,FALSE)</f>
        <v>6.9406724995291915</v>
      </c>
      <c r="AN41" s="272">
        <f>IFERROR(INDEX(TableWRCalcPts[Custom],MATCH(TableWRRanks32[[#This Row],[RK]],TableWRCalcPts[RK],0)),"")</f>
        <v>123.27371421730166</v>
      </c>
      <c r="AO4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6.7363520492274684</v>
      </c>
      <c r="AQ41" s="22">
        <v>40</v>
      </c>
      <c r="AR41" s="274" t="str">
        <f>IFERROR(INDEX(TableTECalcPts[PLAYER],MATCH(TableTERanks33[[#This Row],[RK]],TableTECalcPts[RK],0)),"")</f>
        <v>Jordan Akins</v>
      </c>
      <c r="AS41" s="22" t="str">
        <f>IFERROR(INDEX(TableTECalcPts[TM],MATCH(TableTERanks33[[#This Row],[Player]],TableTECalcPts[PLAYER],0)),"")</f>
        <v>NYG</v>
      </c>
      <c r="AT41" s="22">
        <f>IFERROR(INDEX(TableTECalcPts[BYE],MATCH(TableTERanks33[[#This Row],[RK]],TableTECalcPts[RK],0)),"")</f>
        <v>9</v>
      </c>
      <c r="AU41" s="279">
        <f>VLOOKUP(TableTERanks33[[#This Row],[Player]],TE!B:O,4,FALSE)</f>
        <v>32.661034338320015</v>
      </c>
      <c r="AV41" s="279">
        <f>VLOOKUP(TableTERanks33[[#This Row],[Player]],TE!B:O,5,FALSE)</f>
        <v>21.464831767143913</v>
      </c>
      <c r="AW41" s="279">
        <f>VLOOKUP(TableTERanks33[[#This Row],[Player]],TE!B:O,6,FALSE)</f>
        <v>227.74186504939689</v>
      </c>
      <c r="AX41" s="279">
        <f>VLOOKUP(TableTERanks33[[#This Row],[Player]],TE!B:O,7,FALSE)</f>
        <v>1.3737492330972105</v>
      </c>
      <c r="AY41" s="272">
        <f>IFERROR(INDEX(TableTECalcPts[Custom],MATCH(TableTERanks33[[#This Row],[RK]],TableTECalcPts[RK],0)),"")</f>
        <v>31.016681903522954</v>
      </c>
      <c r="AZ4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2" spans="1:52" x14ac:dyDescent="0.3">
      <c r="A42" s="22">
        <v>41</v>
      </c>
      <c r="B42" s="22" t="str">
        <f>IFERROR(INDEX(TableQBCalcPts[PLAYER],MATCH(TableQBRanks30[[#This Row],[RK]],TableQBCalcPts[RK],0)),"")</f>
        <v>Tyler Huntley</v>
      </c>
      <c r="C42" s="22" t="str">
        <f>IFERROR(INDEX(TableQBCalcPts[TM],MATCH(TableQBRanks30[[#This Row],[Player]],TableQBCalcPts[PLAYER],0)),"")</f>
        <v>BAL</v>
      </c>
      <c r="D42" s="22">
        <f>IFERROR(INDEX(TableQBCalcPts[BYE],MATCH(TableQBRanks30[[#This Row],[RK]],TableQBCalcPts[RK],0)),"")</f>
        <v>10</v>
      </c>
      <c r="E42" s="279">
        <f>VLOOKUP(TableQBRanks30[[#This Row],[Player]],QB!B:O,4,FALSE)</f>
        <v>15.298500000000013</v>
      </c>
      <c r="F42" s="279">
        <f>VLOOKUP(TableQBRanks30[[#This Row],[Player]],QB!B:O,5,FALSE)</f>
        <v>9.9622404650199137</v>
      </c>
      <c r="G42" s="279">
        <f>VLOOKUP(TableQBRanks30[[#This Row],[Player]],QB!B:O,6,FALSE)</f>
        <v>101.71447514785332</v>
      </c>
      <c r="H42" s="279">
        <f>VLOOKUP(TableQBRanks30[[#This Row],[Player]],QB!B:O,7,FALSE)</f>
        <v>0.51006671180901964</v>
      </c>
      <c r="I42" s="279">
        <f>VLOOKUP(TableQBRanks30[[#This Row],[Player]],QB!B:O,8,FALSE)</f>
        <v>0.2004626835029093</v>
      </c>
      <c r="J42" s="279">
        <f>VLOOKUP(TableQBRanks30[[#This Row],[Player]],QB!B:O,9,FALSE)</f>
        <v>9.7713062871322851</v>
      </c>
      <c r="K42" s="279">
        <f>VLOOKUP(TableQBRanks30[[#This Row],[Player]],QB!B:O,10,FALSE)</f>
        <v>59.409542225764291</v>
      </c>
      <c r="L42" s="279">
        <f>VLOOKUP(TableQBRanks30[[#This Row],[Player]],QB!B:O,11,FALSE)</f>
        <v>0.14656959430698427</v>
      </c>
      <c r="M42" s="272">
        <f>IFERROR(INDEX(TableQBCalcPts[Custom],MATCH(TableQBRanks30[[#This Row],[RK]],TableQBCalcPts[RK],0)),"")</f>
        <v>12.528292274562727</v>
      </c>
      <c r="N4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2" s="22">
        <v>41</v>
      </c>
      <c r="Q42" s="22" t="str">
        <f>IFERROR(INDEX(TableRBCalcPts[PLAYER],MATCH(TableRBRanks31[[#This Row],[RK]],TableRBCalcPts[RK],0)),"")</f>
        <v>Khalil Herbert</v>
      </c>
      <c r="R42" s="22" t="str">
        <f>IFERROR(INDEX(TableRBCalcPts[TM],MATCH(TableRBRanks31[[#This Row],[Player]],TableRBCalcPts[PLAYER],0)),"")</f>
        <v>CHI</v>
      </c>
      <c r="S42" s="22">
        <f>IFERROR(INDEX(TableRBCalcPts[BYE],MATCH(TableRBRanks31[[#This Row],[RK]],TableRBCalcPts[RK],0)),"")</f>
        <v>14</v>
      </c>
      <c r="T42" s="279">
        <f>VLOOKUP(TableRBRanks31[[#This Row],[Player]],RB!B:O,4,FALSE)</f>
        <v>113.42745725984751</v>
      </c>
      <c r="U42" s="279">
        <f>VLOOKUP(TableRBRanks31[[#This Row],[Player]],RB!B:O,5,FALSE)</f>
        <v>476.3953204913596</v>
      </c>
      <c r="V42" s="279">
        <f>VLOOKUP(TableRBRanks31[[#This Row],[Player]],RB!B:O,6,FALSE)</f>
        <v>3.6410213780411049</v>
      </c>
      <c r="W42" s="279">
        <f>VLOOKUP(TableRBRanks31[[#This Row],[Player]],RB!B:O,7,FALSE)</f>
        <v>45.654533443862476</v>
      </c>
      <c r="X42" s="279">
        <f>VLOOKUP(TableRBRanks31[[#This Row],[Player]],RB!B:O,8,FALSE)</f>
        <v>34.925718084554795</v>
      </c>
      <c r="Y42" s="279">
        <f>VLOOKUP(TableRBRanks31[[#This Row],[Player]],RB!B:O,9,FALSE)</f>
        <v>266.8324861659986</v>
      </c>
      <c r="Z42" s="279">
        <f>VLOOKUP(TableRBRanks31[[#This Row],[Player]],RB!B:O,10,FALSE)</f>
        <v>1.3621030052976371</v>
      </c>
      <c r="AA42" s="272">
        <f>IFERROR(INDEX(TableRBCalcPts[Custom],MATCH(TableRBRanks31[[#This Row],[RK]],TableRBCalcPts[RK],0)),"")</f>
        <v>104.34152696576828</v>
      </c>
      <c r="AB4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1.5311672634635136</v>
      </c>
      <c r="AD42" s="274">
        <v>41</v>
      </c>
      <c r="AE42" s="274" t="str">
        <f>IFERROR(INDEX(TableWRCalcPts[PLAYER],MATCH(TableWRRanks32[[#This Row],[RK]],TableWRCalcPts[RK],0)),"")</f>
        <v>Robert Woods</v>
      </c>
      <c r="AF42" s="22" t="str">
        <f>IFERROR(INDEX(TableWRCalcPts[TM],MATCH(TableWRRanks32[[#This Row],[Player]],TableWRCalcPts[PLAYER],0)),"")</f>
        <v>TEN</v>
      </c>
      <c r="AG42" s="22">
        <f>IFERROR(INDEX(TableWRCalcPts[BYE],MATCH(TableWRRanks32[[#This Row],[RK]],TableWRCalcPts[RK],0)),"")</f>
        <v>6</v>
      </c>
      <c r="AH42" s="279">
        <f>VLOOKUP(TableWRRanks32[[#This Row],[Player]],WR!B:O,4,FALSE)</f>
        <v>81.80833079993856</v>
      </c>
      <c r="AI42" s="279">
        <f>VLOOKUP(TableWRRanks32[[#This Row],[Player]],WR!B:O,5,FALSE)</f>
        <v>0.57498826805970749</v>
      </c>
      <c r="AJ42" s="279">
        <f>VLOOKUP(TableWRRanks32[[#This Row],[Player]],WR!B:O,6,FALSE)</f>
        <v>105.43963497741098</v>
      </c>
      <c r="AK42" s="279">
        <f>VLOOKUP(TableWRRanks32[[#This Row],[Player]],WR!B:O,7,FALSE)</f>
        <v>72.584892944449663</v>
      </c>
      <c r="AL42" s="279">
        <f>VLOOKUP(TableWRRanks32[[#This Row],[Player]],WR!B:O,8,FALSE)</f>
        <v>826.48313472293728</v>
      </c>
      <c r="AM42" s="279">
        <f>VLOOKUP(TableWRRanks32[[#This Row],[Player]],WR!B:O,9,FALSE)</f>
        <v>4.4924392790375558</v>
      </c>
      <c r="AN42" s="272">
        <f>IFERROR(INDEX(TableWRCalcPts[Custom],MATCH(TableWRRanks32[[#This Row],[RK]],TableWRCalcPts[RK],0)),"")</f>
        <v>121.23371183487117</v>
      </c>
      <c r="AO4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5.7754429239493268</v>
      </c>
      <c r="AQ42" s="274">
        <v>41</v>
      </c>
      <c r="AR42" s="274" t="str">
        <f>IFERROR(INDEX(TableTECalcPts[PLAYER],MATCH(TableTERanks33[[#This Row],[RK]],TableTECalcPts[RK],0)),"")</f>
        <v>Foster Moreau</v>
      </c>
      <c r="AS42" s="22" t="str">
        <f>IFERROR(INDEX(TableTECalcPts[TM],MATCH(TableTERanks33[[#This Row],[Player]],TableTECalcPts[PLAYER],0)),"")</f>
        <v>LV</v>
      </c>
      <c r="AT42" s="22">
        <f>IFERROR(INDEX(TableTECalcPts[BYE],MATCH(TableTERanks33[[#This Row],[RK]],TableTECalcPts[RK],0)),"")</f>
        <v>6</v>
      </c>
      <c r="AU42" s="279">
        <f>VLOOKUP(TableTERanks33[[#This Row],[Player]],TE!B:O,4,FALSE)</f>
        <v>28.979471459999992</v>
      </c>
      <c r="AV42" s="279">
        <f>VLOOKUP(TableTERanks33[[#This Row],[Player]],TE!B:O,5,FALSE)</f>
        <v>18.894615391919995</v>
      </c>
      <c r="AW42" s="279">
        <f>VLOOKUP(TableTERanks33[[#This Row],[Player]],TE!B:O,6,FALSE)</f>
        <v>207.65182315720074</v>
      </c>
      <c r="AX42" s="279">
        <f>VLOOKUP(TableTERanks33[[#This Row],[Player]],TE!B:O,7,FALSE)</f>
        <v>1.4737800005697597</v>
      </c>
      <c r="AY42" s="272">
        <f>IFERROR(INDEX(TableTECalcPts[Custom],MATCH(TableTERanks33[[#This Row],[RK]],TableTECalcPts[RK],0)),"")</f>
        <v>29.607862319138633</v>
      </c>
      <c r="AZ4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3" spans="1:52" x14ac:dyDescent="0.3">
      <c r="A43" s="22">
        <v>42</v>
      </c>
      <c r="B43" s="22" t="str">
        <f>IFERROR(INDEX(TableQBCalcPts[PLAYER],MATCH(TableQBRanks30[[#This Row],[RK]],TableQBCalcPts[RK],0)),"")</f>
        <v>Kyle Allen</v>
      </c>
      <c r="C43" s="22" t="str">
        <f>IFERROR(INDEX(TableQBCalcPts[TM],MATCH(TableQBRanks30[[#This Row],[Player]],TableQBCalcPts[PLAYER],0)),"")</f>
        <v>HOU</v>
      </c>
      <c r="D43" s="22">
        <f>IFERROR(INDEX(TableQBCalcPts[BYE],MATCH(TableQBRanks30[[#This Row],[RK]],TableQBCalcPts[RK],0)),"")</f>
        <v>6</v>
      </c>
      <c r="E43" s="279">
        <f>VLOOKUP(TableQBRanks30[[#This Row],[Player]],QB!B:O,4,FALSE)</f>
        <v>29.936400000000024</v>
      </c>
      <c r="F43" s="279">
        <f>VLOOKUP(TableQBRanks30[[#This Row],[Player]],QB!B:O,5,FALSE)</f>
        <v>18.974355444102056</v>
      </c>
      <c r="G43" s="279">
        <f>VLOOKUP(TableQBRanks30[[#This Row],[Player]],QB!B:O,6,FALSE)</f>
        <v>213.40380725291624</v>
      </c>
      <c r="H43" s="279">
        <f>VLOOKUP(TableQBRanks30[[#This Row],[Player]],QB!B:O,7,FALSE)</f>
        <v>1.1574356820902254</v>
      </c>
      <c r="I43" s="279">
        <f>VLOOKUP(TableQBRanks30[[#This Row],[Player]],QB!B:O,8,FALSE)</f>
        <v>0.51418792644611722</v>
      </c>
      <c r="J43" s="279">
        <f>VLOOKUP(TableQBRanks30[[#This Row],[Player]],QB!B:O,9,FALSE)</f>
        <v>0.89975188546224483</v>
      </c>
      <c r="K43" s="279">
        <f>VLOOKUP(TableQBRanks30[[#This Row],[Player]],QB!B:O,10,FALSE)</f>
        <v>3.572014985285112</v>
      </c>
      <c r="L43" s="279">
        <f>VLOOKUP(TableQBRanks30[[#This Row],[Player]],QB!B:O,11,FALSE)</f>
        <v>0</v>
      </c>
      <c r="M43" s="272">
        <f>IFERROR(INDEX(TableQBCalcPts[Custom],MATCH(TableQBRanks30[[#This Row],[RK]],TableQBCalcPts[RK],0)),"")</f>
        <v>12.49472066411383</v>
      </c>
      <c r="N4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3" s="22">
        <v>42</v>
      </c>
      <c r="Q43" s="22" t="str">
        <f>IFERROR(INDEX(TableRBCalcPts[PLAYER],MATCH(TableRBRanks31[[#This Row],[RK]],TableRBCalcPts[RK],0)),"")</f>
        <v>Mark Ingram</v>
      </c>
      <c r="R43" s="22" t="str">
        <f>IFERROR(INDEX(TableRBCalcPts[TM],MATCH(TableRBRanks31[[#This Row],[Player]],TableRBCalcPts[PLAYER],0)),"")</f>
        <v>NO</v>
      </c>
      <c r="S43" s="22">
        <f>IFERROR(INDEX(TableRBCalcPts[BYE],MATCH(TableRBRanks31[[#This Row],[RK]],TableRBCalcPts[RK],0)),"")</f>
        <v>14</v>
      </c>
      <c r="T43" s="279">
        <f>VLOOKUP(TableRBRanks31[[#This Row],[Player]],RB!B:O,4,FALSE)</f>
        <v>147.50797530319852</v>
      </c>
      <c r="U43" s="279">
        <f>VLOOKUP(TableRBRanks31[[#This Row],[Player]],RB!B:O,5,FALSE)</f>
        <v>573.80602392944229</v>
      </c>
      <c r="V43" s="279">
        <f>VLOOKUP(TableRBRanks31[[#This Row],[Player]],RB!B:O,6,FALSE)</f>
        <v>4.2187280936714782</v>
      </c>
      <c r="W43" s="279">
        <f>VLOOKUP(TableRBRanks31[[#This Row],[Player]],RB!B:O,7,FALSE)</f>
        <v>26.491005123188867</v>
      </c>
      <c r="X43" s="279">
        <f>VLOOKUP(TableRBRanks31[[#This Row],[Player]],RB!B:O,8,FALSE)</f>
        <v>19.627185695770631</v>
      </c>
      <c r="Y43" s="279">
        <f>VLOOKUP(TableRBRanks31[[#This Row],[Player]],RB!B:O,9,FALSE)</f>
        <v>137.97911544126754</v>
      </c>
      <c r="Z43" s="279">
        <f>VLOOKUP(TableRBRanks31[[#This Row],[Player]],RB!B:O,10,FALSE)</f>
        <v>0.8047146135265959</v>
      </c>
      <c r="AA43" s="272">
        <f>IFERROR(INDEX(TableRBCalcPts[Custom],MATCH(TableRBRanks31[[#This Row],[RK]],TableRBCalcPts[RK],0)),"")</f>
        <v>101.31917018025943</v>
      </c>
      <c r="AB4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3" s="22">
        <v>42</v>
      </c>
      <c r="AE43" s="274" t="str">
        <f>IFERROR(INDEX(TableWRCalcPts[PLAYER],MATCH(TableWRRanks32[[#This Row],[RK]],TableWRCalcPts[RK],0)),"")</f>
        <v>Russell Gage</v>
      </c>
      <c r="AF43" s="22" t="str">
        <f>IFERROR(INDEX(TableWRCalcPts[TM],MATCH(TableWRRanks32[[#This Row],[Player]],TableWRCalcPts[PLAYER],0)),"")</f>
        <v>TB</v>
      </c>
      <c r="AG43" s="22">
        <f>IFERROR(INDEX(TableWRCalcPts[BYE],MATCH(TableWRRanks32[[#This Row],[RK]],TableWRCalcPts[RK],0)),"")</f>
        <v>11</v>
      </c>
      <c r="AH43" s="279">
        <f>VLOOKUP(TableWRRanks32[[#This Row],[Player]],WR!B:O,4,FALSE)</f>
        <v>0.80002989236686917</v>
      </c>
      <c r="AI43" s="279">
        <f>VLOOKUP(TableWRRanks32[[#This Row],[Player]],WR!B:O,5,FALSE)</f>
        <v>0</v>
      </c>
      <c r="AJ43" s="279">
        <f>VLOOKUP(TableWRRanks32[[#This Row],[Player]],WR!B:O,6,FALSE)</f>
        <v>109.64552034548227</v>
      </c>
      <c r="AK43" s="279">
        <f>VLOOKUP(TableWRRanks32[[#This Row],[Player]],WR!B:O,7,FALSE)</f>
        <v>74.756395019731798</v>
      </c>
      <c r="AL43" s="279">
        <f>VLOOKUP(TableWRRanks32[[#This Row],[Player]],WR!B:O,8,FALSE)</f>
        <v>866.42661827869154</v>
      </c>
      <c r="AM43" s="279">
        <f>VLOOKUP(TableWRRanks32[[#This Row],[Player]],WR!B:O,9,FALSE)</f>
        <v>5.5319732314601531</v>
      </c>
      <c r="AN43" s="272">
        <f>IFERROR(INDEX(TableWRCalcPts[Custom],MATCH(TableWRRanks32[[#This Row],[RK]],TableWRCalcPts[RK],0)),"")</f>
        <v>119.91450420586676</v>
      </c>
      <c r="AO4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5.1540521551127743</v>
      </c>
      <c r="AQ43" s="22">
        <v>42</v>
      </c>
      <c r="AR43" s="274" t="str">
        <f>IFERROR(INDEX(TableTECalcPts[PLAYER],MATCH(TableTERanks33[[#This Row],[RK]],TableTECalcPts[RK],0)),"")</f>
        <v>Tyler Conklin</v>
      </c>
      <c r="AS43" s="22" t="str">
        <f>IFERROR(INDEX(TableTECalcPts[TM],MATCH(TableTERanks33[[#This Row],[Player]],TableTECalcPts[PLAYER],0)),"")</f>
        <v>NYJ</v>
      </c>
      <c r="AT43" s="22">
        <f>IFERROR(INDEX(TableTECalcPts[BYE],MATCH(TableTERanks33[[#This Row],[RK]],TableTECalcPts[RK],0)),"")</f>
        <v>10</v>
      </c>
      <c r="AU43" s="279">
        <f>VLOOKUP(TableTERanks33[[#This Row],[Player]],TE!B:O,4,FALSE)</f>
        <v>33.898797161602417</v>
      </c>
      <c r="AV43" s="279">
        <f>VLOOKUP(TableTERanks33[[#This Row],[Player]],TE!B:O,5,FALSE)</f>
        <v>21.179968466569189</v>
      </c>
      <c r="AW43" s="279">
        <f>VLOOKUP(TableTERanks33[[#This Row],[Player]],TE!B:O,6,FALSE)</f>
        <v>214.34128088168018</v>
      </c>
      <c r="AX43" s="279">
        <f>VLOOKUP(TableTERanks33[[#This Row],[Player]],TE!B:O,7,FALSE)</f>
        <v>1.2707981079941513</v>
      </c>
      <c r="AY43" s="272">
        <f>IFERROR(INDEX(TableTECalcPts[Custom],MATCH(TableTERanks33[[#This Row],[RK]],TableTECalcPts[RK],0)),"")</f>
        <v>29.058916736132929</v>
      </c>
      <c r="AZ4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4" spans="1:52" x14ac:dyDescent="0.3">
      <c r="A44" s="22">
        <v>43</v>
      </c>
      <c r="B44" s="22" t="str">
        <f>IFERROR(INDEX(TableQBCalcPts[PLAYER],MATCH(TableQBRanks30[[#This Row],[RK]],TableQBCalcPts[RK],0)),"")</f>
        <v>Cooper Rush</v>
      </c>
      <c r="C44" s="22" t="str">
        <f>IFERROR(INDEX(TableQBCalcPts[TM],MATCH(TableQBRanks30[[#This Row],[Player]],TableQBCalcPts[PLAYER],0)),"")</f>
        <v>DAL</v>
      </c>
      <c r="D44" s="22">
        <f>IFERROR(INDEX(TableQBCalcPts[BYE],MATCH(TableQBRanks30[[#This Row],[RK]],TableQBCalcPts[RK],0)),"")</f>
        <v>9</v>
      </c>
      <c r="E44" s="279">
        <f>VLOOKUP(TableQBRanks30[[#This Row],[Player]],QB!B:O,4,FALSE)</f>
        <v>26.121760000000023</v>
      </c>
      <c r="F44" s="279">
        <f>VLOOKUP(TableQBRanks30[[#This Row],[Player]],QB!B:O,5,FALSE)</f>
        <v>16.386720373160585</v>
      </c>
      <c r="G44" s="279">
        <f>VLOOKUP(TableQBRanks30[[#This Row],[Player]],QB!B:O,6,FALSE)</f>
        <v>176.6488456226711</v>
      </c>
      <c r="H44" s="279">
        <f>VLOOKUP(TableQBRanks30[[#This Row],[Player]],QB!B:O,7,FALSE)</f>
        <v>1.2126173076138833</v>
      </c>
      <c r="I44" s="279">
        <f>VLOOKUP(TableQBRanks30[[#This Row],[Player]],QB!B:O,8,FALSE)</f>
        <v>0.41448317241876798</v>
      </c>
      <c r="J44" s="279">
        <f>VLOOKUP(TableQBRanks30[[#This Row],[Player]],QB!B:O,9,FALSE)</f>
        <v>4.201530115026606</v>
      </c>
      <c r="K44" s="279">
        <f>VLOOKUP(TableQBRanks30[[#This Row],[Player]],QB!B:O,10,FALSE)</f>
        <v>11.753271204741239</v>
      </c>
      <c r="L44" s="279">
        <f>VLOOKUP(TableQBRanks30[[#This Row],[Player]],QB!B:O,11,FALSE)</f>
        <v>0</v>
      </c>
      <c r="M44" s="272">
        <f>IFERROR(INDEX(TableQBCalcPts[Custom],MATCH(TableQBRanks30[[#This Row],[RK]],TableQBCalcPts[RK],0)),"")</f>
        <v>12.262783830998966</v>
      </c>
      <c r="N4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4" s="22">
        <v>43</v>
      </c>
      <c r="Q44" s="22" t="str">
        <f>IFERROR(INDEX(TableRBCalcPts[PLAYER],MATCH(TableRBRanks31[[#This Row],[RK]],TableRBCalcPts[RK],0)),"")</f>
        <v>Alexander Mattison</v>
      </c>
      <c r="R44" s="22" t="str">
        <f>IFERROR(INDEX(TableRBCalcPts[TM],MATCH(TableRBRanks31[[#This Row],[Player]],TableRBCalcPts[PLAYER],0)),"")</f>
        <v>MIN</v>
      </c>
      <c r="S44" s="22">
        <f>IFERROR(INDEX(TableRBCalcPts[BYE],MATCH(TableRBRanks31[[#This Row],[RK]],TableRBCalcPts[RK],0)),"")</f>
        <v>7</v>
      </c>
      <c r="T44" s="279">
        <f>VLOOKUP(TableRBRanks31[[#This Row],[Player]],RB!B:O,4,FALSE)</f>
        <v>124.4426038541885</v>
      </c>
      <c r="U44" s="279">
        <f>VLOOKUP(TableRBRanks31[[#This Row],[Player]],RB!B:O,5,FALSE)</f>
        <v>501.50369353237971</v>
      </c>
      <c r="V44" s="279">
        <f>VLOOKUP(TableRBRanks31[[#This Row],[Player]],RB!B:O,6,FALSE)</f>
        <v>3.6710568136985606</v>
      </c>
      <c r="W44" s="279">
        <f>VLOOKUP(TableRBRanks31[[#This Row],[Player]],RB!B:O,7,FALSE)</f>
        <v>39.866009605204383</v>
      </c>
      <c r="X44" s="279">
        <f>VLOOKUP(TableRBRanks31[[#This Row],[Player]],RB!B:O,8,FALSE)</f>
        <v>30.768586213296743</v>
      </c>
      <c r="Y44" s="279">
        <f>VLOOKUP(TableRBRanks31[[#This Row],[Player]],RB!B:O,9,FALSE)</f>
        <v>210.84012971241074</v>
      </c>
      <c r="Z44" s="279">
        <f>VLOOKUP(TableRBRanks31[[#This Row],[Player]],RB!B:O,10,FALSE)</f>
        <v>1.1076691036786828</v>
      </c>
      <c r="AA44" s="272">
        <f>IFERROR(INDEX(TableRBCalcPts[Custom],MATCH(TableRBRanks31[[#This Row],[RK]],TableRBCalcPts[RK],0)),"")</f>
        <v>99.906737828742521</v>
      </c>
      <c r="AB4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4" s="22">
        <v>43</v>
      </c>
      <c r="AE44" s="274" t="str">
        <f>IFERROR(INDEX(TableWRCalcPts[PLAYER],MATCH(TableWRRanks32[[#This Row],[RK]],TableWRCalcPts[RK],0)),"")</f>
        <v>Garrett Wilson</v>
      </c>
      <c r="AF44" s="22" t="str">
        <f>IFERROR(INDEX(TableWRCalcPts[TM],MATCH(TableWRRanks32[[#This Row],[Player]],TableWRCalcPts[PLAYER],0)),"")</f>
        <v>NYJ</v>
      </c>
      <c r="AG44" s="22">
        <f>IFERROR(INDEX(TableWRCalcPts[BYE],MATCH(TableWRRanks32[[#This Row],[RK]],TableWRCalcPts[RK],0)),"")</f>
        <v>10</v>
      </c>
      <c r="AH44" s="279">
        <f>VLOOKUP(TableWRRanks32[[#This Row],[Player]],WR!B:O,4,FALSE)</f>
        <v>6.0260090851023778</v>
      </c>
      <c r="AI44" s="279">
        <f>VLOOKUP(TableWRRanks32[[#This Row],[Player]],WR!B:O,5,FALSE)</f>
        <v>0</v>
      </c>
      <c r="AJ44" s="279">
        <f>VLOOKUP(TableWRRanks32[[#This Row],[Player]],WR!B:O,6,FALSE)</f>
        <v>108.35508378440773</v>
      </c>
      <c r="AK44" s="279">
        <f>VLOOKUP(TableWRRanks32[[#This Row],[Player]],WR!B:O,7,FALSE)</f>
        <v>65.674016281729521</v>
      </c>
      <c r="AL44" s="279">
        <f>VLOOKUP(TableWRRanks32[[#This Row],[Player]],WR!B:O,8,FALSE)</f>
        <v>858.35939280220487</v>
      </c>
      <c r="AM44" s="279">
        <f>VLOOKUP(TableWRRanks32[[#This Row],[Player]],WR!B:O,9,FALSE)</f>
        <v>5.385269335101821</v>
      </c>
      <c r="AN44" s="272">
        <f>IFERROR(INDEX(TableWRCalcPts[Custom],MATCH(TableWRRanks32[[#This Row],[RK]],TableWRCalcPts[RK],0)),"")</f>
        <v>118.75015619934166</v>
      </c>
      <c r="AO4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4.6056054306847409</v>
      </c>
      <c r="AQ44" s="22">
        <v>43</v>
      </c>
      <c r="AR44" s="274" t="str">
        <f>IFERROR(INDEX(TableTECalcPts[PLAYER],MATCH(TableTERanks33[[#This Row],[RK]],TableTECalcPts[RK],0)),"")</f>
        <v>Pharaoh Brown</v>
      </c>
      <c r="AS44" s="22" t="str">
        <f>IFERROR(INDEX(TableTECalcPts[TM],MATCH(TableTERanks33[[#This Row],[Player]],TableTECalcPts[PLAYER],0)),"")</f>
        <v>HOU</v>
      </c>
      <c r="AT44" s="22">
        <f>IFERROR(INDEX(TableTECalcPts[BYE],MATCH(TableTERanks33[[#This Row],[RK]],TableTECalcPts[RK],0)),"")</f>
        <v>6</v>
      </c>
      <c r="AU44" s="279">
        <f>VLOOKUP(TableTERanks33[[#This Row],[Player]],TE!B:O,4,FALSE)</f>
        <v>29.939298881540047</v>
      </c>
      <c r="AV44" s="279">
        <f>VLOOKUP(TableTERanks33[[#This Row],[Player]],TE!B:O,5,FALSE)</f>
        <v>20.179087446157993</v>
      </c>
      <c r="AW44" s="279">
        <f>VLOOKUP(TableTERanks33[[#This Row],[Player]],TE!B:O,6,FALSE)</f>
        <v>204.81773757850362</v>
      </c>
      <c r="AX44" s="279">
        <f>VLOOKUP(TableTERanks33[[#This Row],[Player]],TE!B:O,7,FALSE)</f>
        <v>1.3519988588925855</v>
      </c>
      <c r="AY44" s="272">
        <f>IFERROR(INDEX(TableTECalcPts[Custom],MATCH(TableTERanks33[[#This Row],[RK]],TableTECalcPts[RK],0)),"")</f>
        <v>28.593766911205876</v>
      </c>
      <c r="AZ4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5" spans="1:52" x14ac:dyDescent="0.3">
      <c r="A45" s="22">
        <v>44</v>
      </c>
      <c r="B45" s="22" t="str">
        <f>IFERROR(INDEX(TableQBCalcPts[PLAYER],MATCH(TableQBRanks30[[#This Row],[RK]],TableQBCalcPts[RK],0)),"")</f>
        <v>John Wolford</v>
      </c>
      <c r="C45" s="22" t="str">
        <f>IFERROR(INDEX(TableQBCalcPts[TM],MATCH(TableQBRanks30[[#This Row],[Player]],TableQBCalcPts[PLAYER],0)),"")</f>
        <v>LAR</v>
      </c>
      <c r="D45" s="22">
        <f>IFERROR(INDEX(TableQBCalcPts[BYE],MATCH(TableQBRanks30[[#This Row],[RK]],TableQBCalcPts[RK],0)),"")</f>
        <v>7</v>
      </c>
      <c r="E45" s="279">
        <f>VLOOKUP(TableQBRanks30[[#This Row],[Player]],QB!B:O,4,FALSE)</f>
        <v>31.64491600000003</v>
      </c>
      <c r="F45" s="279">
        <f>VLOOKUP(TableQBRanks30[[#This Row],[Player]],QB!B:O,5,FALSE)</f>
        <v>19.418155963271403</v>
      </c>
      <c r="G45" s="279">
        <f>VLOOKUP(TableQBRanks30[[#This Row],[Player]],QB!B:O,6,FALSE)</f>
        <v>192.55396018820144</v>
      </c>
      <c r="H45" s="279">
        <f>VLOOKUP(TableQBRanks30[[#This Row],[Player]],QB!B:O,7,FALSE)</f>
        <v>1.3613028161816281</v>
      </c>
      <c r="I45" s="279">
        <f>VLOOKUP(TableQBRanks30[[#This Row],[Player]],QB!B:O,8,FALSE)</f>
        <v>0.4442618080657289</v>
      </c>
      <c r="J45" s="279">
        <f>VLOOKUP(TableQBRanks30[[#This Row],[Player]],QB!B:O,9,FALSE)</f>
        <v>0</v>
      </c>
      <c r="K45" s="279">
        <f>VLOOKUP(TableQBRanks30[[#This Row],[Player]],QB!B:O,10,FALSE)</f>
        <v>0</v>
      </c>
      <c r="L45" s="279">
        <f>VLOOKUP(TableQBRanks30[[#This Row],[Player]],QB!B:O,11,FALSE)</f>
        <v>0</v>
      </c>
      <c r="M45" s="272">
        <f>IFERROR(INDEX(TableQBCalcPts[Custom],MATCH(TableQBRanks30[[#This Row],[RK]],TableQBCalcPts[RK],0)),"")</f>
        <v>12.258846056123112</v>
      </c>
      <c r="N4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5" s="22">
        <v>44</v>
      </c>
      <c r="Q45" s="22" t="str">
        <f>IFERROR(INDEX(TableRBCalcPts[PLAYER],MATCH(TableRBRanks31[[#This Row],[RK]],TableRBCalcPts[RK],0)),"")</f>
        <v>James Cook</v>
      </c>
      <c r="R45" s="22" t="str">
        <f>IFERROR(INDEX(TableRBCalcPts[TM],MATCH(TableRBRanks31[[#This Row],[Player]],TableRBCalcPts[PLAYER],0)),"")</f>
        <v>BUF</v>
      </c>
      <c r="S45" s="22">
        <f>IFERROR(INDEX(TableRBCalcPts[BYE],MATCH(TableRBRanks31[[#This Row],[RK]],TableRBCalcPts[RK],0)),"")</f>
        <v>7</v>
      </c>
      <c r="T45" s="279">
        <f>VLOOKUP(TableRBRanks31[[#This Row],[Player]],RB!B:O,4,FALSE)</f>
        <v>93.061823458135095</v>
      </c>
      <c r="U45" s="279">
        <f>VLOOKUP(TableRBRanks31[[#This Row],[Player]],RB!B:O,5,FALSE)</f>
        <v>391.05999794947365</v>
      </c>
      <c r="V45" s="279">
        <f>VLOOKUP(TableRBRanks31[[#This Row],[Player]],RB!B:O,6,FALSE)</f>
        <v>2.7380026249973199</v>
      </c>
      <c r="W45" s="279">
        <f>VLOOKUP(TableRBRanks31[[#This Row],[Player]],RB!B:O,7,FALSE)</f>
        <v>57.323995606519439</v>
      </c>
      <c r="X45" s="279">
        <f>VLOOKUP(TableRBRanks31[[#This Row],[Player]],RB!B:O,8,FALSE)</f>
        <v>41.387924827907035</v>
      </c>
      <c r="Y45" s="279">
        <f>VLOOKUP(TableRBRanks31[[#This Row],[Player]],RB!B:O,9,FALSE)</f>
        <v>327.37848538874465</v>
      </c>
      <c r="Z45" s="279">
        <f>VLOOKUP(TableRBRanks31[[#This Row],[Player]],RB!B:O,10,FALSE)</f>
        <v>1.6969049179441886</v>
      </c>
      <c r="AA45" s="272">
        <f>IFERROR(INDEX(TableRBCalcPts[Custom],MATCH(TableRBRanks31[[#This Row],[RK]],TableRBCalcPts[RK],0)),"")</f>
        <v>98.453293591470882</v>
      </c>
      <c r="AB4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5" s="274">
        <v>44</v>
      </c>
      <c r="AE45" s="274" t="str">
        <f>IFERROR(INDEX(TableWRCalcPts[PLAYER],MATCH(TableWRRanks32[[#This Row],[RK]],TableWRCalcPts[RK],0)),"")</f>
        <v>Brandon Aiyuk</v>
      </c>
      <c r="AF45" s="22" t="str">
        <f>IFERROR(INDEX(TableWRCalcPts[TM],MATCH(TableWRRanks32[[#This Row],[Player]],TableWRCalcPts[PLAYER],0)),"")</f>
        <v>SF</v>
      </c>
      <c r="AG45" s="22">
        <f>IFERROR(INDEX(TableWRCalcPts[BYE],MATCH(TableWRRanks32[[#This Row],[RK]],TableWRCalcPts[RK],0)),"")</f>
        <v>9</v>
      </c>
      <c r="AH45" s="279">
        <f>VLOOKUP(TableWRRanks32[[#This Row],[Player]],WR!B:O,4,FALSE)</f>
        <v>13.530911410964601</v>
      </c>
      <c r="AI45" s="279">
        <f>VLOOKUP(TableWRRanks32[[#This Row],[Player]],WR!B:O,5,FALSE)</f>
        <v>4.9147067888334645E-2</v>
      </c>
      <c r="AJ45" s="279">
        <f>VLOOKUP(TableWRRanks32[[#This Row],[Player]],WR!B:O,6,FALSE)</f>
        <v>99.205332945876322</v>
      </c>
      <c r="AK45" s="279">
        <f>VLOOKUP(TableWRRanks32[[#This Row],[Player]],WR!B:O,7,FALSE)</f>
        <v>60.249771112324581</v>
      </c>
      <c r="AL45" s="279">
        <f>VLOOKUP(TableWRRanks32[[#This Row],[Player]],WR!B:O,8,FALSE)</f>
        <v>841.08680472805122</v>
      </c>
      <c r="AM45" s="279">
        <f>VLOOKUP(TableWRRanks32[[#This Row],[Player]],WR!B:O,9,FALSE)</f>
        <v>5.4224794001092125</v>
      </c>
      <c r="AN45" s="272">
        <f>IFERROR(INDEX(TableWRCalcPts[Custom],MATCH(TableWRRanks32[[#This Row],[RK]],TableWRCalcPts[RK],0)),"")</f>
        <v>118.29153042188688</v>
      </c>
      <c r="AO4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4.3895774012865445</v>
      </c>
      <c r="AQ45" s="274">
        <v>44</v>
      </c>
      <c r="AR45" s="22" t="str">
        <f>IFERROR(INDEX(TableTECalcPts[PLAYER],MATCH(TableTERanks33[[#This Row],[RK]],TableTECalcPts[RK],0)),"")</f>
        <v>John Bates</v>
      </c>
      <c r="AS45" s="22" t="str">
        <f>IFERROR(INDEX(TableTECalcPts[TM],MATCH(TableTERanks33[[#This Row],[Player]],TableTECalcPts[PLAYER],0)),"")</f>
        <v>WSH</v>
      </c>
      <c r="AT45" s="22">
        <f>IFERROR(INDEX(TableTECalcPts[BYE],MATCH(TableTERanks33[[#This Row],[RK]],TableTECalcPts[RK],0)),"")</f>
        <v>14</v>
      </c>
      <c r="AU45" s="279">
        <f>VLOOKUP(TableTERanks33[[#This Row],[Player]],TE!B:O,4,FALSE)</f>
        <v>29.599784896728533</v>
      </c>
      <c r="AV45" s="279">
        <f>VLOOKUP(TableTERanks33[[#This Row],[Player]],TE!B:O,5,FALSE)</f>
        <v>19.00306190369972</v>
      </c>
      <c r="AW45" s="279">
        <f>VLOOKUP(TableTERanks33[[#This Row],[Player]],TE!B:O,6,FALSE)</f>
        <v>223.8560692255827</v>
      </c>
      <c r="AX45" s="279">
        <f>VLOOKUP(TableTERanks33[[#This Row],[Player]],TE!B:O,7,FALSE)</f>
        <v>0.9990193511791452</v>
      </c>
      <c r="AY45" s="272">
        <f>IFERROR(INDEX(TableTECalcPts[Custom],MATCH(TableTERanks33[[#This Row],[RK]],TableTECalcPts[RK],0)),"")</f>
        <v>28.379723029633141</v>
      </c>
      <c r="AZ4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6" spans="1:52" x14ac:dyDescent="0.3">
      <c r="A46" s="22">
        <v>45</v>
      </c>
      <c r="B46" s="22" t="str">
        <f>IFERROR(INDEX(TableQBCalcPts[PLAYER],MATCH(TableQBRanks30[[#This Row],[RK]],TableQBCalcPts[RK],0)),"")</f>
        <v>Trevor Siemian</v>
      </c>
      <c r="C46" s="22" t="str">
        <f>IFERROR(INDEX(TableQBCalcPts[TM],MATCH(TableQBRanks30[[#This Row],[Player]],TableQBCalcPts[PLAYER],0)),"")</f>
        <v>CHI</v>
      </c>
      <c r="D46" s="22">
        <f>IFERROR(INDEX(TableQBCalcPts[BYE],MATCH(TableQBRanks30[[#This Row],[RK]],TableQBCalcPts[RK],0)),"")</f>
        <v>14</v>
      </c>
      <c r="E46" s="279">
        <f>VLOOKUP(TableQBRanks30[[#This Row],[Player]],QB!B:O,4,FALSE)</f>
        <v>29.253286500000026</v>
      </c>
      <c r="F46" s="279">
        <f>VLOOKUP(TableQBRanks30[[#This Row],[Player]],QB!B:O,5,FALSE)</f>
        <v>17.79251888947347</v>
      </c>
      <c r="G46" s="279">
        <f>VLOOKUP(TableQBRanks30[[#This Row],[Player]],QB!B:O,6,FALSE)</f>
        <v>194.82808183973449</v>
      </c>
      <c r="H46" s="279">
        <f>VLOOKUP(TableQBRanks30[[#This Row],[Player]],QB!B:O,7,FALSE)</f>
        <v>1.0766852442387023</v>
      </c>
      <c r="I46" s="279">
        <f>VLOOKUP(TableQBRanks30[[#This Row],[Player]],QB!B:O,8,FALSE)</f>
        <v>0.47030335142688978</v>
      </c>
      <c r="J46" s="279">
        <f>VLOOKUP(TableQBRanks30[[#This Row],[Player]],QB!B:O,9,FALSE)</f>
        <v>1.1053533923819034</v>
      </c>
      <c r="K46" s="279">
        <f>VLOOKUP(TableQBRanks30[[#This Row],[Player]],QB!B:O,10,FALSE)</f>
        <v>3.4818631860029958</v>
      </c>
      <c r="L46" s="279">
        <f>VLOOKUP(TableQBRanks30[[#This Row],[Player]],QB!B:O,11,FALSE)</f>
        <v>0</v>
      </c>
      <c r="M46" s="272">
        <f>IFERROR(INDEX(TableQBCalcPts[Custom],MATCH(TableQBRanks30[[#This Row],[RK]],TableQBCalcPts[RK],0)),"")</f>
        <v>11.507443866290711</v>
      </c>
      <c r="N4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6" s="22">
        <v>45</v>
      </c>
      <c r="Q46" s="22" t="str">
        <f>IFERROR(INDEX(TableRBCalcPts[PLAYER],MATCH(TableRBRanks31[[#This Row],[RK]],TableRBCalcPts[RK],0)),"")</f>
        <v>Kenneth Gainwell</v>
      </c>
      <c r="R46" s="22" t="str">
        <f>IFERROR(INDEX(TableRBCalcPts[TM],MATCH(TableRBRanks31[[#This Row],[Player]],TableRBCalcPts[PLAYER],0)),"")</f>
        <v>PHI</v>
      </c>
      <c r="S46" s="22">
        <f>IFERROR(INDEX(TableRBCalcPts[BYE],MATCH(TableRBRanks31[[#This Row],[RK]],TableRBCalcPts[RK],0)),"")</f>
        <v>7</v>
      </c>
      <c r="T46" s="279">
        <f>VLOOKUP(TableRBRanks31[[#This Row],[Player]],RB!B:O,4,FALSE)</f>
        <v>72.323602437497414</v>
      </c>
      <c r="U46" s="279">
        <f>VLOOKUP(TableRBRanks31[[#This Row],[Player]],RB!B:O,5,FALSE)</f>
        <v>311.71472650561384</v>
      </c>
      <c r="V46" s="279">
        <f>VLOOKUP(TableRBRanks31[[#This Row],[Player]],RB!B:O,6,FALSE)</f>
        <v>3.2750936022534609</v>
      </c>
      <c r="W46" s="279">
        <f>VLOOKUP(TableRBRanks31[[#This Row],[Player]],RB!B:O,7,FALSE)</f>
        <v>65.674918090941105</v>
      </c>
      <c r="X46" s="279">
        <f>VLOOKUP(TableRBRanks31[[#This Row],[Player]],RB!B:O,8,FALSE)</f>
        <v>46.182602401549786</v>
      </c>
      <c r="Y46" s="279">
        <f>VLOOKUP(TableRBRanks31[[#This Row],[Player]],RB!B:O,9,FALSE)</f>
        <v>355.60603849193336</v>
      </c>
      <c r="Z46" s="279">
        <f>VLOOKUP(TableRBRanks31[[#This Row],[Player]],RB!B:O,10,FALSE)</f>
        <v>1.8473040960619915</v>
      </c>
      <c r="AA46" s="272">
        <f>IFERROR(INDEX(TableRBCalcPts[Custom],MATCH(TableRBRanks31[[#This Row],[RK]],TableRBCalcPts[RK],0)),"")</f>
        <v>97.466462689647429</v>
      </c>
      <c r="AB4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6" s="22">
        <v>45</v>
      </c>
      <c r="AE46" s="22" t="str">
        <f>IFERROR(INDEX(TableWRCalcPts[PLAYER],MATCH(TableWRRanks32[[#This Row],[RK]],TableWRCalcPts[RK],0)),"")</f>
        <v>Tyler Boyd</v>
      </c>
      <c r="AF46" s="22" t="str">
        <f>IFERROR(INDEX(TableWRCalcPts[TM],MATCH(TableWRRanks32[[#This Row],[Player]],TableWRCalcPts[PLAYER],0)),"")</f>
        <v>CIN</v>
      </c>
      <c r="AG46" s="22">
        <f>IFERROR(INDEX(TableWRCalcPts[BYE],MATCH(TableWRRanks32[[#This Row],[RK]],TableWRCalcPts[RK],0)),"")</f>
        <v>10</v>
      </c>
      <c r="AH46" s="279">
        <f>VLOOKUP(TableWRRanks32[[#This Row],[Player]],WR!B:O,4,FALSE)</f>
        <v>15.553242873994213</v>
      </c>
      <c r="AI46" s="279">
        <f>VLOOKUP(TableWRRanks32[[#This Row],[Player]],WR!B:O,5,FALSE)</f>
        <v>0</v>
      </c>
      <c r="AJ46" s="279">
        <f>VLOOKUP(TableWRRanks32[[#This Row],[Player]],WR!B:O,6,FALSE)</f>
        <v>100.70898859525614</v>
      </c>
      <c r="AK46" s="279">
        <f>VLOOKUP(TableWRRanks32[[#This Row],[Player]],WR!B:O,7,FALSE)</f>
        <v>71.634303587805704</v>
      </c>
      <c r="AL46" s="279">
        <f>VLOOKUP(TableWRRanks32[[#This Row],[Player]],WR!B:O,8,FALSE)</f>
        <v>850.29918358725365</v>
      </c>
      <c r="AM46" s="279">
        <f>VLOOKUP(TableWRRanks32[[#This Row],[Player]],WR!B:O,9,FALSE)</f>
        <v>4.8910741951336316</v>
      </c>
      <c r="AN46" s="272">
        <f>IFERROR(INDEX(TableWRCalcPts[Custom],MATCH(TableWRRanks32[[#This Row],[RK]],TableWRCalcPts[RK],0)),"")</f>
        <v>115.93168781692657</v>
      </c>
      <c r="AO4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3.2780128693741557</v>
      </c>
      <c r="AQ46" s="22">
        <v>45</v>
      </c>
      <c r="AR46" s="274" t="str">
        <f>IFERROR(INDEX(TableTECalcPts[PLAYER],MATCH(TableTERanks33[[#This Row],[RK]],TableTECalcPts[RK],0)),"")</f>
        <v>Anthony Firkser</v>
      </c>
      <c r="AS46" s="22" t="str">
        <f>IFERROR(INDEX(TableTECalcPts[TM],MATCH(TableTERanks33[[#This Row],[Player]],TableTECalcPts[PLAYER],0)),"")</f>
        <v>ATL</v>
      </c>
      <c r="AT46" s="22">
        <f>IFERROR(INDEX(TableTECalcPts[BYE],MATCH(TableTERanks33[[#This Row],[RK]],TableTECalcPts[RK],0)),"")</f>
        <v>14</v>
      </c>
      <c r="AU46" s="279">
        <f>VLOOKUP(TableTERanks33[[#This Row],[Player]],TE!B:O,4,FALSE)</f>
        <v>38.849163815004538</v>
      </c>
      <c r="AV46" s="279">
        <f>VLOOKUP(TableTERanks33[[#This Row],[Player]],TE!B:O,5,FALSE)</f>
        <v>24.513822367267863</v>
      </c>
      <c r="AW46" s="279">
        <f>VLOOKUP(TableTERanks33[[#This Row],[Player]],TE!B:O,6,FALSE)</f>
        <v>214.4810319290321</v>
      </c>
      <c r="AX46" s="279">
        <f>VLOOKUP(TableTERanks33[[#This Row],[Player]],TE!B:O,7,FALSE)</f>
        <v>1.0786081841597859</v>
      </c>
      <c r="AY46" s="272">
        <f>IFERROR(INDEX(TableTECalcPts[Custom],MATCH(TableTERanks33[[#This Row],[RK]],TableTECalcPts[RK],0)),"")</f>
        <v>27.919752297861926</v>
      </c>
      <c r="AZ4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7" spans="1:52" x14ac:dyDescent="0.3">
      <c r="A47" s="22">
        <v>46</v>
      </c>
      <c r="B47" s="22" t="str">
        <f>IFERROR(INDEX(TableQBCalcPts[PLAYER],MATCH(TableQBRanks30[[#This Row],[RK]],TableQBCalcPts[RK],0)),"")</f>
        <v>Jimmy Garoppolo</v>
      </c>
      <c r="C47" s="22" t="str">
        <f>IFERROR(INDEX(TableQBCalcPts[TM],MATCH(TableQBRanks30[[#This Row],[Player]],TableQBCalcPts[PLAYER],0)),"")</f>
        <v>SF</v>
      </c>
      <c r="D47" s="22">
        <f>IFERROR(INDEX(TableQBCalcPts[BYE],MATCH(TableQBRanks30[[#This Row],[RK]],TableQBCalcPts[RK],0)),"")</f>
        <v>9</v>
      </c>
      <c r="E47" s="279">
        <f>VLOOKUP(TableQBRanks30[[#This Row],[Player]],QB!B:O,4,FALSE)</f>
        <v>16.449082200000017</v>
      </c>
      <c r="F47" s="279">
        <f>VLOOKUP(TableQBRanks30[[#This Row],[Player]],QB!B:O,5,FALSE)</f>
        <v>11.201824978200012</v>
      </c>
      <c r="G47" s="279">
        <f>VLOOKUP(TableQBRanks30[[#This Row],[Player]],QB!B:O,6,FALSE)</f>
        <v>136.21419173491213</v>
      </c>
      <c r="H47" s="279">
        <f>VLOOKUP(TableQBRanks30[[#This Row],[Player]],QB!B:O,7,FALSE)</f>
        <v>0.9964014665148806</v>
      </c>
      <c r="I47" s="279">
        <f>VLOOKUP(TableQBRanks30[[#This Row],[Player]],QB!B:O,8,FALSE)</f>
        <v>0.47047664908440051</v>
      </c>
      <c r="J47" s="279">
        <f>VLOOKUP(TableQBRanks30[[#This Row],[Player]],QB!B:O,9,FALSE)</f>
        <v>2.87592393428673</v>
      </c>
      <c r="K47" s="279">
        <f>VLOOKUP(TableQBRanks30[[#This Row],[Player]],QB!B:O,10,FALSE)</f>
        <v>11.110734397402643</v>
      </c>
      <c r="L47" s="279">
        <f>VLOOKUP(TableQBRanks30[[#This Row],[Player]],QB!B:O,11,FALSE)</f>
        <v>0.17830728392577727</v>
      </c>
      <c r="M47" s="272">
        <f>IFERROR(INDEX(TableQBCalcPts[Custom],MATCH(TableQBRanks30[[#This Row],[RK]],TableQBCalcPts[RK],0)),"")</f>
        <v>10.674137380582136</v>
      </c>
      <c r="N4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7" s="22">
        <v>46</v>
      </c>
      <c r="Q47" s="22" t="str">
        <f>IFERROR(INDEX(TableRBCalcPts[PLAYER],MATCH(TableRBRanks31[[#This Row],[RK]],TableRBCalcPts[RK],0)),"")</f>
        <v>Jamaal Williams</v>
      </c>
      <c r="R47" s="22" t="str">
        <f>IFERROR(INDEX(TableRBCalcPts[TM],MATCH(TableRBRanks31[[#This Row],[Player]],TableRBCalcPts[PLAYER],0)),"")</f>
        <v>DET</v>
      </c>
      <c r="S47" s="22">
        <f>IFERROR(INDEX(TableRBCalcPts[BYE],MATCH(TableRBRanks31[[#This Row],[RK]],TableRBCalcPts[RK],0)),"")</f>
        <v>6</v>
      </c>
      <c r="T47" s="279">
        <f>VLOOKUP(TableRBRanks31[[#This Row],[Player]],RB!B:O,4,FALSE)</f>
        <v>124.79179480544688</v>
      </c>
      <c r="U47" s="279">
        <f>VLOOKUP(TableRBRanks31[[#This Row],[Player]],RB!B:O,5,FALSE)</f>
        <v>501.66301511789641</v>
      </c>
      <c r="V47" s="279">
        <f>VLOOKUP(TableRBRanks31[[#This Row],[Player]],RB!B:O,6,FALSE)</f>
        <v>4.2803585618268274</v>
      </c>
      <c r="W47" s="279">
        <f>VLOOKUP(TableRBRanks31[[#This Row],[Player]],RB!B:O,7,FALSE)</f>
        <v>32.884311515012946</v>
      </c>
      <c r="X47" s="279">
        <f>VLOOKUP(TableRBRanks31[[#This Row],[Player]],RB!B:O,8,FALSE)</f>
        <v>24.729002259289736</v>
      </c>
      <c r="Y47" s="279">
        <f>VLOOKUP(TableRBRanks31[[#This Row],[Player]],RB!B:O,9,FALSE)</f>
        <v>166.67347522761281</v>
      </c>
      <c r="Z47" s="279">
        <f>VLOOKUP(TableRBRanks31[[#This Row],[Player]],RB!B:O,10,FALSE)</f>
        <v>0.66966113389752613</v>
      </c>
      <c r="AA47" s="272">
        <f>IFERROR(INDEX(TableRBCalcPts[Custom],MATCH(TableRBRanks31[[#This Row],[RK]],TableRBCalcPts[RK],0)),"")</f>
        <v>96.533767208897046</v>
      </c>
      <c r="AB4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7" s="22">
        <v>46</v>
      </c>
      <c r="AE47" s="274" t="str">
        <f>IFERROR(INDEX(TableWRCalcPts[PLAYER],MATCH(TableWRRanks32[[#This Row],[RK]],TableWRCalcPts[RK],0)),"")</f>
        <v>Treylon Burks</v>
      </c>
      <c r="AF47" s="22" t="str">
        <f>IFERROR(INDEX(TableWRCalcPts[TM],MATCH(TableWRRanks32[[#This Row],[Player]],TableWRCalcPts[PLAYER],0)),"")</f>
        <v>TEN</v>
      </c>
      <c r="AG47" s="22">
        <f>IFERROR(INDEX(TableWRCalcPts[BYE],MATCH(TableWRRanks32[[#This Row],[RK]],TableWRCalcPts[RK],0)),"")</f>
        <v>6</v>
      </c>
      <c r="AH47" s="279">
        <f>VLOOKUP(TableWRRanks32[[#This Row],[Player]],WR!B:O,4,FALSE)</f>
        <v>18.199628658585521</v>
      </c>
      <c r="AI47" s="279">
        <f>VLOOKUP(TableWRRanks32[[#This Row],[Player]],WR!B:O,5,FALSE)</f>
        <v>0</v>
      </c>
      <c r="AJ47" s="279">
        <f>VLOOKUP(TableWRRanks32[[#This Row],[Player]],WR!B:O,6,FALSE)</f>
        <v>98.263115319262567</v>
      </c>
      <c r="AK47" s="279">
        <f>VLOOKUP(TableWRRanks32[[#This Row],[Player]],WR!B:O,7,FALSE)</f>
        <v>59.999458213941729</v>
      </c>
      <c r="AL47" s="279">
        <f>VLOOKUP(TableWRRanks32[[#This Row],[Player]],WR!B:O,8,FALSE)</f>
        <v>810.61390329330675</v>
      </c>
      <c r="AM47" s="279">
        <f>VLOOKUP(TableWRRanks32[[#This Row],[Player]],WR!B:O,9,FALSE)</f>
        <v>5.0676727947573985</v>
      </c>
      <c r="AN47" s="272">
        <f>IFERROR(INDEX(TableWRCalcPts[Custom],MATCH(TableWRRanks32[[#This Row],[RK]],TableWRCalcPts[RK],0)),"")</f>
        <v>113.28738996373363</v>
      </c>
      <c r="AO4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2.0324604332739602</v>
      </c>
      <c r="AQ47" s="22">
        <v>46</v>
      </c>
      <c r="AR47" s="22" t="str">
        <f>IFERROR(INDEX(TableTECalcPts[PLAYER],MATCH(TableTERanks33[[#This Row],[RK]],TableTECalcPts[RK],0)),"")</f>
        <v>Kylen Granson</v>
      </c>
      <c r="AS47" s="22" t="str">
        <f>IFERROR(INDEX(TableTECalcPts[TM],MATCH(TableTERanks33[[#This Row],[Player]],TableTECalcPts[PLAYER],0)),"")</f>
        <v>IND</v>
      </c>
      <c r="AT47" s="22">
        <f>IFERROR(INDEX(TableTECalcPts[BYE],MATCH(TableTERanks33[[#This Row],[RK]],TableTECalcPts[RK],0)),"")</f>
        <v>14</v>
      </c>
      <c r="AU47" s="279">
        <f>VLOOKUP(TableTERanks33[[#This Row],[Player]],TE!B:O,4,FALSE)</f>
        <v>29.448516778737893</v>
      </c>
      <c r="AV47" s="279">
        <f>VLOOKUP(TableTERanks33[[#This Row],[Player]],TE!B:O,5,FALSE)</f>
        <v>18.19918336926002</v>
      </c>
      <c r="AW47" s="279">
        <f>VLOOKUP(TableTERanks33[[#This Row],[Player]],TE!B:O,6,FALSE)</f>
        <v>185.86325589332031</v>
      </c>
      <c r="AX47" s="279">
        <f>VLOOKUP(TableTERanks33[[#This Row],[Player]],TE!B:O,7,FALSE)</f>
        <v>1.4745894760651237</v>
      </c>
      <c r="AY47" s="272">
        <f>IFERROR(INDEX(TableTECalcPts[Custom],MATCH(TableTERanks33[[#This Row],[RK]],TableTECalcPts[RK],0)),"")</f>
        <v>27.433862445722774</v>
      </c>
      <c r="AZ4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8" spans="1:52" x14ac:dyDescent="0.3">
      <c r="A48" s="22">
        <v>47</v>
      </c>
      <c r="B48" s="22" t="str">
        <f>IFERROR(INDEX(TableQBCalcPts[PLAYER],MATCH(TableQBRanks30[[#This Row],[RK]],TableQBCalcPts[RK],0)),"")</f>
        <v>Teddy Bridgewater</v>
      </c>
      <c r="C48" s="22" t="str">
        <f>IFERROR(INDEX(TableQBCalcPts[TM],MATCH(TableQBRanks30[[#This Row],[Player]],TableQBCalcPts[PLAYER],0)),"")</f>
        <v>MIA</v>
      </c>
      <c r="D48" s="22">
        <f>IFERROR(INDEX(TableQBCalcPts[BYE],MATCH(TableQBRanks30[[#This Row],[RK]],TableQBCalcPts[RK],0)),"")</f>
        <v>11</v>
      </c>
      <c r="E48" s="279">
        <f>VLOOKUP(TableQBRanks30[[#This Row],[Player]],QB!B:O,4,FALSE)</f>
        <v>18.899655300000013</v>
      </c>
      <c r="F48" s="279">
        <f>VLOOKUP(TableQBRanks30[[#This Row],[Player]],QB!B:O,5,FALSE)</f>
        <v>12.487063830355419</v>
      </c>
      <c r="G48" s="279">
        <f>VLOOKUP(TableQBRanks30[[#This Row],[Player]],QB!B:O,6,FALSE)</f>
        <v>135.85925447426698</v>
      </c>
      <c r="H48" s="279">
        <f>VLOOKUP(TableQBRanks30[[#This Row],[Player]],QB!B:O,7,FALSE)</f>
        <v>1.0450131417500794</v>
      </c>
      <c r="I48" s="279">
        <f>VLOOKUP(TableQBRanks30[[#This Row],[Player]],QB!B:O,8,FALSE)</f>
        <v>0.3352126278739308</v>
      </c>
      <c r="J48" s="279">
        <f>VLOOKUP(TableQBRanks30[[#This Row],[Player]],QB!B:O,9,FALSE)</f>
        <v>2.1988549721774246</v>
      </c>
      <c r="K48" s="279">
        <f>VLOOKUP(TableQBRanks30[[#This Row],[Player]],QB!B:O,10,FALSE)</f>
        <v>8.3114391117648285</v>
      </c>
      <c r="L48" s="279">
        <f>VLOOKUP(TableQBRanks30[[#This Row],[Player]],QB!B:O,11,FALSE)</f>
        <v>8.3765903701997144E-2</v>
      </c>
      <c r="M48" s="272">
        <f>IFERROR(INDEX(TableQBCalcPts[Custom],MATCH(TableQBRanks30[[#This Row],[RK]],TableQBCalcPts[RK],0)),"")</f>
        <v>10.277736823611601</v>
      </c>
      <c r="N4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8" s="22">
        <v>47</v>
      </c>
      <c r="Q48" s="22" t="str">
        <f>IFERROR(INDEX(TableRBCalcPts[PLAYER],MATCH(TableRBRanks31[[#This Row],[RK]],TableRBCalcPts[RK],0)),"")</f>
        <v>Nyheim Hines</v>
      </c>
      <c r="R48" s="22" t="str">
        <f>IFERROR(INDEX(TableRBCalcPts[TM],MATCH(TableRBRanks31[[#This Row],[Player]],TableRBCalcPts[PLAYER],0)),"")</f>
        <v>IND</v>
      </c>
      <c r="S48" s="22">
        <f>IFERROR(INDEX(TableRBCalcPts[BYE],MATCH(TableRBRanks31[[#This Row],[RK]],TableRBCalcPts[RK],0)),"")</f>
        <v>14</v>
      </c>
      <c r="T48" s="279">
        <f>VLOOKUP(TableRBRanks31[[#This Row],[Player]],RB!B:O,4,FALSE)</f>
        <v>61.463042714216698</v>
      </c>
      <c r="U48" s="279">
        <f>VLOOKUP(TableRBRanks31[[#This Row],[Player]],RB!B:O,5,FALSE)</f>
        <v>291.67374068914313</v>
      </c>
      <c r="V48" s="279">
        <f>VLOOKUP(TableRBRanks31[[#This Row],[Player]],RB!B:O,6,FALSE)</f>
        <v>1.7762819344408625</v>
      </c>
      <c r="W48" s="279">
        <f>VLOOKUP(TableRBRanks31[[#This Row],[Player]],RB!B:O,7,FALSE)</f>
        <v>66.473389488393835</v>
      </c>
      <c r="X48" s="279">
        <f>VLOOKUP(TableRBRanks31[[#This Row],[Player]],RB!B:O,8,FALSE)</f>
        <v>55.265976020650633</v>
      </c>
      <c r="Y48" s="279">
        <f>VLOOKUP(TableRBRanks31[[#This Row],[Player]],RB!B:O,9,FALSE)</f>
        <v>445.44376672644415</v>
      </c>
      <c r="Z48" s="279">
        <f>VLOOKUP(TableRBRanks31[[#This Row],[Player]],RB!B:O,10,FALSE)</f>
        <v>1.9895751367434227</v>
      </c>
      <c r="AA48" s="272">
        <f>IFERROR(INDEX(TableRBCalcPts[Custom],MATCH(TableRBRanks31[[#This Row],[RK]],TableRBCalcPts[RK],0)),"")</f>
        <v>96.306893168664445</v>
      </c>
      <c r="AB4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8" s="274">
        <v>47</v>
      </c>
      <c r="AE48" s="274" t="str">
        <f>IFERROR(INDEX(TableWRCalcPts[PLAYER],MATCH(TableWRRanks32[[#This Row],[RK]],TableWRCalcPts[RK],0)),"")</f>
        <v>Tim Patrick</v>
      </c>
      <c r="AF48" s="22" t="str">
        <f>IFERROR(INDEX(TableWRCalcPts[TM],MATCH(TableWRRanks32[[#This Row],[Player]],TableWRCalcPts[PLAYER],0)),"")</f>
        <v>DEN</v>
      </c>
      <c r="AG48" s="22">
        <f>IFERROR(INDEX(TableWRCalcPts[BYE],MATCH(TableWRRanks32[[#This Row],[RK]],TableWRCalcPts[RK],0)),"")</f>
        <v>9</v>
      </c>
      <c r="AH48" s="279">
        <f>VLOOKUP(TableWRRanks32[[#This Row],[Player]],WR!B:O,4,FALSE)</f>
        <v>0</v>
      </c>
      <c r="AI48" s="279">
        <f>VLOOKUP(TableWRRanks32[[#This Row],[Player]],WR!B:O,5,FALSE)</f>
        <v>0</v>
      </c>
      <c r="AJ48" s="279">
        <f>VLOOKUP(TableWRRanks32[[#This Row],[Player]],WR!B:O,6,FALSE)</f>
        <v>87.394684180041523</v>
      </c>
      <c r="AK48" s="279">
        <f>VLOOKUP(TableWRRanks32[[#This Row],[Player]],WR!B:O,7,FALSE)</f>
        <v>54.237141002133775</v>
      </c>
      <c r="AL48" s="279">
        <f>VLOOKUP(TableWRRanks32[[#This Row],[Player]],WR!B:O,8,FALSE)</f>
        <v>735.55425273387016</v>
      </c>
      <c r="AM48" s="279">
        <f>VLOOKUP(TableWRRanks32[[#This Row],[Player]],WR!B:O,9,FALSE)</f>
        <v>6.0745597922389827</v>
      </c>
      <c r="AN48" s="272">
        <f>IFERROR(INDEX(TableWRCalcPts[Custom],MATCH(TableWRRanks32[[#This Row],[RK]],TableWRCalcPts[RK],0)),"")</f>
        <v>110.0027840268209</v>
      </c>
      <c r="AO4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0.48530154517410867</v>
      </c>
      <c r="AQ48" s="274">
        <v>47</v>
      </c>
      <c r="AR48" s="274" t="str">
        <f>IFERROR(INDEX(TableTECalcPts[PLAYER],MATCH(TableTERanks33[[#This Row],[RK]],TableTECalcPts[RK],0)),"")</f>
        <v>Ian Thomas</v>
      </c>
      <c r="AS48" s="22" t="str">
        <f>IFERROR(INDEX(TableTECalcPts[TM],MATCH(TableTERanks33[[#This Row],[Player]],TableTECalcPts[PLAYER],0)),"")</f>
        <v>CAR</v>
      </c>
      <c r="AT48" s="22">
        <f>IFERROR(INDEX(TableTECalcPts[BYE],MATCH(TableTERanks33[[#This Row],[RK]],TableTECalcPts[RK],0)),"")</f>
        <v>13</v>
      </c>
      <c r="AU48" s="279">
        <f>VLOOKUP(TableTERanks33[[#This Row],[Player]],TE!B:O,4,FALSE)</f>
        <v>31.585826964032936</v>
      </c>
      <c r="AV48" s="279">
        <f>VLOOKUP(TableTERanks33[[#This Row],[Player]],TE!B:O,5,FALSE)</f>
        <v>18.926227516848535</v>
      </c>
      <c r="AW48" s="279">
        <f>VLOOKUP(TableTERanks33[[#This Row],[Player]],TE!B:O,6,FALSE)</f>
        <v>199.95909769111532</v>
      </c>
      <c r="AX48" s="279">
        <f>VLOOKUP(TableTERanks33[[#This Row],[Player]],TE!B:O,7,FALSE)</f>
        <v>0.85285219614490659</v>
      </c>
      <c r="AY48" s="272">
        <f>IFERROR(INDEX(TableTECalcPts[Custom],MATCH(TableTERanks33[[#This Row],[RK]],TableTECalcPts[RK],0)),"")</f>
        <v>25.113022945980973</v>
      </c>
      <c r="AZ4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49" spans="1:52" x14ac:dyDescent="0.3">
      <c r="A49" s="22">
        <v>48</v>
      </c>
      <c r="B49" s="22" t="str">
        <f>IFERROR(INDEX(TableQBCalcPts[PLAYER],MATCH(TableQBRanks30[[#This Row],[RK]],TableQBCalcPts[RK],0)),"")</f>
        <v>Malik Willis</v>
      </c>
      <c r="C49" s="22" t="str">
        <f>IFERROR(INDEX(TableQBCalcPts[TM],MATCH(TableQBRanks30[[#This Row],[Player]],TableQBCalcPts[PLAYER],0)),"")</f>
        <v>TEN</v>
      </c>
      <c r="D49" s="22">
        <f>IFERROR(INDEX(TableQBCalcPts[BYE],MATCH(TableQBRanks30[[#This Row],[RK]],TableQBCalcPts[RK],0)),"")</f>
        <v>6</v>
      </c>
      <c r="E49" s="279">
        <f>VLOOKUP(TableQBRanks30[[#This Row],[Player]],QB!B:O,4,FALSE)</f>
        <v>16.556223000000013</v>
      </c>
      <c r="F49" s="279">
        <f>VLOOKUP(TableQBRanks30[[#This Row],[Player]],QB!B:O,5,FALSE)</f>
        <v>9.6049920767179913</v>
      </c>
      <c r="G49" s="279">
        <f>VLOOKUP(TableQBRanks30[[#This Row],[Player]],QB!B:O,6,FALSE)</f>
        <v>115.33964591038108</v>
      </c>
      <c r="H49" s="279">
        <f>VLOOKUP(TableQBRanks30[[#This Row],[Player]],QB!B:O,7,FALSE)</f>
        <v>0.85436774748430444</v>
      </c>
      <c r="I49" s="279">
        <f>VLOOKUP(TableQBRanks30[[#This Row],[Player]],QB!B:O,8,FALSE)</f>
        <v>0.36149862671125765</v>
      </c>
      <c r="J49" s="279">
        <f>VLOOKUP(TableQBRanks30[[#This Row],[Player]],QB!B:O,9,FALSE)</f>
        <v>3.1499357293705712</v>
      </c>
      <c r="K49" s="279">
        <f>VLOOKUP(TableQBRanks30[[#This Row],[Player]],QB!B:O,10,FALSE)</f>
        <v>19.919593564781515</v>
      </c>
      <c r="L49" s="279">
        <f>VLOOKUP(TableQBRanks30[[#This Row],[Player]],QB!B:O,11,FALSE)</f>
        <v>0.13999714352758091</v>
      </c>
      <c r="M49" s="272">
        <f>IFERROR(INDEX(TableQBCalcPts[Custom],MATCH(TableQBRanks30[[#This Row],[RK]],TableQBCalcPts[RK],0)),"")</f>
        <v>10.140001790573582</v>
      </c>
      <c r="N4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49" s="22">
        <v>48</v>
      </c>
      <c r="Q49" s="22" t="str">
        <f>IFERROR(INDEX(TableRBCalcPts[PLAYER],MATCH(TableRBRanks31[[#This Row],[RK]],TableRBCalcPts[RK],0)),"")</f>
        <v>James Robinson</v>
      </c>
      <c r="R49" s="22" t="str">
        <f>IFERROR(INDEX(TableRBCalcPts[TM],MATCH(TableRBRanks31[[#This Row],[Player]],TableRBCalcPts[PLAYER],0)),"")</f>
        <v>JAX</v>
      </c>
      <c r="S49" s="22">
        <f>IFERROR(INDEX(TableRBCalcPts[BYE],MATCH(TableRBRanks31[[#This Row],[RK]],TableRBCalcPts[RK],0)),"")</f>
        <v>11</v>
      </c>
      <c r="T49" s="279">
        <f>VLOOKUP(TableRBRanks31[[#This Row],[Player]],RB!B:O,4,FALSE)</f>
        <v>94.952470605795838</v>
      </c>
      <c r="U49" s="279">
        <f>VLOOKUP(TableRBRanks31[[#This Row],[Player]],RB!B:O,5,FALSE)</f>
        <v>442.97458424559198</v>
      </c>
      <c r="V49" s="279">
        <f>VLOOKUP(TableRBRanks31[[#This Row],[Player]],RB!B:O,6,FALSE)</f>
        <v>3.7832048989261944</v>
      </c>
      <c r="W49" s="279">
        <f>VLOOKUP(TableRBRanks31[[#This Row],[Player]],RB!B:O,7,FALSE)</f>
        <v>41.905205968948138</v>
      </c>
      <c r="X49" s="279">
        <f>VLOOKUP(TableRBRanks31[[#This Row],[Player]],RB!B:O,8,FALSE)</f>
        <v>29.836506649891074</v>
      </c>
      <c r="Y49" s="279">
        <f>VLOOKUP(TableRBRanks31[[#This Row],[Player]],RB!B:O,9,FALSE)</f>
        <v>220.79014920919397</v>
      </c>
      <c r="Z49" s="279">
        <f>VLOOKUP(TableRBRanks31[[#This Row],[Player]],RB!B:O,10,FALSE)</f>
        <v>1.1636237593457519</v>
      </c>
      <c r="AA49" s="272">
        <f>IFERROR(INDEX(TableRBCalcPts[Custom],MATCH(TableRBRanks31[[#This Row],[RK]],TableRBCalcPts[RK],0)),"")</f>
        <v>96.05744529511027</v>
      </c>
      <c r="AB4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49" s="22">
        <v>48</v>
      </c>
      <c r="AE49" s="22" t="str">
        <f>IFERROR(INDEX(TableWRCalcPts[PLAYER],MATCH(TableWRRanks32[[#This Row],[RK]],TableWRCalcPts[RK],0)),"")</f>
        <v>Jameson Williams</v>
      </c>
      <c r="AF49" s="22" t="str">
        <f>IFERROR(INDEX(TableWRCalcPts[TM],MATCH(TableWRRanks32[[#This Row],[Player]],TableWRCalcPts[PLAYER],0)),"")</f>
        <v>DET</v>
      </c>
      <c r="AG49" s="22">
        <f>IFERROR(INDEX(TableWRCalcPts[BYE],MATCH(TableWRRanks32[[#This Row],[RK]],TableWRCalcPts[RK],0)),"")</f>
        <v>6</v>
      </c>
      <c r="AH49" s="279">
        <f>VLOOKUP(TableWRRanks32[[#This Row],[Player]],WR!B:O,4,FALSE)</f>
        <v>1.250531709591405</v>
      </c>
      <c r="AI49" s="279">
        <f>VLOOKUP(TableWRRanks32[[#This Row],[Player]],WR!B:O,5,FALSE)</f>
        <v>0</v>
      </c>
      <c r="AJ49" s="279">
        <f>VLOOKUP(TableWRRanks32[[#This Row],[Player]],WR!B:O,6,FALSE)</f>
        <v>97.38815333292294</v>
      </c>
      <c r="AK49" s="279">
        <f>VLOOKUP(TableWRRanks32[[#This Row],[Player]],WR!B:O,7,FALSE)</f>
        <v>56.91363680776017</v>
      </c>
      <c r="AL49" s="279">
        <f>VLOOKUP(TableWRRanks32[[#This Row],[Player]],WR!B:O,8,FALSE)</f>
        <v>821.83291550405681</v>
      </c>
      <c r="AM49" s="279">
        <f>VLOOKUP(TableWRRanks32[[#This Row],[Player]],WR!B:O,9,FALSE)</f>
        <v>4.6100045814285737</v>
      </c>
      <c r="AN49" s="272">
        <f>IFERROR(INDEX(TableWRCalcPts[Custom],MATCH(TableWRRanks32[[#This Row],[RK]],TableWRCalcPts[RK],0)),"")</f>
        <v>109.96837220993626</v>
      </c>
      <c r="AO4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0.46909243230902609</v>
      </c>
      <c r="AQ49" s="22">
        <v>48</v>
      </c>
      <c r="AR49" s="274" t="str">
        <f>IFERROR(INDEX(TableTECalcPts[PLAYER],MATCH(TableTERanks33[[#This Row],[RK]],TableTECalcPts[RK],0)),"")</f>
        <v>Will Dissly</v>
      </c>
      <c r="AS49" s="22" t="str">
        <f>IFERROR(INDEX(TableTECalcPts[TM],MATCH(TableTERanks33[[#This Row],[Player]],TableTECalcPts[PLAYER],0)),"")</f>
        <v>SEA</v>
      </c>
      <c r="AT49" s="22">
        <f>IFERROR(INDEX(TableTECalcPts[BYE],MATCH(TableTERanks33[[#This Row],[RK]],TableTECalcPts[RK],0)),"")</f>
        <v>11</v>
      </c>
      <c r="AU49" s="279">
        <f>VLOOKUP(TableTERanks33[[#This Row],[Player]],TE!B:O,4,FALSE)</f>
        <v>28.513879409451036</v>
      </c>
      <c r="AV49" s="279">
        <f>VLOOKUP(TableTERanks33[[#This Row],[Player]],TE!B:O,5,FALSE)</f>
        <v>18.305910580867565</v>
      </c>
      <c r="AW49" s="279">
        <f>VLOOKUP(TableTERanks33[[#This Row],[Player]],TE!B:O,6,FALSE)</f>
        <v>190.56452914683135</v>
      </c>
      <c r="AX49" s="279">
        <f>VLOOKUP(TableTERanks33[[#This Row],[Player]],TE!B:O,7,FALSE)</f>
        <v>0.94979718444263006</v>
      </c>
      <c r="AY49" s="272">
        <f>IFERROR(INDEX(TableTECalcPts[Custom],MATCH(TableTERanks33[[#This Row],[RK]],TableTECalcPts[RK],0)),"")</f>
        <v>24.755236021338916</v>
      </c>
      <c r="AZ4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0" spans="1:52" x14ac:dyDescent="0.3">
      <c r="A50" s="22">
        <v>49</v>
      </c>
      <c r="B50" s="22" t="str">
        <f>IFERROR(INDEX(TableQBCalcPts[PLAYER],MATCH(TableQBRanks30[[#This Row],[RK]],TableQBCalcPts[RK],0)),"")</f>
        <v>Mike White</v>
      </c>
      <c r="C50" s="22" t="str">
        <f>IFERROR(INDEX(TableQBCalcPts[TM],MATCH(TableQBRanks30[[#This Row],[Player]],TableQBCalcPts[PLAYER],0)),"")</f>
        <v>NYJ</v>
      </c>
      <c r="D50" s="22">
        <f>IFERROR(INDEX(TableQBCalcPts[BYE],MATCH(TableQBRanks30[[#This Row],[RK]],TableQBCalcPts[RK],0)),"")</f>
        <v>10</v>
      </c>
      <c r="E50" s="279">
        <f>VLOOKUP(TableQBRanks30[[#This Row],[Player]],QB!B:O,4,FALSE)</f>
        <v>24.20638720000002</v>
      </c>
      <c r="F50" s="279">
        <f>VLOOKUP(TableQBRanks30[[#This Row],[Player]],QB!B:O,5,FALSE)</f>
        <v>14.765896192000012</v>
      </c>
      <c r="G50" s="279">
        <f>VLOOKUP(TableQBRanks30[[#This Row],[Player]],QB!B:O,6,FALSE)</f>
        <v>168.17301055817157</v>
      </c>
      <c r="H50" s="279">
        <f>VLOOKUP(TableQBRanks30[[#This Row],[Player]],QB!B:O,7,FALSE)</f>
        <v>1.1074422144000009</v>
      </c>
      <c r="I50" s="279">
        <f>VLOOKUP(TableQBRanks30[[#This Row],[Player]],QB!B:O,8,FALSE)</f>
        <v>0.59063584768000055</v>
      </c>
      <c r="J50" s="279">
        <f>VLOOKUP(TableQBRanks30[[#This Row],[Player]],QB!B:O,9,FALSE)</f>
        <v>0</v>
      </c>
      <c r="K50" s="279">
        <f>VLOOKUP(TableQBRanks30[[#This Row],[Player]],QB!B:O,10,FALSE)</f>
        <v>0</v>
      </c>
      <c r="L50" s="279">
        <f>VLOOKUP(TableQBRanks30[[#This Row],[Player]],QB!B:O,11,FALSE)</f>
        <v>0</v>
      </c>
      <c r="M50" s="272">
        <f>IFERROR(INDEX(TableQBCalcPts[Custom],MATCH(TableQBRanks30[[#This Row],[RK]],TableQBCalcPts[RK],0)),"")</f>
        <v>9.9754175845668644</v>
      </c>
      <c r="N5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0" s="22">
        <v>49</v>
      </c>
      <c r="Q50" s="22" t="str">
        <f>IFERROR(INDEX(TableRBCalcPts[PLAYER],MATCH(TableRBRanks31[[#This Row],[RK]],TableRBCalcPts[RK],0)),"")</f>
        <v>Tyler Allgeier</v>
      </c>
      <c r="R50" s="22" t="str">
        <f>IFERROR(INDEX(TableRBCalcPts[TM],MATCH(TableRBRanks31[[#This Row],[Player]],TableRBCalcPts[PLAYER],0)),"")</f>
        <v>ATL</v>
      </c>
      <c r="S50" s="22">
        <f>IFERROR(INDEX(TableRBCalcPts[BYE],MATCH(TableRBRanks31[[#This Row],[RK]],TableRBCalcPts[RK],0)),"")</f>
        <v>14</v>
      </c>
      <c r="T50" s="279">
        <f>VLOOKUP(TableRBRanks31[[#This Row],[Player]],RB!B:O,4,FALSE)</f>
        <v>135.26374874625702</v>
      </c>
      <c r="U50" s="279">
        <f>VLOOKUP(TableRBRanks31[[#This Row],[Player]],RB!B:O,5,FALSE)</f>
        <v>539.70235749756557</v>
      </c>
      <c r="V50" s="279">
        <f>VLOOKUP(TableRBRanks31[[#This Row],[Player]],RB!B:O,6,FALSE)</f>
        <v>4.0308597126384589</v>
      </c>
      <c r="W50" s="279">
        <f>VLOOKUP(TableRBRanks31[[#This Row],[Player]],RB!B:O,7,FALSE)</f>
        <v>26.546928606919771</v>
      </c>
      <c r="X50" s="279">
        <f>VLOOKUP(TableRBRanks31[[#This Row],[Player]],RB!B:O,8,FALSE)</f>
        <v>16.910393522607894</v>
      </c>
      <c r="Y50" s="279">
        <f>VLOOKUP(TableRBRanks31[[#This Row],[Player]],RB!B:O,9,FALSE)</f>
        <v>121.46152732935231</v>
      </c>
      <c r="Z50" s="279">
        <f>VLOOKUP(TableRBRanks31[[#This Row],[Player]],RB!B:O,10,FALSE)</f>
        <v>0.60732872444969388</v>
      </c>
      <c r="AA50" s="272">
        <f>IFERROR(INDEX(TableRBCalcPts[Custom],MATCH(TableRBRanks31[[#This Row],[RK]],TableRBCalcPts[RK],0)),"")</f>
        <v>93.945519105220711</v>
      </c>
      <c r="AB5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0" s="22">
        <v>49</v>
      </c>
      <c r="AE50" s="274" t="str">
        <f>IFERROR(INDEX(TableWRCalcPts[PLAYER],MATCH(TableWRRanks32[[#This Row],[RK]],TableWRCalcPts[RK],0)),"")</f>
        <v>Michael Thomas</v>
      </c>
      <c r="AF50" s="22" t="str">
        <f>IFERROR(INDEX(TableWRCalcPts[TM],MATCH(TableWRRanks32[[#This Row],[Player]],TableWRCalcPts[PLAYER],0)),"")</f>
        <v>NO</v>
      </c>
      <c r="AG50" s="22">
        <f>IFERROR(INDEX(TableWRCalcPts[BYE],MATCH(TableWRRanks32[[#This Row],[RK]],TableWRCalcPts[RK],0)),"")</f>
        <v>14</v>
      </c>
      <c r="AH50" s="279">
        <f>VLOOKUP(TableWRRanks32[[#This Row],[Player]],WR!B:O,4,FALSE)</f>
        <v>0.29993392982193284</v>
      </c>
      <c r="AI50" s="279">
        <f>VLOOKUP(TableWRRanks32[[#This Row],[Player]],WR!B:O,5,FALSE)</f>
        <v>0</v>
      </c>
      <c r="AJ50" s="279">
        <f>VLOOKUP(TableWRRanks32[[#This Row],[Player]],WR!B:O,6,FALSE)</f>
        <v>103.08952747123809</v>
      </c>
      <c r="AK50" s="279">
        <f>VLOOKUP(TableWRRanks32[[#This Row],[Player]],WR!B:O,7,FALSE)</f>
        <v>66.265948258511841</v>
      </c>
      <c r="AL50" s="279">
        <f>VLOOKUP(TableWRRanks32[[#This Row],[Player]],WR!B:O,8,FALSE)</f>
        <v>805.13127134091894</v>
      </c>
      <c r="AM50" s="279">
        <f>VLOOKUP(TableWRRanks32[[#This Row],[Player]],WR!B:O,9,FALSE)</f>
        <v>4.9036801711298761</v>
      </c>
      <c r="AN50" s="272">
        <f>IFERROR(INDEX(TableWRCalcPts[Custom],MATCH(TableWRRanks32[[#This Row],[RK]],TableWRCalcPts[RK],0)),"")</f>
        <v>109.96520155385335</v>
      </c>
      <c r="AO5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0.46759894760065934</v>
      </c>
      <c r="AQ50" s="22">
        <v>49</v>
      </c>
      <c r="AR50" s="22" t="str">
        <f>IFERROR(INDEX(TableTECalcPts[PLAYER],MATCH(TableTERanks33[[#This Row],[RK]],TableTECalcPts[RK],0)),"")</f>
        <v>Greg Dulcich</v>
      </c>
      <c r="AS50" s="22" t="str">
        <f>IFERROR(INDEX(TableTECalcPts[TM],MATCH(TableTERanks33[[#This Row],[Player]],TableTECalcPts[PLAYER],0)),"")</f>
        <v>DEN</v>
      </c>
      <c r="AT50" s="22">
        <f>IFERROR(INDEX(TableTECalcPts[BYE],MATCH(TableTERanks33[[#This Row],[RK]],TableTECalcPts[RK],0)),"")</f>
        <v>9</v>
      </c>
      <c r="AU50" s="279">
        <f>VLOOKUP(TableTERanks33[[#This Row],[Player]],TE!B:O,4,FALSE)</f>
        <v>25.982203404877207</v>
      </c>
      <c r="AV50" s="279">
        <f>VLOOKUP(TableTERanks33[[#This Row],[Player]],TE!B:O,5,FALSE)</f>
        <v>16.057001704214112</v>
      </c>
      <c r="AW50" s="279">
        <f>VLOOKUP(TableTERanks33[[#This Row],[Player]],TE!B:O,6,FALSE)</f>
        <v>161.02014225113768</v>
      </c>
      <c r="AX50" s="279">
        <f>VLOOKUP(TableTERanks33[[#This Row],[Player]],TE!B:O,7,FALSE)</f>
        <v>1.0587452098932997</v>
      </c>
      <c r="AY50" s="272">
        <f>IFERROR(INDEX(TableTECalcPts[Custom],MATCH(TableTERanks33[[#This Row],[RK]],TableTECalcPts[RK],0)),"")</f>
        <v>22.454485484473569</v>
      </c>
      <c r="AZ5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1" spans="1:52" x14ac:dyDescent="0.3">
      <c r="A51" s="22">
        <v>50</v>
      </c>
      <c r="B51" s="22" t="str">
        <f>IFERROR(INDEX(TableQBCalcPts[PLAYER],MATCH(TableQBRanks30[[#This Row],[RK]],TableQBCalcPts[RK],0)),"")</f>
        <v>Taylor Heinicke</v>
      </c>
      <c r="C51" s="22" t="str">
        <f>IFERROR(INDEX(TableQBCalcPts[TM],MATCH(TableQBRanks30[[#This Row],[Player]],TableQBCalcPts[PLAYER],0)),"")</f>
        <v>WSH</v>
      </c>
      <c r="D51" s="22">
        <f>IFERROR(INDEX(TableQBCalcPts[BYE],MATCH(TableQBRanks30[[#This Row],[RK]],TableQBCalcPts[RK],0)),"")</f>
        <v>14</v>
      </c>
      <c r="E51" s="279">
        <f>VLOOKUP(TableQBRanks30[[#This Row],[Player]],QB!B:O,4,FALSE)</f>
        <v>12.574772699999999</v>
      </c>
      <c r="F51" s="279">
        <f>VLOOKUP(TableQBRanks30[[#This Row],[Player]],QB!B:O,5,FALSE)</f>
        <v>8.0855788460999989</v>
      </c>
      <c r="G51" s="279">
        <f>VLOOKUP(TableQBRanks30[[#This Row],[Player]],QB!B:O,6,FALSE)</f>
        <v>93.145868307071979</v>
      </c>
      <c r="H51" s="279">
        <f>VLOOKUP(TableQBRanks30[[#This Row],[Player]],QB!B:O,7,FALSE)</f>
        <v>0.71021976350878369</v>
      </c>
      <c r="I51" s="279">
        <f>VLOOKUP(TableQBRanks30[[#This Row],[Player]],QB!B:O,8,FALSE)</f>
        <v>0.44231831762035007</v>
      </c>
      <c r="J51" s="279">
        <f>VLOOKUP(TableQBRanks30[[#This Row],[Player]],QB!B:O,9,FALSE)</f>
        <v>4.7981462674587743</v>
      </c>
      <c r="K51" s="279">
        <f>VLOOKUP(TableQBRanks30[[#This Row],[Player]],QB!B:O,10,FALSE)</f>
        <v>23.96574099215086</v>
      </c>
      <c r="L51" s="279">
        <f>VLOOKUP(TableQBRanks30[[#This Row],[Player]],QB!B:O,11,FALSE)</f>
        <v>0.17493241600110115</v>
      </c>
      <c r="M51" s="272">
        <f>IFERROR(INDEX(TableQBCalcPts[Custom],MATCH(TableQBRanks30[[#This Row],[RK]],TableQBCalcPts[RK],0)),"")</f>
        <v>9.1282457462990063</v>
      </c>
      <c r="N5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1" s="22">
        <v>50</v>
      </c>
      <c r="Q51" s="22" t="str">
        <f>IFERROR(INDEX(TableRBCalcPts[PLAYER],MATCH(TableRBRanks31[[#This Row],[RK]],TableRBCalcPts[RK],0)),"")</f>
        <v>Marlon Mack</v>
      </c>
      <c r="R51" s="22" t="str">
        <f>IFERROR(INDEX(TableRBCalcPts[TM],MATCH(TableRBRanks31[[#This Row],[Player]],TableRBCalcPts[PLAYER],0)),"")</f>
        <v>HOU</v>
      </c>
      <c r="S51" s="22">
        <f>IFERROR(INDEX(TableRBCalcPts[BYE],MATCH(TableRBRanks31[[#This Row],[RK]],TableRBCalcPts[RK],0)),"")</f>
        <v>6</v>
      </c>
      <c r="T51" s="279">
        <f>VLOOKUP(TableRBRanks31[[#This Row],[Player]],RB!B:O,4,FALSE)</f>
        <v>136.61411544976326</v>
      </c>
      <c r="U51" s="279">
        <f>VLOOKUP(TableRBRanks31[[#This Row],[Player]],RB!B:O,5,FALSE)</f>
        <v>549.18874410804824</v>
      </c>
      <c r="V51" s="279">
        <f>VLOOKUP(TableRBRanks31[[#This Row],[Player]],RB!B:O,6,FALSE)</f>
        <v>4.0847620519479211</v>
      </c>
      <c r="W51" s="279">
        <f>VLOOKUP(TableRBRanks31[[#This Row],[Player]],RB!B:O,7,FALSE)</f>
        <v>23.951439105232041</v>
      </c>
      <c r="X51" s="279">
        <f>VLOOKUP(TableRBRanks31[[#This Row],[Player]],RB!B:O,8,FALSE)</f>
        <v>17.746392550596923</v>
      </c>
      <c r="Y51" s="279">
        <f>VLOOKUP(TableRBRanks31[[#This Row],[Player]],RB!B:O,9,FALSE)</f>
        <v>121.91771682260087</v>
      </c>
      <c r="Z51" s="279">
        <f>VLOOKUP(TableRBRanks31[[#This Row],[Player]],RB!B:O,10,FALSE)</f>
        <v>0.23070310315775999</v>
      </c>
      <c r="AA51" s="272">
        <f>IFERROR(INDEX(TableRBCalcPts[Custom],MATCH(TableRBRanks31[[#This Row],[RK]],TableRBCalcPts[RK],0)),"")</f>
        <v>93.003437023698993</v>
      </c>
      <c r="AB5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1" s="274">
        <v>50</v>
      </c>
      <c r="AE51" s="274" t="str">
        <f>IFERROR(INDEX(TableWRCalcPts[PLAYER],MATCH(TableWRRanks32[[#This Row],[RK]],TableWRCalcPts[RK],0)),"")</f>
        <v>Chris Olave</v>
      </c>
      <c r="AF51" s="22" t="str">
        <f>IFERROR(INDEX(TableWRCalcPts[TM],MATCH(TableWRRanks32[[#This Row],[Player]],TableWRCalcPts[PLAYER],0)),"")</f>
        <v>NO</v>
      </c>
      <c r="AG51" s="22">
        <f>IFERROR(INDEX(TableWRCalcPts[BYE],MATCH(TableWRRanks32[[#This Row],[RK]],TableWRCalcPts[RK],0)),"")</f>
        <v>14</v>
      </c>
      <c r="AH51" s="279">
        <f>VLOOKUP(TableWRRanks32[[#This Row],[Player]],WR!B:O,4,FALSE)</f>
        <v>2.2994934619681522</v>
      </c>
      <c r="AI51" s="279">
        <f>VLOOKUP(TableWRRanks32[[#This Row],[Player]],WR!B:O,5,FALSE)</f>
        <v>0</v>
      </c>
      <c r="AJ51" s="279">
        <f>VLOOKUP(TableWRRanks32[[#This Row],[Player]],WR!B:O,6,FALSE)</f>
        <v>93.717752246580076</v>
      </c>
      <c r="AK51" s="279">
        <f>VLOOKUP(TableWRRanks32[[#This Row],[Player]],WR!B:O,7,FALSE)</f>
        <v>56.614894132159023</v>
      </c>
      <c r="AL51" s="279">
        <f>VLOOKUP(TableWRRanks32[[#This Row],[Player]],WR!B:O,8,FALSE)</f>
        <v>822.46772930428835</v>
      </c>
      <c r="AM51" s="279">
        <f>VLOOKUP(TableWRRanks32[[#This Row],[Player]],WR!B:O,9,FALSE)</f>
        <v>4.4159617423084034</v>
      </c>
      <c r="AN51" s="272">
        <f>IFERROR(INDEX(TableWRCalcPts[Custom],MATCH(TableWRRanks32[[#This Row],[RK]],TableWRCalcPts[RK],0)),"")</f>
        <v>108.97249273047609</v>
      </c>
      <c r="AO5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1" s="274">
        <v>50</v>
      </c>
      <c r="AR51" s="22" t="str">
        <f>IFERROR(INDEX(TableTECalcPts[PLAYER],MATCH(TableTERanks33[[#This Row],[RK]],TableTECalcPts[RK],0)),"")</f>
        <v>Trey McBride</v>
      </c>
      <c r="AS51" s="22" t="str">
        <f>IFERROR(INDEX(TableTECalcPts[TM],MATCH(TableTERanks33[[#This Row],[Player]],TableTECalcPts[PLAYER],0)),"")</f>
        <v>ARI</v>
      </c>
      <c r="AT51" s="22">
        <f>IFERROR(INDEX(TableTECalcPts[BYE],MATCH(TableTERanks33[[#This Row],[RK]],TableTECalcPts[RK],0)),"")</f>
        <v>13</v>
      </c>
      <c r="AU51" s="279">
        <f>VLOOKUP(TableTERanks33[[#This Row],[Player]],TE!B:O,4,FALSE)</f>
        <v>23.696406889999999</v>
      </c>
      <c r="AV51" s="279">
        <f>VLOOKUP(TableTERanks33[[#This Row],[Player]],TE!B:O,5,FALSE)</f>
        <v>15.038322759144966</v>
      </c>
      <c r="AW51" s="279">
        <f>VLOOKUP(TableTERanks33[[#This Row],[Player]],TE!B:O,6,FALSE)</f>
        <v>160.15813738489391</v>
      </c>
      <c r="AX51" s="279">
        <f>VLOOKUP(TableTERanks33[[#This Row],[Player]],TE!B:O,7,FALSE)</f>
        <v>1.0008514347789137</v>
      </c>
      <c r="AY51" s="272">
        <f>IFERROR(INDEX(TableTECalcPts[Custom],MATCH(TableTERanks33[[#This Row],[RK]],TableTECalcPts[RK],0)),"")</f>
        <v>22.020922347162873</v>
      </c>
      <c r="AZ5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2" spans="1:52" x14ac:dyDescent="0.3">
      <c r="A52" s="22">
        <v>51</v>
      </c>
      <c r="B52" s="22" t="str">
        <f>IFERROR(INDEX(TableQBCalcPts[PLAYER],MATCH(TableQBRanks30[[#This Row],[RK]],TableQBCalcPts[RK],0)),"")</f>
        <v>Andy Dalton</v>
      </c>
      <c r="C52" s="22" t="str">
        <f>IFERROR(INDEX(TableQBCalcPts[TM],MATCH(TableQBRanks30[[#This Row],[Player]],TableQBCalcPts[PLAYER],0)),"")</f>
        <v>NO</v>
      </c>
      <c r="D52" s="22">
        <f>IFERROR(INDEX(TableQBCalcPts[BYE],MATCH(TableQBRanks30[[#This Row],[RK]],TableQBCalcPts[RK],0)),"")</f>
        <v>14</v>
      </c>
      <c r="E52" s="279">
        <f>VLOOKUP(TableQBRanks30[[#This Row],[Player]],QB!B:O,4,FALSE)</f>
        <v>22.058723200000021</v>
      </c>
      <c r="F52" s="279">
        <f>VLOOKUP(TableQBRanks30[[#This Row],[Player]],QB!B:O,5,FALSE)</f>
        <v>15.485223686400014</v>
      </c>
      <c r="G52" s="279">
        <f>VLOOKUP(TableQBRanks30[[#This Row],[Player]],QB!B:O,6,FALSE)</f>
        <v>167.85982476057615</v>
      </c>
      <c r="H52" s="279">
        <f>VLOOKUP(TableQBRanks30[[#This Row],[Player]],QB!B:O,7,FALSE)</f>
        <v>1.068480434361601</v>
      </c>
      <c r="I52" s="279">
        <f>VLOOKUP(TableQBRanks30[[#This Row],[Player]],QB!B:O,8,FALSE)</f>
        <v>0.97556909224320087</v>
      </c>
      <c r="J52" s="279">
        <f>VLOOKUP(TableQBRanks30[[#This Row],[Player]],QB!B:O,9,FALSE)</f>
        <v>0</v>
      </c>
      <c r="K52" s="279">
        <f>VLOOKUP(TableQBRanks30[[#This Row],[Player]],QB!B:O,10,FALSE)</f>
        <v>0</v>
      </c>
      <c r="L52" s="279">
        <f>VLOOKUP(TableQBRanks30[[#This Row],[Player]],QB!B:O,11,FALSE)</f>
        <v>0</v>
      </c>
      <c r="M52" s="272">
        <f>IFERROR(INDEX(TableQBCalcPts[Custom],MATCH(TableQBRanks30[[#This Row],[RK]],TableQBCalcPts[RK],0)),"")</f>
        <v>9.0371765433830493</v>
      </c>
      <c r="N5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2" s="22">
        <v>51</v>
      </c>
      <c r="Q52" s="22" t="str">
        <f>IFERROR(INDEX(TableRBCalcPts[PLAYER],MATCH(TableRBRanks31[[#This Row],[RK]],TableRBCalcPts[RK],0)),"")</f>
        <v>Raheem Mostert</v>
      </c>
      <c r="R52" s="22" t="str">
        <f>IFERROR(INDEX(TableRBCalcPts[TM],MATCH(TableRBRanks31[[#This Row],[Player]],TableRBCalcPts[PLAYER],0)),"")</f>
        <v>MIA</v>
      </c>
      <c r="S52" s="22">
        <f>IFERROR(INDEX(TableRBCalcPts[BYE],MATCH(TableRBRanks31[[#This Row],[RK]],TableRBCalcPts[RK],0)),"")</f>
        <v>11</v>
      </c>
      <c r="T52" s="279">
        <f>VLOOKUP(TableRBRanks31[[#This Row],[Player]],RB!B:O,4,FALSE)</f>
        <v>114.34045855322607</v>
      </c>
      <c r="U52" s="279">
        <f>VLOOKUP(TableRBRanks31[[#This Row],[Player]],RB!B:O,5,FALSE)</f>
        <v>485.94694885121078</v>
      </c>
      <c r="V52" s="279">
        <f>VLOOKUP(TableRBRanks31[[#This Row],[Player]],RB!B:O,6,FALSE)</f>
        <v>3.7503670405458154</v>
      </c>
      <c r="W52" s="279">
        <f>VLOOKUP(TableRBRanks31[[#This Row],[Player]],RB!B:O,7,FALSE)</f>
        <v>27.719494439999991</v>
      </c>
      <c r="X52" s="279">
        <f>VLOOKUP(TableRBRanks31[[#This Row],[Player]],RB!B:O,8,FALSE)</f>
        <v>19.461857046323992</v>
      </c>
      <c r="Y52" s="279">
        <f>VLOOKUP(TableRBRanks31[[#This Row],[Player]],RB!B:O,9,FALSE)</f>
        <v>154.13790780688601</v>
      </c>
      <c r="Z52" s="279">
        <f>VLOOKUP(TableRBRanks31[[#This Row],[Player]],RB!B:O,10,FALSE)</f>
        <v>1.0493952054211653</v>
      </c>
      <c r="AA52" s="272">
        <f>IFERROR(INDEX(TableRBCalcPts[Custom],MATCH(TableRBRanks31[[#This Row],[RK]],TableRBCalcPts[RK],0)),"")</f>
        <v>92.80705914161156</v>
      </c>
      <c r="AB5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2" s="22">
        <v>51</v>
      </c>
      <c r="AE52" s="274" t="str">
        <f>IFERROR(INDEX(TableWRCalcPts[PLAYER],MATCH(TableWRRanks32[[#This Row],[RK]],TableWRCalcPts[RK],0)),"")</f>
        <v>Chase Claypool</v>
      </c>
      <c r="AF52" s="22" t="str">
        <f>IFERROR(INDEX(TableWRCalcPts[TM],MATCH(TableWRRanks32[[#This Row],[Player]],TableWRCalcPts[PLAYER],0)),"")</f>
        <v>PIT</v>
      </c>
      <c r="AG52" s="22">
        <f>IFERROR(INDEX(TableWRCalcPts[BYE],MATCH(TableWRRanks32[[#This Row],[RK]],TableWRCalcPts[RK],0)),"")</f>
        <v>9</v>
      </c>
      <c r="AH52" s="279">
        <f>VLOOKUP(TableWRRanks32[[#This Row],[Player]],WR!B:O,4,FALSE)</f>
        <v>97.468731355937607</v>
      </c>
      <c r="AI52" s="279">
        <f>VLOOKUP(TableWRRanks32[[#This Row],[Player]],WR!B:O,5,FALSE)</f>
        <v>0.46371939895209363</v>
      </c>
      <c r="AJ52" s="279">
        <f>VLOOKUP(TableWRRanks32[[#This Row],[Player]],WR!B:O,6,FALSE)</f>
        <v>102.26899713527055</v>
      </c>
      <c r="AK52" s="279">
        <f>VLOOKUP(TableWRRanks32[[#This Row],[Player]],WR!B:O,7,FALSE)</f>
        <v>54.632098269661533</v>
      </c>
      <c r="AL52" s="279">
        <f>VLOOKUP(TableWRRanks32[[#This Row],[Player]],WR!B:O,8,FALSE)</f>
        <v>760.47880791368857</v>
      </c>
      <c r="AM52" s="279">
        <f>VLOOKUP(TableWRRanks32[[#This Row],[Player]],WR!B:O,9,FALSE)</f>
        <v>3.0593975031010459</v>
      </c>
      <c r="AN52" s="272">
        <f>IFERROR(INDEX(TableWRCalcPts[Custom],MATCH(TableWRRanks32[[#This Row],[RK]],TableWRCalcPts[RK],0)),"")</f>
        <v>106.93345533928145</v>
      </c>
      <c r="AO5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2" s="22">
        <v>51</v>
      </c>
      <c r="AR52" s="274" t="str">
        <f>IFERROR(INDEX(TableTECalcPts[PLAYER],MATCH(TableTERanks33[[#This Row],[RK]],TableTECalcPts[RK],0)),"")</f>
        <v>Daniel Bellinger</v>
      </c>
      <c r="AS52" s="22" t="str">
        <f>IFERROR(INDEX(TableTECalcPts[TM],MATCH(TableTERanks33[[#This Row],[Player]],TableTECalcPts[PLAYER],0)),"")</f>
        <v>NYG</v>
      </c>
      <c r="AT52" s="22">
        <f>IFERROR(INDEX(TableTECalcPts[BYE],MATCH(TableTERanks33[[#This Row],[RK]],TableTECalcPts[RK],0)),"")</f>
        <v>9</v>
      </c>
      <c r="AU52" s="279">
        <f>VLOOKUP(TableTERanks33[[#This Row],[Player]],TE!B:O,4,FALSE)</f>
        <v>22.983690830669641</v>
      </c>
      <c r="AV52" s="279">
        <f>VLOOKUP(TableTERanks33[[#This Row],[Player]],TE!B:O,5,FALSE)</f>
        <v>14.203920933353837</v>
      </c>
      <c r="AW52" s="279">
        <f>VLOOKUP(TableTERanks33[[#This Row],[Player]],TE!B:O,6,FALSE)</f>
        <v>148.71505217221468</v>
      </c>
      <c r="AX52" s="279">
        <f>VLOOKUP(TableTERanks33[[#This Row],[Player]],TE!B:O,7,FALSE)</f>
        <v>1.1363136746683069</v>
      </c>
      <c r="AY52" s="272">
        <f>IFERROR(INDEX(TableTECalcPts[Custom],MATCH(TableTERanks33[[#This Row],[RK]],TableTECalcPts[RK],0)),"")</f>
        <v>21.689387265231311</v>
      </c>
      <c r="AZ5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3" spans="1:52" x14ac:dyDescent="0.3">
      <c r="A53" s="22">
        <v>52</v>
      </c>
      <c r="B53" s="22" t="str">
        <f>IFERROR(INDEX(TableQBCalcPts[PLAYER],MATCH(TableQBRanks30[[#This Row],[RK]],TableQBCalcPts[RK],0)),"")</f>
        <v>Colt McCoy</v>
      </c>
      <c r="C53" s="22" t="str">
        <f>IFERROR(INDEX(TableQBCalcPts[TM],MATCH(TableQBRanks30[[#This Row],[Player]],TableQBCalcPts[PLAYER],0)),"")</f>
        <v>ARI</v>
      </c>
      <c r="D53" s="22">
        <f>IFERROR(INDEX(TableQBCalcPts[BYE],MATCH(TableQBRanks30[[#This Row],[RK]],TableQBCalcPts[RK],0)),"")</f>
        <v>13</v>
      </c>
      <c r="E53" s="279">
        <f>VLOOKUP(TableQBRanks30[[#This Row],[Player]],QB!B:O,4,FALSE)</f>
        <v>18.70768965000002</v>
      </c>
      <c r="F53" s="279">
        <f>VLOOKUP(TableQBRanks30[[#This Row],[Player]],QB!B:O,5,FALSE)</f>
        <v>12.025147009606261</v>
      </c>
      <c r="G53" s="279">
        <f>VLOOKUP(TableQBRanks30[[#This Row],[Player]],QB!B:O,6,FALSE)</f>
        <v>129.15007888317126</v>
      </c>
      <c r="H53" s="279">
        <f>VLOOKUP(TableQBRanks30[[#This Row],[Player]],QB!B:O,7,FALSE)</f>
        <v>0.67628298084750083</v>
      </c>
      <c r="I53" s="279">
        <f>VLOOKUP(TableQBRanks30[[#This Row],[Player]],QB!B:O,8,FALSE)</f>
        <v>0.27687900989618419</v>
      </c>
      <c r="J53" s="279">
        <f>VLOOKUP(TableQBRanks30[[#This Row],[Player]],QB!B:O,9,FALSE)</f>
        <v>1.4998853838390409</v>
      </c>
      <c r="K53" s="279">
        <f>VLOOKUP(TableQBRanks30[[#This Row],[Player]],QB!B:O,10,FALSE)</f>
        <v>5.7995568175109584</v>
      </c>
      <c r="L53" s="279">
        <f>VLOOKUP(TableQBRanks30[[#This Row],[Player]],QB!B:O,11,FALSE)</f>
        <v>0</v>
      </c>
      <c r="M53" s="272">
        <f>IFERROR(INDEX(TableQBCalcPts[Custom],MATCH(TableQBRanks30[[#This Row],[RK]],TableQBCalcPts[RK],0)),"")</f>
        <v>7.8973327406755809</v>
      </c>
      <c r="N5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3" s="22">
        <v>52</v>
      </c>
      <c r="Q53" s="22" t="str">
        <f>IFERROR(INDEX(TableRBCalcPts[PLAYER],MATCH(TableRBRanks31[[#This Row],[RK]],TableRBCalcPts[RK],0)),"")</f>
        <v>Dameon Pierce</v>
      </c>
      <c r="R53" s="22" t="str">
        <f>IFERROR(INDEX(TableRBCalcPts[TM],MATCH(TableRBRanks31[[#This Row],[Player]],TableRBCalcPts[PLAYER],0)),"")</f>
        <v>HOU</v>
      </c>
      <c r="S53" s="22">
        <f>IFERROR(INDEX(TableRBCalcPts[BYE],MATCH(TableRBRanks31[[#This Row],[RK]],TableRBCalcPts[RK],0)),"")</f>
        <v>6</v>
      </c>
      <c r="T53" s="279">
        <f>VLOOKUP(TableRBRanks31[[#This Row],[Player]],RB!B:O,4,FALSE)</f>
        <v>125.80847919949953</v>
      </c>
      <c r="U53" s="279">
        <f>VLOOKUP(TableRBRanks31[[#This Row],[Player]],RB!B:O,5,FALSE)</f>
        <v>508.26625596597813</v>
      </c>
      <c r="V53" s="279">
        <f>VLOOKUP(TableRBRanks31[[#This Row],[Player]],RB!B:O,6,FALSE)</f>
        <v>3.6987692884652859</v>
      </c>
      <c r="W53" s="279">
        <f>VLOOKUP(TableRBRanks31[[#This Row],[Player]],RB!B:O,7,FALSE)</f>
        <v>31.743193110236035</v>
      </c>
      <c r="X53" s="279">
        <f>VLOOKUP(TableRBRanks31[[#This Row],[Player]],RB!B:O,8,FALSE)</f>
        <v>22.159923110255779</v>
      </c>
      <c r="Y53" s="279">
        <f>VLOOKUP(TableRBRanks31[[#This Row],[Player]],RB!B:O,9,FALSE)</f>
        <v>155.78425946509813</v>
      </c>
      <c r="Z53" s="279">
        <f>VLOOKUP(TableRBRanks31[[#This Row],[Player]],RB!B:O,10,FALSE)</f>
        <v>0.59831792397690597</v>
      </c>
      <c r="AA53" s="272">
        <f>IFERROR(INDEX(TableRBCalcPts[Custom],MATCH(TableRBRanks31[[#This Row],[RK]],TableRBCalcPts[RK],0)),"")</f>
        <v>92.187574817760776</v>
      </c>
      <c r="AB5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3" s="22">
        <v>52</v>
      </c>
      <c r="AE53" s="274" t="str">
        <f>IFERROR(INDEX(TableWRCalcPts[PLAYER],MATCH(TableWRRanks32[[#This Row],[RK]],TableWRCalcPts[RK],0)),"")</f>
        <v>Van Jefferson</v>
      </c>
      <c r="AF53" s="22" t="str">
        <f>IFERROR(INDEX(TableWRCalcPts[TM],MATCH(TableWRRanks32[[#This Row],[Player]],TableWRCalcPts[PLAYER],0)),"")</f>
        <v>LAR</v>
      </c>
      <c r="AG53" s="22">
        <f>IFERROR(INDEX(TableWRCalcPts[BYE],MATCH(TableWRRanks32[[#This Row],[RK]],TableWRCalcPts[RK],0)),"")</f>
        <v>7</v>
      </c>
      <c r="AH53" s="279">
        <f>VLOOKUP(TableWRRanks32[[#This Row],[Player]],WR!B:O,4,FALSE)</f>
        <v>16.029171056059134</v>
      </c>
      <c r="AI53" s="279">
        <f>VLOOKUP(TableWRRanks32[[#This Row],[Player]],WR!B:O,5,FALSE)</f>
        <v>2.500650710773656E-2</v>
      </c>
      <c r="AJ53" s="279">
        <f>VLOOKUP(TableWRRanks32[[#This Row],[Player]],WR!B:O,6,FALSE)</f>
        <v>84.205867939205092</v>
      </c>
      <c r="AK53" s="279">
        <f>VLOOKUP(TableWRRanks32[[#This Row],[Player]],WR!B:O,7,FALSE)</f>
        <v>45.597477489079559</v>
      </c>
      <c r="AL53" s="279">
        <f>VLOOKUP(TableWRRanks32[[#This Row],[Player]],WR!B:O,8,FALSE)</f>
        <v>702.65712810671596</v>
      </c>
      <c r="AM53" s="279">
        <f>VLOOKUP(TableWRRanks32[[#This Row],[Player]],WR!B:O,9,FALSE)</f>
        <v>5.7908796411131043</v>
      </c>
      <c r="AN53" s="272">
        <f>IFERROR(INDEX(TableWRCalcPts[Custom],MATCH(TableWRRanks32[[#This Row],[RK]],TableWRCalcPts[RK],0)),"")</f>
        <v>106.76394680560256</v>
      </c>
      <c r="AO5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3" s="22">
        <v>52</v>
      </c>
      <c r="AR53" s="274" t="str">
        <f>IFERROR(INDEX(TableTECalcPts[PLAYER],MATCH(TableTERanks33[[#This Row],[RK]],TableTECalcPts[RK],0)),"")</f>
        <v>Nick Boyle</v>
      </c>
      <c r="AS53" s="22" t="str">
        <f>IFERROR(INDEX(TableTECalcPts[TM],MATCH(TableTERanks33[[#This Row],[Player]],TableTECalcPts[PLAYER],0)),"")</f>
        <v>BAL</v>
      </c>
      <c r="AT53" s="22">
        <f>IFERROR(INDEX(TableTECalcPts[BYE],MATCH(TableTERanks33[[#This Row],[RK]],TableTECalcPts[RK],0)),"")</f>
        <v>10</v>
      </c>
      <c r="AU53" s="279">
        <f>VLOOKUP(TableTERanks33[[#This Row],[Player]],TE!B:O,4,FALSE)</f>
        <v>20.415279575469579</v>
      </c>
      <c r="AV53" s="279">
        <f>VLOOKUP(TableTERanks33[[#This Row],[Player]],TE!B:O,5,FALSE)</f>
        <v>13.310762283206167</v>
      </c>
      <c r="AW53" s="279">
        <f>VLOOKUP(TableTERanks33[[#This Row],[Player]],TE!B:O,6,FALSE)</f>
        <v>131.90965422657311</v>
      </c>
      <c r="AX53" s="279">
        <f>VLOOKUP(TableTERanks33[[#This Row],[Player]],TE!B:O,7,FALSE)</f>
        <v>1.3177654660374105</v>
      </c>
      <c r="AY53" s="272">
        <f>IFERROR(INDEX(TableTECalcPts[Custom],MATCH(TableTERanks33[[#This Row],[RK]],TableTECalcPts[RK],0)),"")</f>
        <v>21.097558218881776</v>
      </c>
      <c r="AZ5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4" spans="1:52" x14ac:dyDescent="0.3">
      <c r="A54" s="22">
        <v>53</v>
      </c>
      <c r="B54" s="22" t="str">
        <f>IFERROR(INDEX(TableQBCalcPts[PLAYER],MATCH(TableQBRanks30[[#This Row],[RK]],TableQBCalcPts[RK],0)),"")</f>
        <v>Tim Boyle</v>
      </c>
      <c r="C54" s="22" t="str">
        <f>IFERROR(INDEX(TableQBCalcPts[TM],MATCH(TableQBRanks30[[#This Row],[Player]],TableQBCalcPts[PLAYER],0)),"")</f>
        <v>DET</v>
      </c>
      <c r="D54" s="22">
        <f>IFERROR(INDEX(TableQBCalcPts[BYE],MATCH(TableQBRanks30[[#This Row],[RK]],TableQBCalcPts[RK],0)),"")</f>
        <v>6</v>
      </c>
      <c r="E54" s="279">
        <f>VLOOKUP(TableQBRanks30[[#This Row],[Player]],QB!B:O,4,FALSE)</f>
        <v>18.979374600000014</v>
      </c>
      <c r="F54" s="279">
        <f>VLOOKUP(TableQBRanks30[[#This Row],[Player]],QB!B:O,5,FALSE)</f>
        <v>12.097806291208267</v>
      </c>
      <c r="G54" s="279">
        <f>VLOOKUP(TableQBRanks30[[#This Row],[Player]],QB!B:O,6,FALSE)</f>
        <v>123.15566804450015</v>
      </c>
      <c r="H54" s="279">
        <f>VLOOKUP(TableQBRanks30[[#This Row],[Player]],QB!B:O,7,FALSE)</f>
        <v>0.68957495859887119</v>
      </c>
      <c r="I54" s="279">
        <f>VLOOKUP(TableQBRanks30[[#This Row],[Player]],QB!B:O,8,FALSE)</f>
        <v>0.30204703770224323</v>
      </c>
      <c r="J54" s="279">
        <f>VLOOKUP(TableQBRanks30[[#This Row],[Player]],QB!B:O,9,FALSE)</f>
        <v>1.2005104412077487</v>
      </c>
      <c r="K54" s="279">
        <f>VLOOKUP(TableQBRanks30[[#This Row],[Player]],QB!B:O,10,FALSE)</f>
        <v>4.0517227390761521</v>
      </c>
      <c r="L54" s="279">
        <f>VLOOKUP(TableQBRanks30[[#This Row],[Player]],QB!B:O,11,FALSE)</f>
        <v>0</v>
      </c>
      <c r="M54" s="272">
        <f>IFERROR(INDEX(TableQBCalcPts[Custom],MATCH(TableQBRanks30[[#This Row],[RK]],TableQBCalcPts[RK],0)),"")</f>
        <v>7.4856047546786204</v>
      </c>
      <c r="N5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4" s="22">
        <v>53</v>
      </c>
      <c r="Q54" s="22" t="str">
        <f>IFERROR(INDEX(TableRBCalcPts[PLAYER],MATCH(TableRBRanks31[[#This Row],[RK]],TableRBCalcPts[RK],0)),"")</f>
        <v>Michael Carter</v>
      </c>
      <c r="R54" s="22" t="str">
        <f>IFERROR(INDEX(TableRBCalcPts[TM],MATCH(TableRBRanks31[[#This Row],[Player]],TableRBCalcPts[PLAYER],0)),"")</f>
        <v>NYJ</v>
      </c>
      <c r="S54" s="22">
        <f>IFERROR(INDEX(TableRBCalcPts[BYE],MATCH(TableRBRanks31[[#This Row],[RK]],TableRBCalcPts[RK],0)),"")</f>
        <v>10</v>
      </c>
      <c r="T54" s="279">
        <f>VLOOKUP(TableRBRanks31[[#This Row],[Player]],RB!B:O,4,FALSE)</f>
        <v>98.016212340787916</v>
      </c>
      <c r="U54" s="279">
        <f>VLOOKUP(TableRBRanks31[[#This Row],[Player]],RB!B:O,5,FALSE)</f>
        <v>416.56890244834864</v>
      </c>
      <c r="V54" s="279">
        <f>VLOOKUP(TableRBRanks31[[#This Row],[Player]],RB!B:O,6,FALSE)</f>
        <v>2.5952665485568218</v>
      </c>
      <c r="W54" s="279">
        <f>VLOOKUP(TableRBRanks31[[#This Row],[Player]],RB!B:O,7,FALSE)</f>
        <v>54.350622278824204</v>
      </c>
      <c r="X54" s="279">
        <f>VLOOKUP(TableRBRanks31[[#This Row],[Player]],RB!B:O,8,FALSE)</f>
        <v>36.431222113495863</v>
      </c>
      <c r="Y54" s="279">
        <f>VLOOKUP(TableRBRanks31[[#This Row],[Player]],RB!B:O,9,FALSE)</f>
        <v>277.34583630304451</v>
      </c>
      <c r="Z54" s="279">
        <f>VLOOKUP(TableRBRanks31[[#This Row],[Player]],RB!B:O,10,FALSE)</f>
        <v>0.82454911824810306</v>
      </c>
      <c r="AA54" s="272">
        <f>IFERROR(INDEX(TableRBCalcPts[Custom],MATCH(TableRBRanks31[[#This Row],[RK]],TableRBCalcPts[RK],0)),"")</f>
        <v>89.910367875968873</v>
      </c>
      <c r="AB5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4" s="274">
        <v>53</v>
      </c>
      <c r="AE54" s="274" t="str">
        <f>IFERROR(INDEX(TableWRCalcPts[PLAYER],MATCH(TableWRRanks32[[#This Row],[RK]],TableWRCalcPts[RK],0)),"")</f>
        <v>Mecole Hardman</v>
      </c>
      <c r="AF54" s="22" t="str">
        <f>IFERROR(INDEX(TableWRCalcPts[TM],MATCH(TableWRRanks32[[#This Row],[Player]],TableWRCalcPts[PLAYER],0)),"")</f>
        <v>KC</v>
      </c>
      <c r="AG54" s="22">
        <f>IFERROR(INDEX(TableWRCalcPts[BYE],MATCH(TableWRRanks32[[#This Row],[RK]],TableWRCalcPts[RK],0)),"")</f>
        <v>8</v>
      </c>
      <c r="AH54" s="279">
        <f>VLOOKUP(TableWRRanks32[[#This Row],[Player]],WR!B:O,4,FALSE)</f>
        <v>56.772513653281116</v>
      </c>
      <c r="AI54" s="279">
        <f>VLOOKUP(TableWRRanks32[[#This Row],[Player]],WR!B:O,5,FALSE)</f>
        <v>0.4498059958092242</v>
      </c>
      <c r="AJ54" s="279">
        <f>VLOOKUP(TableWRRanks32[[#This Row],[Player]],WR!B:O,6,FALSE)</f>
        <v>82.155982757201059</v>
      </c>
      <c r="AK54" s="279">
        <f>VLOOKUP(TableWRRanks32[[#This Row],[Player]],WR!B:O,7,FALSE)</f>
        <v>57.008036435221811</v>
      </c>
      <c r="AL54" s="279">
        <f>VLOOKUP(TableWRRanks32[[#This Row],[Player]],WR!B:O,8,FALSE)</f>
        <v>680.10587467219614</v>
      </c>
      <c r="AM54" s="279">
        <f>VLOOKUP(TableWRRanks32[[#This Row],[Player]],WR!B:O,9,FALSE)</f>
        <v>5.0167072062995191</v>
      </c>
      <c r="AN54" s="272">
        <f>IFERROR(INDEX(TableWRCalcPts[Custom],MATCH(TableWRRanks32[[#This Row],[RK]],TableWRCalcPts[RK],0)),"")</f>
        <v>106.4869180452002</v>
      </c>
      <c r="AO5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4" s="274">
        <v>53</v>
      </c>
      <c r="AR54" s="274" t="str">
        <f>IFERROR(INDEX(TableTECalcPts[PLAYER],MATCH(TableTERanks33[[#This Row],[RK]],TableTECalcPts[RK],0)),"")</f>
        <v>Josiah Deguara</v>
      </c>
      <c r="AS54" s="22" t="str">
        <f>IFERROR(INDEX(TableTECalcPts[TM],MATCH(TableTERanks33[[#This Row],[Player]],TableTECalcPts[PLAYER],0)),"")</f>
        <v>GB</v>
      </c>
      <c r="AT54" s="22">
        <f>IFERROR(INDEX(TableTECalcPts[BYE],MATCH(TableTERanks33[[#This Row],[RK]],TableTECalcPts[RK],0)),"")</f>
        <v>14</v>
      </c>
      <c r="AU54" s="279">
        <f>VLOOKUP(TableTERanks33[[#This Row],[Player]],TE!B:O,4,FALSE)</f>
        <v>20.145183259999996</v>
      </c>
      <c r="AV54" s="279">
        <f>VLOOKUP(TableTERanks33[[#This Row],[Player]],TE!B:O,5,FALSE)</f>
        <v>12.449723254679997</v>
      </c>
      <c r="AW54" s="279">
        <f>VLOOKUP(TableTERanks33[[#This Row],[Player]],TE!B:O,6,FALSE)</f>
        <v>130.38151317585604</v>
      </c>
      <c r="AX54" s="279">
        <f>VLOOKUP(TableTERanks33[[#This Row],[Player]],TE!B:O,7,FALSE)</f>
        <v>1.2191130013996798</v>
      </c>
      <c r="AY54" s="272">
        <f>IFERROR(INDEX(TableTECalcPts[Custom],MATCH(TableTERanks33[[#This Row],[RK]],TableTECalcPts[RK],0)),"")</f>
        <v>20.352829325983684</v>
      </c>
      <c r="AZ5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5" spans="1:52" x14ac:dyDescent="0.3">
      <c r="A55" s="22">
        <v>54</v>
      </c>
      <c r="B55" s="22" t="str">
        <f>IFERROR(INDEX(TableQBCalcPts[PLAYER],MATCH(TableQBRanks30[[#This Row],[RK]],TableQBCalcPts[RK],0)),"")</f>
        <v>Brett Rypien</v>
      </c>
      <c r="C55" s="22" t="str">
        <f>IFERROR(INDEX(TableQBCalcPts[TM],MATCH(TableQBRanks30[[#This Row],[Player]],TableQBCalcPts[PLAYER],0)),"")</f>
        <v>DEN</v>
      </c>
      <c r="D55" s="22">
        <f>IFERROR(INDEX(TableQBCalcPts[BYE],MATCH(TableQBRanks30[[#This Row],[RK]],TableQBCalcPts[RK],0)),"")</f>
        <v>9</v>
      </c>
      <c r="E55" s="279">
        <f>VLOOKUP(TableQBRanks30[[#This Row],[Player]],QB!B:O,4,FALSE)</f>
        <v>11.810495600000008</v>
      </c>
      <c r="F55" s="279">
        <f>VLOOKUP(TableQBRanks30[[#This Row],[Player]],QB!B:O,5,FALSE)</f>
        <v>6.9515781757767527</v>
      </c>
      <c r="G55" s="279">
        <f>VLOOKUP(TableQBRanks30[[#This Row],[Player]],QB!B:O,6,FALSE)</f>
        <v>78.701206541874527</v>
      </c>
      <c r="H55" s="279">
        <f>VLOOKUP(TableQBRanks30[[#This Row],[Player]],QB!B:O,7,FALSE)</f>
        <v>0.57698098858947056</v>
      </c>
      <c r="I55" s="279">
        <f>VLOOKUP(TableQBRanks30[[#This Row],[Player]],QB!B:O,8,FALSE)</f>
        <v>0.16826705791652816</v>
      </c>
      <c r="J55" s="279">
        <f>VLOOKUP(TableQBRanks30[[#This Row],[Player]],QB!B:O,9,FALSE)</f>
        <v>0.8002451711914611</v>
      </c>
      <c r="K55" s="279">
        <f>VLOOKUP(TableQBRanks30[[#This Row],[Player]],QB!B:O,10,FALSE)</f>
        <v>2.9258964071687799</v>
      </c>
      <c r="L55" s="279">
        <f>VLOOKUP(TableQBRanks30[[#This Row],[Player]],QB!B:O,11,FALSE)</f>
        <v>2.5007661599733166E-2</v>
      </c>
      <c r="M55" s="272">
        <f>IFERROR(INDEX(TableQBCalcPts[Custom],MATCH(TableQBRanks30[[#This Row],[RK]],TableQBCalcPts[RK],0)),"")</f>
        <v>5.5620737105150848</v>
      </c>
      <c r="N5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5" s="22">
        <v>54</v>
      </c>
      <c r="Q55" s="22" t="str">
        <f>IFERROR(INDEX(TableRBCalcPts[PLAYER],MATCH(TableRBRanks31[[#This Row],[RK]],TableRBCalcPts[RK],0)),"")</f>
        <v>Darrell Henderson</v>
      </c>
      <c r="R55" s="22" t="str">
        <f>IFERROR(INDEX(TableRBCalcPts[TM],MATCH(TableRBRanks31[[#This Row],[Player]],TableRBCalcPts[PLAYER],0)),"")</f>
        <v>LAR</v>
      </c>
      <c r="S55" s="22">
        <f>IFERROR(INDEX(TableRBCalcPts[BYE],MATCH(TableRBRanks31[[#This Row],[RK]],TableRBCalcPts[RK],0)),"")</f>
        <v>7</v>
      </c>
      <c r="T55" s="279">
        <f>VLOOKUP(TableRBRanks31[[#This Row],[Player]],RB!B:O,4,FALSE)</f>
        <v>96.503091224277711</v>
      </c>
      <c r="U55" s="279">
        <f>VLOOKUP(TableRBRanks31[[#This Row],[Player]],RB!B:O,5,FALSE)</f>
        <v>437.15900324597806</v>
      </c>
      <c r="V55" s="279">
        <f>VLOOKUP(TableRBRanks31[[#This Row],[Player]],RB!B:O,6,FALSE)</f>
        <v>3.5090672805230461</v>
      </c>
      <c r="W55" s="279">
        <f>VLOOKUP(TableRBRanks31[[#This Row],[Player]],RB!B:O,7,FALSE)</f>
        <v>32.289468157138785</v>
      </c>
      <c r="X55" s="279">
        <f>VLOOKUP(TableRBRanks31[[#This Row],[Player]],RB!B:O,8,FALSE)</f>
        <v>23.669096894871732</v>
      </c>
      <c r="Y55" s="279">
        <f>VLOOKUP(TableRBRanks31[[#This Row],[Player]],RB!B:O,9,FALSE)</f>
        <v>157.72580132642193</v>
      </c>
      <c r="Z55" s="279">
        <f>VLOOKUP(TableRBRanks31[[#This Row],[Player]],RB!B:O,10,FALSE)</f>
        <v>1.3728076199025605</v>
      </c>
      <c r="AA55" s="272">
        <f>IFERROR(INDEX(TableRBCalcPts[Custom],MATCH(TableRBRanks31[[#This Row],[RK]],TableRBCalcPts[RK],0)),"")</f>
        <v>88.779729859793633</v>
      </c>
      <c r="AB5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5" s="22">
        <v>54</v>
      </c>
      <c r="AE55" s="22" t="str">
        <f>IFERROR(INDEX(TableWRCalcPts[PLAYER],MATCH(TableWRRanks32[[#This Row],[RK]],TableWRCalcPts[RK],0)),"")</f>
        <v>Marvin Jones</v>
      </c>
      <c r="AF55" s="22" t="str">
        <f>IFERROR(INDEX(TableWRCalcPts[TM],MATCH(TableWRRanks32[[#This Row],[Player]],TableWRCalcPts[PLAYER],0)),"")</f>
        <v>JAX</v>
      </c>
      <c r="AG55" s="22">
        <f>IFERROR(INDEX(TableWRCalcPts[BYE],MATCH(TableWRRanks32[[#This Row],[RK]],TableWRCalcPts[RK],0)),"")</f>
        <v>11</v>
      </c>
      <c r="AH55" s="279">
        <f>VLOOKUP(TableWRRanks32[[#This Row],[Player]],WR!B:O,4,FALSE)</f>
        <v>0</v>
      </c>
      <c r="AI55" s="279">
        <f>VLOOKUP(TableWRRanks32[[#This Row],[Player]],WR!B:O,5,FALSE)</f>
        <v>0</v>
      </c>
      <c r="AJ55" s="279">
        <f>VLOOKUP(TableWRRanks32[[#This Row],[Player]],WR!B:O,6,FALSE)</f>
        <v>98.870095332987006</v>
      </c>
      <c r="AK55" s="279">
        <f>VLOOKUP(TableWRRanks32[[#This Row],[Player]],WR!B:O,7,FALSE)</f>
        <v>60.607142708309773</v>
      </c>
      <c r="AL55" s="279">
        <f>VLOOKUP(TableWRRanks32[[#This Row],[Player]],WR!B:O,8,FALSE)</f>
        <v>723.64928393721868</v>
      </c>
      <c r="AM55" s="279">
        <f>VLOOKUP(TableWRRanks32[[#This Row],[Player]],WR!B:O,9,FALSE)</f>
        <v>5.5758571291644987</v>
      </c>
      <c r="AN55" s="272">
        <f>IFERROR(INDEX(TableWRCalcPts[Custom],MATCH(TableWRRanks32[[#This Row],[RK]],TableWRCalcPts[RK],0)),"")</f>
        <v>105.82007116870886</v>
      </c>
      <c r="AO5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5" s="22">
        <v>54</v>
      </c>
      <c r="AR55" s="22" t="str">
        <f>IFERROR(INDEX(TableTECalcPts[PLAYER],MATCH(TableTERanks33[[#This Row],[RK]],TableTECalcPts[RK],0)),"")</f>
        <v>James O'Shaughnessy</v>
      </c>
      <c r="AS55" s="22" t="str">
        <f>IFERROR(INDEX(TableTECalcPts[TM],MATCH(TableTERanks33[[#This Row],[Player]],TableTECalcPts[PLAYER],0)),"")</f>
        <v>CHI</v>
      </c>
      <c r="AT55" s="22">
        <f>IFERROR(INDEX(TableTECalcPts[BYE],MATCH(TableTERanks33[[#This Row],[RK]],TableTECalcPts[RK],0)),"")</f>
        <v>14</v>
      </c>
      <c r="AU55" s="279">
        <f>VLOOKUP(TableTERanks33[[#This Row],[Player]],TE!B:O,4,FALSE)</f>
        <v>23.99789578459438</v>
      </c>
      <c r="AV55" s="279">
        <f>VLOOKUP(TableTERanks33[[#This Row],[Player]],TE!B:O,5,FALSE)</f>
        <v>14.571522320405707</v>
      </c>
      <c r="AW55" s="279">
        <f>VLOOKUP(TableTERanks33[[#This Row],[Player]],TE!B:O,6,FALSE)</f>
        <v>155.84190498683435</v>
      </c>
      <c r="AX55" s="279">
        <f>VLOOKUP(TableTERanks33[[#This Row],[Player]],TE!B:O,7,FALSE)</f>
        <v>0.71149166568914779</v>
      </c>
      <c r="AY55" s="272">
        <f>IFERROR(INDEX(TableTECalcPts[Custom],MATCH(TableTERanks33[[#This Row],[RK]],TableTECalcPts[RK],0)),"")</f>
        <v>19.853140492818323</v>
      </c>
      <c r="AZ5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6" spans="1:52" x14ac:dyDescent="0.3">
      <c r="A56" s="22">
        <v>55</v>
      </c>
      <c r="B56" s="22" t="str">
        <f>IFERROR(INDEX(TableQBCalcPts[PLAYER],MATCH(TableQBRanks30[[#This Row],[RK]],TableQBCalcPts[RK],0)),"")</f>
        <v>Nick Mullens</v>
      </c>
      <c r="C56" s="22" t="str">
        <f>IFERROR(INDEX(TableQBCalcPts[TM],MATCH(TableQBRanks30[[#This Row],[Player]],TableQBCalcPts[PLAYER],0)),"")</f>
        <v>LV</v>
      </c>
      <c r="D56" s="22">
        <f>IFERROR(INDEX(TableQBCalcPts[BYE],MATCH(TableQBRanks30[[#This Row],[RK]],TableQBCalcPts[RK],0)),"")</f>
        <v>6</v>
      </c>
      <c r="E56" s="279">
        <f>VLOOKUP(TableQBRanks30[[#This Row],[Player]],QB!B:O,4,FALSE)</f>
        <v>12.599770200000009</v>
      </c>
      <c r="F56" s="279">
        <f>VLOOKUP(TableQBRanks30[[#This Row],[Player]],QB!B:O,5,FALSE)</f>
        <v>8.1268517790000061</v>
      </c>
      <c r="G56" s="279">
        <f>VLOOKUP(TableQBRanks30[[#This Row],[Player]],QB!B:O,6,FALSE)</f>
        <v>81.59678102447451</v>
      </c>
      <c r="H56" s="279">
        <f>VLOOKUP(TableQBRanks30[[#This Row],[Player]],QB!B:O,7,FALSE)</f>
        <v>0.52824536563500046</v>
      </c>
      <c r="I56" s="279">
        <f>VLOOKUP(TableQBRanks30[[#This Row],[Player]],QB!B:O,8,FALSE)</f>
        <v>0.17854460780618633</v>
      </c>
      <c r="J56" s="279">
        <f>VLOOKUP(TableQBRanks30[[#This Row],[Player]],QB!B:O,9,FALSE)</f>
        <v>0</v>
      </c>
      <c r="K56" s="279">
        <f>VLOOKUP(TableQBRanks30[[#This Row],[Player]],QB!B:O,10,FALSE)</f>
        <v>0</v>
      </c>
      <c r="L56" s="279">
        <f>VLOOKUP(TableQBRanks30[[#This Row],[Player]],QB!B:O,11,FALSE)</f>
        <v>0</v>
      </c>
      <c r="M56" s="272">
        <f>IFERROR(INDEX(TableQBCalcPts[Custom],MATCH(TableQBRanks30[[#This Row],[RK]],TableQBCalcPts[RK],0)),"")</f>
        <v>5.0197634879066095</v>
      </c>
      <c r="N5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6" s="22">
        <v>55</v>
      </c>
      <c r="Q56" s="22" t="str">
        <f>IFERROR(INDEX(TableRBCalcPts[PLAYER],MATCH(TableRBRanks31[[#This Row],[RK]],TableRBCalcPts[RK],0)),"")</f>
        <v>J.D. McKissic</v>
      </c>
      <c r="R56" s="22" t="str">
        <f>IFERROR(INDEX(TableRBCalcPts[TM],MATCH(TableRBRanks31[[#This Row],[Player]],TableRBCalcPts[PLAYER],0)),"")</f>
        <v>WSH</v>
      </c>
      <c r="S56" s="22">
        <f>IFERROR(INDEX(TableRBCalcPts[BYE],MATCH(TableRBRanks31[[#This Row],[RK]],TableRBCalcPts[RK],0)),"")</f>
        <v>14</v>
      </c>
      <c r="T56" s="279">
        <f>VLOOKUP(TableRBRanks31[[#This Row],[Player]],RB!B:O,4,FALSE)</f>
        <v>40.239792833278976</v>
      </c>
      <c r="U56" s="279">
        <f>VLOOKUP(TableRBRanks31[[#This Row],[Player]],RB!B:O,5,FALSE)</f>
        <v>176.10117439498976</v>
      </c>
      <c r="V56" s="279">
        <f>VLOOKUP(TableRBRanks31[[#This Row],[Player]],RB!B:O,6,FALSE)</f>
        <v>1.5731518492636607</v>
      </c>
      <c r="W56" s="279">
        <f>VLOOKUP(TableRBRanks31[[#This Row],[Player]],RB!B:O,7,FALSE)</f>
        <v>70.299489129730276</v>
      </c>
      <c r="X56" s="279">
        <f>VLOOKUP(TableRBRanks31[[#This Row],[Player]],RB!B:O,8,FALSE)</f>
        <v>52.162220934259864</v>
      </c>
      <c r="Y56" s="279">
        <f>VLOOKUP(TableRBRanks31[[#This Row],[Player]],RB!B:O,9,FALSE)</f>
        <v>462.67889968688496</v>
      </c>
      <c r="Z56" s="279">
        <f>VLOOKUP(TableRBRanks31[[#This Row],[Player]],RB!B:O,10,FALSE)</f>
        <v>2.3472999420416936</v>
      </c>
      <c r="AA56" s="272">
        <f>IFERROR(INDEX(TableRBCalcPts[Custom],MATCH(TableRBRanks31[[#This Row],[RK]],TableRBCalcPts[RK],0)),"")</f>
        <v>87.400718156019607</v>
      </c>
      <c r="AB5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6" s="22">
        <v>55</v>
      </c>
      <c r="AE56" s="22" t="str">
        <f>IFERROR(INDEX(TableWRCalcPts[PLAYER],MATCH(TableWRRanks32[[#This Row],[RK]],TableWRCalcPts[RK],0)),"")</f>
        <v>Kenny Golladay</v>
      </c>
      <c r="AF56" s="22" t="str">
        <f>IFERROR(INDEX(TableWRCalcPts[TM],MATCH(TableWRRanks32[[#This Row],[Player]],TableWRCalcPts[PLAYER],0)),"")</f>
        <v>NYG</v>
      </c>
      <c r="AG56" s="22">
        <f>IFERROR(INDEX(TableWRCalcPts[BYE],MATCH(TableWRRanks32[[#This Row],[RK]],TableWRCalcPts[RK],0)),"")</f>
        <v>9</v>
      </c>
      <c r="AH56" s="279">
        <f>VLOOKUP(TableWRRanks32[[#This Row],[Player]],WR!B:O,4,FALSE)</f>
        <v>0</v>
      </c>
      <c r="AI56" s="279">
        <f>VLOOKUP(TableWRRanks32[[#This Row],[Player]],WR!B:O,5,FALSE)</f>
        <v>0</v>
      </c>
      <c r="AJ56" s="279">
        <f>VLOOKUP(TableWRRanks32[[#This Row],[Player]],WR!B:O,6,FALSE)</f>
        <v>97.983103014960051</v>
      </c>
      <c r="AK56" s="279">
        <f>VLOOKUP(TableWRRanks32[[#This Row],[Player]],WR!B:O,7,FALSE)</f>
        <v>53.434351263667089</v>
      </c>
      <c r="AL56" s="279">
        <f>VLOOKUP(TableWRRanks32[[#This Row],[Player]],WR!B:O,8,FALSE)</f>
        <v>781.2102154748128</v>
      </c>
      <c r="AM56" s="279">
        <f>VLOOKUP(TableWRRanks32[[#This Row],[Player]],WR!B:O,9,FALSE)</f>
        <v>4.3816168036207017</v>
      </c>
      <c r="AN56" s="272">
        <f>IFERROR(INDEX(TableWRCalcPts[Custom],MATCH(TableWRRanks32[[#This Row],[RK]],TableWRCalcPts[RK],0)),"")</f>
        <v>104.4107223692055</v>
      </c>
      <c r="AO5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6" s="22">
        <v>55</v>
      </c>
      <c r="AR56" s="274" t="str">
        <f>IFERROR(INDEX(TableTECalcPts[PLAYER],MATCH(TableTERanks33[[#This Row],[RK]],TableTECalcPts[RK],0)),"")</f>
        <v>Brock Wright</v>
      </c>
      <c r="AS56" s="22" t="str">
        <f>IFERROR(INDEX(TableTECalcPts[TM],MATCH(TableTERanks33[[#This Row],[Player]],TableTECalcPts[PLAYER],0)),"")</f>
        <v>DET</v>
      </c>
      <c r="AT56" s="22">
        <f>IFERROR(INDEX(TableTECalcPts[BYE],MATCH(TableTERanks33[[#This Row],[RK]],TableTECalcPts[RK],0)),"")</f>
        <v>6</v>
      </c>
      <c r="AU56" s="279">
        <f>VLOOKUP(TableTERanks33[[#This Row],[Player]],TE!B:O,4,FALSE)</f>
        <v>21.501280605970003</v>
      </c>
      <c r="AV56" s="279">
        <f>VLOOKUP(TableTERanks33[[#This Row],[Player]],TE!B:O,5,FALSE)</f>
        <v>14.018834955092442</v>
      </c>
      <c r="AW56" s="279">
        <f>VLOOKUP(TableTERanks33[[#This Row],[Player]],TE!B:O,6,FALSE)</f>
        <v>137.15603263775628</v>
      </c>
      <c r="AX56" s="279">
        <f>VLOOKUP(TableTERanks33[[#This Row],[Player]],TE!B:O,7,FALSE)</f>
        <v>0.98131844685647107</v>
      </c>
      <c r="AY56" s="272">
        <f>IFERROR(INDEX(TableTECalcPts[Custom],MATCH(TableTERanks33[[#This Row],[RK]],TableTECalcPts[RK],0)),"")</f>
        <v>19.603513944914454</v>
      </c>
      <c r="AZ5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7" spans="1:52" x14ac:dyDescent="0.3">
      <c r="A57" s="22">
        <v>56</v>
      </c>
      <c r="B57" s="22" t="str">
        <f>IFERROR(INDEX(TableQBCalcPts[PLAYER],MATCH(TableQBRanks30[[#This Row],[RK]],TableQBCalcPts[RK],0)),"")</f>
        <v>Brian Hoyer</v>
      </c>
      <c r="C57" s="22" t="str">
        <f>IFERROR(INDEX(TableQBCalcPts[TM],MATCH(TableQBRanks30[[#This Row],[Player]],TableQBCalcPts[PLAYER],0)),"")</f>
        <v>NE</v>
      </c>
      <c r="D57" s="22">
        <f>IFERROR(INDEX(TableQBCalcPts[BYE],MATCH(TableQBRanks30[[#This Row],[RK]],TableQBCalcPts[RK],0)),"")</f>
        <v>10</v>
      </c>
      <c r="E57" s="279">
        <f>VLOOKUP(TableQBRanks30[[#This Row],[Player]],QB!B:O,4,FALSE)</f>
        <v>10.502707200000009</v>
      </c>
      <c r="F57" s="279">
        <f>VLOOKUP(TableQBRanks30[[#This Row],[Player]],QB!B:O,5,FALSE)</f>
        <v>6.6945545498947432</v>
      </c>
      <c r="G57" s="279">
        <f>VLOOKUP(TableQBRanks30[[#This Row],[Player]],QB!B:O,6,FALSE)</f>
        <v>73.640100048842172</v>
      </c>
      <c r="H57" s="279">
        <f>VLOOKUP(TableQBRanks30[[#This Row],[Player]],QB!B:O,7,FALSE)</f>
        <v>0.5379182602105268</v>
      </c>
      <c r="I57" s="279">
        <f>VLOOKUP(TableQBRanks30[[#This Row],[Player]],QB!B:O,8,FALSE)</f>
        <v>0.22417949117739641</v>
      </c>
      <c r="J57" s="279">
        <f>VLOOKUP(TableQBRanks30[[#This Row],[Player]],QB!B:O,9,FALSE)</f>
        <v>0</v>
      </c>
      <c r="K57" s="279">
        <f>VLOOKUP(TableQBRanks30[[#This Row],[Player]],QB!B:O,10,FALSE)</f>
        <v>0</v>
      </c>
      <c r="L57" s="279">
        <f>VLOOKUP(TableQBRanks30[[#This Row],[Player]],QB!B:O,11,FALSE)</f>
        <v>0</v>
      </c>
      <c r="M57" s="272">
        <f>IFERROR(INDEX(TableQBCalcPts[Custom],MATCH(TableQBRanks30[[#This Row],[RK]],TableQBCalcPts[RK],0)),"")</f>
        <v>4.6489180604410008</v>
      </c>
      <c r="N5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7" s="22">
        <v>56</v>
      </c>
      <c r="Q57" s="22" t="str">
        <f>IFERROR(INDEX(TableRBCalcPts[PLAYER],MATCH(TableRBRanks31[[#This Row],[RK]],TableRBCalcPts[RK],0)),"")</f>
        <v>Rachaad White</v>
      </c>
      <c r="R57" s="22" t="str">
        <f>IFERROR(INDEX(TableRBCalcPts[TM],MATCH(TableRBRanks31[[#This Row],[Player]],TableRBCalcPts[PLAYER],0)),"")</f>
        <v>TB</v>
      </c>
      <c r="S57" s="22">
        <f>IFERROR(INDEX(TableRBCalcPts[BYE],MATCH(TableRBRanks31[[#This Row],[RK]],TableRBCalcPts[RK],0)),"")</f>
        <v>11</v>
      </c>
      <c r="T57" s="279">
        <f>VLOOKUP(TableRBRanks31[[#This Row],[Player]],RB!B:O,4,FALSE)</f>
        <v>81.55266913902355</v>
      </c>
      <c r="U57" s="279">
        <f>VLOOKUP(TableRBRanks31[[#This Row],[Player]],RB!B:O,5,FALSE)</f>
        <v>350.67647729780123</v>
      </c>
      <c r="V57" s="279">
        <f>VLOOKUP(TableRBRanks31[[#This Row],[Player]],RB!B:O,6,FALSE)</f>
        <v>3.0990014272828947</v>
      </c>
      <c r="W57" s="279">
        <f>VLOOKUP(TableRBRanks31[[#This Row],[Player]],RB!B:O,7,FALSE)</f>
        <v>45.272989045876542</v>
      </c>
      <c r="X57" s="279">
        <f>VLOOKUP(TableRBRanks31[[#This Row],[Player]],RB!B:O,8,FALSE)</f>
        <v>32.343023374374205</v>
      </c>
      <c r="Y57" s="279">
        <f>VLOOKUP(TableRBRanks31[[#This Row],[Player]],RB!B:O,9,FALSE)</f>
        <v>236.42750086667542</v>
      </c>
      <c r="Z57" s="279">
        <f>VLOOKUP(TableRBRanks31[[#This Row],[Player]],RB!B:O,10,FALSE)</f>
        <v>1.2937209349749683</v>
      </c>
      <c r="AA57" s="272">
        <f>IFERROR(INDEX(TableRBCalcPts[Custom],MATCH(TableRBRanks31[[#This Row],[RK]],TableRBCalcPts[RK],0)),"")</f>
        <v>85.06673198999485</v>
      </c>
      <c r="AB5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7" s="274">
        <v>56</v>
      </c>
      <c r="AE57" s="274" t="str">
        <f>IFERROR(INDEX(TableWRCalcPts[PLAYER],MATCH(TableWRRanks32[[#This Row],[RK]],TableWRCalcPts[RK],0)),"")</f>
        <v>DeAndre Hopkins</v>
      </c>
      <c r="AF57" s="22" t="str">
        <f>IFERROR(INDEX(TableWRCalcPts[TM],MATCH(TableWRRanks32[[#This Row],[Player]],TableWRCalcPts[PLAYER],0)),"")</f>
        <v>ARI</v>
      </c>
      <c r="AG57" s="22">
        <f>IFERROR(INDEX(TableWRCalcPts[BYE],MATCH(TableWRRanks32[[#This Row],[RK]],TableWRCalcPts[RK],0)),"")</f>
        <v>13</v>
      </c>
      <c r="AH57" s="279">
        <f>VLOOKUP(TableWRRanks32[[#This Row],[Player]],WR!B:O,4,FALSE)</f>
        <v>0</v>
      </c>
      <c r="AI57" s="279">
        <f>VLOOKUP(TableWRRanks32[[#This Row],[Player]],WR!B:O,5,FALSE)</f>
        <v>0</v>
      </c>
      <c r="AJ57" s="279">
        <f>VLOOKUP(TableWRRanks32[[#This Row],[Player]],WR!B:O,6,FALSE)</f>
        <v>83.561013770000017</v>
      </c>
      <c r="AK57" s="279">
        <f>VLOOKUP(TableWRRanks32[[#This Row],[Player]],WR!B:O,7,FALSE)</f>
        <v>56.955186985632011</v>
      </c>
      <c r="AL57" s="279">
        <f>VLOOKUP(TableWRRanks32[[#This Row],[Player]],WR!B:O,8,FALSE)</f>
        <v>738.13922333379094</v>
      </c>
      <c r="AM57" s="279">
        <f>VLOOKUP(TableWRRanks32[[#This Row],[Player]],WR!B:O,9,FALSE)</f>
        <v>4.6133701458361926</v>
      </c>
      <c r="AN57" s="272">
        <f>IFERROR(INDEX(TableWRCalcPts[Custom],MATCH(TableWRRanks32[[#This Row],[RK]],TableWRCalcPts[RK],0)),"")</f>
        <v>101.49414320839625</v>
      </c>
      <c r="AO5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7" s="274">
        <v>56</v>
      </c>
      <c r="AR57" s="274" t="str">
        <f>IFERROR(INDEX(TableTECalcPts[PLAYER],MATCH(TableTERanks33[[#This Row],[RK]],TableTECalcPts[RK],0)),"")</f>
        <v>Hunter Long</v>
      </c>
      <c r="AS57" s="22" t="str">
        <f>IFERROR(INDEX(TableTECalcPts[TM],MATCH(TableTERanks33[[#This Row],[Player]],TableTECalcPts[PLAYER],0)),"")</f>
        <v>MIA</v>
      </c>
      <c r="AT57" s="22">
        <f>IFERROR(INDEX(TableTECalcPts[BYE],MATCH(TableTERanks33[[#This Row],[RK]],TableTECalcPts[RK],0)),"")</f>
        <v>11</v>
      </c>
      <c r="AU57" s="279">
        <f>VLOOKUP(TableTERanks33[[#This Row],[Player]],TE!B:O,4,FALSE)</f>
        <v>19.529643809999996</v>
      </c>
      <c r="AV57" s="279">
        <f>VLOOKUP(TableTERanks33[[#This Row],[Player]],TE!B:O,5,FALSE)</f>
        <v>13.328981900324997</v>
      </c>
      <c r="AW57" s="279">
        <f>VLOOKUP(TableTERanks33[[#This Row],[Player]],TE!B:O,6,FALSE)</f>
        <v>133.6896884602597</v>
      </c>
      <c r="AX57" s="279">
        <f>VLOOKUP(TableTERanks33[[#This Row],[Player]],TE!B:O,7,FALSE)</f>
        <v>0.95968669682339969</v>
      </c>
      <c r="AY57" s="272">
        <f>IFERROR(INDEX(TableTECalcPts[Custom],MATCH(TableTERanks33[[#This Row],[RK]],TableTECalcPts[RK],0)),"")</f>
        <v>19.12708902696637</v>
      </c>
      <c r="AZ5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8" spans="1:52" x14ac:dyDescent="0.3">
      <c r="A58" s="22">
        <v>57</v>
      </c>
      <c r="B58" s="22" t="str">
        <f>IFERROR(INDEX(TableQBCalcPts[PLAYER],MATCH(TableQBRanks30[[#This Row],[RK]],TableQBCalcPts[RK],0)),"")</f>
        <v>Nick Foles</v>
      </c>
      <c r="C58" s="22" t="str">
        <f>IFERROR(INDEX(TableQBCalcPts[TM],MATCH(TableQBRanks30[[#This Row],[Player]],TableQBCalcPts[PLAYER],0)),"")</f>
        <v>IND</v>
      </c>
      <c r="D58" s="22">
        <f>IFERROR(INDEX(TableQBCalcPts[BYE],MATCH(TableQBRanks30[[#This Row],[RK]],TableQBCalcPts[RK],0)),"")</f>
        <v>14</v>
      </c>
      <c r="E58" s="279">
        <f>VLOOKUP(TableQBRanks30[[#This Row],[Player]],QB!B:O,4,FALSE)</f>
        <v>11.366136000000012</v>
      </c>
      <c r="F58" s="279">
        <f>VLOOKUP(TableQBRanks30[[#This Row],[Player]],QB!B:O,5,FALSE)</f>
        <v>6.4297080014047188</v>
      </c>
      <c r="G58" s="279">
        <f>VLOOKUP(TableQBRanks30[[#This Row],[Player]],QB!B:O,6,FALSE)</f>
        <v>73.877344936140219</v>
      </c>
      <c r="H58" s="279">
        <f>VLOOKUP(TableQBRanks30[[#This Row],[Player]],QB!B:O,7,FALSE)</f>
        <v>0.44073270056188585</v>
      </c>
      <c r="I58" s="279">
        <f>VLOOKUP(TableQBRanks30[[#This Row],[Player]],QB!B:O,8,FALSE)</f>
        <v>0.13434948629437438</v>
      </c>
      <c r="J58" s="279">
        <f>VLOOKUP(TableQBRanks30[[#This Row],[Player]],QB!B:O,9,FALSE)</f>
        <v>0</v>
      </c>
      <c r="K58" s="279">
        <f>VLOOKUP(TableQBRanks30[[#This Row],[Player]],QB!B:O,10,FALSE)</f>
        <v>0</v>
      </c>
      <c r="L58" s="279">
        <f>VLOOKUP(TableQBRanks30[[#This Row],[Player]],QB!B:O,11,FALSE)</f>
        <v>0</v>
      </c>
      <c r="M58" s="272">
        <f>IFERROR(INDEX(TableQBCalcPts[Custom],MATCH(TableQBRanks30[[#This Row],[RK]],TableQBCalcPts[RK],0)),"")</f>
        <v>4.449325627104403</v>
      </c>
      <c r="N58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8" s="22">
        <v>57</v>
      </c>
      <c r="Q58" s="22" t="str">
        <f>IFERROR(INDEX(TableRBCalcPts[PLAYER],MATCH(TableRBRanks31[[#This Row],[RK]],TableRBCalcPts[RK],0)),"")</f>
        <v>Darrel Williams</v>
      </c>
      <c r="R58" s="22" t="str">
        <f>IFERROR(INDEX(TableRBCalcPts[TM],MATCH(TableRBRanks31[[#This Row],[Player]],TableRBCalcPts[PLAYER],0)),"")</f>
        <v>ARI</v>
      </c>
      <c r="S58" s="22">
        <f>IFERROR(INDEX(TableRBCalcPts[BYE],MATCH(TableRBRanks31[[#This Row],[RK]],TableRBCalcPts[RK],0)),"")</f>
        <v>13</v>
      </c>
      <c r="T58" s="279">
        <f>VLOOKUP(TableRBRanks31[[#This Row],[Player]],RB!B:O,4,FALSE)</f>
        <v>102.31889289675634</v>
      </c>
      <c r="U58" s="279">
        <f>VLOOKUP(TableRBRanks31[[#This Row],[Player]],RB!B:O,5,FALSE)</f>
        <v>432.80891695327938</v>
      </c>
      <c r="V58" s="279">
        <f>VLOOKUP(TableRBRanks31[[#This Row],[Player]],RB!B:O,6,FALSE)</f>
        <v>3.7506209475200207</v>
      </c>
      <c r="W58" s="279">
        <f>VLOOKUP(TableRBRanks31[[#This Row],[Player]],RB!B:O,7,FALSE)</f>
        <v>21.825637925000002</v>
      </c>
      <c r="X58" s="279">
        <f>VLOOKUP(TableRBRanks31[[#This Row],[Player]],RB!B:O,8,FALSE)</f>
        <v>16.078947459347503</v>
      </c>
      <c r="Y58" s="279">
        <f>VLOOKUP(TableRBRanks31[[#This Row],[Player]],RB!B:O,9,FALSE)</f>
        <v>129.75710599693437</v>
      </c>
      <c r="Z58" s="279">
        <f>VLOOKUP(TableRBRanks31[[#This Row],[Player]],RB!B:O,10,FALSE)</f>
        <v>0.88507967666133036</v>
      </c>
      <c r="AA58" s="272">
        <f>IFERROR(INDEX(TableRBCalcPts[Custom],MATCH(TableRBRanks31[[#This Row],[RK]],TableRBCalcPts[RK],0)),"")</f>
        <v>84.070806040109474</v>
      </c>
      <c r="AB5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8" s="22">
        <v>57</v>
      </c>
      <c r="AE58" s="22" t="str">
        <f>IFERROR(INDEX(TableWRCalcPts[PLAYER],MATCH(TableWRRanks32[[#This Row],[RK]],TableWRCalcPts[RK],0)),"")</f>
        <v>Alec Pierce</v>
      </c>
      <c r="AF58" s="22" t="str">
        <f>IFERROR(INDEX(TableWRCalcPts[TM],MATCH(TableWRRanks32[[#This Row],[Player]],TableWRCalcPts[PLAYER],0)),"")</f>
        <v>IND</v>
      </c>
      <c r="AG58" s="22">
        <f>IFERROR(INDEX(TableWRCalcPts[BYE],MATCH(TableWRRanks32[[#This Row],[RK]],TableWRCalcPts[RK],0)),"")</f>
        <v>14</v>
      </c>
      <c r="AH58" s="279">
        <f>VLOOKUP(TableWRRanks32[[#This Row],[Player]],WR!B:O,4,FALSE)</f>
        <v>3.8731150143991542</v>
      </c>
      <c r="AI58" s="279">
        <f>VLOOKUP(TableWRRanks32[[#This Row],[Player]],WR!B:O,5,FALSE)</f>
        <v>0</v>
      </c>
      <c r="AJ58" s="279">
        <f>VLOOKUP(TableWRRanks32[[#This Row],[Player]],WR!B:O,6,FALSE)</f>
        <v>93.176375009372563</v>
      </c>
      <c r="AK58" s="279">
        <f>VLOOKUP(TableWRRanks32[[#This Row],[Player]],WR!B:O,7,FALSE)</f>
        <v>57.815940693315682</v>
      </c>
      <c r="AL58" s="279">
        <f>VLOOKUP(TableWRRanks32[[#This Row],[Player]],WR!B:O,8,FALSE)</f>
        <v>755.65434486163599</v>
      </c>
      <c r="AM58" s="279">
        <f>VLOOKUP(TableWRRanks32[[#This Row],[Player]],WR!B:O,9,FALSE)</f>
        <v>4.2444085740126756</v>
      </c>
      <c r="AN58" s="272">
        <f>IFERROR(INDEX(TableWRCalcPts[Custom],MATCH(TableWRRanks32[[#This Row],[RK]],TableWRCalcPts[RK],0)),"")</f>
        <v>101.41919743167956</v>
      </c>
      <c r="AO5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8" s="22">
        <v>57</v>
      </c>
      <c r="AR58" s="274" t="str">
        <f>IFERROR(INDEX(TableTECalcPts[PLAYER],MATCH(TableTERanks33[[#This Row],[RK]],TableTECalcPts[RK],0)),"")</f>
        <v>Drew Sample</v>
      </c>
      <c r="AS58" s="22" t="str">
        <f>IFERROR(INDEX(TableTECalcPts[TM],MATCH(TableTERanks33[[#This Row],[Player]],TableTECalcPts[PLAYER],0)),"")</f>
        <v>CIN</v>
      </c>
      <c r="AT58" s="22">
        <f>IFERROR(INDEX(TableTECalcPts[BYE],MATCH(TableTERanks33[[#This Row],[RK]],TableTECalcPts[RK],0)),"")</f>
        <v>10</v>
      </c>
      <c r="AU58" s="279">
        <f>VLOOKUP(TableTERanks33[[#This Row],[Player]],TE!B:O,4,FALSE)</f>
        <v>18.765650048805494</v>
      </c>
      <c r="AV58" s="279">
        <f>VLOOKUP(TableTERanks33[[#This Row],[Player]],TE!B:O,5,FALSE)</f>
        <v>12.535454232602071</v>
      </c>
      <c r="AW58" s="279">
        <f>VLOOKUP(TableTERanks33[[#This Row],[Player]],TE!B:O,6,FALSE)</f>
        <v>122.72209693717426</v>
      </c>
      <c r="AX58" s="279">
        <f>VLOOKUP(TableTERanks33[[#This Row],[Player]],TE!B:O,7,FALSE)</f>
        <v>1.0028363386081656</v>
      </c>
      <c r="AY58" s="272">
        <f>IFERROR(INDEX(TableTECalcPts[Custom],MATCH(TableTERanks33[[#This Row],[RK]],TableTECalcPts[RK],0)),"")</f>
        <v>18.28922772536642</v>
      </c>
      <c r="AZ5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59" spans="1:52" x14ac:dyDescent="0.3">
      <c r="A59" s="22">
        <v>58</v>
      </c>
      <c r="B59" s="22" t="str">
        <f>IFERROR(INDEX(TableQBCalcPts[PLAYER],MATCH(TableQBRanks30[[#This Row],[RK]],TableQBCalcPts[RK],0)),"")</f>
        <v>Jordan Love</v>
      </c>
      <c r="C59" s="22" t="str">
        <f>IFERROR(INDEX(TableQBCalcPts[TM],MATCH(TableQBRanks30[[#This Row],[Player]],TableQBCalcPts[PLAYER],0)),"")</f>
        <v>GB</v>
      </c>
      <c r="D59" s="22">
        <f>IFERROR(INDEX(TableQBCalcPts[BYE],MATCH(TableQBRanks30[[#This Row],[RK]],TableQBCalcPts[RK],0)),"")</f>
        <v>14</v>
      </c>
      <c r="E59" s="279">
        <f>VLOOKUP(TableQBRanks30[[#This Row],[Player]],QB!B:O,4,FALSE)</f>
        <v>5.9250539000000044</v>
      </c>
      <c r="F59" s="279">
        <f>VLOOKUP(TableQBRanks30[[#This Row],[Player]],QB!B:O,5,FALSE)</f>
        <v>3.6012734522123306</v>
      </c>
      <c r="G59" s="279">
        <f>VLOOKUP(TableQBRanks30[[#This Row],[Player]],QB!B:O,6,FALSE)</f>
        <v>39.28989336363653</v>
      </c>
      <c r="H59" s="279">
        <f>VLOOKUP(TableQBRanks30[[#This Row],[Player]],QB!B:O,7,FALSE)</f>
        <v>0.30854834661250868</v>
      </c>
      <c r="I59" s="279">
        <f>VLOOKUP(TableQBRanks30[[#This Row],[Player]],QB!B:O,8,FALSE)</f>
        <v>0.10502073286668255</v>
      </c>
      <c r="J59" s="279">
        <f>VLOOKUP(TableQBRanks30[[#This Row],[Player]],QB!B:O,9,FALSE)</f>
        <v>2.7249439991546445</v>
      </c>
      <c r="K59" s="279">
        <f>VLOOKUP(TableQBRanks30[[#This Row],[Player]],QB!B:O,10,FALSE)</f>
        <v>11.639760789049562</v>
      </c>
      <c r="L59" s="279">
        <f>VLOOKUP(TableQBRanks30[[#This Row],[Player]],QB!B:O,11,FALSE)</f>
        <v>5.9998766953863726E-2</v>
      </c>
      <c r="M59" s="272">
        <f>IFERROR(INDEX(TableQBCalcPts[Custom],MATCH(TableQBRanks30[[#This Row],[RK]],TableQBCalcPts[RK],0)),"")</f>
        <v>4.1197163358902698</v>
      </c>
      <c r="N59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59" s="22">
        <v>58</v>
      </c>
      <c r="Q59" s="22" t="str">
        <f>IFERROR(INDEX(TableRBCalcPts[PLAYER],MATCH(TableRBRanks31[[#This Row],[RK]],TableRBCalcPts[RK],0)),"")</f>
        <v>James White</v>
      </c>
      <c r="R59" s="22" t="str">
        <f>IFERROR(INDEX(TableRBCalcPts[TM],MATCH(TableRBRanks31[[#This Row],[Player]],TableRBCalcPts[PLAYER],0)),"")</f>
        <v>NE</v>
      </c>
      <c r="S59" s="22">
        <f>IFERROR(INDEX(TableRBCalcPts[BYE],MATCH(TableRBRanks31[[#This Row],[RK]],TableRBCalcPts[RK],0)),"")</f>
        <v>10</v>
      </c>
      <c r="T59" s="279">
        <f>VLOOKUP(TableRBRanks31[[#This Row],[Player]],RB!B:O,4,FALSE)</f>
        <v>38.039071892760639</v>
      </c>
      <c r="U59" s="279">
        <f>VLOOKUP(TableRBRanks31[[#This Row],[Player]],RB!B:O,5,FALSE)</f>
        <v>151.39550613318735</v>
      </c>
      <c r="V59" s="279">
        <f>VLOOKUP(TableRBRanks31[[#This Row],[Player]],RB!B:O,6,FALSE)</f>
        <v>1.3865858465498844</v>
      </c>
      <c r="W59" s="279">
        <f>VLOOKUP(TableRBRanks31[[#This Row],[Player]],RB!B:O,7,FALSE)</f>
        <v>61.943836262065162</v>
      </c>
      <c r="X59" s="279">
        <f>VLOOKUP(TableRBRanks31[[#This Row],[Player]],RB!B:O,8,FALSE)</f>
        <v>48.749799138245287</v>
      </c>
      <c r="Y59" s="279">
        <f>VLOOKUP(TableRBRanks31[[#This Row],[Player]],RB!B:O,9,FALSE)</f>
        <v>392.92338105425705</v>
      </c>
      <c r="Z59" s="279">
        <f>VLOOKUP(TableRBRanks31[[#This Row],[Player]],RB!B:O,10,FALSE)</f>
        <v>2.3881553119191361</v>
      </c>
      <c r="AA59" s="272">
        <f>IFERROR(INDEX(TableRBCalcPts[Custom],MATCH(TableRBRanks31[[#This Row],[RK]],TableRBCalcPts[RK],0)),"")</f>
        <v>77.080335669558565</v>
      </c>
      <c r="AB5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59" s="22">
        <v>58</v>
      </c>
      <c r="AE59" s="274" t="str">
        <f>IFERROR(INDEX(TableWRCalcPts[PLAYER],MATCH(TableWRRanks32[[#This Row],[RK]],TableWRCalcPts[RK],0)),"")</f>
        <v>Jarvis Landry</v>
      </c>
      <c r="AF59" s="22" t="str">
        <f>IFERROR(INDEX(TableWRCalcPts[TM],MATCH(TableWRRanks32[[#This Row],[Player]],TableWRCalcPts[PLAYER],0)),"")</f>
        <v>NO</v>
      </c>
      <c r="AG59" s="22">
        <f>IFERROR(INDEX(TableWRCalcPts[BYE],MATCH(TableWRRanks32[[#This Row],[RK]],TableWRCalcPts[RK],0)),"")</f>
        <v>14</v>
      </c>
      <c r="AH59" s="279">
        <f>VLOOKUP(TableWRRanks32[[#This Row],[Player]],WR!B:O,4,FALSE)</f>
        <v>18.629229641162276</v>
      </c>
      <c r="AI59" s="279">
        <f>VLOOKUP(TableWRRanks32[[#This Row],[Player]],WR!B:O,5,FALSE)</f>
        <v>0.29993392982193284</v>
      </c>
      <c r="AJ59" s="279">
        <f>VLOOKUP(TableWRRanks32[[#This Row],[Player]],WR!B:O,6,FALSE)</f>
        <v>96.474156724420652</v>
      </c>
      <c r="AK59" s="279">
        <f>VLOOKUP(TableWRRanks32[[#This Row],[Player]],WR!B:O,7,FALSE)</f>
        <v>61.145320531937813</v>
      </c>
      <c r="AL59" s="279">
        <f>VLOOKUP(TableWRRanks32[[#This Row],[Player]],WR!B:O,8,FALSE)</f>
        <v>739.53742062999549</v>
      </c>
      <c r="AM59" s="279">
        <f>VLOOKUP(TableWRRanks32[[#This Row],[Player]],WR!B:O,9,FALSE)</f>
        <v>3.7910098729801445</v>
      </c>
      <c r="AN59" s="272">
        <f>IFERROR(INDEX(TableWRCalcPts[Custom],MATCH(TableWRRanks32[[#This Row],[RK]],TableWRCalcPts[RK],0)),"")</f>
        <v>100.36232784392826</v>
      </c>
      <c r="AO5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59" s="22">
        <v>58</v>
      </c>
      <c r="AR59" s="22" t="str">
        <f>IFERROR(INDEX(TableTECalcPts[PLAYER],MATCH(TableTERanks33[[#This Row],[RK]],TableTECalcPts[RK],0)),"")</f>
        <v>Maxx Williams</v>
      </c>
      <c r="AS59" s="22" t="str">
        <f>IFERROR(INDEX(TableTECalcPts[TM],MATCH(TableTERanks33[[#This Row],[Player]],TableTECalcPts[PLAYER],0)),"")</f>
        <v>ARI</v>
      </c>
      <c r="AT59" s="22">
        <f>IFERROR(INDEX(TableTECalcPts[BYE],MATCH(TableTERanks33[[#This Row],[RK]],TableTECalcPts[RK],0)),"")</f>
        <v>13</v>
      </c>
      <c r="AU59" s="279">
        <f>VLOOKUP(TableTERanks33[[#This Row],[Player]],TE!B:O,4,FALSE)</f>
        <v>17.460510340000003</v>
      </c>
      <c r="AV59" s="279">
        <f>VLOOKUP(TableTERanks33[[#This Row],[Player]],TE!B:O,5,FALSE)</f>
        <v>11.384252741680003</v>
      </c>
      <c r="AW59" s="279">
        <f>VLOOKUP(TableTERanks33[[#This Row],[Player]],TE!B:O,6,FALSE)</f>
        <v>126.02367785039763</v>
      </c>
      <c r="AX59" s="279">
        <f>VLOOKUP(TableTERanks33[[#This Row],[Player]],TE!B:O,7,FALSE)</f>
        <v>0.77404730374425734</v>
      </c>
      <c r="AY59" s="272">
        <f>IFERROR(INDEX(TableTECalcPts[Custom],MATCH(TableTERanks33[[#This Row],[RK]],TableTECalcPts[RK],0)),"")</f>
        <v>17.246651607505306</v>
      </c>
      <c r="AZ5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0" spans="1:52" x14ac:dyDescent="0.3">
      <c r="A60" s="22">
        <v>59</v>
      </c>
      <c r="B60" s="22" t="str">
        <f>IFERROR(INDEX(TableQBCalcPts[PLAYER],MATCH(TableQBRanks30[[#This Row],[RK]],TableQBCalcPts[RK],0)),"")</f>
        <v>Case Keenum</v>
      </c>
      <c r="C60" s="22" t="str">
        <f>IFERROR(INDEX(TableQBCalcPts[TM],MATCH(TableQBRanks30[[#This Row],[Player]],TableQBCalcPts[PLAYER],0)),"")</f>
        <v>BUF</v>
      </c>
      <c r="D60" s="22">
        <f>IFERROR(INDEX(TableQBCalcPts[BYE],MATCH(TableQBRanks30[[#This Row],[RK]],TableQBCalcPts[RK],0)),"")</f>
        <v>7</v>
      </c>
      <c r="E60" s="279">
        <f>VLOOKUP(TableQBRanks30[[#This Row],[Player]],QB!B:O,4,FALSE)</f>
        <v>6.5853161500000059</v>
      </c>
      <c r="F60" s="279">
        <f>VLOOKUP(TableQBRanks30[[#This Row],[Player]],QB!B:O,5,FALSE)</f>
        <v>4.368299701908632</v>
      </c>
      <c r="G60" s="279">
        <f>VLOOKUP(TableQBRanks30[[#This Row],[Player]],QB!B:O,6,FALSE)</f>
        <v>46.260293843212409</v>
      </c>
      <c r="H60" s="279">
        <f>VLOOKUP(TableQBRanks30[[#This Row],[Player]],QB!B:O,7,FALSE)</f>
        <v>0.37200896910894371</v>
      </c>
      <c r="I60" s="279">
        <f>VLOOKUP(TableQBRanks30[[#This Row],[Player]],QB!B:O,8,FALSE)</f>
        <v>0.10583638724706224</v>
      </c>
      <c r="J60" s="279">
        <f>VLOOKUP(TableQBRanks30[[#This Row],[Player]],QB!B:O,9,FALSE)</f>
        <v>0.83370743920929435</v>
      </c>
      <c r="K60" s="279">
        <f>VLOOKUP(TableQBRanks30[[#This Row],[Player]],QB!B:O,10,FALSE)</f>
        <v>3.2014365665636904</v>
      </c>
      <c r="L60" s="279">
        <f>VLOOKUP(TableQBRanks30[[#This Row],[Player]],QB!B:O,11,FALSE)</f>
        <v>0</v>
      </c>
      <c r="M60" s="272">
        <f>IFERROR(INDEX(TableQBCalcPts[Custom],MATCH(TableQBRanks30[[#This Row],[RK]],TableQBCalcPts[RK],0)),"")</f>
        <v>3.446918512326516</v>
      </c>
      <c r="N60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0" s="22">
        <v>59</v>
      </c>
      <c r="Q60" s="22" t="str">
        <f>IFERROR(INDEX(TableRBCalcPts[PLAYER],MATCH(TableRBRanks31[[#This Row],[RK]],TableRBCalcPts[RK],0)),"")</f>
        <v>Rex Burkhead</v>
      </c>
      <c r="R60" s="22" t="str">
        <f>IFERROR(INDEX(TableRBCalcPts[TM],MATCH(TableRBRanks31[[#This Row],[Player]],TableRBCalcPts[PLAYER],0)),"")</f>
        <v>HOU</v>
      </c>
      <c r="S60" s="22">
        <f>IFERROR(INDEX(TableRBCalcPts[BYE],MATCH(TableRBRanks31[[#This Row],[RK]],TableRBCalcPts[RK],0)),"")</f>
        <v>6</v>
      </c>
      <c r="T60" s="279">
        <f>VLOOKUP(TableRBRanks31[[#This Row],[Player]],RB!B:O,4,FALSE)</f>
        <v>72.166213528547274</v>
      </c>
      <c r="U60" s="279">
        <f>VLOOKUP(TableRBRanks31[[#This Row],[Player]],RB!B:O,5,FALSE)</f>
        <v>284.74453602331931</v>
      </c>
      <c r="V60" s="279">
        <f>VLOOKUP(TableRBRanks31[[#This Row],[Player]],RB!B:O,6,FALSE)</f>
        <v>2.0350872215050333</v>
      </c>
      <c r="W60" s="279">
        <f>VLOOKUP(TableRBRanks31[[#This Row],[Player]],RB!B:O,7,FALSE)</f>
        <v>49.440054905198672</v>
      </c>
      <c r="X60" s="279">
        <f>VLOOKUP(TableRBRanks31[[#This Row],[Player]],RB!B:O,8,FALSE)</f>
        <v>35.695719641553438</v>
      </c>
      <c r="Y60" s="279">
        <f>VLOOKUP(TableRBRanks31[[#This Row],[Player]],RB!B:O,9,FALSE)</f>
        <v>267.00398291881976</v>
      </c>
      <c r="Z60" s="279">
        <f>VLOOKUP(TableRBRanks31[[#This Row],[Player]],RB!B:O,10,FALSE)</f>
        <v>1.4278287856621377</v>
      </c>
      <c r="AA60" s="272">
        <f>IFERROR(INDEX(TableRBCalcPts[Custom],MATCH(TableRBRanks31[[#This Row],[RK]],TableRBCalcPts[RK],0)),"")</f>
        <v>75.952347937216942</v>
      </c>
      <c r="AB6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0" s="274">
        <v>59</v>
      </c>
      <c r="AE60" s="274" t="str">
        <f>IFERROR(INDEX(TableWRCalcPts[PLAYER],MATCH(TableWRRanks32[[#This Row],[RK]],TableWRCalcPts[RK],0)),"")</f>
        <v>Robbie Anderson</v>
      </c>
      <c r="AF60" s="22" t="str">
        <f>IFERROR(INDEX(TableWRCalcPts[TM],MATCH(TableWRRanks32[[#This Row],[Player]],TableWRCalcPts[PLAYER],0)),"")</f>
        <v>CAR</v>
      </c>
      <c r="AG60" s="22">
        <f>IFERROR(INDEX(TableWRCalcPts[BYE],MATCH(TableWRRanks32[[#This Row],[RK]],TableWRCalcPts[RK],0)),"")</f>
        <v>13</v>
      </c>
      <c r="AH60" s="279">
        <f>VLOOKUP(TableWRRanks32[[#This Row],[Player]],WR!B:O,4,FALSE)</f>
        <v>27.87726981289369</v>
      </c>
      <c r="AI60" s="279">
        <f>VLOOKUP(TableWRRanks32[[#This Row],[Player]],WR!B:O,5,FALSE)</f>
        <v>2.5009213238681677E-2</v>
      </c>
      <c r="AJ60" s="279">
        <f>VLOOKUP(TableWRRanks32[[#This Row],[Player]],WR!B:O,6,FALSE)</f>
        <v>106.71375233814331</v>
      </c>
      <c r="AK60" s="279">
        <f>VLOOKUP(TableWRRanks32[[#This Row],[Player]],WR!B:O,7,FALSE)</f>
        <v>55.490055592093888</v>
      </c>
      <c r="AL60" s="279">
        <f>VLOOKUP(TableWRRanks32[[#This Row],[Player]],WR!B:O,8,FALSE)</f>
        <v>692.05183139774715</v>
      </c>
      <c r="AM60" s="279">
        <f>VLOOKUP(TableWRRanks32[[#This Row],[Player]],WR!B:O,9,FALSE)</f>
        <v>4.4800054754688707</v>
      </c>
      <c r="AN60" s="272">
        <f>IFERROR(INDEX(TableWRCalcPts[Custom],MATCH(TableWRRanks32[[#This Row],[RK]],TableWRCalcPts[RK],0)),"")</f>
        <v>99.022998253309396</v>
      </c>
      <c r="AO6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0" s="274">
        <v>59</v>
      </c>
      <c r="AR60" s="274" t="str">
        <f>IFERROR(INDEX(TableTECalcPts[PLAYER],MATCH(TableTERanks33[[#This Row],[RK]],TableTECalcPts[RK],0)),"")</f>
        <v>Jelani Woods</v>
      </c>
      <c r="AS60" s="22" t="str">
        <f>IFERROR(INDEX(TableTECalcPts[TM],MATCH(TableTERanks33[[#This Row],[Player]],TableTECalcPts[PLAYER],0)),"")</f>
        <v>IND</v>
      </c>
      <c r="AT60" s="22">
        <f>IFERROR(INDEX(TableTECalcPts[BYE],MATCH(TableTERanks33[[#This Row],[RK]],TableTECalcPts[RK],0)),"")</f>
        <v>14</v>
      </c>
      <c r="AU60" s="279">
        <f>VLOOKUP(TableTERanks33[[#This Row],[Player]],TE!B:O,4,FALSE)</f>
        <v>18.180756099389768</v>
      </c>
      <c r="AV60" s="279">
        <f>VLOOKUP(TableTERanks33[[#This Row],[Player]],TE!B:O,5,FALSE)</f>
        <v>11.235707269422877</v>
      </c>
      <c r="AW60" s="279">
        <f>VLOOKUP(TableTERanks33[[#This Row],[Player]],TE!B:O,6,FALSE)</f>
        <v>120.14582331268096</v>
      </c>
      <c r="AX60" s="279">
        <f>VLOOKUP(TableTERanks33[[#This Row],[Player]],TE!B:O,7,FALSE)</f>
        <v>0.85950729297637485</v>
      </c>
      <c r="AY60" s="272">
        <f>IFERROR(INDEX(TableTECalcPts[Custom],MATCH(TableTERanks33[[#This Row],[RK]],TableTECalcPts[RK],0)),"")</f>
        <v>17.171626089126345</v>
      </c>
      <c r="AZ6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1" spans="1:52" x14ac:dyDescent="0.3">
      <c r="A61" s="22">
        <v>60</v>
      </c>
      <c r="B61" s="22" t="str">
        <f>IFERROR(INDEX(TableQBCalcPts[PLAYER],MATCH(TableQBRanks30[[#This Row],[RK]],TableQBCalcPts[RK],0)),"")</f>
        <v>Mason Rudolph</v>
      </c>
      <c r="C61" s="22" t="str">
        <f>IFERROR(INDEX(TableQBCalcPts[TM],MATCH(TableQBRanks30[[#This Row],[Player]],TableQBCalcPts[PLAYER],0)),"")</f>
        <v>PIT</v>
      </c>
      <c r="D61" s="22">
        <f>IFERROR(INDEX(TableQBCalcPts[BYE],MATCH(TableQBRanks30[[#This Row],[RK]],TableQBCalcPts[RK],0)),"")</f>
        <v>9</v>
      </c>
      <c r="E61" s="279">
        <f>VLOOKUP(TableQBRanks30[[#This Row],[Player]],QB!B:O,4,FALSE)</f>
        <v>13.196013600000011</v>
      </c>
      <c r="F61" s="279">
        <f>VLOOKUP(TableQBRanks30[[#This Row],[Player]],QB!B:O,5,FALSE)</f>
        <v>8.2079204592000075</v>
      </c>
      <c r="G61" s="279">
        <f>VLOOKUP(TableQBRanks30[[#This Row],[Player]],QB!B:O,6,FALSE)</f>
        <v>69.767323903200065</v>
      </c>
      <c r="H61" s="279">
        <f>VLOOKUP(TableQBRanks30[[#This Row],[Player]],QB!B:O,7,FALSE)</f>
        <v>0.39398018204160035</v>
      </c>
      <c r="I61" s="279">
        <f>VLOOKUP(TableQBRanks30[[#This Row],[Player]],QB!B:O,8,FALSE)</f>
        <v>0.47605938663360048</v>
      </c>
      <c r="J61" s="279">
        <f>VLOOKUP(TableQBRanks30[[#This Row],[Player]],QB!B:O,9,FALSE)</f>
        <v>0</v>
      </c>
      <c r="K61" s="279">
        <f>VLOOKUP(TableQBRanks30[[#This Row],[Player]],QB!B:O,10,FALSE)</f>
        <v>0</v>
      </c>
      <c r="L61" s="279">
        <f>VLOOKUP(TableQBRanks30[[#This Row],[Player]],QB!B:O,11,FALSE)</f>
        <v>0</v>
      </c>
      <c r="M61" s="272">
        <f>IFERROR(INDEX(TableQBCalcPts[Custom],MATCH(TableQBRanks30[[#This Row],[RK]],TableQBCalcPts[RK],0)),"")</f>
        <v>3.4144949110272025</v>
      </c>
      <c r="N61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1" s="22">
        <v>60</v>
      </c>
      <c r="Q61" s="22" t="str">
        <f>IFERROR(INDEX(TableRBCalcPts[PLAYER],MATCH(TableRBRanks31[[#This Row],[RK]],TableRBCalcPts[RK],0)),"")</f>
        <v>Damien Williams</v>
      </c>
      <c r="R61" s="22" t="str">
        <f>IFERROR(INDEX(TableRBCalcPts[TM],MATCH(TableRBRanks31[[#This Row],[Player]],TableRBCalcPts[PLAYER],0)),"")</f>
        <v>ATL</v>
      </c>
      <c r="S61" s="22">
        <f>IFERROR(INDEX(TableRBCalcPts[BYE],MATCH(TableRBRanks31[[#This Row],[RK]],TableRBCalcPts[RK],0)),"")</f>
        <v>14</v>
      </c>
      <c r="T61" s="279">
        <f>VLOOKUP(TableRBRanks31[[#This Row],[Player]],RB!B:O,4,FALSE)</f>
        <v>84.6410882873285</v>
      </c>
      <c r="U61" s="279">
        <f>VLOOKUP(TableRBRanks31[[#This Row],[Player]],RB!B:O,5,FALSE)</f>
        <v>347.02846197804683</v>
      </c>
      <c r="V61" s="279">
        <f>VLOOKUP(TableRBRanks31[[#This Row],[Player]],RB!B:O,6,FALSE)</f>
        <v>2.5984814104209852</v>
      </c>
      <c r="W61" s="279">
        <f>VLOOKUP(TableRBRanks31[[#This Row],[Player]],RB!B:O,7,FALSE)</f>
        <v>34.964247433504084</v>
      </c>
      <c r="X61" s="279">
        <f>VLOOKUP(TableRBRanks31[[#This Row],[Player]],RB!B:O,8,FALSE)</f>
        <v>27.146241707372571</v>
      </c>
      <c r="Y61" s="279">
        <f>VLOOKUP(TableRBRanks31[[#This Row],[Player]],RB!B:O,9,FALSE)</f>
        <v>184.34204883345504</v>
      </c>
      <c r="Z61" s="279">
        <f>VLOOKUP(TableRBRanks31[[#This Row],[Player]],RB!B:O,10,FALSE)</f>
        <v>1.1705125842535893</v>
      </c>
      <c r="AA61" s="272">
        <f>IFERROR(INDEX(TableRBCalcPts[Custom],MATCH(TableRBRanks31[[#This Row],[RK]],TableRBCalcPts[RK],0)),"")</f>
        <v>75.751015049197633</v>
      </c>
      <c r="AB6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1" s="22">
        <v>60</v>
      </c>
      <c r="AE61" s="22" t="str">
        <f>IFERROR(INDEX(TableWRCalcPts[PLAYER],MATCH(TableWRRanks32[[#This Row],[RK]],TableWRCalcPts[RK],0)),"")</f>
        <v>Jahan Dotson</v>
      </c>
      <c r="AF61" s="22" t="str">
        <f>IFERROR(INDEX(TableWRCalcPts[TM],MATCH(TableWRRanks32[[#This Row],[Player]],TableWRCalcPts[PLAYER],0)),"")</f>
        <v>WSH</v>
      </c>
      <c r="AG61" s="22">
        <f>IFERROR(INDEX(TableWRCalcPts[BYE],MATCH(TableWRRanks32[[#This Row],[RK]],TableWRCalcPts[RK],0)),"")</f>
        <v>14</v>
      </c>
      <c r="AH61" s="279">
        <f>VLOOKUP(TableWRRanks32[[#This Row],[Player]],WR!B:O,4,FALSE)</f>
        <v>28.74270916662784</v>
      </c>
      <c r="AI61" s="279">
        <f>VLOOKUP(TableWRRanks32[[#This Row],[Player]],WR!B:O,5,FALSE)</f>
        <v>0</v>
      </c>
      <c r="AJ61" s="279">
        <f>VLOOKUP(TableWRRanks32[[#This Row],[Player]],WR!B:O,6,FALSE)</f>
        <v>93.115989987625184</v>
      </c>
      <c r="AK61" s="279">
        <f>VLOOKUP(TableWRRanks32[[#This Row],[Player]],WR!B:O,7,FALSE)</f>
        <v>56.303950415197562</v>
      </c>
      <c r="AL61" s="279">
        <f>VLOOKUP(TableWRRanks32[[#This Row],[Player]],WR!B:O,8,FALSE)</f>
        <v>694.22770861938591</v>
      </c>
      <c r="AM61" s="279">
        <f>VLOOKUP(TableWRRanks32[[#This Row],[Player]],WR!B:O,9,FALSE)</f>
        <v>4.2791002315550148</v>
      </c>
      <c r="AN61" s="272">
        <f>IFERROR(INDEX(TableWRCalcPts[Custom],MATCH(TableWRRanks32[[#This Row],[RK]],TableWRCalcPts[RK],0)),"")</f>
        <v>97.971643167931461</v>
      </c>
      <c r="AO6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1" s="22">
        <v>60</v>
      </c>
      <c r="AR61" s="274" t="str">
        <f>IFERROR(INDEX(TableTECalcPts[PLAYER],MATCH(TableTERanks33[[#This Row],[RK]],TableTECalcPts[RK],0)),"")</f>
        <v>Ryan Griffin</v>
      </c>
      <c r="AS61" s="22" t="str">
        <f>IFERROR(INDEX(TableTECalcPts[TM],MATCH(TableTERanks33[[#This Row],[Player]],TableTECalcPts[PLAYER],0)),"")</f>
        <v>CHI</v>
      </c>
      <c r="AT61" s="22">
        <f>IFERROR(INDEX(TableTECalcPts[BYE],MATCH(TableTERanks33[[#This Row],[RK]],TableTECalcPts[RK],0)),"")</f>
        <v>14</v>
      </c>
      <c r="AU61" s="279">
        <f>VLOOKUP(TableTERanks33[[#This Row],[Player]],TE!B:O,4,FALSE)</f>
        <v>17.559435939947107</v>
      </c>
      <c r="AV61" s="279">
        <f>VLOOKUP(TableTERanks33[[#This Row],[Player]],TE!B:O,5,FALSE)</f>
        <v>10.588339871788106</v>
      </c>
      <c r="AW61" s="279">
        <f>VLOOKUP(TableTERanks33[[#This Row],[Player]],TE!B:O,6,FALSE)</f>
        <v>121.9722206098712</v>
      </c>
      <c r="AX61" s="279">
        <f>VLOOKUP(TableTERanks33[[#This Row],[Player]],TE!B:O,7,FALSE)</f>
        <v>0.7510792602793479</v>
      </c>
      <c r="AY61" s="272">
        <f>IFERROR(INDEX(TableTECalcPts[Custom],MATCH(TableTERanks33[[#This Row],[RK]],TableTECalcPts[RK],0)),"")</f>
        <v>16.703697622663206</v>
      </c>
      <c r="AZ6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2" spans="1:52" x14ac:dyDescent="0.3">
      <c r="A62" s="22">
        <v>61</v>
      </c>
      <c r="B62" s="22" t="str">
        <f>IFERROR(INDEX(TableQBCalcPts[PLAYER],MATCH(TableQBRanks30[[#This Row],[RK]],TableQBCalcPts[RK],0)),"")</f>
        <v>Kyle Trask</v>
      </c>
      <c r="C62" s="22" t="str">
        <f>IFERROR(INDEX(TableQBCalcPts[TM],MATCH(TableQBRanks30[[#This Row],[Player]],TableQBCalcPts[PLAYER],0)),"")</f>
        <v>TB</v>
      </c>
      <c r="D62" s="22">
        <f>IFERROR(INDEX(TableQBCalcPts[BYE],MATCH(TableQBRanks30[[#This Row],[RK]],TableQBCalcPts[RK],0)),"")</f>
        <v>11</v>
      </c>
      <c r="E62" s="279">
        <f>VLOOKUP(TableQBRanks30[[#This Row],[Player]],QB!B:O,4,FALSE)</f>
        <v>7.0770700000000062</v>
      </c>
      <c r="F62" s="279">
        <f>VLOOKUP(TableQBRanks30[[#This Row],[Player]],QB!B:O,5,FALSE)</f>
        <v>4.367179272151902</v>
      </c>
      <c r="G62" s="279">
        <f>VLOOKUP(TableQBRanks30[[#This Row],[Player]],QB!B:O,6,FALSE)</f>
        <v>43.746445358649822</v>
      </c>
      <c r="H62" s="279">
        <f>VLOOKUP(TableQBRanks30[[#This Row],[Player]],QB!B:O,7,FALSE)</f>
        <v>0.34762747006329142</v>
      </c>
      <c r="I62" s="279">
        <f>VLOOKUP(TableQBRanks30[[#This Row],[Player]],QB!B:O,8,FALSE)</f>
        <v>9.6741312990706693E-2</v>
      </c>
      <c r="J62" s="279">
        <f>VLOOKUP(TableQBRanks30[[#This Row],[Player]],QB!B:O,9,FALSE)</f>
        <v>0</v>
      </c>
      <c r="K62" s="279">
        <f>VLOOKUP(TableQBRanks30[[#This Row],[Player]],QB!B:O,10,FALSE)</f>
        <v>0</v>
      </c>
      <c r="L62" s="279">
        <f>VLOOKUP(TableQBRanks30[[#This Row],[Player]],QB!B:O,11,FALSE)</f>
        <v>0</v>
      </c>
      <c r="M62" s="272">
        <f>IFERROR(INDEX(TableQBCalcPts[Custom],MATCH(TableQBRanks30[[#This Row],[RK]],TableQBCalcPts[RK],0)),"")</f>
        <v>2.9468850686177452</v>
      </c>
      <c r="N62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2" s="22">
        <v>61</v>
      </c>
      <c r="Q62" s="22" t="str">
        <f>IFERROR(INDEX(TableRBCalcPts[PLAYER],MATCH(TableRBRanks31[[#This Row],[RK]],TableRBCalcPts[RK],0)),"")</f>
        <v>Chris Evans</v>
      </c>
      <c r="R62" s="22" t="str">
        <f>IFERROR(INDEX(TableRBCalcPts[TM],MATCH(TableRBRanks31[[#This Row],[Player]],TableRBCalcPts[PLAYER],0)),"")</f>
        <v>CIN</v>
      </c>
      <c r="S62" s="22">
        <f>IFERROR(INDEX(TableRBCalcPts[BYE],MATCH(TableRBRanks31[[#This Row],[RK]],TableRBCalcPts[RK],0)),"")</f>
        <v>10</v>
      </c>
      <c r="T62" s="279">
        <f>VLOOKUP(TableRBRanks31[[#This Row],[Player]],RB!B:O,4,FALSE)</f>
        <v>66.279535150341914</v>
      </c>
      <c r="U62" s="279">
        <f>VLOOKUP(TableRBRanks31[[#This Row],[Player]],RB!B:O,5,FALSE)</f>
        <v>274.34533016958886</v>
      </c>
      <c r="V62" s="279">
        <f>VLOOKUP(TableRBRanks31[[#This Row],[Player]],RB!B:O,6,FALSE)</f>
        <v>1.8558269842095736</v>
      </c>
      <c r="W62" s="279">
        <f>VLOOKUP(TableRBRanks31[[#This Row],[Player]],RB!B:O,7,FALSE)</f>
        <v>33.152648419556371</v>
      </c>
      <c r="X62" s="279">
        <f>VLOOKUP(TableRBRanks31[[#This Row],[Player]],RB!B:O,8,FALSE)</f>
        <v>22.016673815427385</v>
      </c>
      <c r="Y62" s="279">
        <f>VLOOKUP(TableRBRanks31[[#This Row],[Player]],RB!B:O,9,FALSE)</f>
        <v>170.66607267687289</v>
      </c>
      <c r="Z62" s="279">
        <f>VLOOKUP(TableRBRanks31[[#This Row],[Player]],RB!B:O,10,FALSE)</f>
        <v>1.2549504074793609</v>
      </c>
      <c r="AA62" s="272">
        <f>IFERROR(INDEX(TableRBCalcPts[Custom],MATCH(TableRBRanks31[[#This Row],[RK]],TableRBCalcPts[RK],0)),"")</f>
        <v>63.165804634779782</v>
      </c>
      <c r="AB6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2" s="22">
        <v>61</v>
      </c>
      <c r="AE62" s="274" t="str">
        <f>IFERROR(INDEX(TableWRCalcPts[PLAYER],MATCH(TableWRRanks32[[#This Row],[RK]],TableWRCalcPts[RK],0)),"")</f>
        <v>Kadarius Toney</v>
      </c>
      <c r="AF62" s="22" t="str">
        <f>IFERROR(INDEX(TableWRCalcPts[TM],MATCH(TableWRRanks32[[#This Row],[Player]],TableWRCalcPts[PLAYER],0)),"")</f>
        <v>NYG</v>
      </c>
      <c r="AG62" s="22">
        <f>IFERROR(INDEX(TableWRCalcPts[BYE],MATCH(TableWRRanks32[[#This Row],[RK]],TableWRCalcPts[RK],0)),"")</f>
        <v>9</v>
      </c>
      <c r="AH62" s="279">
        <f>VLOOKUP(TableWRRanks32[[#This Row],[Player]],WR!B:O,4,FALSE)</f>
        <v>34.228866245693126</v>
      </c>
      <c r="AI62" s="279">
        <f>VLOOKUP(TableWRRanks32[[#This Row],[Player]],WR!B:O,5,FALSE)</f>
        <v>2.5012690356819439E-2</v>
      </c>
      <c r="AJ62" s="279">
        <f>VLOOKUP(TableWRRanks32[[#This Row],[Player]],WR!B:O,6,FALSE)</f>
        <v>90.120261414994133</v>
      </c>
      <c r="AK62" s="279">
        <f>VLOOKUP(TableWRRanks32[[#This Row],[Player]],WR!B:O,7,FALSE)</f>
        <v>58.623230050453678</v>
      </c>
      <c r="AL62" s="279">
        <f>VLOOKUP(TableWRRanks32[[#This Row],[Player]],WR!B:O,8,FALSE)</f>
        <v>702.30629600443513</v>
      </c>
      <c r="AM62" s="279">
        <f>VLOOKUP(TableWRRanks32[[#This Row],[Player]],WR!B:O,9,FALSE)</f>
        <v>3.9863796434308503</v>
      </c>
      <c r="AN62" s="272">
        <f>IFERROR(INDEX(TableWRCalcPts[Custom],MATCH(TableWRRanks32[[#This Row],[RK]],TableWRCalcPts[RK],0)),"")</f>
        <v>97.721870227738862</v>
      </c>
      <c r="AO6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2" s="22">
        <v>61</v>
      </c>
      <c r="AR62" s="274" t="str">
        <f>IFERROR(INDEX(TableTECalcPts[PLAYER],MATCH(TableTERanks33[[#This Row],[RK]],TableTECalcPts[RK],0)),"")</f>
        <v>Marcedes Lewis</v>
      </c>
      <c r="AS62" s="22" t="str">
        <f>IFERROR(INDEX(TableTECalcPts[TM],MATCH(TableTERanks33[[#This Row],[Player]],TableTECalcPts[PLAYER],0)),"")</f>
        <v>GB</v>
      </c>
      <c r="AT62" s="22">
        <f>IFERROR(INDEX(TableTECalcPts[BYE],MATCH(TableTERanks33[[#This Row],[RK]],TableTECalcPts[RK],0)),"")</f>
        <v>14</v>
      </c>
      <c r="AU62" s="279">
        <f>VLOOKUP(TableTERanks33[[#This Row],[Player]],TE!B:O,4,FALSE)</f>
        <v>17.775161699999991</v>
      </c>
      <c r="AV62" s="279">
        <f>VLOOKUP(TableTERanks33[[#This Row],[Player]],TE!B:O,5,FALSE)</f>
        <v>10.700647343399995</v>
      </c>
      <c r="AW62" s="279">
        <f>VLOOKUP(TableTERanks33[[#This Row],[Player]],TE!B:O,6,FALSE)</f>
        <v>107.43449932773594</v>
      </c>
      <c r="AX62" s="279">
        <f>VLOOKUP(TableTERanks33[[#This Row],[Player]],TE!B:O,7,FALSE)</f>
        <v>0.98445955559279952</v>
      </c>
      <c r="AY62" s="272">
        <f>IFERROR(INDEX(TableTECalcPts[Custom],MATCH(TableTERanks33[[#This Row],[RK]],TableTECalcPts[RK],0)),"")</f>
        <v>16.650207266330391</v>
      </c>
      <c r="AZ6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3" spans="1:52" x14ac:dyDescent="0.3">
      <c r="A63" s="22">
        <v>62</v>
      </c>
      <c r="B63" s="22" t="str">
        <f>IFERROR(INDEX(TableQBCalcPts[PLAYER],MATCH(TableQBRanks30[[#This Row],[RK]],TableQBCalcPts[RK],0)),"")</f>
        <v>Chase Daniel</v>
      </c>
      <c r="C63" s="22" t="str">
        <f>IFERROR(INDEX(TableQBCalcPts[TM],MATCH(TableQBRanks30[[#This Row],[Player]],TableQBCalcPts[PLAYER],0)),"")</f>
        <v>LAC</v>
      </c>
      <c r="D63" s="22">
        <f>IFERROR(INDEX(TableQBCalcPts[BYE],MATCH(TableQBRanks30[[#This Row],[RK]],TableQBCalcPts[RK],0)),"")</f>
        <v>8</v>
      </c>
      <c r="E63" s="279">
        <f>VLOOKUP(TableQBRanks30[[#This Row],[Player]],QB!B:O,4,FALSE)</f>
        <v>6.9009765000000067</v>
      </c>
      <c r="F63" s="279">
        <f>VLOOKUP(TableQBRanks30[[#This Row],[Player]],QB!B:O,5,FALSE)</f>
        <v>4.0724876447204776</v>
      </c>
      <c r="G63" s="279">
        <f>VLOOKUP(TableQBRanks30[[#This Row],[Player]],QB!B:O,6,FALSE)</f>
        <v>45.897800100391699</v>
      </c>
      <c r="H63" s="279">
        <f>VLOOKUP(TableQBRanks30[[#This Row],[Player]],QB!B:O,7,FALSE)</f>
        <v>0.32130717646674889</v>
      </c>
      <c r="I63" s="279">
        <f>VLOOKUP(TableQBRanks30[[#This Row],[Player]],QB!B:O,8,FALSE)</f>
        <v>9.7480755556701978E-2</v>
      </c>
      <c r="J63" s="279">
        <f>VLOOKUP(TableQBRanks30[[#This Row],[Player]],QB!B:O,9,FALSE)</f>
        <v>0</v>
      </c>
      <c r="K63" s="279">
        <f>VLOOKUP(TableQBRanks30[[#This Row],[Player]],QB!B:O,10,FALSE)</f>
        <v>0</v>
      </c>
      <c r="L63" s="279">
        <f>VLOOKUP(TableQBRanks30[[#This Row],[Player]],QB!B:O,11,FALSE)</f>
        <v>0</v>
      </c>
      <c r="M63" s="272">
        <f>IFERROR(INDEX(TableQBCalcPts[Custom],MATCH(TableQBRanks30[[#This Row],[RK]],TableQBCalcPts[RK],0)),"")</f>
        <v>2.9261791987692596</v>
      </c>
      <c r="N63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3" s="22">
        <v>62</v>
      </c>
      <c r="Q63" s="22" t="str">
        <f>IFERROR(INDEX(TableRBCalcPts[PLAYER],MATCH(TableRBRanks31[[#This Row],[RK]],TableRBCalcPts[RK],0)),"")</f>
        <v>Kenyan Drake</v>
      </c>
      <c r="R63" s="22" t="str">
        <f>IFERROR(INDEX(TableRBCalcPts[TM],MATCH(TableRBRanks31[[#This Row],[Player]],TableRBCalcPts[PLAYER],0)),"")</f>
        <v>LV</v>
      </c>
      <c r="S63" s="22">
        <f>IFERROR(INDEX(TableRBCalcPts[BYE],MATCH(TableRBRanks31[[#This Row],[RK]],TableRBCalcPts[RK],0)),"")</f>
        <v>6</v>
      </c>
      <c r="T63" s="279">
        <f>VLOOKUP(TableRBRanks31[[#This Row],[Player]],RB!B:O,4,FALSE)</f>
        <v>53.614128284876564</v>
      </c>
      <c r="U63" s="279">
        <f>VLOOKUP(TableRBRanks31[[#This Row],[Player]],RB!B:O,5,FALSE)</f>
        <v>220.55501226205058</v>
      </c>
      <c r="V63" s="279">
        <f>VLOOKUP(TableRBRanks31[[#This Row],[Player]],RB!B:O,6,FALSE)</f>
        <v>1.8228803616858034</v>
      </c>
      <c r="W63" s="279">
        <f>VLOOKUP(TableRBRanks31[[#This Row],[Player]],RB!B:O,7,FALSE)</f>
        <v>36.53933357999999</v>
      </c>
      <c r="X63" s="279">
        <f>VLOOKUP(TableRBRanks31[[#This Row],[Player]],RB!B:O,8,FALSE)</f>
        <v>25.182908703335993</v>
      </c>
      <c r="Y63" s="279">
        <f>VLOOKUP(TableRBRanks31[[#This Row],[Player]],RB!B:O,9,FALSE)</f>
        <v>216.06935667462284</v>
      </c>
      <c r="Z63" s="279">
        <f>VLOOKUP(TableRBRanks31[[#This Row],[Player]],RB!B:O,10,FALSE)</f>
        <v>0.92573338564500551</v>
      </c>
      <c r="AA63" s="272">
        <f>IFERROR(INDEX(TableRBCalcPts[Custom],MATCH(TableRBRanks31[[#This Row],[RK]],TableRBCalcPts[RK],0)),"")</f>
        <v>60.154119377652194</v>
      </c>
      <c r="AB6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3" s="274">
        <v>62</v>
      </c>
      <c r="AE63" s="22" t="str">
        <f>IFERROR(INDEX(TableWRCalcPts[PLAYER],MATCH(TableWRRanks32[[#This Row],[RK]],TableWRCalcPts[RK],0)),"")</f>
        <v>George Pickens</v>
      </c>
      <c r="AF63" s="22" t="str">
        <f>IFERROR(INDEX(TableWRCalcPts[TM],MATCH(TableWRRanks32[[#This Row],[Player]],TableWRCalcPts[PLAYER],0)),"")</f>
        <v>PIT</v>
      </c>
      <c r="AG63" s="22">
        <f>IFERROR(INDEX(TableWRCalcPts[BYE],MATCH(TableWRRanks32[[#This Row],[RK]],TableWRCalcPts[RK],0)),"")</f>
        <v>9</v>
      </c>
      <c r="AH63" s="279">
        <f>VLOOKUP(TableWRRanks32[[#This Row],[Player]],WR!B:O,4,FALSE)</f>
        <v>0</v>
      </c>
      <c r="AI63" s="279">
        <f>VLOOKUP(TableWRRanks32[[#This Row],[Player]],WR!B:O,5,FALSE)</f>
        <v>0</v>
      </c>
      <c r="AJ63" s="279">
        <f>VLOOKUP(TableWRRanks32[[#This Row],[Player]],WR!B:O,6,FALSE)</f>
        <v>96.990597283127542</v>
      </c>
      <c r="AK63" s="279">
        <f>VLOOKUP(TableWRRanks32[[#This Row],[Player]],WR!B:O,7,FALSE)</f>
        <v>57.418433591611503</v>
      </c>
      <c r="AL63" s="279">
        <f>VLOOKUP(TableWRRanks32[[#This Row],[Player]],WR!B:O,8,FALSE)</f>
        <v>752.75566438602675</v>
      </c>
      <c r="AM63" s="279">
        <f>VLOOKUP(TableWRRanks32[[#This Row],[Player]],WR!B:O,9,FALSE)</f>
        <v>3.5599428826799131</v>
      </c>
      <c r="AN63" s="272">
        <f>IFERROR(INDEX(TableWRCalcPts[Custom],MATCH(TableWRRanks32[[#This Row],[RK]],TableWRCalcPts[RK],0)),"")</f>
        <v>96.635223734682157</v>
      </c>
      <c r="AO6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3" s="274">
        <v>62</v>
      </c>
      <c r="AR63" s="274" t="str">
        <f>IFERROR(INDEX(TableTECalcPts[PLAYER],MATCH(TableTERanks33[[#This Row],[RK]],TableTECalcPts[RK],0)),"")</f>
        <v>Brycen Hopkins</v>
      </c>
      <c r="AS63" s="22" t="str">
        <f>IFERROR(INDEX(TableTECalcPts[TM],MATCH(TableTERanks33[[#This Row],[Player]],TableTECalcPts[PLAYER],0)),"")</f>
        <v>LAR</v>
      </c>
      <c r="AT63" s="22">
        <f>IFERROR(INDEX(TableTECalcPts[BYE],MATCH(TableTERanks33[[#This Row],[RK]],TableTECalcPts[RK],0)),"")</f>
        <v>7</v>
      </c>
      <c r="AU63" s="279">
        <f>VLOOKUP(TableTERanks33[[#This Row],[Player]],TE!B:O,4,FALSE)</f>
        <v>14.561917012042981</v>
      </c>
      <c r="AV63" s="279">
        <f>VLOOKUP(TableTERanks33[[#This Row],[Player]],TE!B:O,5,FALSE)</f>
        <v>9.0496713492534795</v>
      </c>
      <c r="AW63" s="279">
        <f>VLOOKUP(TableTERanks33[[#This Row],[Player]],TE!B:O,6,FALSE)</f>
        <v>105.19827555489842</v>
      </c>
      <c r="AX63" s="279">
        <f>VLOOKUP(TableTERanks33[[#This Row],[Player]],TE!B:O,7,FALSE)</f>
        <v>0.7538592422388406</v>
      </c>
      <c r="AY63" s="272">
        <f>IFERROR(INDEX(TableTECalcPts[Custom],MATCH(TableTERanks33[[#This Row],[RK]],TableTECalcPts[RK],0)),"")</f>
        <v>15.042983008922885</v>
      </c>
      <c r="AZ6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4" spans="1:52" x14ac:dyDescent="0.3">
      <c r="A64" s="22">
        <v>63</v>
      </c>
      <c r="B64" s="22" t="str">
        <f>IFERROR(INDEX(TableQBCalcPts[PLAYER],MATCH(TableQBRanks30[[#This Row],[RK]],TableQBCalcPts[RK],0)),"")</f>
        <v>Brandon Allen</v>
      </c>
      <c r="C64" s="22" t="str">
        <f>IFERROR(INDEX(TableQBCalcPts[TM],MATCH(TableQBRanks30[[#This Row],[Player]],TableQBCalcPts[PLAYER],0)),"")</f>
        <v>CIN</v>
      </c>
      <c r="D64" s="22">
        <f>IFERROR(INDEX(TableQBCalcPts[BYE],MATCH(TableQBRanks30[[#This Row],[RK]],TableQBCalcPts[RK],0)),"")</f>
        <v>10</v>
      </c>
      <c r="E64" s="279">
        <f>VLOOKUP(TableQBRanks30[[#This Row],[Player]],QB!B:O,4,FALSE)</f>
        <v>6.2573742000000063</v>
      </c>
      <c r="F64" s="279">
        <f>VLOOKUP(TableQBRanks30[[#This Row],[Player]],QB!B:O,5,FALSE)</f>
        <v>3.7397932164900691</v>
      </c>
      <c r="G64" s="279">
        <f>VLOOKUP(TableQBRanks30[[#This Row],[Player]],QB!B:O,6,FALSE)</f>
        <v>37.933523311632968</v>
      </c>
      <c r="H64" s="279">
        <f>VLOOKUP(TableQBRanks30[[#This Row],[Player]],QB!B:O,7,FALSE)</f>
        <v>0.26579311394416105</v>
      </c>
      <c r="I64" s="279">
        <f>VLOOKUP(TableQBRanks30[[#This Row],[Player]],QB!B:O,8,FALSE)</f>
        <v>7.3323542490030577E-2</v>
      </c>
      <c r="J64" s="279">
        <f>VLOOKUP(TableQBRanks30[[#This Row],[Player]],QB!B:O,9,FALSE)</f>
        <v>1.2330949218433878</v>
      </c>
      <c r="K64" s="279">
        <f>VLOOKUP(TableQBRanks30[[#This Row],[Player]],QB!B:O,10,FALSE)</f>
        <v>4.1925227342675182</v>
      </c>
      <c r="L64" s="279">
        <f>VLOOKUP(TableQBRanks30[[#This Row],[Player]],QB!B:O,11,FALSE)</f>
        <v>0</v>
      </c>
      <c r="M64" s="272">
        <f>IFERROR(INDEX(TableQBCalcPts[Custom],MATCH(TableQBRanks30[[#This Row],[RK]],TableQBCalcPts[RK],0)),"")</f>
        <v>2.8531185766886535</v>
      </c>
      <c r="N64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4" s="22">
        <v>63</v>
      </c>
      <c r="Q64" s="22" t="str">
        <f>IFERROR(INDEX(TableRBCalcPts[PLAYER],MATCH(TableRBRanks31[[#This Row],[RK]],TableRBCalcPts[RK],0)),"")</f>
        <v>Boston Scott</v>
      </c>
      <c r="R64" s="22" t="str">
        <f>IFERROR(INDEX(TableRBCalcPts[TM],MATCH(TableRBRanks31[[#This Row],[Player]],TableRBCalcPts[PLAYER],0)),"")</f>
        <v>PHI</v>
      </c>
      <c r="S64" s="22">
        <f>IFERROR(INDEX(TableRBCalcPts[BYE],MATCH(TableRBRanks31[[#This Row],[RK]],TableRBCalcPts[RK],0)),"")</f>
        <v>7</v>
      </c>
      <c r="T64" s="279">
        <f>VLOOKUP(TableRBRanks31[[#This Row],[Player]],RB!B:O,4,FALSE)</f>
        <v>63.702245855544078</v>
      </c>
      <c r="U64" s="279">
        <f>VLOOKUP(TableRBRanks31[[#This Row],[Player]],RB!B:O,5,FALSE)</f>
        <v>271.37156734461774</v>
      </c>
      <c r="V64" s="279">
        <f>VLOOKUP(TableRBRanks31[[#This Row],[Player]],RB!B:O,6,FALSE)</f>
        <v>3.5179622512685285</v>
      </c>
      <c r="W64" s="279">
        <f>VLOOKUP(TableRBRanks31[[#This Row],[Player]],RB!B:O,7,FALSE)</f>
        <v>20.485754266899061</v>
      </c>
      <c r="X64" s="279">
        <f>VLOOKUP(TableRBRanks31[[#This Row],[Player]],RB!B:O,8,FALSE)</f>
        <v>13.745941113089271</v>
      </c>
      <c r="Y64" s="279">
        <f>VLOOKUP(TableRBRanks31[[#This Row],[Player]],RB!B:O,9,FALSE)</f>
        <v>93.060021335614366</v>
      </c>
      <c r="Z64" s="279">
        <f>VLOOKUP(TableRBRanks31[[#This Row],[Player]],RB!B:O,10,FALSE)</f>
        <v>0.28866476337487473</v>
      </c>
      <c r="AA64" s="272">
        <f>IFERROR(INDEX(TableRBCalcPts[Custom],MATCH(TableRBRanks31[[#This Row],[RK]],TableRBCalcPts[RK],0)),"")</f>
        <v>59.282920955883633</v>
      </c>
      <c r="AB6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4" s="22">
        <v>63</v>
      </c>
      <c r="AE64" s="22" t="str">
        <f>IFERROR(INDEX(TableWRCalcPts[PLAYER],MATCH(TableWRRanks32[[#This Row],[RK]],TableWRCalcPts[RK],0)),"")</f>
        <v>Christian Watson</v>
      </c>
      <c r="AF64" s="22" t="str">
        <f>IFERROR(INDEX(TableWRCalcPts[TM],MATCH(TableWRRanks32[[#This Row],[Player]],TableWRCalcPts[PLAYER],0)),"")</f>
        <v>GB</v>
      </c>
      <c r="AG64" s="22">
        <f>IFERROR(INDEX(TableWRCalcPts[BYE],MATCH(TableWRRanks32[[#This Row],[RK]],TableWRCalcPts[RK],0)),"")</f>
        <v>14</v>
      </c>
      <c r="AH64" s="279">
        <f>VLOOKUP(TableWRRanks32[[#This Row],[Player]],WR!B:O,4,FALSE)</f>
        <v>10.449785244464598</v>
      </c>
      <c r="AI64" s="279">
        <f>VLOOKUP(TableWRRanks32[[#This Row],[Player]],WR!B:O,5,FALSE)</f>
        <v>2.4999486230776559E-2</v>
      </c>
      <c r="AJ64" s="279">
        <f>VLOOKUP(TableWRRanks32[[#This Row],[Player]],WR!B:O,6,FALSE)</f>
        <v>81.765743819999983</v>
      </c>
      <c r="AK64" s="279">
        <f>VLOOKUP(TableWRRanks32[[#This Row],[Player]],WR!B:O,7,FALSE)</f>
        <v>49.917986602109991</v>
      </c>
      <c r="AL64" s="279">
        <f>VLOOKUP(TableWRRanks32[[#This Row],[Player]],WR!B:O,8,FALSE)</f>
        <v>679.882977520738</v>
      </c>
      <c r="AM64" s="279">
        <f>VLOOKUP(TableWRRanks32[[#This Row],[Player]],WR!B:O,9,FALSE)</f>
        <v>4.492618794189899</v>
      </c>
      <c r="AN64" s="272">
        <f>IFERROR(INDEX(TableWRCalcPts[Custom],MATCH(TableWRRanks32[[#This Row],[RK]],TableWRCalcPts[RK],0)),"")</f>
        <v>96.138985959044319</v>
      </c>
      <c r="AO6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4" s="22">
        <v>63</v>
      </c>
      <c r="AR64" s="22" t="str">
        <f>IFERROR(INDEX(TableTECalcPts[PLAYER],MATCH(TableTERanks33[[#This Row],[RK]],TableTECalcPts[RK],0)),"")</f>
        <v>Nick Vannett</v>
      </c>
      <c r="AS64" s="22" t="str">
        <f>IFERROR(INDEX(TableTECalcPts[TM],MATCH(TableTERanks33[[#This Row],[Player]],TableTECalcPts[PLAYER],0)),"")</f>
        <v>NO</v>
      </c>
      <c r="AT64" s="22">
        <f>IFERROR(INDEX(TableTECalcPts[BYE],MATCH(TableTERanks33[[#This Row],[RK]],TableTECalcPts[RK],0)),"")</f>
        <v>14</v>
      </c>
      <c r="AU64" s="279">
        <f>VLOOKUP(TableTERanks33[[#This Row],[Player]],TE!B:O,4,FALSE)</f>
        <v>13.749376781285058</v>
      </c>
      <c r="AV64" s="279">
        <f>VLOOKUP(TableTERanks33[[#This Row],[Player]],TE!B:O,5,FALSE)</f>
        <v>8.0708841706143293</v>
      </c>
      <c r="AW64" s="279">
        <f>VLOOKUP(TableTERanks33[[#This Row],[Player]],TE!B:O,6,FALSE)</f>
        <v>110.08686008717946</v>
      </c>
      <c r="AX64" s="279">
        <f>VLOOKUP(TableTERanks33[[#This Row],[Player]],TE!B:O,7,FALSE)</f>
        <v>0.6456707336491464</v>
      </c>
      <c r="AY64" s="272">
        <f>IFERROR(INDEX(TableTECalcPts[Custom],MATCH(TableTERanks33[[#This Row],[RK]],TableTECalcPts[RK],0)),"")</f>
        <v>14.882710410612825</v>
      </c>
      <c r="AZ6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5" spans="1:52" x14ac:dyDescent="0.3">
      <c r="A65" s="22">
        <v>64</v>
      </c>
      <c r="B65" s="22" t="str">
        <f>IFERROR(INDEX(TableQBCalcPts[PLAYER],MATCH(TableQBRanks30[[#This Row],[RK]],TableQBCalcPts[RK],0)),"")</f>
        <v>Chad Henne</v>
      </c>
      <c r="C65" s="22" t="str">
        <f>IFERROR(INDEX(TableQBCalcPts[TM],MATCH(TableQBRanks30[[#This Row],[Player]],TableQBCalcPts[PLAYER],0)),"")</f>
        <v>KC</v>
      </c>
      <c r="D65" s="22">
        <f>IFERROR(INDEX(TableQBCalcPts[BYE],MATCH(TableQBRanks30[[#This Row],[RK]],TableQBCalcPts[RK],0)),"")</f>
        <v>8</v>
      </c>
      <c r="E65" s="279">
        <f>VLOOKUP(TableQBRanks30[[#This Row],[Player]],QB!B:O,4,FALSE)</f>
        <v>6.8489564500000055</v>
      </c>
      <c r="F65" s="279">
        <f>VLOOKUP(TableQBRanks30[[#This Row],[Player]],QB!B:O,5,FALSE)</f>
        <v>4.4195626551236087</v>
      </c>
      <c r="G65" s="279">
        <f>VLOOKUP(TableQBRanks30[[#This Row],[Player]],QB!B:O,6,FALSE)</f>
        <v>44.177882517857704</v>
      </c>
      <c r="H65" s="279">
        <f>VLOOKUP(TableQBRanks30[[#This Row],[Player]],QB!B:O,7,FALSE)</f>
        <v>0.3045337761119577</v>
      </c>
      <c r="I65" s="279">
        <f>VLOOKUP(TableQBRanks30[[#This Row],[Player]],QB!B:O,8,FALSE)</f>
        <v>8.1639759779470564E-2</v>
      </c>
      <c r="J65" s="279">
        <f>VLOOKUP(TableQBRanks30[[#This Row],[Player]],QB!B:O,9,FALSE)</f>
        <v>0</v>
      </c>
      <c r="K65" s="279">
        <f>VLOOKUP(TableQBRanks30[[#This Row],[Player]],QB!B:O,10,FALSE)</f>
        <v>0</v>
      </c>
      <c r="L65" s="279">
        <f>VLOOKUP(TableQBRanks30[[#This Row],[Player]],QB!B:O,11,FALSE)</f>
        <v>0</v>
      </c>
      <c r="M65" s="272">
        <f>IFERROR(INDEX(TableQBCalcPts[Custom],MATCH(TableQBRanks30[[#This Row],[RK]],TableQBCalcPts[RK],0)),"")</f>
        <v>2.8219708856031982</v>
      </c>
      <c r="N65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5" s="22">
        <v>64</v>
      </c>
      <c r="Q65" s="22" t="str">
        <f>IFERROR(INDEX(TableRBCalcPts[PLAYER],MATCH(TableRBRanks31[[#This Row],[RK]],TableRBCalcPts[RK],0)),"")</f>
        <v>Matt Breida</v>
      </c>
      <c r="R65" s="22" t="str">
        <f>IFERROR(INDEX(TableRBCalcPts[TM],MATCH(TableRBRanks31[[#This Row],[Player]],TableRBCalcPts[PLAYER],0)),"")</f>
        <v>NYG</v>
      </c>
      <c r="S65" s="22">
        <f>IFERROR(INDEX(TableRBCalcPts[BYE],MATCH(TableRBRanks31[[#This Row],[RK]],TableRBCalcPts[RK],0)),"")</f>
        <v>9</v>
      </c>
      <c r="T65" s="279">
        <f>VLOOKUP(TableRBRanks31[[#This Row],[Player]],RB!B:O,4,FALSE)</f>
        <v>64.513846414237705</v>
      </c>
      <c r="U65" s="279">
        <f>VLOOKUP(TableRBRanks31[[#This Row],[Player]],RB!B:O,5,FALSE)</f>
        <v>274.82898572465263</v>
      </c>
      <c r="V65" s="279">
        <f>VLOOKUP(TableRBRanks31[[#This Row],[Player]],RB!B:O,6,FALSE)</f>
        <v>1.5160753907345861</v>
      </c>
      <c r="W65" s="279">
        <f>VLOOKUP(TableRBRanks31[[#This Row],[Player]],RB!B:O,7,FALSE)</f>
        <v>29.032030522951128</v>
      </c>
      <c r="X65" s="279">
        <f>VLOOKUP(TableRBRanks31[[#This Row],[Player]],RB!B:O,8,FALSE)</f>
        <v>19.773715989182016</v>
      </c>
      <c r="Y65" s="279">
        <f>VLOOKUP(TableRBRanks31[[#This Row],[Player]],RB!B:O,9,FALSE)</f>
        <v>142.96396660178598</v>
      </c>
      <c r="Z65" s="279">
        <f>VLOOKUP(TableRBRanks31[[#This Row],[Player]],RB!B:O,10,FALSE)</f>
        <v>0.9446366336704477</v>
      </c>
      <c r="AA65" s="272">
        <f>IFERROR(INDEX(TableRBCalcPts[Custom],MATCH(TableRBRanks31[[#This Row],[RK]],TableRBCalcPts[RK],0)),"")</f>
        <v>56.543567379074069</v>
      </c>
      <c r="AB6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5" s="22">
        <v>64</v>
      </c>
      <c r="AE65" s="22" t="str">
        <f>IFERROR(INDEX(TableWRCalcPts[PLAYER],MATCH(TableWRRanks32[[#This Row],[RK]],TableWRCalcPts[RK],0)),"")</f>
        <v>Skyy Moore</v>
      </c>
      <c r="AF65" s="22" t="str">
        <f>IFERROR(INDEX(TableWRCalcPts[TM],MATCH(TableWRRanks32[[#This Row],[Player]],TableWRCalcPts[PLAYER],0)),"")</f>
        <v>KC</v>
      </c>
      <c r="AG65" s="22">
        <f>IFERROR(INDEX(TableWRCalcPts[BYE],MATCH(TableWRRanks32[[#This Row],[RK]],TableWRCalcPts[RK],0)),"")</f>
        <v>8</v>
      </c>
      <c r="AH65" s="279">
        <f>VLOOKUP(TableWRRanks32[[#This Row],[Player]],WR!B:O,4,FALSE)</f>
        <v>1.3744072094170741</v>
      </c>
      <c r="AI65" s="279">
        <f>VLOOKUP(TableWRRanks32[[#This Row],[Player]],WR!B:O,5,FALSE)</f>
        <v>0</v>
      </c>
      <c r="AJ65" s="279">
        <f>VLOOKUP(TableWRRanks32[[#This Row],[Player]],WR!B:O,6,FALSE)</f>
        <v>87.633048274347814</v>
      </c>
      <c r="AK65" s="279">
        <f>VLOOKUP(TableWRRanks32[[#This Row],[Player]],WR!B:O,7,FALSE)</f>
        <v>53.535029190799079</v>
      </c>
      <c r="AL65" s="279">
        <f>VLOOKUP(TableWRRanks32[[#This Row],[Player]],WR!B:O,8,FALSE)</f>
        <v>637.06684737050909</v>
      </c>
      <c r="AM65" s="279">
        <f>VLOOKUP(TableWRRanks32[[#This Row],[Player]],WR!B:O,9,FALSE)</f>
        <v>5.2485082231459765</v>
      </c>
      <c r="AN65" s="272">
        <f>IFERROR(INDEX(TableWRCalcPts[Custom],MATCH(TableWRRanks32[[#This Row],[RK]],TableWRCalcPts[RK],0)),"")</f>
        <v>95.335174796868472</v>
      </c>
      <c r="AO6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5" s="22">
        <v>64</v>
      </c>
      <c r="AR65" s="22" t="str">
        <f>IFERROR(INDEX(TableTECalcPts[PLAYER],MATCH(TableTERanks33[[#This Row],[RK]],TableTECalcPts[RK],0)),"")</f>
        <v>Noah Gray</v>
      </c>
      <c r="AS65" s="22" t="str">
        <f>IFERROR(INDEX(TableTECalcPts[TM],MATCH(TableTERanks33[[#This Row],[Player]],TableTECalcPts[PLAYER],0)),"")</f>
        <v>KC</v>
      </c>
      <c r="AT65" s="22">
        <f>IFERROR(INDEX(TableTECalcPts[BYE],MATCH(TableTERanks33[[#This Row],[RK]],TableTECalcPts[RK],0)),"")</f>
        <v>8</v>
      </c>
      <c r="AU65" s="279">
        <f>VLOOKUP(TableTERanks33[[#This Row],[Player]],TE!B:O,4,FALSE)</f>
        <v>15.061930172153525</v>
      </c>
      <c r="AV65" s="279">
        <f>VLOOKUP(TableTERanks33[[#This Row],[Player]],TE!B:O,5,FALSE)</f>
        <v>9.7580482338789487</v>
      </c>
      <c r="AW65" s="279">
        <f>VLOOKUP(TableTERanks33[[#This Row],[Player]],TE!B:O,6,FALSE)</f>
        <v>92.217272862055452</v>
      </c>
      <c r="AX65" s="279">
        <f>VLOOKUP(TableTERanks33[[#This Row],[Player]],TE!B:O,7,FALSE)</f>
        <v>0.77489029824584055</v>
      </c>
      <c r="AY65" s="272">
        <f>IFERROR(INDEX(TableTECalcPts[Custom],MATCH(TableTERanks33[[#This Row],[RK]],TableTECalcPts[RK],0)),"")</f>
        <v>13.871069075680589</v>
      </c>
      <c r="AZ6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6" spans="1:52" x14ac:dyDescent="0.3">
      <c r="A66" s="22">
        <v>65</v>
      </c>
      <c r="B66" s="22" t="str">
        <f>IFERROR(INDEX(TableQBCalcPts[PLAYER],MATCH(TableQBRanks30[[#This Row],[RK]],TableQBCalcPts[RK],0)),"")</f>
        <v>C.J. Beathard</v>
      </c>
      <c r="C66" s="22" t="str">
        <f>IFERROR(INDEX(TableQBCalcPts[TM],MATCH(TableQBRanks30[[#This Row],[Player]],TableQBCalcPts[PLAYER],0)),"")</f>
        <v>JAX</v>
      </c>
      <c r="D66" s="22">
        <f>IFERROR(INDEX(TableQBCalcPts[BYE],MATCH(TableQBRanks30[[#This Row],[RK]],TableQBCalcPts[RK],0)),"")</f>
        <v>11</v>
      </c>
      <c r="E66" s="279">
        <f>VLOOKUP(TableQBRanks30[[#This Row],[Player]],QB!B:O,4,FALSE)</f>
        <v>6.5448000000000057</v>
      </c>
      <c r="F66" s="279">
        <f>VLOOKUP(TableQBRanks30[[#This Row],[Player]],QB!B:O,5,FALSE)</f>
        <v>3.9538060540540583</v>
      </c>
      <c r="G66" s="279">
        <f>VLOOKUP(TableQBRanks30[[#This Row],[Player]],QB!B:O,6,FALSE)</f>
        <v>43.056947928648697</v>
      </c>
      <c r="H66" s="279">
        <f>VLOOKUP(TableQBRanks30[[#This Row],[Player]],QB!B:O,7,FALSE)</f>
        <v>0.25304358745945976</v>
      </c>
      <c r="I66" s="279">
        <f>VLOOKUP(TableQBRanks30[[#This Row],[Player]],QB!B:O,8,FALSE)</f>
        <v>9.51050645434625E-2</v>
      </c>
      <c r="J66" s="279">
        <f>VLOOKUP(TableQBRanks30[[#This Row],[Player]],QB!B:O,9,FALSE)</f>
        <v>0</v>
      </c>
      <c r="K66" s="279">
        <f>VLOOKUP(TableQBRanks30[[#This Row],[Player]],QB!B:O,10,FALSE)</f>
        <v>0</v>
      </c>
      <c r="L66" s="279">
        <f>VLOOKUP(TableQBRanks30[[#This Row],[Player]],QB!B:O,11,FALSE)</f>
        <v>0</v>
      </c>
      <c r="M66" s="272">
        <f>IFERROR(INDEX(TableQBCalcPts[Custom],MATCH(TableQBRanks30[[#This Row],[RK]],TableQBCalcPts[RK],0)),"")</f>
        <v>2.544242137896862</v>
      </c>
      <c r="N66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6" s="22">
        <v>65</v>
      </c>
      <c r="Q66" s="22" t="str">
        <f>IFERROR(INDEX(TableRBCalcPts[PLAYER],MATCH(TableRBRanks31[[#This Row],[RK]],TableRBCalcPts[RK],0)),"")</f>
        <v>Zamir White</v>
      </c>
      <c r="R66" s="22" t="str">
        <f>IFERROR(INDEX(TableRBCalcPts[TM],MATCH(TableRBRanks31[[#This Row],[Player]],TableRBCalcPts[PLAYER],0)),"")</f>
        <v>LV</v>
      </c>
      <c r="S66" s="22">
        <f>IFERROR(INDEX(TableRBCalcPts[BYE],MATCH(TableRBRanks31[[#This Row],[RK]],TableRBCalcPts[RK],0)),"")</f>
        <v>6</v>
      </c>
      <c r="T66" s="279">
        <f>VLOOKUP(TableRBRanks31[[#This Row],[Player]],RB!B:O,4,FALSE)</f>
        <v>71.631991069138351</v>
      </c>
      <c r="U66" s="279">
        <f>VLOOKUP(TableRBRanks31[[#This Row],[Player]],RB!B:O,5,FALSE)</f>
        <v>306.58492177591216</v>
      </c>
      <c r="V66" s="279">
        <f>VLOOKUP(TableRBRanks31[[#This Row],[Player]],RB!B:O,6,FALSE)</f>
        <v>2.6288940722373777</v>
      </c>
      <c r="W66" s="279">
        <f>VLOOKUP(TableRBRanks31[[#This Row],[Player]],RB!B:O,7,FALSE)</f>
        <v>13.859747219999996</v>
      </c>
      <c r="X66" s="279">
        <f>VLOOKUP(TableRBRanks31[[#This Row],[Player]],RB!B:O,8,FALSE)</f>
        <v>9.3155140996679968</v>
      </c>
      <c r="Y66" s="279">
        <f>VLOOKUP(TableRBRanks31[[#This Row],[Player]],RB!B:O,9,FALSE)</f>
        <v>71.506942238747072</v>
      </c>
      <c r="Z66" s="279">
        <f>VLOOKUP(TableRBRanks31[[#This Row],[Player]],RB!B:O,10,FALSE)</f>
        <v>0.2422033665913679</v>
      </c>
      <c r="AA66" s="272">
        <f>IFERROR(INDEX(TableRBCalcPts[Custom],MATCH(TableRBRanks31[[#This Row],[RK]],TableRBCalcPts[RK],0)),"")</f>
        <v>55.035771034438397</v>
      </c>
      <c r="AB6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6" s="274">
        <v>65</v>
      </c>
      <c r="AE66" s="22" t="str">
        <f>IFERROR(INDEX(TableWRCalcPts[PLAYER],MATCH(TableWRRanks32[[#This Row],[RK]],TableWRCalcPts[RK],0)),"")</f>
        <v>Rondale Moore</v>
      </c>
      <c r="AF66" s="22" t="str">
        <f>IFERROR(INDEX(TableWRCalcPts[TM],MATCH(TableWRRanks32[[#This Row],[Player]],TableWRCalcPts[PLAYER],0)),"")</f>
        <v>ARI</v>
      </c>
      <c r="AG66" s="22">
        <f>IFERROR(INDEX(TableWRCalcPts[BYE],MATCH(TableWRRanks32[[#This Row],[RK]],TableWRCalcPts[RK],0)),"")</f>
        <v>13</v>
      </c>
      <c r="AH66" s="279">
        <f>VLOOKUP(TableWRRanks32[[#This Row],[Player]],WR!B:O,4,FALSE)</f>
        <v>86.113240615590598</v>
      </c>
      <c r="AI66" s="279">
        <f>VLOOKUP(TableWRRanks32[[#This Row],[Player]],WR!B:O,5,FALSE)</f>
        <v>0.42601817124974628</v>
      </c>
      <c r="AJ66" s="279">
        <f>VLOOKUP(TableWRRanks32[[#This Row],[Player]],WR!B:O,6,FALSE)</f>
        <v>77.32511722000001</v>
      </c>
      <c r="AK66" s="279">
        <f>VLOOKUP(TableWRRanks32[[#This Row],[Player]],WR!B:O,7,FALSE)</f>
        <v>55.909214886669737</v>
      </c>
      <c r="AL66" s="279">
        <f>VLOOKUP(TableWRRanks32[[#This Row],[Player]],WR!B:O,8,FALSE)</f>
        <v>616.11954805110042</v>
      </c>
      <c r="AM66" s="279">
        <f>VLOOKUP(TableWRRanks32[[#This Row],[Player]],WR!B:O,9,FALSE)</f>
        <v>3.3007582994099187</v>
      </c>
      <c r="AN66" s="272">
        <f>IFERROR(INDEX(TableWRCalcPts[Custom],MATCH(TableWRRanks32[[#This Row],[RK]],TableWRCalcPts[RK],0)),"")</f>
        <v>92.583937690627096</v>
      </c>
      <c r="AO6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6" s="274">
        <v>65</v>
      </c>
      <c r="AR66" s="22" t="str">
        <f>IFERROR(INDEX(TableTECalcPts[PLAYER],MATCH(TableTERanks33[[#This Row],[RK]],TableTECalcPts[RK],0)),"")</f>
        <v>Tre' McKitty</v>
      </c>
      <c r="AS66" s="22" t="str">
        <f>IFERROR(INDEX(TableTECalcPts[TM],MATCH(TableTERanks33[[#This Row],[Player]],TableTECalcPts[PLAYER],0)),"")</f>
        <v>LAC</v>
      </c>
      <c r="AT66" s="22">
        <f>IFERROR(INDEX(TableTECalcPts[BYE],MATCH(TableTERanks33[[#This Row],[RK]],TableTECalcPts[RK],0)),"")</f>
        <v>8</v>
      </c>
      <c r="AU66" s="279">
        <f>VLOOKUP(TableTERanks33[[#This Row],[Player]],TE!B:O,4,FALSE)</f>
        <v>13.112672501323846</v>
      </c>
      <c r="AV66" s="279">
        <f>VLOOKUP(TableTERanks33[[#This Row],[Player]],TE!B:O,5,FALSE)</f>
        <v>8.5494624708631477</v>
      </c>
      <c r="AW66" s="279">
        <f>VLOOKUP(TableTERanks33[[#This Row],[Player]],TE!B:O,6,FALSE)</f>
        <v>93.189140932408307</v>
      </c>
      <c r="AX66" s="279">
        <f>VLOOKUP(TableTERanks33[[#This Row],[Player]],TE!B:O,7,FALSE)</f>
        <v>0.73941297045302901</v>
      </c>
      <c r="AY66" s="272">
        <f>IFERROR(INDEX(TableTECalcPts[Custom],MATCH(TableTERanks33[[#This Row],[RK]],TableTECalcPts[RK],0)),"")</f>
        <v>13.755391915959006</v>
      </c>
      <c r="AZ6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7" spans="1:52" x14ac:dyDescent="0.3">
      <c r="A67" s="22">
        <v>66</v>
      </c>
      <c r="B67" s="22" t="str">
        <f>IFERROR(INDEX(TableQBCalcPts[PLAYER],MATCH(TableQBRanks30[[#This Row],[RK]],TableQBCalcPts[RK],0)),"")</f>
        <v>Kellen Mond</v>
      </c>
      <c r="C67" s="22" t="str">
        <f>IFERROR(INDEX(TableQBCalcPts[TM],MATCH(TableQBRanks30[[#This Row],[Player]],TableQBCalcPts[PLAYER],0)),"")</f>
        <v>MIN</v>
      </c>
      <c r="D67" s="22">
        <f>IFERROR(INDEX(TableQBCalcPts[BYE],MATCH(TableQBRanks30[[#This Row],[RK]],TableQBCalcPts[RK],0)),"")</f>
        <v>7</v>
      </c>
      <c r="E67" s="279">
        <f>VLOOKUP(TableQBRanks30[[#This Row],[Player]],QB!B:O,4,FALSE)</f>
        <v>6.0089445000000046</v>
      </c>
      <c r="F67" s="279">
        <f>VLOOKUP(TableQBRanks30[[#This Row],[Player]],QB!B:O,5,FALSE)</f>
        <v>3.663484297927464</v>
      </c>
      <c r="G67" s="279">
        <f>VLOOKUP(TableQBRanks30[[#This Row],[Player]],QB!B:O,6,FALSE)</f>
        <v>36.468792699481888</v>
      </c>
      <c r="H67" s="279">
        <f>VLOOKUP(TableQBRanks30[[#This Row],[Player]],QB!B:O,7,FALSE)</f>
        <v>0.22831913471502613</v>
      </c>
      <c r="I67" s="279">
        <f>VLOOKUP(TableQBRanks30[[#This Row],[Player]],QB!B:O,8,FALSE)</f>
        <v>9.2799832532417054E-2</v>
      </c>
      <c r="J67" s="279">
        <f>VLOOKUP(TableQBRanks30[[#This Row],[Player]],QB!B:O,9,FALSE)</f>
        <v>0</v>
      </c>
      <c r="K67" s="279">
        <f>VLOOKUP(TableQBRanks30[[#This Row],[Player]],QB!B:O,10,FALSE)</f>
        <v>0</v>
      </c>
      <c r="L67" s="279">
        <f>VLOOKUP(TableQBRanks30[[#This Row],[Player]],QB!B:O,11,FALSE)</f>
        <v>0</v>
      </c>
      <c r="M67" s="272">
        <f>IFERROR(INDEX(TableQBCalcPts[Custom],MATCH(TableQBRanks30[[#This Row],[RK]],TableQBCalcPts[RK],0)),"")</f>
        <v>2.1864285817745461</v>
      </c>
      <c r="N67" s="273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0</v>
      </c>
      <c r="P67" s="22">
        <v>66</v>
      </c>
      <c r="Q67" s="22" t="str">
        <f>IFERROR(INDEX(TableRBCalcPts[PLAYER],MATCH(TableRBRanks31[[#This Row],[RK]],TableRBCalcPts[RK],0)),"")</f>
        <v>Brian Robinson</v>
      </c>
      <c r="R67" s="22" t="str">
        <f>IFERROR(INDEX(TableRBCalcPts[TM],MATCH(TableRBRanks31[[#This Row],[Player]],TableRBCalcPts[PLAYER],0)),"")</f>
        <v>WSH</v>
      </c>
      <c r="S67" s="22">
        <f>IFERROR(INDEX(TableRBCalcPts[BYE],MATCH(TableRBRanks31[[#This Row],[RK]],TableRBCalcPts[RK],0)),"")</f>
        <v>14</v>
      </c>
      <c r="T67" s="279">
        <f>VLOOKUP(TableRBRanks31[[#This Row],[Player]],RB!B:O,4,FALSE)</f>
        <v>61.022982538379111</v>
      </c>
      <c r="U67" s="279">
        <f>VLOOKUP(TableRBRanks31[[#This Row],[Player]],RB!B:O,5,FALSE)</f>
        <v>261.22973819067295</v>
      </c>
      <c r="V67" s="279">
        <f>VLOOKUP(TableRBRanks31[[#This Row],[Player]],RB!B:O,6,FALSE)</f>
        <v>2.2200930731297781</v>
      </c>
      <c r="W67" s="279">
        <f>VLOOKUP(TableRBRanks31[[#This Row],[Player]],RB!B:O,7,FALSE)</f>
        <v>19.116527745803847</v>
      </c>
      <c r="X67" s="279">
        <f>VLOOKUP(TableRBRanks31[[#This Row],[Player]],RB!B:O,8,FALSE)</f>
        <v>14.031531365420022</v>
      </c>
      <c r="Y67" s="279">
        <f>VLOOKUP(TableRBRanks31[[#This Row],[Player]],RB!B:O,9,FALSE)</f>
        <v>103.83333210410817</v>
      </c>
      <c r="Z67" s="279">
        <f>VLOOKUP(TableRBRanks31[[#This Row],[Player]],RB!B:O,10,FALSE)</f>
        <v>0.4349774723280207</v>
      </c>
      <c r="AA67" s="272">
        <f>IFERROR(INDEX(TableRBCalcPts[Custom],MATCH(TableRBRanks31[[#This Row],[RK]],TableRBCalcPts[RK],0)),"")</f>
        <v>52.436730302224909</v>
      </c>
      <c r="AB6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7" s="22">
        <v>66</v>
      </c>
      <c r="AE67" s="274" t="str">
        <f>IFERROR(INDEX(TableWRCalcPts[PLAYER],MATCH(TableWRRanks32[[#This Row],[RK]],TableWRCalcPts[RK],0)),"")</f>
        <v>Jakobi Meyers</v>
      </c>
      <c r="AF67" s="22" t="str">
        <f>IFERROR(INDEX(TableWRCalcPts[TM],MATCH(TableWRRanks32[[#This Row],[Player]],TableWRCalcPts[PLAYER],0)),"")</f>
        <v>NE</v>
      </c>
      <c r="AG67" s="22">
        <f>IFERROR(INDEX(TableWRCalcPts[BYE],MATCH(TableWRRanks32[[#This Row],[RK]],TableWRCalcPts[RK],0)),"")</f>
        <v>10</v>
      </c>
      <c r="AH67" s="279">
        <f>VLOOKUP(TableWRRanks32[[#This Row],[Player]],WR!B:O,4,FALSE)</f>
        <v>2.5010567217710751</v>
      </c>
      <c r="AI67" s="279">
        <f>VLOOKUP(TableWRRanks32[[#This Row],[Player]],WR!B:O,5,FALSE)</f>
        <v>0</v>
      </c>
      <c r="AJ67" s="279">
        <f>VLOOKUP(TableWRRanks32[[#This Row],[Player]],WR!B:O,6,FALSE)</f>
        <v>102.0635266298471</v>
      </c>
      <c r="AK67" s="279">
        <f>VLOOKUP(TableWRRanks32[[#This Row],[Player]],WR!B:O,7,FALSE)</f>
        <v>69.11510106251032</v>
      </c>
      <c r="AL67" s="279">
        <f>VLOOKUP(TableWRRanks32[[#This Row],[Player]],WR!B:O,8,FALSE)</f>
        <v>732.17435054513896</v>
      </c>
      <c r="AM67" s="279">
        <f>VLOOKUP(TableWRRanks32[[#This Row],[Player]],WR!B:O,9,FALSE)</f>
        <v>2.9047619557395667</v>
      </c>
      <c r="AN67" s="272">
        <f>IFERROR(INDEX(TableWRCalcPts[Custom],MATCH(TableWRRanks32[[#This Row],[RK]],TableWRCalcPts[RK],0)),"")</f>
        <v>90.896112461128411</v>
      </c>
      <c r="AO6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7" s="22">
        <v>66</v>
      </c>
      <c r="AR67" s="22" t="str">
        <f>IFERROR(INDEX(TableTECalcPts[PLAYER],MATCH(TableTERanks33[[#This Row],[RK]],TableTECalcPts[RK],0)),"")</f>
        <v>Jacob Harris</v>
      </c>
      <c r="AS67" s="22" t="str">
        <f>IFERROR(INDEX(TableTECalcPts[TM],MATCH(TableTERanks33[[#This Row],[Player]],TableTECalcPts[PLAYER],0)),"")</f>
        <v>LAR</v>
      </c>
      <c r="AT67" s="22">
        <f>IFERROR(INDEX(TableTECalcPts[BYE],MATCH(TableTERanks33[[#This Row],[RK]],TableTECalcPts[RK],0)),"")</f>
        <v>7</v>
      </c>
      <c r="AU67" s="279">
        <f>VLOOKUP(TableTERanks33[[#This Row],[Player]],TE!B:O,4,FALSE)</f>
        <v>13.295663358821855</v>
      </c>
      <c r="AV67" s="279">
        <f>VLOOKUP(TableTERanks33[[#This Row],[Player]],TE!B:O,5,FALSE)</f>
        <v>8.5358158763636318</v>
      </c>
      <c r="AW67" s="279">
        <f>VLOOKUP(TableTERanks33[[#This Row],[Player]],TE!B:O,6,FALSE)</f>
        <v>90.700302033197232</v>
      </c>
      <c r="AX67" s="279">
        <f>VLOOKUP(TableTERanks33[[#This Row],[Player]],TE!B:O,7,FALSE)</f>
        <v>0.76822342887272688</v>
      </c>
      <c r="AY67" s="272">
        <f>IFERROR(INDEX(TableTECalcPts[Custom],MATCH(TableTERanks33[[#This Row],[RK]],TableTECalcPts[RK],0)),"")</f>
        <v>13.679370776556084</v>
      </c>
      <c r="AZ6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8" spans="1:52" x14ac:dyDescent="0.3">
      <c r="A68" s="22">
        <v>67</v>
      </c>
      <c r="B68" s="22" t="str">
        <f>IFERROR(INDEX(TableQBCalcPts[PLAYER],MATCH(TableQBRanks30[[#This Row],[RK]],TableQBCalcPts[RK],0)),"")</f>
        <v/>
      </c>
      <c r="C68" s="22" t="str">
        <f>IFERROR(INDEX(TableQBCalcPts[TM],MATCH(TableQBRanks30[[#This Row],[Player]],TableQBCalcPts[PLAYER],0)),"")</f>
        <v/>
      </c>
      <c r="D68" s="22" t="str">
        <f>IFERROR(INDEX(TableQBCalcPts[BYE],MATCH(TableQBRanks30[[#This Row],[RK]],TableQBCalcPts[RK],0)),"")</f>
        <v/>
      </c>
      <c r="E68" s="279" t="e">
        <f>VLOOKUP(TableQBRanks30[[#This Row],[Player]],QB!B:O,4,FALSE)</f>
        <v>#N/A</v>
      </c>
      <c r="F68" s="279" t="e">
        <f>VLOOKUP(TableQBRanks30[[#This Row],[Player]],QB!B:O,5,FALSE)</f>
        <v>#N/A</v>
      </c>
      <c r="G68" s="279" t="e">
        <f>VLOOKUP(TableQBRanks30[[#This Row],[Player]],QB!B:O,6,FALSE)</f>
        <v>#N/A</v>
      </c>
      <c r="H68" s="279" t="e">
        <f>VLOOKUP(TableQBRanks30[[#This Row],[Player]],QB!B:O,7,FALSE)</f>
        <v>#N/A</v>
      </c>
      <c r="I68" s="279" t="e">
        <f>VLOOKUP(TableQBRanks30[[#This Row],[Player]],QB!B:O,8,FALSE)</f>
        <v>#N/A</v>
      </c>
      <c r="J68" s="279" t="e">
        <f>VLOOKUP(TableQBRanks30[[#This Row],[Player]],QB!B:O,9,FALSE)</f>
        <v>#N/A</v>
      </c>
      <c r="K68" s="279" t="e">
        <f>VLOOKUP(TableQBRanks30[[#This Row],[Player]],QB!B:O,10,FALSE)</f>
        <v>#N/A</v>
      </c>
      <c r="L68" s="279" t="e">
        <f>VLOOKUP(TableQBRanks30[[#This Row],[Player]],QB!B:O,11,FALSE)</f>
        <v>#N/A</v>
      </c>
      <c r="M68" s="272" t="str">
        <f>IFERROR(INDEX(TableQBCalcPts[Custom],MATCH(TableQBRanks30[[#This Row],[RK]],TableQBCalcPts[RK],0)),"")</f>
        <v/>
      </c>
      <c r="N68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68" s="22">
        <v>67</v>
      </c>
      <c r="Q68" s="22" t="str">
        <f>IFERROR(INDEX(TableRBCalcPts[PLAYER],MATCH(TableRBRanks31[[#This Row],[RK]],TableRBCalcPts[RK],0)),"")</f>
        <v>Sony Michel</v>
      </c>
      <c r="R68" s="22" t="str">
        <f>IFERROR(INDEX(TableRBCalcPts[TM],MATCH(TableRBRanks31[[#This Row],[Player]],TableRBCalcPts[PLAYER],0)),"")</f>
        <v>MIA</v>
      </c>
      <c r="S68" s="22">
        <f>IFERROR(INDEX(TableRBCalcPts[BYE],MATCH(TableRBRanks31[[#This Row],[RK]],TableRBCalcPts[RK],0)),"")</f>
        <v>11</v>
      </c>
      <c r="T68" s="279">
        <f>VLOOKUP(TableRBRanks31[[#This Row],[Player]],RB!B:O,4,FALSE)</f>
        <v>78.719008003951799</v>
      </c>
      <c r="U68" s="279">
        <f>VLOOKUP(TableRBRanks31[[#This Row],[Player]],RB!B:O,5,FALSE)</f>
        <v>291.35665647320633</v>
      </c>
      <c r="V68" s="279">
        <f>VLOOKUP(TableRBRanks31[[#This Row],[Player]],RB!B:O,6,FALSE)</f>
        <v>2.4166735457213204</v>
      </c>
      <c r="W68" s="279">
        <f>VLOOKUP(TableRBRanks31[[#This Row],[Player]],RB!B:O,7,FALSE)</f>
        <v>7.5598621199999982</v>
      </c>
      <c r="X68" s="279">
        <f>VLOOKUP(TableRBRanks31[[#This Row],[Player]],RB!B:O,8,FALSE)</f>
        <v>5.0053847096519988</v>
      </c>
      <c r="Y68" s="279">
        <f>VLOOKUP(TableRBRanks31[[#This Row],[Player]],RB!B:O,9,FALSE)</f>
        <v>35.788500674011793</v>
      </c>
      <c r="Z68" s="279">
        <f>VLOOKUP(TableRBRanks31[[#This Row],[Player]],RB!B:O,10,FALSE)</f>
        <v>0.14673179803487968</v>
      </c>
      <c r="AA68" s="272">
        <f>IFERROR(INDEX(TableRBCalcPts[Custom],MATCH(TableRBRanks31[[#This Row],[RK]],TableRBCalcPts[RK],0)),"")</f>
        <v>48.094947777259016</v>
      </c>
      <c r="AB6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8" s="22">
        <v>67</v>
      </c>
      <c r="AE68" s="22" t="str">
        <f>IFERROR(INDEX(TableWRCalcPts[PLAYER],MATCH(TableWRRanks32[[#This Row],[RK]],TableWRCalcPts[RK],0)),"")</f>
        <v>John Metchie</v>
      </c>
      <c r="AF68" s="22" t="str">
        <f>IFERROR(INDEX(TableWRCalcPts[TM],MATCH(TableWRRanks32[[#This Row],[Player]],TableWRCalcPts[PLAYER],0)),"")</f>
        <v>HOU</v>
      </c>
      <c r="AG68" s="22">
        <f>IFERROR(INDEX(TableWRCalcPts[BYE],MATCH(TableWRRanks32[[#This Row],[RK]],TableWRCalcPts[RK],0)),"")</f>
        <v>6</v>
      </c>
      <c r="AH68" s="279">
        <f>VLOOKUP(TableWRRanks32[[#This Row],[Player]],WR!B:O,4,FALSE)</f>
        <v>0</v>
      </c>
      <c r="AI68" s="279">
        <f>VLOOKUP(TableWRRanks32[[#This Row],[Player]],WR!B:O,5,FALSE)</f>
        <v>0</v>
      </c>
      <c r="AJ68" s="279">
        <f>VLOOKUP(TableWRRanks32[[#This Row],[Player]],WR!B:O,6,FALSE)</f>
        <v>87.9585166095939</v>
      </c>
      <c r="AK68" s="279">
        <f>VLOOKUP(TableWRRanks32[[#This Row],[Player]],WR!B:O,7,FALSE)</f>
        <v>57.648011785927842</v>
      </c>
      <c r="AL68" s="279">
        <f>VLOOKUP(TableWRRanks32[[#This Row],[Player]],WR!B:O,8,FALSE)</f>
        <v>680.82301919180782</v>
      </c>
      <c r="AM68" s="279">
        <f>VLOOKUP(TableWRRanks32[[#This Row],[Player]],WR!B:O,9,FALSE)</f>
        <v>3.6318247425134542</v>
      </c>
      <c r="AN68" s="272">
        <f>IFERROR(INDEX(TableWRCalcPts[Custom],MATCH(TableWRRanks32[[#This Row],[RK]],TableWRCalcPts[RK],0)),"")</f>
        <v>89.873250374261502</v>
      </c>
      <c r="AO6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8" s="22">
        <v>67</v>
      </c>
      <c r="AR68" s="22" t="str">
        <f>IFERROR(INDEX(TableTECalcPts[PLAYER],MATCH(TableTERanks33[[#This Row],[RK]],TableTECalcPts[RK],0)),"")</f>
        <v>Tyree Jackson</v>
      </c>
      <c r="AS68" s="22" t="str">
        <f>IFERROR(INDEX(TableTECalcPts[TM],MATCH(TableTERanks33[[#This Row],[Player]],TableTECalcPts[PLAYER],0)),"")</f>
        <v>PHI</v>
      </c>
      <c r="AT68" s="22">
        <f>IFERROR(INDEX(TableTECalcPts[BYE],MATCH(TableTERanks33[[#This Row],[RK]],TableTECalcPts[RK],0)),"")</f>
        <v>7</v>
      </c>
      <c r="AU68" s="279">
        <f>VLOOKUP(TableTERanks33[[#This Row],[Player]],TE!B:O,4,FALSE)</f>
        <v>14.346443153706881</v>
      </c>
      <c r="AV68" s="279">
        <f>VLOOKUP(TableTERanks33[[#This Row],[Player]],TE!B:O,5,FALSE)</f>
        <v>8.5791730059167151</v>
      </c>
      <c r="AW68" s="279">
        <f>VLOOKUP(TableTERanks33[[#This Row],[Player]],TE!B:O,6,FALSE)</f>
        <v>85.027733489859585</v>
      </c>
      <c r="AX68" s="279">
        <f>VLOOKUP(TableTERanks33[[#This Row],[Player]],TE!B:O,7,FALSE)</f>
        <v>0.68011564033314831</v>
      </c>
      <c r="AY68" s="272">
        <f>IFERROR(INDEX(TableTECalcPts[Custom],MATCH(TableTERanks33[[#This Row],[RK]],TableTECalcPts[RK],0)),"")</f>
        <v>12.58346719098485</v>
      </c>
      <c r="AZ6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69" spans="1:52" x14ac:dyDescent="0.3">
      <c r="A69" s="22">
        <v>68</v>
      </c>
      <c r="B69" s="274" t="str">
        <f>IFERROR(INDEX(TableQBCalcPts[PLAYER],MATCH(TableQBRanks30[[#This Row],[RK]],TableQBCalcPts[RK],0)),"")</f>
        <v/>
      </c>
      <c r="C69" s="274" t="str">
        <f>IFERROR(INDEX(TableQBCalcPts[TM],MATCH(TableQBRanks30[[#This Row],[Player]],TableQBCalcPts[PLAYER],0)),"")</f>
        <v/>
      </c>
      <c r="D69" s="274" t="str">
        <f>IFERROR(INDEX(TableQBCalcPts[BYE],MATCH(TableQBRanks30[[#This Row],[RK]],TableQBCalcPts[RK],0)),"")</f>
        <v/>
      </c>
      <c r="E69" s="279" t="e">
        <f>VLOOKUP(TableQBRanks30[[#This Row],[Player]],QB!B:O,4,FALSE)</f>
        <v>#N/A</v>
      </c>
      <c r="F69" s="279" t="e">
        <f>VLOOKUP(TableQBRanks30[[#This Row],[Player]],QB!B:O,5,FALSE)</f>
        <v>#N/A</v>
      </c>
      <c r="G69" s="279" t="e">
        <f>VLOOKUP(TableQBRanks30[[#This Row],[Player]],QB!B:O,6,FALSE)</f>
        <v>#N/A</v>
      </c>
      <c r="H69" s="279" t="e">
        <f>VLOOKUP(TableQBRanks30[[#This Row],[Player]],QB!B:O,7,FALSE)</f>
        <v>#N/A</v>
      </c>
      <c r="I69" s="279" t="e">
        <f>VLOOKUP(TableQBRanks30[[#This Row],[Player]],QB!B:O,8,FALSE)</f>
        <v>#N/A</v>
      </c>
      <c r="J69" s="279" t="e">
        <f>VLOOKUP(TableQBRanks30[[#This Row],[Player]],QB!B:O,9,FALSE)</f>
        <v>#N/A</v>
      </c>
      <c r="K69" s="279" t="e">
        <f>VLOOKUP(TableQBRanks30[[#This Row],[Player]],QB!B:O,10,FALSE)</f>
        <v>#N/A</v>
      </c>
      <c r="L69" s="279" t="e">
        <f>VLOOKUP(TableQBRanks30[[#This Row],[Player]],QB!B:O,11,FALSE)</f>
        <v>#N/A</v>
      </c>
      <c r="M69" s="272" t="str">
        <f>IFERROR(INDEX(TableQBCalcPts[Custom],MATCH(TableQBRanks30[[#This Row],[RK]],TableQBCalcPts[RK],0)),"")</f>
        <v/>
      </c>
      <c r="N69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69" s="22">
        <v>68</v>
      </c>
      <c r="Q69" s="22" t="str">
        <f>IFERROR(INDEX(TableRBCalcPts[PLAYER],MATCH(TableRBRanks31[[#This Row],[RK]],TableRBCalcPts[RK],0)),"")</f>
        <v>D'Onta Foreman</v>
      </c>
      <c r="R69" s="22" t="str">
        <f>IFERROR(INDEX(TableRBCalcPts[TM],MATCH(TableRBRanks31[[#This Row],[Player]],TableRBCalcPts[PLAYER],0)),"")</f>
        <v>CAR</v>
      </c>
      <c r="S69" s="22">
        <f>IFERROR(INDEX(TableRBCalcPts[BYE],MATCH(TableRBRanks31[[#This Row],[RK]],TableRBCalcPts[RK],0)),"")</f>
        <v>13</v>
      </c>
      <c r="T69" s="279">
        <f>VLOOKUP(TableRBRanks31[[#This Row],[Player]],RB!B:O,4,FALSE)</f>
        <v>57.528041712930914</v>
      </c>
      <c r="U69" s="279">
        <f>VLOOKUP(TableRBRanks31[[#This Row],[Player]],RB!B:O,5,FALSE)</f>
        <v>234.71441018875814</v>
      </c>
      <c r="V69" s="279">
        <f>VLOOKUP(TableRBRanks31[[#This Row],[Player]],RB!B:O,6,FALSE)</f>
        <v>1.7430996639018068</v>
      </c>
      <c r="W69" s="279">
        <f>VLOOKUP(TableRBRanks31[[#This Row],[Player]],RB!B:O,7,FALSE)</f>
        <v>20.593882030168011</v>
      </c>
      <c r="X69" s="279">
        <f>VLOOKUP(TableRBRanks31[[#This Row],[Player]],RB!B:O,8,FALSE)</f>
        <v>14.654606452667556</v>
      </c>
      <c r="Y69" s="279">
        <f>VLOOKUP(TableRBRanks31[[#This Row],[Player]],RB!B:O,9,FALSE)</f>
        <v>92.417468216432098</v>
      </c>
      <c r="Z69" s="279">
        <f>VLOOKUP(TableRBRanks31[[#This Row],[Player]],RB!B:O,10,FALSE)</f>
        <v>0.29652095442207543</v>
      </c>
      <c r="AA69" s="272">
        <f>IFERROR(INDEX(TableRBCalcPts[Custom],MATCH(TableRBRanks31[[#This Row],[RK]],TableRBCalcPts[RK],0)),"")</f>
        <v>44.950911550462322</v>
      </c>
      <c r="AB6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69" s="274">
        <v>68</v>
      </c>
      <c r="AE69" s="274" t="str">
        <f>IFERROR(INDEX(TableWRCalcPts[PLAYER],MATCH(TableWRRanks32[[#This Row],[RK]],TableWRCalcPts[RK],0)),"")</f>
        <v>DeVante Parker</v>
      </c>
      <c r="AF69" s="22" t="str">
        <f>IFERROR(INDEX(TableWRCalcPts[TM],MATCH(TableWRRanks32[[#This Row],[Player]],TableWRCalcPts[PLAYER],0)),"")</f>
        <v>NE</v>
      </c>
      <c r="AG69" s="22">
        <f>IFERROR(INDEX(TableWRCalcPts[BYE],MATCH(TableWRRanks32[[#This Row],[RK]],TableWRCalcPts[RK],0)),"")</f>
        <v>10</v>
      </c>
      <c r="AH69" s="279">
        <f>VLOOKUP(TableWRRanks32[[#This Row],[Player]],WR!B:O,4,FALSE)</f>
        <v>0</v>
      </c>
      <c r="AI69" s="279">
        <f>VLOOKUP(TableWRRanks32[[#This Row],[Player]],WR!B:O,5,FALSE)</f>
        <v>0</v>
      </c>
      <c r="AJ69" s="279">
        <f>VLOOKUP(TableWRRanks32[[#This Row],[Player]],WR!B:O,6,FALSE)</f>
        <v>80.317008034711606</v>
      </c>
      <c r="AK69" s="279">
        <f>VLOOKUP(TableWRRanks32[[#This Row],[Player]],WR!B:O,7,FALSE)</f>
        <v>48.792582381087307</v>
      </c>
      <c r="AL69" s="279">
        <f>VLOOKUP(TableWRRanks32[[#This Row],[Player]],WR!B:O,8,FALSE)</f>
        <v>655.77230720181342</v>
      </c>
      <c r="AM69" s="279">
        <f>VLOOKUP(TableWRRanks32[[#This Row],[Player]],WR!B:O,9,FALSE)</f>
        <v>3.6381348321608065</v>
      </c>
      <c r="AN69" s="272">
        <f>IFERROR(INDEX(TableWRCalcPts[Custom],MATCH(TableWRRanks32[[#This Row],[RK]],TableWRCalcPts[RK],0)),"")</f>
        <v>87.406039713146185</v>
      </c>
      <c r="AO6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69" s="274">
        <v>68</v>
      </c>
      <c r="AR69" s="274" t="str">
        <f>IFERROR(INDEX(TableTECalcPts[PLAYER],MATCH(TableTERanks33[[#This Row],[RK]],TableTECalcPts[RK],0)),"")</f>
        <v>Chris Manhertz</v>
      </c>
      <c r="AS69" s="22" t="str">
        <f>IFERROR(INDEX(TableTECalcPts[TM],MATCH(TableTERanks33[[#This Row],[Player]],TableTECalcPts[PLAYER],0)),"")</f>
        <v>JAX</v>
      </c>
      <c r="AT69" s="22">
        <f>IFERROR(INDEX(TableTECalcPts[BYE],MATCH(TableTERanks33[[#This Row],[RK]],TableTECalcPts[RK],0)),"")</f>
        <v>11</v>
      </c>
      <c r="AU69" s="279">
        <f>VLOOKUP(TableTERanks33[[#This Row],[Player]],TE!B:O,4,FALSE)</f>
        <v>12.893146125440278</v>
      </c>
      <c r="AV69" s="279">
        <f>VLOOKUP(TableTERanks33[[#This Row],[Player]],TE!B:O,5,FALSE)</f>
        <v>7.6327425062606444</v>
      </c>
      <c r="AW69" s="279">
        <f>VLOOKUP(TableTERanks33[[#This Row],[Player]],TE!B:O,6,FALSE)</f>
        <v>81.370746207544869</v>
      </c>
      <c r="AX69" s="279">
        <f>VLOOKUP(TableTERanks33[[#This Row],[Player]],TE!B:O,7,FALSE)</f>
        <v>0.59029362340171898</v>
      </c>
      <c r="AY69" s="272">
        <f>IFERROR(INDEX(TableTECalcPts[Custom],MATCH(TableTERanks33[[#This Row],[RK]],TableTECalcPts[RK],0)),"")</f>
        <v>11.678836361164802</v>
      </c>
      <c r="AZ6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0" spans="1:52" x14ac:dyDescent="0.3">
      <c r="A70" s="22">
        <v>69</v>
      </c>
      <c r="B70" s="274" t="str">
        <f>IFERROR(INDEX(TableQBCalcPts[PLAYER],MATCH(TableQBRanks30[[#This Row],[RK]],TableQBCalcPts[RK],0)),"")</f>
        <v/>
      </c>
      <c r="C70" s="274" t="str">
        <f>IFERROR(INDEX(TableQBCalcPts[TM],MATCH(TableQBRanks30[[#This Row],[Player]],TableQBCalcPts[PLAYER],0)),"")</f>
        <v/>
      </c>
      <c r="D70" s="274" t="str">
        <f>IFERROR(INDEX(TableQBCalcPts[BYE],MATCH(TableQBRanks30[[#This Row],[RK]],TableQBCalcPts[RK],0)),"")</f>
        <v/>
      </c>
      <c r="E70" s="279" t="e">
        <f>VLOOKUP(TableQBRanks30[[#This Row],[Player]],QB!B:O,4,FALSE)</f>
        <v>#N/A</v>
      </c>
      <c r="F70" s="279" t="e">
        <f>VLOOKUP(TableQBRanks30[[#This Row],[Player]],QB!B:O,5,FALSE)</f>
        <v>#N/A</v>
      </c>
      <c r="G70" s="279" t="e">
        <f>VLOOKUP(TableQBRanks30[[#This Row],[Player]],QB!B:O,6,FALSE)</f>
        <v>#N/A</v>
      </c>
      <c r="H70" s="279" t="e">
        <f>VLOOKUP(TableQBRanks30[[#This Row],[Player]],QB!B:O,7,FALSE)</f>
        <v>#N/A</v>
      </c>
      <c r="I70" s="279" t="e">
        <f>VLOOKUP(TableQBRanks30[[#This Row],[Player]],QB!B:O,8,FALSE)</f>
        <v>#N/A</v>
      </c>
      <c r="J70" s="279" t="e">
        <f>VLOOKUP(TableQBRanks30[[#This Row],[Player]],QB!B:O,9,FALSE)</f>
        <v>#N/A</v>
      </c>
      <c r="K70" s="279" t="e">
        <f>VLOOKUP(TableQBRanks30[[#This Row],[Player]],QB!B:O,10,FALSE)</f>
        <v>#N/A</v>
      </c>
      <c r="L70" s="279" t="e">
        <f>VLOOKUP(TableQBRanks30[[#This Row],[Player]],QB!B:O,11,FALSE)</f>
        <v>#N/A</v>
      </c>
      <c r="M70" s="272" t="str">
        <f>IFERROR(INDEX(TableQBCalcPts[Custom],MATCH(TableQBRanks30[[#This Row],[RK]],TableQBCalcPts[RK],0)),"")</f>
        <v/>
      </c>
      <c r="N70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0" s="22">
        <v>69</v>
      </c>
      <c r="Q70" s="22" t="str">
        <f>IFERROR(INDEX(TableRBCalcPts[PLAYER],MATCH(TableRBRanks31[[#This Row],[RK]],TableRBCalcPts[RK],0)),"")</f>
        <v>Brandon Bolden</v>
      </c>
      <c r="R70" s="22" t="str">
        <f>IFERROR(INDEX(TableRBCalcPts[TM],MATCH(TableRBRanks31[[#This Row],[Player]],TableRBCalcPts[PLAYER],0)),"")</f>
        <v>LV</v>
      </c>
      <c r="S70" s="22">
        <f>IFERROR(INDEX(TableRBCalcPts[BYE],MATCH(TableRBRanks31[[#This Row],[RK]],TableRBCalcPts[RK],0)),"")</f>
        <v>6</v>
      </c>
      <c r="T70" s="279">
        <f>VLOOKUP(TableRBRanks31[[#This Row],[Player]],RB!B:O,4,FALSE)</f>
        <v>40.430326247611831</v>
      </c>
      <c r="U70" s="279">
        <f>VLOOKUP(TableRBRanks31[[#This Row],[Player]],RB!B:O,5,FALSE)</f>
        <v>171.02028002739806</v>
      </c>
      <c r="V70" s="279">
        <f>VLOOKUP(TableRBRanks31[[#This Row],[Player]],RB!B:O,6,FALSE)</f>
        <v>0.98649996044172872</v>
      </c>
      <c r="W70" s="279">
        <f>VLOOKUP(TableRBRanks31[[#This Row],[Player]],RB!B:O,7,FALSE)</f>
        <v>28.349482949999992</v>
      </c>
      <c r="X70" s="279">
        <f>VLOOKUP(TableRBRanks31[[#This Row],[Player]],RB!B:O,8,FALSE)</f>
        <v>19.361029238205873</v>
      </c>
      <c r="Y70" s="279">
        <f>VLOOKUP(TableRBRanks31[[#This Row],[Player]],RB!B:O,9,FALSE)</f>
        <v>167.86012349524492</v>
      </c>
      <c r="Z70" s="279">
        <f>VLOOKUP(TableRBRanks31[[#This Row],[Player]],RB!B:O,10,FALSE)</f>
        <v>0.59304616906433805</v>
      </c>
      <c r="AA70" s="272">
        <f>IFERROR(INDEX(TableRBCalcPts[Custom],MATCH(TableRBRanks31[[#This Row],[RK]],TableRBCalcPts[RK],0)),"")</f>
        <v>43.365317129300699</v>
      </c>
      <c r="AB7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0" s="22">
        <v>69</v>
      </c>
      <c r="AE70" s="22" t="str">
        <f>IFERROR(INDEX(TableWRCalcPts[PLAYER],MATCH(TableWRRanks32[[#This Row],[RK]],TableWRCalcPts[RK],0)),"")</f>
        <v>Curtis Samuel</v>
      </c>
      <c r="AF70" s="22" t="str">
        <f>IFERROR(INDEX(TableWRCalcPts[TM],MATCH(TableWRRanks32[[#This Row],[Player]],TableWRCalcPts[PLAYER],0)),"")</f>
        <v>WSH</v>
      </c>
      <c r="AG70" s="22">
        <f>IFERROR(INDEX(TableWRCalcPts[BYE],MATCH(TableWRRanks32[[#This Row],[RK]],TableWRCalcPts[RK],0)),"")</f>
        <v>14</v>
      </c>
      <c r="AH70" s="279">
        <f>VLOOKUP(TableWRRanks32[[#This Row],[Player]],WR!B:O,4,FALSE)</f>
        <v>83.79355726222289</v>
      </c>
      <c r="AI70" s="279">
        <f>VLOOKUP(TableWRRanks32[[#This Row],[Player]],WR!B:O,5,FALSE)</f>
        <v>0.81903437293204873</v>
      </c>
      <c r="AJ70" s="279">
        <f>VLOOKUP(TableWRRanks32[[#This Row],[Player]],WR!B:O,6,FALSE)</f>
        <v>80.166084095306445</v>
      </c>
      <c r="AK70" s="279">
        <f>VLOOKUP(TableWRRanks32[[#This Row],[Player]],WR!B:O,7,FALSE)</f>
        <v>49.847271090461547</v>
      </c>
      <c r="AL70" s="279">
        <f>VLOOKUP(TableWRRanks32[[#This Row],[Player]],WR!B:O,8,FALSE)</f>
        <v>539.34747319879398</v>
      </c>
      <c r="AM70" s="279">
        <f>VLOOKUP(TableWRRanks32[[#This Row],[Player]],WR!B:O,9,FALSE)</f>
        <v>3.339767163060924</v>
      </c>
      <c r="AN70" s="272">
        <f>IFERROR(INDEX(TableWRCalcPts[Custom],MATCH(TableWRRanks32[[#This Row],[RK]],TableWRCalcPts[RK],0)),"")</f>
        <v>87.266912262059535</v>
      </c>
      <c r="AO7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0" s="22">
        <v>69</v>
      </c>
      <c r="AR70" s="22" t="str">
        <f>IFERROR(INDEX(TableTECalcPts[PLAYER],MATCH(TableTERanks33[[#This Row],[RK]],TableTECalcPts[RK],0)),"")</f>
        <v>Nick Eubanks</v>
      </c>
      <c r="AS70" s="22" t="str">
        <f>IFERROR(INDEX(TableTECalcPts[TM],MATCH(TableTERanks33[[#This Row],[Player]],TableTECalcPts[PLAYER],0)),"")</f>
        <v>CIN</v>
      </c>
      <c r="AT70" s="22">
        <f>IFERROR(INDEX(TableTECalcPts[BYE],MATCH(TableTERanks33[[#This Row],[RK]],TableTECalcPts[RK],0)),"")</f>
        <v>10</v>
      </c>
      <c r="AU70" s="279">
        <f>VLOOKUP(TableTERanks33[[#This Row],[Player]],TE!B:O,4,FALSE)</f>
        <v>11.884911697576813</v>
      </c>
      <c r="AV70" s="279">
        <f>VLOOKUP(TableTERanks33[[#This Row],[Player]],TE!B:O,5,FALSE)</f>
        <v>7.2890163441238585</v>
      </c>
      <c r="AW70" s="279">
        <f>VLOOKUP(TableTERanks33[[#This Row],[Player]],TE!B:O,6,FALSE)</f>
        <v>77.142089641977506</v>
      </c>
      <c r="AX70" s="279">
        <f>VLOOKUP(TableTERanks33[[#This Row],[Player]],TE!B:O,7,FALSE)</f>
        <v>0.60741802867698813</v>
      </c>
      <c r="AY70" s="272">
        <f>IFERROR(INDEX(TableTECalcPts[Custom],MATCH(TableTERanks33[[#This Row],[RK]],TableTECalcPts[RK],0)),"")</f>
        <v>11.358717136259679</v>
      </c>
      <c r="AZ7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1" spans="1:52" x14ac:dyDescent="0.3">
      <c r="A71" s="22">
        <v>70</v>
      </c>
      <c r="B71" s="274" t="str">
        <f>IFERROR(INDEX(TableQBCalcPts[PLAYER],MATCH(TableQBRanks30[[#This Row],[RK]],TableQBCalcPts[RK],0)),"")</f>
        <v/>
      </c>
      <c r="C71" s="274" t="str">
        <f>IFERROR(INDEX(TableQBCalcPts[TM],MATCH(TableQBRanks30[[#This Row],[Player]],TableQBCalcPts[PLAYER],0)),"")</f>
        <v/>
      </c>
      <c r="D71" s="274" t="str">
        <f>IFERROR(INDEX(TableQBCalcPts[BYE],MATCH(TableQBRanks30[[#This Row],[RK]],TableQBCalcPts[RK],0)),"")</f>
        <v/>
      </c>
      <c r="E71" s="279" t="e">
        <f>VLOOKUP(TableQBRanks30[[#This Row],[Player]],QB!B:O,4,FALSE)</f>
        <v>#N/A</v>
      </c>
      <c r="F71" s="279" t="e">
        <f>VLOOKUP(TableQBRanks30[[#This Row],[Player]],QB!B:O,5,FALSE)</f>
        <v>#N/A</v>
      </c>
      <c r="G71" s="279" t="e">
        <f>VLOOKUP(TableQBRanks30[[#This Row],[Player]],QB!B:O,6,FALSE)</f>
        <v>#N/A</v>
      </c>
      <c r="H71" s="279" t="e">
        <f>VLOOKUP(TableQBRanks30[[#This Row],[Player]],QB!B:O,7,FALSE)</f>
        <v>#N/A</v>
      </c>
      <c r="I71" s="279" t="e">
        <f>VLOOKUP(TableQBRanks30[[#This Row],[Player]],QB!B:O,8,FALSE)</f>
        <v>#N/A</v>
      </c>
      <c r="J71" s="279" t="e">
        <f>VLOOKUP(TableQBRanks30[[#This Row],[Player]],QB!B:O,9,FALSE)</f>
        <v>#N/A</v>
      </c>
      <c r="K71" s="279" t="e">
        <f>VLOOKUP(TableQBRanks30[[#This Row],[Player]],QB!B:O,10,FALSE)</f>
        <v>#N/A</v>
      </c>
      <c r="L71" s="279" t="e">
        <f>VLOOKUP(TableQBRanks30[[#This Row],[Player]],QB!B:O,11,FALSE)</f>
        <v>#N/A</v>
      </c>
      <c r="M71" s="272" t="str">
        <f>IFERROR(INDEX(TableQBCalcPts[Custom],MATCH(TableQBRanks30[[#This Row],[RK]],TableQBCalcPts[RK],0)),"")</f>
        <v/>
      </c>
      <c r="N71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1" s="22">
        <v>70</v>
      </c>
      <c r="Q71" s="22" t="str">
        <f>IFERROR(INDEX(TableRBCalcPts[PLAYER],MATCH(TableRBRanks31[[#This Row],[RK]],TableRBCalcPts[RK],0)),"")</f>
        <v>Giovani Bernard</v>
      </c>
      <c r="R71" s="22" t="str">
        <f>IFERROR(INDEX(TableRBCalcPts[TM],MATCH(TableRBRanks31[[#This Row],[Player]],TableRBCalcPts[PLAYER],0)),"")</f>
        <v>TB</v>
      </c>
      <c r="S71" s="22">
        <f>IFERROR(INDEX(TableRBCalcPts[BYE],MATCH(TableRBRanks31[[#This Row],[RK]],TableRBCalcPts[RK],0)),"")</f>
        <v>11</v>
      </c>
      <c r="T71" s="279">
        <f>VLOOKUP(TableRBRanks31[[#This Row],[Player]],RB!B:O,4,FALSE)</f>
        <v>37.727636657772578</v>
      </c>
      <c r="U71" s="279">
        <f>VLOOKUP(TableRBRanks31[[#This Row],[Player]],RB!B:O,5,FALSE)</f>
        <v>159.68557101766075</v>
      </c>
      <c r="V71" s="279">
        <f>VLOOKUP(TableRBRanks31[[#This Row],[Player]],RB!B:O,6,FALSE)</f>
        <v>1.0393697459218001</v>
      </c>
      <c r="W71" s="279">
        <f>VLOOKUP(TableRBRanks31[[#This Row],[Player]],RB!B:O,7,FALSE)</f>
        <v>29.986581474048769</v>
      </c>
      <c r="X71" s="279">
        <f>VLOOKUP(TableRBRanks31[[#This Row],[Player]],RB!B:O,8,FALSE)</f>
        <v>19.497475184969673</v>
      </c>
      <c r="Y71" s="279">
        <f>VLOOKUP(TableRBRanks31[[#This Row],[Player]],RB!B:O,9,FALSE)</f>
        <v>139.40694757253317</v>
      </c>
      <c r="Z71" s="279">
        <f>VLOOKUP(TableRBRanks31[[#This Row],[Player]],RB!B:O,10,FALSE)</f>
        <v>0.93558134199032195</v>
      </c>
      <c r="AA71" s="272">
        <f>IFERROR(INDEX(TableRBCalcPts[Custom],MATCH(TableRBRanks31[[#This Row],[RK]],TableRBCalcPts[RK],0)),"")</f>
        <v>41.758958386492125</v>
      </c>
      <c r="AB7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1" s="22">
        <v>70</v>
      </c>
      <c r="AE71" s="274" t="str">
        <f>IFERROR(INDEX(TableWRCalcPts[PLAYER],MATCH(TableWRRanks32[[#This Row],[RK]],TableWRCalcPts[RK],0)),"")</f>
        <v>Byron Pringle</v>
      </c>
      <c r="AF71" s="22" t="str">
        <f>IFERROR(INDEX(TableWRCalcPts[TM],MATCH(TableWRRanks32[[#This Row],[Player]],TableWRCalcPts[PLAYER],0)),"")</f>
        <v>CHI</v>
      </c>
      <c r="AG71" s="22">
        <f>IFERROR(INDEX(TableWRCalcPts[BYE],MATCH(TableWRRanks32[[#This Row],[RK]],TableWRCalcPts[RK],0)),"")</f>
        <v>14</v>
      </c>
      <c r="AH71" s="279">
        <f>VLOOKUP(TableWRRanks32[[#This Row],[Player]],WR!B:O,4,FALSE)</f>
        <v>0</v>
      </c>
      <c r="AI71" s="279">
        <f>VLOOKUP(TableWRRanks32[[#This Row],[Player]],WR!B:O,5,FALSE)</f>
        <v>0</v>
      </c>
      <c r="AJ71" s="279">
        <f>VLOOKUP(TableWRRanks32[[#This Row],[Player]],WR!B:O,6,FALSE)</f>
        <v>84.285292511746107</v>
      </c>
      <c r="AK71" s="279">
        <f>VLOOKUP(TableWRRanks32[[#This Row],[Player]],WR!B:O,7,FALSE)</f>
        <v>52.998591931385953</v>
      </c>
      <c r="AL71" s="279">
        <f>VLOOKUP(TableWRRanks32[[#This Row],[Player]],WR!B:O,8,FALSE)</f>
        <v>623.26344111309879</v>
      </c>
      <c r="AM71" s="279">
        <f>VLOOKUP(TableWRRanks32[[#This Row],[Player]],WR!B:O,9,FALSE)</f>
        <v>4.1064797127260952</v>
      </c>
      <c r="AN71" s="272">
        <f>IFERROR(INDEX(TableWRCalcPts[Custom],MATCH(TableWRRanks32[[#This Row],[RK]],TableWRCalcPts[RK],0)),"")</f>
        <v>86.965222387666444</v>
      </c>
      <c r="AO7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1" s="22">
        <v>70</v>
      </c>
      <c r="AR71" s="22" t="str">
        <f>IFERROR(INDEX(TableTECalcPts[PLAYER],MATCH(TableTERanks33[[#This Row],[RK]],TableTECalcPts[RK],0)),"")</f>
        <v>Zach Gentry</v>
      </c>
      <c r="AS71" s="22" t="str">
        <f>IFERROR(INDEX(TableTECalcPts[TM],MATCH(TableTERanks33[[#This Row],[Player]],TableTECalcPts[PLAYER],0)),"")</f>
        <v>PIT</v>
      </c>
      <c r="AT71" s="22">
        <f>IFERROR(INDEX(TableTECalcPts[BYE],MATCH(TableTERanks33[[#This Row],[RK]],TableTECalcPts[RK],0)),"")</f>
        <v>9</v>
      </c>
      <c r="AU71" s="279">
        <f>VLOOKUP(TableTERanks33[[#This Row],[Player]],TE!B:O,4,FALSE)</f>
        <v>13.196684142840397</v>
      </c>
      <c r="AV71" s="279">
        <f>VLOOKUP(TableTERanks33[[#This Row],[Player]],TE!B:O,5,FALSE)</f>
        <v>7.9034941331471131</v>
      </c>
      <c r="AW71" s="279">
        <f>VLOOKUP(TableTERanks33[[#This Row],[Player]],TE!B:O,6,FALSE)</f>
        <v>79.667220862122903</v>
      </c>
      <c r="AX71" s="279">
        <f>VLOOKUP(TableTERanks33[[#This Row],[Player]],TE!B:O,7,FALSE)</f>
        <v>0.47457260983191052</v>
      </c>
      <c r="AY71" s="272">
        <f>IFERROR(INDEX(TableTECalcPts[Custom],MATCH(TableTERanks33[[#This Row],[RK]],TableTECalcPts[RK],0)),"")</f>
        <v>10.814157745203755</v>
      </c>
      <c r="AZ7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2" spans="1:52" x14ac:dyDescent="0.3">
      <c r="A72" s="22">
        <v>71</v>
      </c>
      <c r="B72" s="274" t="str">
        <f>IFERROR(INDEX(TableQBCalcPts[PLAYER],MATCH(TableQBRanks30[[#This Row],[RK]],TableQBCalcPts[RK],0)),"")</f>
        <v/>
      </c>
      <c r="C72" s="274" t="str">
        <f>IFERROR(INDEX(TableQBCalcPts[TM],MATCH(TableQBRanks30[[#This Row],[Player]],TableQBCalcPts[PLAYER],0)),"")</f>
        <v/>
      </c>
      <c r="D72" s="274" t="str">
        <f>IFERROR(INDEX(TableQBCalcPts[BYE],MATCH(TableQBRanks30[[#This Row],[RK]],TableQBCalcPts[RK],0)),"")</f>
        <v/>
      </c>
      <c r="E72" s="279" t="e">
        <f>VLOOKUP(TableQBRanks30[[#This Row],[Player]],QB!B:O,4,FALSE)</f>
        <v>#N/A</v>
      </c>
      <c r="F72" s="279" t="e">
        <f>VLOOKUP(TableQBRanks30[[#This Row],[Player]],QB!B:O,5,FALSE)</f>
        <v>#N/A</v>
      </c>
      <c r="G72" s="279" t="e">
        <f>VLOOKUP(TableQBRanks30[[#This Row],[Player]],QB!B:O,6,FALSE)</f>
        <v>#N/A</v>
      </c>
      <c r="H72" s="279" t="e">
        <f>VLOOKUP(TableQBRanks30[[#This Row],[Player]],QB!B:O,7,FALSE)</f>
        <v>#N/A</v>
      </c>
      <c r="I72" s="279" t="e">
        <f>VLOOKUP(TableQBRanks30[[#This Row],[Player]],QB!B:O,8,FALSE)</f>
        <v>#N/A</v>
      </c>
      <c r="J72" s="279" t="e">
        <f>VLOOKUP(TableQBRanks30[[#This Row],[Player]],QB!B:O,9,FALSE)</f>
        <v>#N/A</v>
      </c>
      <c r="K72" s="279" t="e">
        <f>VLOOKUP(TableQBRanks30[[#This Row],[Player]],QB!B:O,10,FALSE)</f>
        <v>#N/A</v>
      </c>
      <c r="L72" s="279" t="e">
        <f>VLOOKUP(TableQBRanks30[[#This Row],[Player]],QB!B:O,11,FALSE)</f>
        <v>#N/A</v>
      </c>
      <c r="M72" s="272" t="str">
        <f>IFERROR(INDEX(TableQBCalcPts[Custom],MATCH(TableQBRanks30[[#This Row],[RK]],TableQBCalcPts[RK],0)),"")</f>
        <v/>
      </c>
      <c r="N72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2" s="22">
        <v>71</v>
      </c>
      <c r="Q72" s="22" t="str">
        <f>IFERROR(INDEX(TableRBCalcPts[PLAYER],MATCH(TableRBRanks31[[#This Row],[RK]],TableRBCalcPts[RK],0)),"")</f>
        <v>Dontrell Hilliard</v>
      </c>
      <c r="R72" s="22" t="str">
        <f>IFERROR(INDEX(TableRBCalcPts[TM],MATCH(TableRBRanks31[[#This Row],[Player]],TableRBCalcPts[PLAYER],0)),"")</f>
        <v>TEN</v>
      </c>
      <c r="S72" s="22">
        <f>IFERROR(INDEX(TableRBCalcPts[BYE],MATCH(TableRBRanks31[[#This Row],[RK]],TableRBCalcPts[RK],0)),"")</f>
        <v>6</v>
      </c>
      <c r="T72" s="279">
        <f>VLOOKUP(TableRBRanks31[[#This Row],[Player]],RB!B:O,4,FALSE)</f>
        <v>27.587678006791272</v>
      </c>
      <c r="U72" s="279">
        <f>VLOOKUP(TableRBRanks31[[#This Row],[Player]],RB!B:O,5,FALSE)</f>
        <v>147.68563851371997</v>
      </c>
      <c r="V72" s="279">
        <f>VLOOKUP(TableRBRanks31[[#This Row],[Player]],RB!B:O,6,FALSE)</f>
        <v>0.74463552311786929</v>
      </c>
      <c r="W72" s="279">
        <f>VLOOKUP(TableRBRanks31[[#This Row],[Player]],RB!B:O,7,FALSE)</f>
        <v>39.746878106667999</v>
      </c>
      <c r="X72" s="279">
        <f>VLOOKUP(TableRBRanks31[[#This Row],[Player]],RB!B:O,8,FALSE)</f>
        <v>29.889652336214336</v>
      </c>
      <c r="Y72" s="279">
        <f>VLOOKUP(TableRBRanks31[[#This Row],[Player]],RB!B:O,9,FALSE)</f>
        <v>178.17193969571079</v>
      </c>
      <c r="Z72" s="279">
        <f>VLOOKUP(TableRBRanks31[[#This Row],[Player]],RB!B:O,10,FALSE)</f>
        <v>0.64737936757585801</v>
      </c>
      <c r="AA72" s="272">
        <f>IFERROR(INDEX(TableRBCalcPts[Custom],MATCH(TableRBRanks31[[#This Row],[RK]],TableRBCalcPts[RK],0)),"")</f>
        <v>40.937847165105438</v>
      </c>
      <c r="AB7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2" s="274">
        <v>71</v>
      </c>
      <c r="AE72" s="22" t="str">
        <f>IFERROR(INDEX(TableWRCalcPts[PLAYER],MATCH(TableWRRanks32[[#This Row],[RK]],TableWRCalcPts[RK],0)),"")</f>
        <v>Joshua Palmer</v>
      </c>
      <c r="AF72" s="22" t="str">
        <f>IFERROR(INDEX(TableWRCalcPts[TM],MATCH(TableWRRanks32[[#This Row],[Player]],TableWRCalcPts[PLAYER],0)),"")</f>
        <v>LAC</v>
      </c>
      <c r="AG72" s="22">
        <f>IFERROR(INDEX(TableWRCalcPts[BYE],MATCH(TableWRRanks32[[#This Row],[RK]],TableWRCalcPts[RK],0)),"")</f>
        <v>8</v>
      </c>
      <c r="AH72" s="279">
        <f>VLOOKUP(TableWRRanks32[[#This Row],[Player]],WR!B:O,4,FALSE)</f>
        <v>4.1093571529689745</v>
      </c>
      <c r="AI72" s="279">
        <f>VLOOKUP(TableWRRanks32[[#This Row],[Player]],WR!B:O,5,FALSE)</f>
        <v>0</v>
      </c>
      <c r="AJ72" s="279">
        <f>VLOOKUP(TableWRRanks32[[#This Row],[Player]],WR!B:O,6,FALSE)</f>
        <v>84.197160271658376</v>
      </c>
      <c r="AK72" s="279">
        <f>VLOOKUP(TableWRRanks32[[#This Row],[Player]],WR!B:O,7,FALSE)</f>
        <v>45.008773833291244</v>
      </c>
      <c r="AL72" s="279">
        <f>VLOOKUP(TableWRRanks32[[#This Row],[Player]],WR!B:O,8,FALSE)</f>
        <v>582.41353340278863</v>
      </c>
      <c r="AM72" s="279">
        <f>VLOOKUP(TableWRRanks32[[#This Row],[Player]],WR!B:O,9,FALSE)</f>
        <v>4.5880372379855032</v>
      </c>
      <c r="AN72" s="272">
        <f>IFERROR(INDEX(TableWRCalcPts[Custom],MATCH(TableWRRanks32[[#This Row],[RK]],TableWRCalcPts[RK],0)),"")</f>
        <v>86.180512483488769</v>
      </c>
      <c r="AO7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2" s="274">
        <v>71</v>
      </c>
      <c r="AR72" s="22" t="str">
        <f>IFERROR(INDEX(TableTECalcPts[PLAYER],MATCH(TableTERanks33[[#This Row],[RK]],TableTECalcPts[RK],0)),"")</f>
        <v>Charlie Kolar</v>
      </c>
      <c r="AS72" s="22" t="str">
        <f>IFERROR(INDEX(TableTECalcPts[TM],MATCH(TableTERanks33[[#This Row],[Player]],TableTECalcPts[PLAYER],0)),"")</f>
        <v>BAL</v>
      </c>
      <c r="AT72" s="22">
        <f>IFERROR(INDEX(TableTECalcPts[BYE],MATCH(TableTERanks33[[#This Row],[RK]],TableTECalcPts[RK],0)),"")</f>
        <v>10</v>
      </c>
      <c r="AU72" s="279">
        <f>VLOOKUP(TableTERanks33[[#This Row],[Player]],TE!B:O,4,FALSE)</f>
        <v>11.219585386642633</v>
      </c>
      <c r="AV72" s="279">
        <f>VLOOKUP(TableTERanks33[[#This Row],[Player]],TE!B:O,5,FALSE)</f>
        <v>6.9337037689451471</v>
      </c>
      <c r="AW72" s="279">
        <f>VLOOKUP(TableTERanks33[[#This Row],[Player]],TE!B:O,6,FALSE)</f>
        <v>74.068270849437567</v>
      </c>
      <c r="AX72" s="279">
        <f>VLOOKUP(TableTERanks33[[#This Row],[Player]],TE!B:O,7,FALSE)</f>
        <v>0.48535926382616035</v>
      </c>
      <c r="AY72" s="272">
        <f>IFERROR(INDEX(TableTECalcPts[Custom],MATCH(TableTERanks33[[#This Row],[RK]],TableTECalcPts[RK],0)),"")</f>
        <v>10.31898266790072</v>
      </c>
      <c r="AZ7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3" spans="1:52" x14ac:dyDescent="0.3">
      <c r="A73" s="22">
        <v>72</v>
      </c>
      <c r="B73" s="274" t="str">
        <f>IFERROR(INDEX(TableQBCalcPts[PLAYER],MATCH(TableQBRanks30[[#This Row],[RK]],TableQBCalcPts[RK],0)),"")</f>
        <v/>
      </c>
      <c r="C73" s="274" t="str">
        <f>IFERROR(INDEX(TableQBCalcPts[TM],MATCH(TableQBRanks30[[#This Row],[Player]],TableQBCalcPts[PLAYER],0)),"")</f>
        <v/>
      </c>
      <c r="D73" s="274" t="str">
        <f>IFERROR(INDEX(TableQBCalcPts[BYE],MATCH(TableQBRanks30[[#This Row],[RK]],TableQBCalcPts[RK],0)),"")</f>
        <v/>
      </c>
      <c r="E73" s="279" t="e">
        <f>VLOOKUP(TableQBRanks30[[#This Row],[Player]],QB!B:O,4,FALSE)</f>
        <v>#N/A</v>
      </c>
      <c r="F73" s="279" t="e">
        <f>VLOOKUP(TableQBRanks30[[#This Row],[Player]],QB!B:O,5,FALSE)</f>
        <v>#N/A</v>
      </c>
      <c r="G73" s="279" t="e">
        <f>VLOOKUP(TableQBRanks30[[#This Row],[Player]],QB!B:O,6,FALSE)</f>
        <v>#N/A</v>
      </c>
      <c r="H73" s="279" t="e">
        <f>VLOOKUP(TableQBRanks30[[#This Row],[Player]],QB!B:O,7,FALSE)</f>
        <v>#N/A</v>
      </c>
      <c r="I73" s="279" t="e">
        <f>VLOOKUP(TableQBRanks30[[#This Row],[Player]],QB!B:O,8,FALSE)</f>
        <v>#N/A</v>
      </c>
      <c r="J73" s="279" t="e">
        <f>VLOOKUP(TableQBRanks30[[#This Row],[Player]],QB!B:O,9,FALSE)</f>
        <v>#N/A</v>
      </c>
      <c r="K73" s="279" t="e">
        <f>VLOOKUP(TableQBRanks30[[#This Row],[Player]],QB!B:O,10,FALSE)</f>
        <v>#N/A</v>
      </c>
      <c r="L73" s="279" t="e">
        <f>VLOOKUP(TableQBRanks30[[#This Row],[Player]],QB!B:O,11,FALSE)</f>
        <v>#N/A</v>
      </c>
      <c r="M73" s="272" t="str">
        <f>IFERROR(INDEX(TableQBCalcPts[Custom],MATCH(TableQBRanks30[[#This Row],[RK]],TableQBCalcPts[RK],0)),"")</f>
        <v/>
      </c>
      <c r="N73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3" s="22">
        <v>72</v>
      </c>
      <c r="Q73" s="22" t="str">
        <f>IFERROR(INDEX(TableRBCalcPts[PLAYER],MATCH(TableRBRanks31[[#This Row],[RK]],TableRBCalcPts[RK],0)),"")</f>
        <v>Hassan Haskins</v>
      </c>
      <c r="R73" s="22" t="str">
        <f>IFERROR(INDEX(TableRBCalcPts[TM],MATCH(TableRBRanks31[[#This Row],[Player]],TableRBCalcPts[PLAYER],0)),"")</f>
        <v>TEN</v>
      </c>
      <c r="S73" s="22">
        <f>IFERROR(INDEX(TableRBCalcPts[BYE],MATCH(TableRBRanks31[[#This Row],[RK]],TableRBCalcPts[RK],0)),"")</f>
        <v>6</v>
      </c>
      <c r="T73" s="279">
        <f>VLOOKUP(TableRBRanks31[[#This Row],[Player]],RB!B:O,4,FALSE)</f>
        <v>54.634421150704284</v>
      </c>
      <c r="U73" s="279">
        <f>VLOOKUP(TableRBRanks31[[#This Row],[Player]],RB!B:O,5,FALSE)</f>
        <v>227.27919198692982</v>
      </c>
      <c r="V73" s="279">
        <f>VLOOKUP(TableRBRanks31[[#This Row],[Player]],RB!B:O,6,FALSE)</f>
        <v>1.671813287211551</v>
      </c>
      <c r="W73" s="279">
        <f>VLOOKUP(TableRBRanks31[[#This Row],[Player]],RB!B:O,7,FALSE)</f>
        <v>14.262321172131504</v>
      </c>
      <c r="X73" s="279">
        <f>VLOOKUP(TableRBRanks31[[#This Row],[Player]],RB!B:O,8,FALSE)</f>
        <v>9.8167556627781138</v>
      </c>
      <c r="Y73" s="279">
        <f>VLOOKUP(TableRBRanks31[[#This Row],[Player]],RB!B:O,9,FALSE)</f>
        <v>69.468499822921956</v>
      </c>
      <c r="Z73" s="279">
        <f>VLOOKUP(TableRBRanks31[[#This Row],[Player]],RB!B:O,10,FALSE)</f>
        <v>0.18933939157966428</v>
      </c>
      <c r="AA73" s="272">
        <f>IFERROR(INDEX(TableRBCalcPts[Custom],MATCH(TableRBRanks31[[#This Row],[RK]],TableRBCalcPts[RK],0)),"")</f>
        <v>40.841685253732471</v>
      </c>
      <c r="AB7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3" s="22">
        <v>72</v>
      </c>
      <c r="AE73" s="22" t="str">
        <f>IFERROR(INDEX(TableWRCalcPts[PLAYER],MATCH(TableWRRanks32[[#This Row],[RK]],TableWRCalcPts[RK],0)),"")</f>
        <v>Marquez Valdes-Scantling</v>
      </c>
      <c r="AF73" s="22" t="str">
        <f>IFERROR(INDEX(TableWRCalcPts[TM],MATCH(TableWRRanks32[[#This Row],[Player]],TableWRCalcPts[PLAYER],0)),"")</f>
        <v>KC</v>
      </c>
      <c r="AG73" s="22">
        <f>IFERROR(INDEX(TableWRCalcPts[BYE],MATCH(TableWRRanks32[[#This Row],[RK]],TableWRCalcPts[RK],0)),"")</f>
        <v>8</v>
      </c>
      <c r="AH73" s="279">
        <f>VLOOKUP(TableWRRanks32[[#This Row],[Player]],WR!B:O,4,FALSE)</f>
        <v>4.5980168460498465</v>
      </c>
      <c r="AI73" s="279">
        <f>VLOOKUP(TableWRRanks32[[#This Row],[Player]],WR!B:O,5,FALSE)</f>
        <v>0</v>
      </c>
      <c r="AJ73" s="279">
        <f>VLOOKUP(TableWRRanks32[[#This Row],[Player]],WR!B:O,6,FALSE)</f>
        <v>66.409419395404186</v>
      </c>
      <c r="AK73" s="279">
        <f>VLOOKUP(TableWRRanks32[[#This Row],[Player]],WR!B:O,7,FALSE)</f>
        <v>36.226104294410362</v>
      </c>
      <c r="AL73" s="279">
        <f>VLOOKUP(TableWRRanks32[[#This Row],[Player]],WR!B:O,8,FALSE)</f>
        <v>596.64393772893857</v>
      </c>
      <c r="AM73" s="279">
        <f>VLOOKUP(TableWRRanks32[[#This Row],[Player]],WR!B:O,9,FALSE)</f>
        <v>4.310906411034833</v>
      </c>
      <c r="AN73" s="272">
        <f>IFERROR(INDEX(TableWRCalcPts[Custom],MATCH(TableWRRanks32[[#This Row],[RK]],TableWRCalcPts[RK],0)),"")</f>
        <v>85.989633923707842</v>
      </c>
      <c r="AO7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3" s="22">
        <v>72</v>
      </c>
      <c r="AR73" s="22" t="str">
        <f>IFERROR(INDEX(TableTECalcPts[PLAYER],MATCH(TableTERanks33[[#This Row],[RK]],TableTECalcPts[RK],0)),"")</f>
        <v>Blake Bell</v>
      </c>
      <c r="AS73" s="22" t="str">
        <f>IFERROR(INDEX(TableTECalcPts[TM],MATCH(TableTERanks33[[#This Row],[Player]],TableTECalcPts[PLAYER],0)),"")</f>
        <v>KC</v>
      </c>
      <c r="AT73" s="22">
        <f>IFERROR(INDEX(TableTECalcPts[BYE],MATCH(TableTERanks33[[#This Row],[RK]],TableTECalcPts[RK],0)),"")</f>
        <v>8</v>
      </c>
      <c r="AU73" s="279">
        <f>VLOOKUP(TableTERanks33[[#This Row],[Player]],TE!B:O,4,FALSE)</f>
        <v>11.638764223936816</v>
      </c>
      <c r="AV73" s="279">
        <f>VLOOKUP(TableTERanks33[[#This Row],[Player]],TE!B:O,5,FALSE)</f>
        <v>7.2985027767704347</v>
      </c>
      <c r="AW73" s="279">
        <f>VLOOKUP(TableTERanks33[[#This Row],[Player]],TE!B:O,6,FALSE)</f>
        <v>70.67423426507186</v>
      </c>
      <c r="AX73" s="279">
        <f>VLOOKUP(TableTERanks33[[#This Row],[Player]],TE!B:O,7,FALSE)</f>
        <v>0.54008920548101214</v>
      </c>
      <c r="AY73" s="272">
        <f>IFERROR(INDEX(TableTECalcPts[Custom],MATCH(TableTERanks33[[#This Row],[RK]],TableTECalcPts[RK],0)),"")</f>
        <v>10.307958659393259</v>
      </c>
      <c r="AZ7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4" spans="1:52" x14ac:dyDescent="0.3">
      <c r="A74" s="22">
        <v>73</v>
      </c>
      <c r="B74" s="274" t="str">
        <f>IFERROR(INDEX(TableQBCalcPts[PLAYER],MATCH(TableQBRanks30[[#This Row],[RK]],TableQBCalcPts[RK],0)),"")</f>
        <v/>
      </c>
      <c r="C74" s="274" t="str">
        <f>IFERROR(INDEX(TableQBCalcPts[TM],MATCH(TableQBRanks30[[#This Row],[Player]],TableQBCalcPts[PLAYER],0)),"")</f>
        <v/>
      </c>
      <c r="D74" s="274" t="str">
        <f>IFERROR(INDEX(TableQBCalcPts[BYE],MATCH(TableQBRanks30[[#This Row],[RK]],TableQBCalcPts[RK],0)),"")</f>
        <v/>
      </c>
      <c r="E74" s="279" t="e">
        <f>VLOOKUP(TableQBRanks30[[#This Row],[Player]],QB!B:O,4,FALSE)</f>
        <v>#N/A</v>
      </c>
      <c r="F74" s="279" t="e">
        <f>VLOOKUP(TableQBRanks30[[#This Row],[Player]],QB!B:O,5,FALSE)</f>
        <v>#N/A</v>
      </c>
      <c r="G74" s="279" t="e">
        <f>VLOOKUP(TableQBRanks30[[#This Row],[Player]],QB!B:O,6,FALSE)</f>
        <v>#N/A</v>
      </c>
      <c r="H74" s="279" t="e">
        <f>VLOOKUP(TableQBRanks30[[#This Row],[Player]],QB!B:O,7,FALSE)</f>
        <v>#N/A</v>
      </c>
      <c r="I74" s="279" t="e">
        <f>VLOOKUP(TableQBRanks30[[#This Row],[Player]],QB!B:O,8,FALSE)</f>
        <v>#N/A</v>
      </c>
      <c r="J74" s="279" t="e">
        <f>VLOOKUP(TableQBRanks30[[#This Row],[Player]],QB!B:O,9,FALSE)</f>
        <v>#N/A</v>
      </c>
      <c r="K74" s="279" t="e">
        <f>VLOOKUP(TableQBRanks30[[#This Row],[Player]],QB!B:O,10,FALSE)</f>
        <v>#N/A</v>
      </c>
      <c r="L74" s="279" t="e">
        <f>VLOOKUP(TableQBRanks30[[#This Row],[Player]],QB!B:O,11,FALSE)</f>
        <v>#N/A</v>
      </c>
      <c r="M74" s="272" t="str">
        <f>IFERROR(INDEX(TableQBCalcPts[Custom],MATCH(TableQBRanks30[[#This Row],[RK]],TableQBCalcPts[RK],0)),"")</f>
        <v/>
      </c>
      <c r="N74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4" s="22">
        <v>73</v>
      </c>
      <c r="Q74" s="22" t="str">
        <f>IFERROR(INDEX(TableRBCalcPts[PLAYER],MATCH(TableRBRanks31[[#This Row],[RK]],TableRBCalcPts[RK],0)),"")</f>
        <v>Samaje Perine</v>
      </c>
      <c r="R74" s="22" t="str">
        <f>IFERROR(INDEX(TableRBCalcPts[TM],MATCH(TableRBRanks31[[#This Row],[Player]],TableRBCalcPts[PLAYER],0)),"")</f>
        <v>CIN</v>
      </c>
      <c r="S74" s="22">
        <f>IFERROR(INDEX(TableRBCalcPts[BYE],MATCH(TableRBRanks31[[#This Row],[RK]],TableRBCalcPts[RK],0)),"")</f>
        <v>10</v>
      </c>
      <c r="T74" s="279">
        <f>VLOOKUP(TableRBRanks31[[#This Row],[Player]],RB!B:O,4,FALSE)</f>
        <v>30.360303197898546</v>
      </c>
      <c r="U74" s="279">
        <f>VLOOKUP(TableRBRanks31[[#This Row],[Player]],RB!B:O,5,FALSE)</f>
        <v>124.47724311138403</v>
      </c>
      <c r="V74" s="279">
        <f>VLOOKUP(TableRBRanks31[[#This Row],[Player]],RB!B:O,6,FALSE)</f>
        <v>0.70465451689717185</v>
      </c>
      <c r="W74" s="279">
        <f>VLOOKUP(TableRBRanks31[[#This Row],[Player]],RB!B:O,7,FALSE)</f>
        <v>30.025040078088786</v>
      </c>
      <c r="X74" s="279">
        <f>VLOOKUP(TableRBRanks31[[#This Row],[Player]],RB!B:O,8,FALSE)</f>
        <v>20.777327734037438</v>
      </c>
      <c r="Y74" s="279">
        <f>VLOOKUP(TableRBRanks31[[#This Row],[Player]],RB!B:O,9,FALSE)</f>
        <v>147.31125363432542</v>
      </c>
      <c r="Z74" s="279">
        <f>VLOOKUP(TableRBRanks31[[#This Row],[Player]],RB!B:O,10,FALSE)</f>
        <v>0.99731173123379702</v>
      </c>
      <c r="AA74" s="272">
        <f>IFERROR(INDEX(TableRBCalcPts[Custom],MATCH(TableRBRanks31[[#This Row],[RK]],TableRBCalcPts[RK],0)),"")</f>
        <v>37.390647163356761</v>
      </c>
      <c r="AB7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4" s="22">
        <v>73</v>
      </c>
      <c r="AE74" s="274" t="str">
        <f>IFERROR(INDEX(TableWRCalcPts[PLAYER],MATCH(TableWRRanks32[[#This Row],[RK]],TableWRCalcPts[RK],0)),"")</f>
        <v>Donovan Peoples-Jones</v>
      </c>
      <c r="AF74" s="22" t="str">
        <f>IFERROR(INDEX(TableWRCalcPts[TM],MATCH(TableWRRanks32[[#This Row],[Player]],TableWRCalcPts[PLAYER],0)),"")</f>
        <v>CLE</v>
      </c>
      <c r="AG74" s="22">
        <f>IFERROR(INDEX(TableWRCalcPts[BYE],MATCH(TableWRRanks32[[#This Row],[RK]],TableWRCalcPts[RK],0)),"")</f>
        <v>9</v>
      </c>
      <c r="AH74" s="279">
        <f>VLOOKUP(TableWRRanks32[[#This Row],[Player]],WR!B:O,4,FALSE)</f>
        <v>0</v>
      </c>
      <c r="AI74" s="279">
        <f>VLOOKUP(TableWRRanks32[[#This Row],[Player]],WR!B:O,5,FALSE)</f>
        <v>0</v>
      </c>
      <c r="AJ74" s="279">
        <f>VLOOKUP(TableWRRanks32[[#This Row],[Player]],WR!B:O,6,FALSE)</f>
        <v>65.729876588092353</v>
      </c>
      <c r="AK74" s="279">
        <f>VLOOKUP(TableWRRanks32[[#This Row],[Player]],WR!B:O,7,FALSE)</f>
        <v>39.589104669008023</v>
      </c>
      <c r="AL74" s="279">
        <f>VLOOKUP(TableWRRanks32[[#This Row],[Player]],WR!B:O,8,FALSE)</f>
        <v>626.29963586370695</v>
      </c>
      <c r="AM74" s="279">
        <f>VLOOKUP(TableWRRanks32[[#This Row],[Player]],WR!B:O,9,FALSE)</f>
        <v>3.8401431528937784</v>
      </c>
      <c r="AN74" s="272">
        <f>IFERROR(INDEX(TableWRCalcPts[Custom],MATCH(TableWRRanks32[[#This Row],[RK]],TableWRCalcPts[RK],0)),"")</f>
        <v>85.670822503733376</v>
      </c>
      <c r="AO7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4" s="22">
        <v>73</v>
      </c>
      <c r="AR74" s="274" t="str">
        <f>IFERROR(INDEX(TableTECalcPts[PLAYER],MATCH(TableTERanks33[[#This Row],[RK]],TableTECalcPts[RK],0)),"")</f>
        <v>Jeremy Ruckert</v>
      </c>
      <c r="AS74" s="22" t="str">
        <f>IFERROR(INDEX(TableTECalcPts[TM],MATCH(TableTERanks33[[#This Row],[Player]],TableTECalcPts[PLAYER],0)),"")</f>
        <v>NYJ</v>
      </c>
      <c r="AT74" s="22">
        <f>IFERROR(INDEX(TableTECalcPts[BYE],MATCH(TableTERanks33[[#This Row],[RK]],TableTECalcPts[RK],0)),"")</f>
        <v>10</v>
      </c>
      <c r="AU74" s="279">
        <f>VLOOKUP(TableTERanks33[[#This Row],[Player]],TE!B:O,4,FALSE)</f>
        <v>11.501377608400819</v>
      </c>
      <c r="AV74" s="279">
        <f>VLOOKUP(TableTERanks33[[#This Row],[Player]],TE!B:O,5,FALSE)</f>
        <v>6.9617838663650149</v>
      </c>
      <c r="AW74" s="279">
        <f>VLOOKUP(TableTERanks33[[#This Row],[Player]],TE!B:O,6,FALSE)</f>
        <v>70.168177309212595</v>
      </c>
      <c r="AX74" s="279">
        <f>VLOOKUP(TableTERanks33[[#This Row],[Player]],TE!B:O,7,FALSE)</f>
        <v>0.494286654511916</v>
      </c>
      <c r="AY74" s="272">
        <f>IFERROR(INDEX(TableTECalcPts[Custom],MATCH(TableTERanks33[[#This Row],[RK]],TableTECalcPts[RK],0)),"")</f>
        <v>9.9825376579927561</v>
      </c>
      <c r="AZ7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5" spans="1:52" x14ac:dyDescent="0.3">
      <c r="A75" s="22">
        <v>74</v>
      </c>
      <c r="B75" s="274" t="str">
        <f>IFERROR(INDEX(TableQBCalcPts[PLAYER],MATCH(TableQBRanks30[[#This Row],[RK]],TableQBCalcPts[RK],0)),"")</f>
        <v/>
      </c>
      <c r="C75" s="274" t="str">
        <f>IFERROR(INDEX(TableQBCalcPts[TM],MATCH(TableQBRanks30[[#This Row],[Player]],TableQBCalcPts[PLAYER],0)),"")</f>
        <v/>
      </c>
      <c r="D75" s="274" t="str">
        <f>IFERROR(INDEX(TableQBCalcPts[BYE],MATCH(TableQBRanks30[[#This Row],[RK]],TableQBCalcPts[RK],0)),"")</f>
        <v/>
      </c>
      <c r="E75" s="279" t="e">
        <f>VLOOKUP(TableQBRanks30[[#This Row],[Player]],QB!B:O,4,FALSE)</f>
        <v>#N/A</v>
      </c>
      <c r="F75" s="279" t="e">
        <f>VLOOKUP(TableQBRanks30[[#This Row],[Player]],QB!B:O,5,FALSE)</f>
        <v>#N/A</v>
      </c>
      <c r="G75" s="279" t="e">
        <f>VLOOKUP(TableQBRanks30[[#This Row],[Player]],QB!B:O,6,FALSE)</f>
        <v>#N/A</v>
      </c>
      <c r="H75" s="279" t="e">
        <f>VLOOKUP(TableQBRanks30[[#This Row],[Player]],QB!B:O,7,FALSE)</f>
        <v>#N/A</v>
      </c>
      <c r="I75" s="279" t="e">
        <f>VLOOKUP(TableQBRanks30[[#This Row],[Player]],QB!B:O,8,FALSE)</f>
        <v>#N/A</v>
      </c>
      <c r="J75" s="279" t="e">
        <f>VLOOKUP(TableQBRanks30[[#This Row],[Player]],QB!B:O,9,FALSE)</f>
        <v>#N/A</v>
      </c>
      <c r="K75" s="279" t="e">
        <f>VLOOKUP(TableQBRanks30[[#This Row],[Player]],QB!B:O,10,FALSE)</f>
        <v>#N/A</v>
      </c>
      <c r="L75" s="279" t="e">
        <f>VLOOKUP(TableQBRanks30[[#This Row],[Player]],QB!B:O,11,FALSE)</f>
        <v>#N/A</v>
      </c>
      <c r="M75" s="272" t="str">
        <f>IFERROR(INDEX(TableQBCalcPts[Custom],MATCH(TableQBRanks30[[#This Row],[RK]],TableQBCalcPts[RK],0)),"")</f>
        <v/>
      </c>
      <c r="N75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5" s="22">
        <v>74</v>
      </c>
      <c r="Q75" s="22" t="str">
        <f>IFERROR(INDEX(TableRBCalcPts[PLAYER],MATCH(TableRBRanks31[[#This Row],[RK]],TableRBCalcPts[RK],0)),"")</f>
        <v>Tyrion Davis-Price</v>
      </c>
      <c r="R75" s="22" t="str">
        <f>IFERROR(INDEX(TableRBCalcPts[TM],MATCH(TableRBRanks31[[#This Row],[Player]],TableRBCalcPts[PLAYER],0)),"")</f>
        <v>SF</v>
      </c>
      <c r="S75" s="22">
        <f>IFERROR(INDEX(TableRBCalcPts[BYE],MATCH(TableRBRanks31[[#This Row],[RK]],TableRBCalcPts[RK],0)),"")</f>
        <v>9</v>
      </c>
      <c r="T75" s="279">
        <f>VLOOKUP(TableRBRanks31[[#This Row],[Player]],RB!B:O,4,FALSE)</f>
        <v>31.504408339640197</v>
      </c>
      <c r="U75" s="279">
        <f>VLOOKUP(TableRBRanks31[[#This Row],[Player]],RB!B:O,5,FALSE)</f>
        <v>133.89373544347083</v>
      </c>
      <c r="V75" s="279">
        <f>VLOOKUP(TableRBRanks31[[#This Row],[Player]],RB!B:O,6,FALSE)</f>
        <v>0.96403489519299002</v>
      </c>
      <c r="W75" s="279">
        <f>VLOOKUP(TableRBRanks31[[#This Row],[Player]],RB!B:O,7,FALSE)</f>
        <v>29.597171155123323</v>
      </c>
      <c r="X75" s="279">
        <f>VLOOKUP(TableRBRanks31[[#This Row],[Player]],RB!B:O,8,FALSE)</f>
        <v>18.708371887153454</v>
      </c>
      <c r="Y75" s="279">
        <f>VLOOKUP(TableRBRanks31[[#This Row],[Player]],RB!B:O,9,FALSE)</f>
        <v>132.76640617766881</v>
      </c>
      <c r="Z75" s="279">
        <f>VLOOKUP(TableRBRanks31[[#This Row],[Player]],RB!B:O,10,FALSE)</f>
        <v>0.61647160020276648</v>
      </c>
      <c r="AA75" s="272">
        <f>IFERROR(INDEX(TableRBCalcPts[Custom],MATCH(TableRBRanks31[[#This Row],[RK]],TableRBCalcPts[RK],0)),"")</f>
        <v>36.149053134488504</v>
      </c>
      <c r="AB7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5" s="274">
        <v>74</v>
      </c>
      <c r="AE75" s="274" t="str">
        <f>IFERROR(INDEX(TableWRCalcPts[PLAYER],MATCH(TableWRRanks32[[#This Row],[RK]],TableWRCalcPts[RK],0)),"")</f>
        <v>Cedrick Wilson</v>
      </c>
      <c r="AF75" s="22" t="str">
        <f>IFERROR(INDEX(TableWRCalcPts[TM],MATCH(TableWRRanks32[[#This Row],[Player]],TableWRCalcPts[PLAYER],0)),"")</f>
        <v>MIA</v>
      </c>
      <c r="AG75" s="22">
        <f>IFERROR(INDEX(TableWRCalcPts[BYE],MATCH(TableWRRanks32[[#This Row],[RK]],TableWRCalcPts[RK],0)),"")</f>
        <v>11</v>
      </c>
      <c r="AH75" s="279">
        <f>VLOOKUP(TableWRRanks32[[#This Row],[Player]],WR!B:O,4,FALSE)</f>
        <v>3.1011953184007708</v>
      </c>
      <c r="AI75" s="279">
        <f>VLOOKUP(TableWRRanks32[[#This Row],[Player]],WR!B:O,5,FALSE)</f>
        <v>0</v>
      </c>
      <c r="AJ75" s="279">
        <f>VLOOKUP(TableWRRanks32[[#This Row],[Player]],WR!B:O,6,FALSE)</f>
        <v>73.708655669999999</v>
      </c>
      <c r="AK75" s="279">
        <f>VLOOKUP(TableWRRanks32[[#This Row],[Player]],WR!B:O,7,FALSE)</f>
        <v>46.547016055604999</v>
      </c>
      <c r="AL75" s="279">
        <f>VLOOKUP(TableWRRanks32[[#This Row],[Player]],WR!B:O,8,FALSE)</f>
        <v>573.45923780505359</v>
      </c>
      <c r="AM75" s="279">
        <f>VLOOKUP(TableWRRanks32[[#This Row],[Player]],WR!B:O,9,FALSE)</f>
        <v>4.35820464227311</v>
      </c>
      <c r="AN75" s="272">
        <f>IFERROR(INDEX(TableWRCalcPts[Custom],MATCH(TableWRRanks32[[#This Row],[RK]],TableWRCalcPts[RK],0)),"")</f>
        <v>83.805271165984095</v>
      </c>
      <c r="AO7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5" s="274">
        <v>74</v>
      </c>
      <c r="AR75" s="274" t="str">
        <f>IFERROR(INDEX(TableTECalcPts[PLAYER],MATCH(TableTERanks33[[#This Row],[RK]],TableTECalcPts[RK],0)),"")</f>
        <v>Sean McKeon</v>
      </c>
      <c r="AS75" s="22" t="str">
        <f>IFERROR(INDEX(TableTECalcPts[TM],MATCH(TableTERanks33[[#This Row],[Player]],TableTECalcPts[PLAYER],0)),"")</f>
        <v>DAL</v>
      </c>
      <c r="AT75" s="22">
        <f>IFERROR(INDEX(TableTECalcPts[BYE],MATCH(TableTERanks33[[#This Row],[RK]],TableTECalcPts[RK],0)),"")</f>
        <v>9</v>
      </c>
      <c r="AU75" s="279">
        <f>VLOOKUP(TableTERanks33[[#This Row],[Player]],TE!B:O,4,FALSE)</f>
        <v>10.4458690208627</v>
      </c>
      <c r="AV75" s="279">
        <f>VLOOKUP(TableTERanks33[[#This Row],[Player]],TE!B:O,5,FALSE)</f>
        <v>6.8107066016024804</v>
      </c>
      <c r="AW75" s="279">
        <f>VLOOKUP(TableTERanks33[[#This Row],[Player]],TE!B:O,6,FALSE)</f>
        <v>68.856243742201073</v>
      </c>
      <c r="AX75" s="279">
        <f>VLOOKUP(TableTERanks33[[#This Row],[Player]],TE!B:O,7,FALSE)</f>
        <v>0.46037729457388965</v>
      </c>
      <c r="AY75" s="272">
        <f>IFERROR(INDEX(TableTECalcPts[Custom],MATCH(TableTERanks33[[#This Row],[RK]],TableTECalcPts[RK],0)),"")</f>
        <v>9.6478881416634454</v>
      </c>
      <c r="AZ7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6" spans="1:52" x14ac:dyDescent="0.3">
      <c r="A76" s="22">
        <v>75</v>
      </c>
      <c r="B76" s="274" t="str">
        <f>IFERROR(INDEX(TableQBCalcPts[PLAYER],MATCH(TableQBRanks30[[#This Row],[RK]],TableQBCalcPts[RK],0)),"")</f>
        <v/>
      </c>
      <c r="C76" s="274" t="str">
        <f>IFERROR(INDEX(TableQBCalcPts[TM],MATCH(TableQBRanks30[[#This Row],[Player]],TableQBCalcPts[PLAYER],0)),"")</f>
        <v/>
      </c>
      <c r="D76" s="274" t="str">
        <f>IFERROR(INDEX(TableQBCalcPts[BYE],MATCH(TableQBRanks30[[#This Row],[RK]],TableQBCalcPts[RK],0)),"")</f>
        <v/>
      </c>
      <c r="E76" s="279" t="e">
        <f>VLOOKUP(TableQBRanks30[[#This Row],[Player]],QB!B:O,4,FALSE)</f>
        <v>#N/A</v>
      </c>
      <c r="F76" s="279" t="e">
        <f>VLOOKUP(TableQBRanks30[[#This Row],[Player]],QB!B:O,5,FALSE)</f>
        <v>#N/A</v>
      </c>
      <c r="G76" s="279" t="e">
        <f>VLOOKUP(TableQBRanks30[[#This Row],[Player]],QB!B:O,6,FALSE)</f>
        <v>#N/A</v>
      </c>
      <c r="H76" s="279" t="e">
        <f>VLOOKUP(TableQBRanks30[[#This Row],[Player]],QB!B:O,7,FALSE)</f>
        <v>#N/A</v>
      </c>
      <c r="I76" s="279" t="e">
        <f>VLOOKUP(TableQBRanks30[[#This Row],[Player]],QB!B:O,8,FALSE)</f>
        <v>#N/A</v>
      </c>
      <c r="J76" s="279" t="e">
        <f>VLOOKUP(TableQBRanks30[[#This Row],[Player]],QB!B:O,9,FALSE)</f>
        <v>#N/A</v>
      </c>
      <c r="K76" s="279" t="e">
        <f>VLOOKUP(TableQBRanks30[[#This Row],[Player]],QB!B:O,10,FALSE)</f>
        <v>#N/A</v>
      </c>
      <c r="L76" s="279" t="e">
        <f>VLOOKUP(TableQBRanks30[[#This Row],[Player]],QB!B:O,11,FALSE)</f>
        <v>#N/A</v>
      </c>
      <c r="M76" s="272" t="str">
        <f>IFERROR(INDEX(TableQBCalcPts[Custom],MATCH(TableQBRanks30[[#This Row],[RK]],TableQBCalcPts[RK],0)),"")</f>
        <v/>
      </c>
      <c r="N76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6" s="22">
        <v>75</v>
      </c>
      <c r="Q76" s="22" t="str">
        <f>IFERROR(INDEX(TableRBCalcPts[PLAYER],MATCH(TableRBRanks31[[#This Row],[RK]],TableRBCalcPts[RK],0)),"")</f>
        <v>Tony Jones</v>
      </c>
      <c r="R76" s="22" t="str">
        <f>IFERROR(INDEX(TableRBCalcPts[TM],MATCH(TableRBRanks31[[#This Row],[Player]],TableRBCalcPts[PLAYER],0)),"")</f>
        <v>NO</v>
      </c>
      <c r="S76" s="22">
        <f>IFERROR(INDEX(TableRBCalcPts[BYE],MATCH(TableRBRanks31[[#This Row],[RK]],TableRBCalcPts[RK],0)),"")</f>
        <v>14</v>
      </c>
      <c r="T76" s="279">
        <f>VLOOKUP(TableRBRanks31[[#This Row],[Player]],RB!B:O,4,FALSE)</f>
        <v>47.648624324744546</v>
      </c>
      <c r="U76" s="279">
        <f>VLOOKUP(TableRBRanks31[[#This Row],[Player]],RB!B:O,5,FALSE)</f>
        <v>180.21373655147852</v>
      </c>
      <c r="V76" s="279">
        <f>VLOOKUP(TableRBRanks31[[#This Row],[Player]],RB!B:O,6,FALSE)</f>
        <v>1.8415998981854456</v>
      </c>
      <c r="W76" s="279">
        <f>VLOOKUP(TableRBRanks31[[#This Row],[Player]],RB!B:O,7,FALSE)</f>
        <v>11.562294323898557</v>
      </c>
      <c r="X76" s="279">
        <f>VLOOKUP(TableRBRanks31[[#This Row],[Player]],RB!B:O,8,FALSE)</f>
        <v>7.422992955942874</v>
      </c>
      <c r="Y76" s="279">
        <f>VLOOKUP(TableRBRanks31[[#This Row],[Player]],RB!B:O,9,FALSE)</f>
        <v>50.327892241292687</v>
      </c>
      <c r="Z76" s="279">
        <f>VLOOKUP(TableRBRanks31[[#This Row],[Player]],RB!B:O,10,FALSE)</f>
        <v>0.21535991142684049</v>
      </c>
      <c r="AA76" s="272">
        <f>IFERROR(INDEX(TableRBCalcPts[Custom],MATCH(TableRBRanks31[[#This Row],[RK]],TableRBCalcPts[RK],0)),"")</f>
        <v>35.395921736950839</v>
      </c>
      <c r="AB7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6" s="22">
        <v>75</v>
      </c>
      <c r="AE76" s="22" t="str">
        <f>IFERROR(INDEX(TableWRCalcPts[PLAYER],MATCH(TableWRRanks32[[#This Row],[RK]],TableWRCalcPts[RK],0)),"")</f>
        <v>K.J. Osborn</v>
      </c>
      <c r="AF76" s="22" t="str">
        <f>IFERROR(INDEX(TableWRCalcPts[TM],MATCH(TableWRRanks32[[#This Row],[Player]],TableWRCalcPts[PLAYER],0)),"")</f>
        <v>MIN</v>
      </c>
      <c r="AG76" s="22">
        <f>IFERROR(INDEX(TableWRCalcPts[BYE],MATCH(TableWRRanks32[[#This Row],[RK]],TableWRCalcPts[RK],0)),"")</f>
        <v>7</v>
      </c>
      <c r="AH76" s="279">
        <f>VLOOKUP(TableWRRanks32[[#This Row],[Player]],WR!B:O,4,FALSE)</f>
        <v>2.6248658676929923</v>
      </c>
      <c r="AI76" s="279">
        <f>VLOOKUP(TableWRRanks32[[#This Row],[Player]],WR!B:O,5,FALSE)</f>
        <v>0</v>
      </c>
      <c r="AJ76" s="279">
        <f>VLOOKUP(TableWRRanks32[[#This Row],[Player]],WR!B:O,6,FALSE)</f>
        <v>74.736144224152241</v>
      </c>
      <c r="AK76" s="279">
        <f>VLOOKUP(TableWRRanks32[[#This Row],[Player]],WR!B:O,7,FALSE)</f>
        <v>43.49993528969118</v>
      </c>
      <c r="AL76" s="279">
        <f>VLOOKUP(TableWRRanks32[[#This Row],[Player]],WR!B:O,8,FALSE)</f>
        <v>560.27916653122247</v>
      </c>
      <c r="AM76" s="279">
        <f>VLOOKUP(TableWRRanks32[[#This Row],[Player]],WR!B:O,9,FALSE)</f>
        <v>4.0019940466515882</v>
      </c>
      <c r="AN76" s="272">
        <f>IFERROR(INDEX(TableWRCalcPts[Custom],MATCH(TableWRRanks32[[#This Row],[RK]],TableWRCalcPts[RK],0)),"")</f>
        <v>80.302367519801066</v>
      </c>
      <c r="AO7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6" s="22">
        <v>75</v>
      </c>
      <c r="AR76" s="22" t="str">
        <f>IFERROR(INDEX(TableTECalcPts[PLAYER],MATCH(TableTERanks33[[#This Row],[RK]],TableTECalcPts[RK],0)),"")</f>
        <v>Johnny Mundt</v>
      </c>
      <c r="AS76" s="22" t="str">
        <f>IFERROR(INDEX(TableTECalcPts[TM],MATCH(TableTERanks33[[#This Row],[Player]],TableTECalcPts[PLAYER],0)),"")</f>
        <v>MIN</v>
      </c>
      <c r="AT76" s="22">
        <f>IFERROR(INDEX(TableTECalcPts[BYE],MATCH(TableTERanks33[[#This Row],[RK]],TableTECalcPts[RK],0)),"")</f>
        <v>7</v>
      </c>
      <c r="AU76" s="279">
        <f>VLOOKUP(TableTERanks33[[#This Row],[Player]],TE!B:O,4,FALSE)</f>
        <v>9.4113227318124846</v>
      </c>
      <c r="AV76" s="279">
        <f>VLOOKUP(TableTERanks33[[#This Row],[Player]],TE!B:O,5,FALSE)</f>
        <v>6.0298344742722589</v>
      </c>
      <c r="AW76" s="279">
        <f>VLOOKUP(TableTERanks33[[#This Row],[Player]],TE!B:O,6,FALSE)</f>
        <v>60.120996669949875</v>
      </c>
      <c r="AX76" s="279">
        <f>VLOOKUP(TableTERanks33[[#This Row],[Player]],TE!B:O,7,FALSE)</f>
        <v>0.36781990293060779</v>
      </c>
      <c r="AY76" s="272">
        <f>IFERROR(INDEX(TableTECalcPts[Custom],MATCH(TableTERanks33[[#This Row],[RK]],TableTECalcPts[RK],0)),"")</f>
        <v>8.2190190845786351</v>
      </c>
      <c r="AZ7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7" spans="1:52" x14ac:dyDescent="0.3">
      <c r="A77" s="22">
        <v>76</v>
      </c>
      <c r="B77" s="274" t="str">
        <f>IFERROR(INDEX(TableQBCalcPts[PLAYER],MATCH(TableQBRanks30[[#This Row],[RK]],TableQBCalcPts[RK],0)),"")</f>
        <v/>
      </c>
      <c r="C77" s="274" t="str">
        <f>IFERROR(INDEX(TableQBCalcPts[TM],MATCH(TableQBRanks30[[#This Row],[Player]],TableQBCalcPts[PLAYER],0)),"")</f>
        <v/>
      </c>
      <c r="D77" s="274" t="str">
        <f>IFERROR(INDEX(TableQBCalcPts[BYE],MATCH(TableQBRanks30[[#This Row],[RK]],TableQBCalcPts[RK],0)),"")</f>
        <v/>
      </c>
      <c r="E77" s="279" t="e">
        <f>VLOOKUP(TableQBRanks30[[#This Row],[Player]],QB!B:O,4,FALSE)</f>
        <v>#N/A</v>
      </c>
      <c r="F77" s="279" t="e">
        <f>VLOOKUP(TableQBRanks30[[#This Row],[Player]],QB!B:O,5,FALSE)</f>
        <v>#N/A</v>
      </c>
      <c r="G77" s="279" t="e">
        <f>VLOOKUP(TableQBRanks30[[#This Row],[Player]],QB!B:O,6,FALSE)</f>
        <v>#N/A</v>
      </c>
      <c r="H77" s="279" t="e">
        <f>VLOOKUP(TableQBRanks30[[#This Row],[Player]],QB!B:O,7,FALSE)</f>
        <v>#N/A</v>
      </c>
      <c r="I77" s="279" t="e">
        <f>VLOOKUP(TableQBRanks30[[#This Row],[Player]],QB!B:O,8,FALSE)</f>
        <v>#N/A</v>
      </c>
      <c r="J77" s="279" t="e">
        <f>VLOOKUP(TableQBRanks30[[#This Row],[Player]],QB!B:O,9,FALSE)</f>
        <v>#N/A</v>
      </c>
      <c r="K77" s="279" t="e">
        <f>VLOOKUP(TableQBRanks30[[#This Row],[Player]],QB!B:O,10,FALSE)</f>
        <v>#N/A</v>
      </c>
      <c r="L77" s="279" t="e">
        <f>VLOOKUP(TableQBRanks30[[#This Row],[Player]],QB!B:O,11,FALSE)</f>
        <v>#N/A</v>
      </c>
      <c r="M77" s="272" t="str">
        <f>IFERROR(INDEX(TableQBCalcPts[Custom],MATCH(TableQBRanks30[[#This Row],[RK]],TableQBCalcPts[RK],0)),"")</f>
        <v/>
      </c>
      <c r="N77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7" s="22">
        <v>76</v>
      </c>
      <c r="Q77" s="22" t="str">
        <f>IFERROR(INDEX(TableRBCalcPts[PLAYER],MATCH(TableRBRanks31[[#This Row],[RK]],TableRBCalcPts[RK],0)),"")</f>
        <v>Chuba Hubbard</v>
      </c>
      <c r="R77" s="22" t="str">
        <f>IFERROR(INDEX(TableRBCalcPts[TM],MATCH(TableRBRanks31[[#This Row],[Player]],TableRBCalcPts[PLAYER],0)),"")</f>
        <v>CAR</v>
      </c>
      <c r="S77" s="22">
        <f>IFERROR(INDEX(TableRBCalcPts[BYE],MATCH(TableRBRanks31[[#This Row],[RK]],TableRBCalcPts[RK],0)),"")</f>
        <v>13</v>
      </c>
      <c r="T77" s="279">
        <f>VLOOKUP(TableRBRanks31[[#This Row],[Player]],RB!B:O,4,FALSE)</f>
        <v>44.017668280348651</v>
      </c>
      <c r="U77" s="279">
        <f>VLOOKUP(TableRBRanks31[[#This Row],[Player]],RB!B:O,5,FALSE)</f>
        <v>165.06625605130745</v>
      </c>
      <c r="V77" s="279">
        <f>VLOOKUP(TableRBRanks31[[#This Row],[Player]],RB!B:O,6,FALSE)</f>
        <v>1.3601459498627733</v>
      </c>
      <c r="W77" s="279">
        <f>VLOOKUP(TableRBRanks31[[#This Row],[Player]],RB!B:O,7,FALSE)</f>
        <v>17.092330414081115</v>
      </c>
      <c r="X77" s="279">
        <f>VLOOKUP(TableRBRanks31[[#This Row],[Player]],RB!B:O,8,FALSE)</f>
        <v>12.405613414540072</v>
      </c>
      <c r="Y77" s="279">
        <f>VLOOKUP(TableRBRanks31[[#This Row],[Player]],RB!B:O,9,FALSE)</f>
        <v>94.351414735729463</v>
      </c>
      <c r="Z77" s="279">
        <f>VLOOKUP(TableRBRanks31[[#This Row],[Player]],RB!B:O,10,FALSE)</f>
        <v>0.15205662238268444</v>
      </c>
      <c r="AA77" s="272">
        <f>IFERROR(INDEX(TableRBCalcPts[Custom],MATCH(TableRBRanks31[[#This Row],[RK]],TableRBCalcPts[RK],0)),"")</f>
        <v>35.014982512176438</v>
      </c>
      <c r="AB7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7" s="22">
        <v>76</v>
      </c>
      <c r="AE77" s="22" t="str">
        <f>IFERROR(INDEX(TableWRCalcPts[PLAYER],MATCH(TableWRRanks32[[#This Row],[RK]],TableWRCalcPts[RK],0)),"")</f>
        <v>Jalen Tolbert</v>
      </c>
      <c r="AF77" s="22" t="str">
        <f>IFERROR(INDEX(TableWRCalcPts[TM],MATCH(TableWRRanks32[[#This Row],[Player]],TableWRCalcPts[PLAYER],0)),"")</f>
        <v>DAL</v>
      </c>
      <c r="AG77" s="22">
        <f>IFERROR(INDEX(TableWRCalcPts[BYE],MATCH(TableWRRanks32[[#This Row],[RK]],TableWRCalcPts[RK],0)),"")</f>
        <v>9</v>
      </c>
      <c r="AH77" s="279">
        <f>VLOOKUP(TableWRRanks32[[#This Row],[Player]],WR!B:O,4,FALSE)</f>
        <v>1.421881345843363</v>
      </c>
      <c r="AI77" s="279">
        <f>VLOOKUP(TableWRRanks32[[#This Row],[Player]],WR!B:O,5,FALSE)</f>
        <v>0</v>
      </c>
      <c r="AJ77" s="279">
        <f>VLOOKUP(TableWRRanks32[[#This Row],[Player]],WR!B:O,6,FALSE)</f>
        <v>69.203882263215391</v>
      </c>
      <c r="AK77" s="279">
        <f>VLOOKUP(TableWRRanks32[[#This Row],[Player]],WR!B:O,7,FALSE)</f>
        <v>42.673952937129918</v>
      </c>
      <c r="AL77" s="279">
        <f>VLOOKUP(TableWRRanks32[[#This Row],[Player]],WR!B:O,8,FALSE)</f>
        <v>547.27707703884823</v>
      </c>
      <c r="AM77" s="279">
        <f>VLOOKUP(TableWRRanks32[[#This Row],[Player]],WR!B:O,9,FALSE)</f>
        <v>3.8406557643416925</v>
      </c>
      <c r="AN77" s="272">
        <f>IFERROR(INDEX(TableWRCalcPts[Custom],MATCH(TableWRRanks32[[#This Row],[RK]],TableWRCalcPts[RK],0)),"")</f>
        <v>77.913830424519318</v>
      </c>
      <c r="AO7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7" s="22">
        <v>76</v>
      </c>
      <c r="AR77" s="274" t="str">
        <f>IFERROR(INDEX(TableTECalcPts[PLAYER],MATCH(TableTERanks33[[#This Row],[RK]],TableTECalcPts[RK],0)),"")</f>
        <v>Ross Dwelley</v>
      </c>
      <c r="AS77" s="22" t="str">
        <f>IFERROR(INDEX(TableTECalcPts[TM],MATCH(TableTERanks33[[#This Row],[Player]],TableTECalcPts[PLAYER],0)),"")</f>
        <v>SF</v>
      </c>
      <c r="AT77" s="22">
        <f>IFERROR(INDEX(TableTECalcPts[BYE],MATCH(TableTERanks33[[#This Row],[RK]],TableTECalcPts[RK],0)),"")</f>
        <v>9</v>
      </c>
      <c r="AU77" s="279">
        <f>VLOOKUP(TableTERanks33[[#This Row],[Player]],TE!B:O,4,FALSE)</f>
        <v>9.1869374250633182</v>
      </c>
      <c r="AV77" s="279">
        <f>VLOOKUP(TableTERanks33[[#This Row],[Player]],TE!B:O,5,FALSE)</f>
        <v>5.4423417306075104</v>
      </c>
      <c r="AW77" s="279">
        <f>VLOOKUP(TableTERanks33[[#This Row],[Player]],TE!B:O,6,FALSE)</f>
        <v>55.947272990645203</v>
      </c>
      <c r="AX77" s="279">
        <f>VLOOKUP(TableTERanks33[[#This Row],[Player]],TE!B:O,7,FALSE)</f>
        <v>0.41008102270533725</v>
      </c>
      <c r="AY77" s="272">
        <f>IFERROR(INDEX(TableTECalcPts[Custom],MATCH(TableTERanks33[[#This Row],[RK]],TableTECalcPts[RK],0)),"")</f>
        <v>8.0552134352965439</v>
      </c>
      <c r="AZ7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8" spans="1:52" x14ac:dyDescent="0.3">
      <c r="A78" s="22">
        <v>77</v>
      </c>
      <c r="B78" s="274" t="str">
        <f>IFERROR(INDEX(TableQBCalcPts[PLAYER],MATCH(TableQBRanks30[[#This Row],[RK]],TableQBCalcPts[RK],0)),"")</f>
        <v/>
      </c>
      <c r="C78" s="274" t="str">
        <f>IFERROR(INDEX(TableQBCalcPts[TM],MATCH(TableQBRanks30[[#This Row],[Player]],TableQBCalcPts[PLAYER],0)),"")</f>
        <v/>
      </c>
      <c r="D78" s="274" t="str">
        <f>IFERROR(INDEX(TableQBCalcPts[BYE],MATCH(TableQBRanks30[[#This Row],[RK]],TableQBCalcPts[RK],0)),"")</f>
        <v/>
      </c>
      <c r="E78" s="279" t="e">
        <f>VLOOKUP(TableQBRanks30[[#This Row],[Player]],QB!B:O,4,FALSE)</f>
        <v>#N/A</v>
      </c>
      <c r="F78" s="279" t="e">
        <f>VLOOKUP(TableQBRanks30[[#This Row],[Player]],QB!B:O,5,FALSE)</f>
        <v>#N/A</v>
      </c>
      <c r="G78" s="279" t="e">
        <f>VLOOKUP(TableQBRanks30[[#This Row],[Player]],QB!B:O,6,FALSE)</f>
        <v>#N/A</v>
      </c>
      <c r="H78" s="279" t="e">
        <f>VLOOKUP(TableQBRanks30[[#This Row],[Player]],QB!B:O,7,FALSE)</f>
        <v>#N/A</v>
      </c>
      <c r="I78" s="279" t="e">
        <f>VLOOKUP(TableQBRanks30[[#This Row],[Player]],QB!B:O,8,FALSE)</f>
        <v>#N/A</v>
      </c>
      <c r="J78" s="279" t="e">
        <f>VLOOKUP(TableQBRanks30[[#This Row],[Player]],QB!B:O,9,FALSE)</f>
        <v>#N/A</v>
      </c>
      <c r="K78" s="279" t="e">
        <f>VLOOKUP(TableQBRanks30[[#This Row],[Player]],QB!B:O,10,FALSE)</f>
        <v>#N/A</v>
      </c>
      <c r="L78" s="279" t="e">
        <f>VLOOKUP(TableQBRanks30[[#This Row],[Player]],QB!B:O,11,FALSE)</f>
        <v>#N/A</v>
      </c>
      <c r="M78" s="272" t="str">
        <f>IFERROR(INDEX(TableQBCalcPts[Custom],MATCH(TableQBRanks30[[#This Row],[RK]],TableQBCalcPts[RK],0)),"")</f>
        <v/>
      </c>
      <c r="N78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8" s="22">
        <v>77</v>
      </c>
      <c r="Q78" s="22" t="str">
        <f>IFERROR(INDEX(TableRBCalcPts[PLAYER],MATCH(TableRBRanks31[[#This Row],[RK]],TableRBCalcPts[RK],0)),"")</f>
        <v>Kyle Juszczyk</v>
      </c>
      <c r="R78" s="22" t="str">
        <f>IFERROR(INDEX(TableRBCalcPts[TM],MATCH(TableRBRanks31[[#This Row],[Player]],TableRBCalcPts[PLAYER],0)),"")</f>
        <v>SF</v>
      </c>
      <c r="S78" s="22">
        <f>IFERROR(INDEX(TableRBCalcPts[BYE],MATCH(TableRBRanks31[[#This Row],[RK]],TableRBCalcPts[RK],0)),"")</f>
        <v>9</v>
      </c>
      <c r="T78" s="279">
        <f>VLOOKUP(TableRBRanks31[[#This Row],[Player]],RB!B:O,4,FALSE)</f>
        <v>5.5894918021942273</v>
      </c>
      <c r="U78" s="279">
        <f>VLOOKUP(TableRBRanks31[[#This Row],[Player]],RB!B:O,5,FALSE)</f>
        <v>19.340550496047669</v>
      </c>
      <c r="V78" s="279">
        <f>VLOOKUP(TableRBRanks31[[#This Row],[Player]],RB!B:O,6,FALSE)</f>
        <v>0.18177209112826753</v>
      </c>
      <c r="W78" s="279">
        <f>VLOOKUP(TableRBRanks31[[#This Row],[Player]],RB!B:O,7,FALSE)</f>
        <v>34.436535011435417</v>
      </c>
      <c r="X78" s="279">
        <f>VLOOKUP(TableRBRanks31[[#This Row],[Player]],RB!B:O,8,FALSE)</f>
        <v>22.796986177570247</v>
      </c>
      <c r="Y78" s="279">
        <f>VLOOKUP(TableRBRanks31[[#This Row],[Player]],RB!B:O,9,FALSE)</f>
        <v>180.25022449319394</v>
      </c>
      <c r="Z78" s="279">
        <f>VLOOKUP(TableRBRanks31[[#This Row],[Player]],RB!B:O,10,FALSE)</f>
        <v>1.2322695231119052</v>
      </c>
      <c r="AA78" s="272">
        <f>IFERROR(INDEX(TableRBCalcPts[Custom],MATCH(TableRBRanks31[[#This Row],[RK]],TableRBCalcPts[RK],0)),"")</f>
        <v>28.443327184365195</v>
      </c>
      <c r="AB7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8" s="274">
        <v>77</v>
      </c>
      <c r="AE78" s="274" t="str">
        <f>IFERROR(INDEX(TableWRCalcPts[PLAYER],MATCH(TableWRRanks32[[#This Row],[RK]],TableWRCalcPts[RK],0)),"")</f>
        <v>DJ Chark</v>
      </c>
      <c r="AF78" s="22" t="str">
        <f>IFERROR(INDEX(TableWRCalcPts[TM],MATCH(TableWRRanks32[[#This Row],[Player]],TableWRCalcPts[PLAYER],0)),"")</f>
        <v>DET</v>
      </c>
      <c r="AG78" s="22">
        <f>IFERROR(INDEX(TableWRCalcPts[BYE],MATCH(TableWRRanks32[[#This Row],[RK]],TableWRCalcPts[RK],0)),"")</f>
        <v>6</v>
      </c>
      <c r="AH78" s="279">
        <f>VLOOKUP(TableWRRanks32[[#This Row],[Player]],WR!B:O,4,FALSE)</f>
        <v>0.90038283090581173</v>
      </c>
      <c r="AI78" s="279">
        <f>VLOOKUP(TableWRRanks32[[#This Row],[Player]],WR!B:O,5,FALSE)</f>
        <v>0</v>
      </c>
      <c r="AJ78" s="279">
        <f>VLOOKUP(TableWRRanks32[[#This Row],[Player]],WR!B:O,6,FALSE)</f>
        <v>83.475559999648254</v>
      </c>
      <c r="AK78" s="279">
        <f>VLOOKUP(TableWRRanks32[[#This Row],[Player]],WR!B:O,7,FALSE)</f>
        <v>42.19689557982219</v>
      </c>
      <c r="AL78" s="279">
        <f>VLOOKUP(TableWRRanks32[[#This Row],[Player]],WR!B:O,8,FALSE)</f>
        <v>576.40959362037108</v>
      </c>
      <c r="AM78" s="279">
        <f>VLOOKUP(TableWRRanks32[[#This Row],[Player]],WR!B:O,9,FALSE)</f>
        <v>3.2069640640664865</v>
      </c>
      <c r="AN78" s="272">
        <f>IFERROR(INDEX(TableWRCalcPts[Custom],MATCH(TableWRRanks32[[#This Row],[RK]],TableWRCalcPts[RK],0)),"")</f>
        <v>76.972782029526599</v>
      </c>
      <c r="AO7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8" s="274">
        <v>77</v>
      </c>
      <c r="AR78" s="22" t="str">
        <f>IFERROR(INDEX(TableTECalcPts[PLAYER],MATCH(TableTERanks33[[#This Row],[RK]],TableTECalcPts[RK],0)),"")</f>
        <v>Juwan Johnson</v>
      </c>
      <c r="AS78" s="22" t="str">
        <f>IFERROR(INDEX(TableTECalcPts[TM],MATCH(TableTERanks33[[#This Row],[Player]],TableTECalcPts[PLAYER],0)),"")</f>
        <v>NO</v>
      </c>
      <c r="AT78" s="22">
        <f>IFERROR(INDEX(TableTECalcPts[BYE],MATCH(TableTERanks33[[#This Row],[RK]],TableTECalcPts[RK],0)),"")</f>
        <v>14</v>
      </c>
      <c r="AU78" s="279">
        <f>VLOOKUP(TableTERanks33[[#This Row],[Player]],TE!B:O,4,FALSE)</f>
        <v>7.8221822082469643</v>
      </c>
      <c r="AV78" s="279">
        <f>VLOOKUP(TableTERanks33[[#This Row],[Player]],TE!B:O,5,FALSE)</f>
        <v>4.5861454286951959</v>
      </c>
      <c r="AW78" s="279">
        <f>VLOOKUP(TableTERanks33[[#This Row],[Player]],TE!B:O,6,FALSE)</f>
        <v>56.776480407246531</v>
      </c>
      <c r="AX78" s="279">
        <f>VLOOKUP(TableTERanks33[[#This Row],[Player]],TE!B:O,7,FALSE)</f>
        <v>0.3714777797243109</v>
      </c>
      <c r="AY78" s="272">
        <f>IFERROR(INDEX(TableTECalcPts[Custom],MATCH(TableTERanks33[[#This Row],[RK]],TableTECalcPts[RK],0)),"")</f>
        <v>7.9065147190705183</v>
      </c>
      <c r="AZ7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79" spans="1:52" x14ac:dyDescent="0.3">
      <c r="A79" s="22">
        <v>78</v>
      </c>
      <c r="B79" s="274" t="str">
        <f>IFERROR(INDEX(TableQBCalcPts[PLAYER],MATCH(TableQBRanks30[[#This Row],[RK]],TableQBCalcPts[RK],0)),"")</f>
        <v/>
      </c>
      <c r="C79" s="274" t="str">
        <f>IFERROR(INDEX(TableQBCalcPts[TM],MATCH(TableQBRanks30[[#This Row],[Player]],TableQBCalcPts[PLAYER],0)),"")</f>
        <v/>
      </c>
      <c r="D79" s="274" t="str">
        <f>IFERROR(INDEX(TableQBCalcPts[BYE],MATCH(TableQBRanks30[[#This Row],[RK]],TableQBCalcPts[RK],0)),"")</f>
        <v/>
      </c>
      <c r="E79" s="279" t="e">
        <f>VLOOKUP(TableQBRanks30[[#This Row],[Player]],QB!B:O,4,FALSE)</f>
        <v>#N/A</v>
      </c>
      <c r="F79" s="279" t="e">
        <f>VLOOKUP(TableQBRanks30[[#This Row],[Player]],QB!B:O,5,FALSE)</f>
        <v>#N/A</v>
      </c>
      <c r="G79" s="279" t="e">
        <f>VLOOKUP(TableQBRanks30[[#This Row],[Player]],QB!B:O,6,FALSE)</f>
        <v>#N/A</v>
      </c>
      <c r="H79" s="279" t="e">
        <f>VLOOKUP(TableQBRanks30[[#This Row],[Player]],QB!B:O,7,FALSE)</f>
        <v>#N/A</v>
      </c>
      <c r="I79" s="279" t="e">
        <f>VLOOKUP(TableQBRanks30[[#This Row],[Player]],QB!B:O,8,FALSE)</f>
        <v>#N/A</v>
      </c>
      <c r="J79" s="279" t="e">
        <f>VLOOKUP(TableQBRanks30[[#This Row],[Player]],QB!B:O,9,FALSE)</f>
        <v>#N/A</v>
      </c>
      <c r="K79" s="279" t="e">
        <f>VLOOKUP(TableQBRanks30[[#This Row],[Player]],QB!B:O,10,FALSE)</f>
        <v>#N/A</v>
      </c>
      <c r="L79" s="279" t="e">
        <f>VLOOKUP(TableQBRanks30[[#This Row],[Player]],QB!B:O,11,FALSE)</f>
        <v>#N/A</v>
      </c>
      <c r="M79" s="272" t="str">
        <f>IFERROR(INDEX(TableQBCalcPts[Custom],MATCH(TableQBRanks30[[#This Row],[RK]],TableQBCalcPts[RK],0)),"")</f>
        <v/>
      </c>
      <c r="N79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79" s="22">
        <v>78</v>
      </c>
      <c r="Q79" s="22" t="str">
        <f>IFERROR(INDEX(TableRBCalcPts[PLAYER],MATCH(TableRBRanks31[[#This Row],[RK]],TableRBCalcPts[RK],0)),"")</f>
        <v>Kyren Williams</v>
      </c>
      <c r="R79" s="22" t="str">
        <f>IFERROR(INDEX(TableRBCalcPts[TM],MATCH(TableRBRanks31[[#This Row],[Player]],TableRBCalcPts[PLAYER],0)),"")</f>
        <v>LAR</v>
      </c>
      <c r="S79" s="22">
        <f>IFERROR(INDEX(TableRBCalcPts[BYE],MATCH(TableRBRanks31[[#This Row],[RK]],TableRBCalcPts[RK],0)),"")</f>
        <v>7</v>
      </c>
      <c r="T79" s="279">
        <f>VLOOKUP(TableRBRanks31[[#This Row],[Player]],RB!B:O,4,FALSE)</f>
        <v>34.723074879763473</v>
      </c>
      <c r="U79" s="279">
        <f>VLOOKUP(TableRBRanks31[[#This Row],[Player]],RB!B:O,5,FALSE)</f>
        <v>148.61476048538768</v>
      </c>
      <c r="V79" s="279">
        <f>VLOOKUP(TableRBRanks31[[#This Row],[Player]],RB!B:O,6,FALSE)</f>
        <v>1.2916983855272011</v>
      </c>
      <c r="W79" s="279">
        <f>VLOOKUP(TableRBRanks31[[#This Row],[Player]],RB!B:O,7,FALSE)</f>
        <v>7.1025634401036282</v>
      </c>
      <c r="X79" s="279">
        <f>VLOOKUP(TableRBRanks31[[#This Row],[Player]],RB!B:O,8,FALSE)</f>
        <v>4.8017330299292134</v>
      </c>
      <c r="Y79" s="279">
        <f>VLOOKUP(TableRBRanks31[[#This Row],[Player]],RB!B:O,9,FALSE)</f>
        <v>39.814369706496393</v>
      </c>
      <c r="Z79" s="279">
        <f>VLOOKUP(TableRBRanks31[[#This Row],[Player]],RB!B:O,10,FALSE)</f>
        <v>0.30010831437057583</v>
      </c>
      <c r="AA79" s="272">
        <f>IFERROR(INDEX(TableRBCalcPts[Custom],MATCH(TableRBRanks31[[#This Row],[RK]],TableRBCalcPts[RK],0)),"")</f>
        <v>28.393753218575068</v>
      </c>
      <c r="AB7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79" s="22">
        <v>78</v>
      </c>
      <c r="AE79" s="274" t="str">
        <f>IFERROR(INDEX(TableWRCalcPts[PLAYER],MATCH(TableWRRanks32[[#This Row],[RK]],TableWRCalcPts[RK],0)),"")</f>
        <v>Nick Westbrook-Ikhine</v>
      </c>
      <c r="AF79" s="22" t="str">
        <f>IFERROR(INDEX(TableWRCalcPts[TM],MATCH(TableWRRanks32[[#This Row],[Player]],TableWRCalcPts[PLAYER],0)),"")</f>
        <v>TEN</v>
      </c>
      <c r="AG79" s="22">
        <f>IFERROR(INDEX(TableWRCalcPts[BYE],MATCH(TableWRRanks32[[#This Row],[RK]],TableWRCalcPts[RK],0)),"")</f>
        <v>6</v>
      </c>
      <c r="AH79" s="279">
        <f>VLOOKUP(TableWRRanks32[[#This Row],[Player]],WR!B:O,4,FALSE)</f>
        <v>0</v>
      </c>
      <c r="AI79" s="279">
        <f>VLOOKUP(TableWRRanks32[[#This Row],[Player]],WR!B:O,5,FALSE)</f>
        <v>0</v>
      </c>
      <c r="AJ79" s="279">
        <f>VLOOKUP(TableWRRanks32[[#This Row],[Player]],WR!B:O,6,FALSE)</f>
        <v>71.765196581483906</v>
      </c>
      <c r="AK79" s="279">
        <f>VLOOKUP(TableWRRanks32[[#This Row],[Player]],WR!B:O,7,FALSE)</f>
        <v>42.585467651452554</v>
      </c>
      <c r="AL79" s="279">
        <f>VLOOKUP(TableWRRanks32[[#This Row],[Player]],WR!B:O,8,FALSE)</f>
        <v>546.1303812962783</v>
      </c>
      <c r="AM79" s="279">
        <f>VLOOKUP(TableWRRanks32[[#This Row],[Player]],WR!B:O,9,FALSE)</f>
        <v>3.5345938150705623</v>
      </c>
      <c r="AN79" s="272">
        <f>IFERROR(INDEX(TableWRCalcPts[Custom],MATCH(TableWRRanks32[[#This Row],[RK]],TableWRCalcPts[RK],0)),"")</f>
        <v>75.820601020051214</v>
      </c>
      <c r="AO7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79" s="22">
        <v>78</v>
      </c>
      <c r="AR79" s="22" t="str">
        <f>IFERROR(INDEX(TableTECalcPts[PLAYER],MATCH(TableTERanks33[[#This Row],[RK]],TableTECalcPts[RK],0)),"")</f>
        <v>Chigoziem Okonkwo</v>
      </c>
      <c r="AS79" s="22" t="str">
        <f>IFERROR(INDEX(TableTECalcPts[TM],MATCH(TableTERanks33[[#This Row],[Player]],TableTECalcPts[PLAYER],0)),"")</f>
        <v>TEN</v>
      </c>
      <c r="AT79" s="22">
        <f>IFERROR(INDEX(TableTECalcPts[BYE],MATCH(TableTERanks33[[#This Row],[RK]],TableTECalcPts[RK],0)),"")</f>
        <v>6</v>
      </c>
      <c r="AU79" s="279">
        <f>VLOOKUP(TableTERanks33[[#This Row],[Player]],TE!B:O,4,FALSE)</f>
        <v>11.040799474074449</v>
      </c>
      <c r="AV79" s="279">
        <f>VLOOKUP(TableTERanks33[[#This Row],[Player]],TE!B:O,5,FALSE)</f>
        <v>6.8232140749780097</v>
      </c>
      <c r="AW79" s="279">
        <f>VLOOKUP(TableTERanks33[[#This Row],[Player]],TE!B:O,6,FALSE)</f>
        <v>65.434622979039105</v>
      </c>
      <c r="AX79" s="279">
        <f>VLOOKUP(TableTERanks33[[#This Row],[Player]],TE!B:O,7,FALSE)</f>
        <v>0.13646428149956019</v>
      </c>
      <c r="AY79" s="272">
        <f>IFERROR(INDEX(TableTECalcPts[Custom],MATCH(TableTERanks33[[#This Row],[RK]],TableTECalcPts[RK],0)),"")</f>
        <v>7.3622479869012727</v>
      </c>
      <c r="AZ7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0" spans="1:52" x14ac:dyDescent="0.3">
      <c r="A80" s="22">
        <v>79</v>
      </c>
      <c r="B80" s="274" t="str">
        <f>IFERROR(INDEX(TableQBCalcPts[PLAYER],MATCH(TableQBRanks30[[#This Row],[RK]],TableQBCalcPts[RK],0)),"")</f>
        <v/>
      </c>
      <c r="C80" s="274" t="str">
        <f>IFERROR(INDEX(TableQBCalcPts[TM],MATCH(TableQBRanks30[[#This Row],[Player]],TableQBCalcPts[PLAYER],0)),"")</f>
        <v/>
      </c>
      <c r="D80" s="274" t="str">
        <f>IFERROR(INDEX(TableQBCalcPts[BYE],MATCH(TableQBRanks30[[#This Row],[RK]],TableQBCalcPts[RK],0)),"")</f>
        <v/>
      </c>
      <c r="E80" s="279" t="e">
        <f>VLOOKUP(TableQBRanks30[[#This Row],[Player]],QB!B:O,4,FALSE)</f>
        <v>#N/A</v>
      </c>
      <c r="F80" s="279" t="e">
        <f>VLOOKUP(TableQBRanks30[[#This Row],[Player]],QB!B:O,5,FALSE)</f>
        <v>#N/A</v>
      </c>
      <c r="G80" s="279" t="e">
        <f>VLOOKUP(TableQBRanks30[[#This Row],[Player]],QB!B:O,6,FALSE)</f>
        <v>#N/A</v>
      </c>
      <c r="H80" s="279" t="e">
        <f>VLOOKUP(TableQBRanks30[[#This Row],[Player]],QB!B:O,7,FALSE)</f>
        <v>#N/A</v>
      </c>
      <c r="I80" s="279" t="e">
        <f>VLOOKUP(TableQBRanks30[[#This Row],[Player]],QB!B:O,8,FALSE)</f>
        <v>#N/A</v>
      </c>
      <c r="J80" s="279" t="e">
        <f>VLOOKUP(TableQBRanks30[[#This Row],[Player]],QB!B:O,9,FALSE)</f>
        <v>#N/A</v>
      </c>
      <c r="K80" s="279" t="e">
        <f>VLOOKUP(TableQBRanks30[[#This Row],[Player]],QB!B:O,10,FALSE)</f>
        <v>#N/A</v>
      </c>
      <c r="L80" s="279" t="e">
        <f>VLOOKUP(TableQBRanks30[[#This Row],[Player]],QB!B:O,11,FALSE)</f>
        <v>#N/A</v>
      </c>
      <c r="M80" s="272" t="str">
        <f>IFERROR(INDEX(TableQBCalcPts[Custom],MATCH(TableQBRanks30[[#This Row],[RK]],TableQBCalcPts[RK],0)),"")</f>
        <v/>
      </c>
      <c r="N80" s="273" t="e">
        <f>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</f>
        <v>#VALUE!</v>
      </c>
      <c r="P80" s="22">
        <v>79</v>
      </c>
      <c r="Q80" s="22" t="str">
        <f>IFERROR(INDEX(TableRBCalcPts[PLAYER],MATCH(TableRBRanks31[[#This Row],[RK]],TableRBCalcPts[RK],0)),"")</f>
        <v>Eno Benjamin</v>
      </c>
      <c r="R80" s="22" t="str">
        <f>IFERROR(INDEX(TableRBCalcPts[TM],MATCH(TableRBRanks31[[#This Row],[Player]],TableRBCalcPts[PLAYER],0)),"")</f>
        <v>ARI</v>
      </c>
      <c r="S80" s="22">
        <f>IFERROR(INDEX(TableRBCalcPts[BYE],MATCH(TableRBRanks31[[#This Row],[RK]],TableRBCalcPts[RK],0)),"")</f>
        <v>13</v>
      </c>
      <c r="T80" s="279">
        <f>VLOOKUP(TableRBRanks31[[#This Row],[Player]],RB!B:O,4,FALSE)</f>
        <v>35.418078310415652</v>
      </c>
      <c r="U80" s="279">
        <f>VLOOKUP(TableRBRanks31[[#This Row],[Player]],RB!B:O,5,FALSE)</f>
        <v>135.29705914578778</v>
      </c>
      <c r="V80" s="279">
        <f>VLOOKUP(TableRBRanks31[[#This Row],[Player]],RB!B:O,6,FALSE)</f>
        <v>0.80753218547747685</v>
      </c>
      <c r="W80" s="279">
        <f>VLOOKUP(TableRBRanks31[[#This Row],[Player]],RB!B:O,7,FALSE)</f>
        <v>13.718972409999999</v>
      </c>
      <c r="X80" s="279">
        <f>VLOOKUP(TableRBRanks31[[#This Row],[Player]],RB!B:O,8,FALSE)</f>
        <v>9.6705036518089997</v>
      </c>
      <c r="Y80" s="279">
        <f>VLOOKUP(TableRBRanks31[[#This Row],[Player]],RB!B:O,9,FALSE)</f>
        <v>77.654144324026262</v>
      </c>
      <c r="Z80" s="279">
        <f>VLOOKUP(TableRBRanks31[[#This Row],[Player]],RB!B:O,10,FALSE)</f>
        <v>0.29623371760028572</v>
      </c>
      <c r="AA80" s="272">
        <f>IFERROR(INDEX(TableRBCalcPts[Custom],MATCH(TableRBRanks31[[#This Row],[RK]],TableRBCalcPts[RK],0)),"")</f>
        <v>27.91771576544798</v>
      </c>
      <c r="AB8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0" s="22">
        <v>79</v>
      </c>
      <c r="AE80" s="274" t="str">
        <f>IFERROR(INDEX(TableWRCalcPts[PLAYER],MATCH(TableWRRanks32[[#This Row],[RK]],TableWRCalcPts[RK],0)),"")</f>
        <v>Devin Duvernay</v>
      </c>
      <c r="AF80" s="22" t="str">
        <f>IFERROR(INDEX(TableWRCalcPts[TM],MATCH(TableWRRanks32[[#This Row],[Player]],TableWRCalcPts[PLAYER],0)),"")</f>
        <v>BAL</v>
      </c>
      <c r="AG80" s="22">
        <f>IFERROR(INDEX(TableWRCalcPts[BYE],MATCH(TableWRRanks32[[#This Row],[RK]],TableWRCalcPts[RK],0)),"")</f>
        <v>10</v>
      </c>
      <c r="AH80" s="279">
        <f>VLOOKUP(TableWRRanks32[[#This Row],[Player]],WR!B:O,4,FALSE)</f>
        <v>76.468076022318996</v>
      </c>
      <c r="AI80" s="279">
        <f>VLOOKUP(TableWRRanks32[[#This Row],[Player]],WR!B:O,5,FALSE)</f>
        <v>0.14162113988498803</v>
      </c>
      <c r="AJ80" s="279">
        <f>VLOOKUP(TableWRRanks32[[#This Row],[Player]],WR!B:O,6,FALSE)</f>
        <v>65.442565619081975</v>
      </c>
      <c r="AK80" s="279">
        <f>VLOOKUP(TableWRRanks32[[#This Row],[Player]],WR!B:O,7,FALSE)</f>
        <v>39.409293961198216</v>
      </c>
      <c r="AL80" s="279">
        <f>VLOOKUP(TableWRRanks32[[#This Row],[Player]],WR!B:O,8,FALSE)</f>
        <v>431.13767593550847</v>
      </c>
      <c r="AM80" s="279">
        <f>VLOOKUP(TableWRRanks32[[#This Row],[Player]],WR!B:O,9,FALSE)</f>
        <v>3.8621108081974254</v>
      </c>
      <c r="AN80" s="272">
        <f>IFERROR(INDEX(TableWRCalcPts[Custom],MATCH(TableWRRanks32[[#This Row],[RK]],TableWRCalcPts[RK],0)),"")</f>
        <v>74.782966884277229</v>
      </c>
      <c r="AO8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0" s="22">
        <v>79</v>
      </c>
      <c r="AR80" s="22" t="str">
        <f>IFERROR(INDEX(TableTECalcPts[PLAYER],MATCH(TableTERanks33[[#This Row],[RK]],TableTECalcPts[RK],0)),"")</f>
        <v>Grant Calcaterra</v>
      </c>
      <c r="AS80" s="22" t="str">
        <f>IFERROR(INDEX(TableTECalcPts[TM],MATCH(TableTERanks33[[#This Row],[Player]],TableTECalcPts[PLAYER],0)),"")</f>
        <v>PHI</v>
      </c>
      <c r="AT80" s="22">
        <f>IFERROR(INDEX(TableTECalcPts[BYE],MATCH(TableTERanks33[[#This Row],[RK]],TableTECalcPts[RK],0)),"")</f>
        <v>7</v>
      </c>
      <c r="AU80" s="279">
        <f>VLOOKUP(TableTERanks33[[#This Row],[Player]],TE!B:O,4,FALSE)</f>
        <v>9.2376146313381451</v>
      </c>
      <c r="AV80" s="279">
        <f>VLOOKUP(TableTERanks33[[#This Row],[Player]],TE!B:O,5,FALSE)</f>
        <v>5.4705153846784489</v>
      </c>
      <c r="AW80" s="279">
        <f>VLOOKUP(TableTERanks33[[#This Row],[Player]],TE!B:O,6,FALSE)</f>
        <v>52.97282397496965</v>
      </c>
      <c r="AX80" s="279">
        <f>VLOOKUP(TableTERanks33[[#This Row],[Player]],TE!B:O,7,FALSE)</f>
        <v>0.33430927350812745</v>
      </c>
      <c r="AY80" s="272">
        <f>IFERROR(INDEX(TableTECalcPts[Custom],MATCH(TableTERanks33[[#This Row],[RK]],TableTECalcPts[RK],0)),"")</f>
        <v>7.3031380385457298</v>
      </c>
      <c r="AZ8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1" spans="16:52" x14ac:dyDescent="0.3">
      <c r="P81" s="22">
        <v>80</v>
      </c>
      <c r="Q81" s="22" t="str">
        <f>IFERROR(INDEX(TableRBCalcPts[PLAYER],MATCH(TableRBRanks31[[#This Row],[RK]],TableRBCalcPts[RK],0)),"")</f>
        <v>D'Ernest Johnson</v>
      </c>
      <c r="R81" s="22" t="str">
        <f>IFERROR(INDEX(TableRBCalcPts[TM],MATCH(TableRBRanks31[[#This Row],[Player]],TableRBCalcPts[PLAYER],0)),"")</f>
        <v>CLE</v>
      </c>
      <c r="S81" s="22">
        <f>IFERROR(INDEX(TableRBCalcPts[BYE],MATCH(TableRBRanks31[[#This Row],[RK]],TableRBCalcPts[RK],0)),"")</f>
        <v>9</v>
      </c>
      <c r="T81" s="279">
        <f>VLOOKUP(TableRBRanks31[[#This Row],[Player]],RB!B:O,4,FALSE)</f>
        <v>25.726306208024166</v>
      </c>
      <c r="U81" s="279">
        <f>VLOOKUP(TableRBRanks31[[#This Row],[Player]],RB!B:O,5,FALSE)</f>
        <v>134.610237528532</v>
      </c>
      <c r="V81" s="279">
        <f>VLOOKUP(TableRBRanks31[[#This Row],[Player]],RB!B:O,6,FALSE)</f>
        <v>0.96730911342170867</v>
      </c>
      <c r="W81" s="279">
        <f>VLOOKUP(TableRBRanks31[[#This Row],[Player]],RB!B:O,7,FALSE)</f>
        <v>11.620879670527763</v>
      </c>
      <c r="X81" s="279">
        <f>VLOOKUP(TableRBRanks31[[#This Row],[Player]],RB!B:O,8,FALSE)</f>
        <v>8.1450745610729083</v>
      </c>
      <c r="Y81" s="279">
        <f>VLOOKUP(TableRBRanks31[[#This Row],[Player]],RB!B:O,9,FALSE)</f>
        <v>61.322425406843323</v>
      </c>
      <c r="Z81" s="279">
        <f>VLOOKUP(TableRBRanks31[[#This Row],[Player]],RB!B:O,10,FALSE)</f>
        <v>9.2781126754682405E-2</v>
      </c>
      <c r="AA81" s="272">
        <f>IFERROR(INDEX(TableRBCalcPts[Custom],MATCH(TableRBRanks31[[#This Row],[RK]],TableRBCalcPts[RK],0)),"")</f>
        <v>25.953807734595877</v>
      </c>
      <c r="AB8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1" s="274">
        <v>80</v>
      </c>
      <c r="AE81" s="274" t="str">
        <f>IFERROR(INDEX(TableWRCalcPts[PLAYER],MATCH(TableWRRanks32[[#This Row],[RK]],TableWRCalcPts[RK],0)),"")</f>
        <v>Randall Cobb</v>
      </c>
      <c r="AF81" s="22" t="str">
        <f>IFERROR(INDEX(TableWRCalcPts[TM],MATCH(TableWRRanks32[[#This Row],[Player]],TableWRCalcPts[PLAYER],0)),"")</f>
        <v>GB</v>
      </c>
      <c r="AG81" s="22">
        <f>IFERROR(INDEX(TableWRCalcPts[BYE],MATCH(TableWRRanks32[[#This Row],[RK]],TableWRCalcPts[RK],0)),"")</f>
        <v>14</v>
      </c>
      <c r="AH81" s="279">
        <f>VLOOKUP(TableWRRanks32[[#This Row],[Player]],WR!B:O,4,FALSE)</f>
        <v>6.466533771694202</v>
      </c>
      <c r="AI81" s="279">
        <f>VLOOKUP(TableWRRanks32[[#This Row],[Player]],WR!B:O,5,FALSE)</f>
        <v>0</v>
      </c>
      <c r="AJ81" s="279">
        <f>VLOOKUP(TableWRRanks32[[#This Row],[Player]],WR!B:O,6,FALSE)</f>
        <v>58.065528219999976</v>
      </c>
      <c r="AK81" s="279">
        <f>VLOOKUP(TableWRRanks32[[#This Row],[Player]],WR!B:O,7,FALSE)</f>
        <v>38.950356329975982</v>
      </c>
      <c r="AL81" s="279">
        <f>VLOOKUP(TableWRRanks32[[#This Row],[Player]],WR!B:O,8,FALSE)</f>
        <v>462.93970934702071</v>
      </c>
      <c r="AM81" s="279">
        <f>VLOOKUP(TableWRRanks32[[#This Row],[Player]],WR!B:O,9,FALSE)</f>
        <v>4.5961420469371657</v>
      </c>
      <c r="AN81" s="272">
        <f>IFERROR(INDEX(TableWRCalcPts[Custom],MATCH(TableWRRanks32[[#This Row],[RK]],TableWRCalcPts[RK],0)),"")</f>
        <v>74.517476593494493</v>
      </c>
      <c r="AO8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1" s="274">
        <v>80</v>
      </c>
      <c r="AR81" s="274" t="str">
        <f>IFERROR(INDEX(TableTECalcPts[PLAYER],MATCH(TableTERanks33[[#This Row],[RK]],TableTECalcPts[RK],0)),"")</f>
        <v>Ben Ellefson</v>
      </c>
      <c r="AS81" s="22" t="str">
        <f>IFERROR(INDEX(TableTECalcPts[TM],MATCH(TableTERanks33[[#This Row],[Player]],TableTECalcPts[PLAYER],0)),"")</f>
        <v>MIN</v>
      </c>
      <c r="AT81" s="22">
        <f>IFERROR(INDEX(TableTECalcPts[BYE],MATCH(TableTERanks33[[#This Row],[RK]],TableTECalcPts[RK],0)),"")</f>
        <v>7</v>
      </c>
      <c r="AU81" s="279">
        <f>VLOOKUP(TableTERanks33[[#This Row],[Player]],TE!B:O,4,FALSE)</f>
        <v>7.8101798745552369</v>
      </c>
      <c r="AV81" s="279">
        <f>VLOOKUP(TableTERanks33[[#This Row],[Player]],TE!B:O,5,FALSE)</f>
        <v>4.7017282844822521</v>
      </c>
      <c r="AW81" s="279">
        <f>VLOOKUP(TableTERanks33[[#This Row],[Player]],TE!B:O,6,FALSE)</f>
        <v>51.757216522966374</v>
      </c>
      <c r="AX81" s="279">
        <f>VLOOKUP(TableTERanks33[[#This Row],[Player]],TE!B:O,7,FALSE)</f>
        <v>0.32912097991375766</v>
      </c>
      <c r="AY81" s="272">
        <f>IFERROR(INDEX(TableTECalcPts[Custom],MATCH(TableTERanks33[[#This Row],[RK]],TableTECalcPts[RK],0)),"")</f>
        <v>7.1504475317791831</v>
      </c>
      <c r="AZ8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2" spans="16:52" x14ac:dyDescent="0.3">
      <c r="P82" s="22">
        <v>81</v>
      </c>
      <c r="Q82" s="22" t="str">
        <f>IFERROR(INDEX(TableRBCalcPts[PLAYER],MATCH(TableRBRanks31[[#This Row],[RK]],TableRBCalcPts[RK],0)),"")</f>
        <v>Phillip Lindsay</v>
      </c>
      <c r="R82" s="22" t="str">
        <f>IFERROR(INDEX(TableRBCalcPts[TM],MATCH(TableRBRanks31[[#This Row],[Player]],TableRBCalcPts[PLAYER],0)),"")</f>
        <v>IND</v>
      </c>
      <c r="S82" s="22">
        <f>IFERROR(INDEX(TableRBCalcPts[BYE],MATCH(TableRBRanks31[[#This Row],[RK]],TableRBCalcPts[RK],0)),"")</f>
        <v>14</v>
      </c>
      <c r="T82" s="279">
        <f>VLOOKUP(TableRBRanks31[[#This Row],[Player]],RB!B:O,4,FALSE)</f>
        <v>45.492330827845429</v>
      </c>
      <c r="U82" s="279">
        <f>VLOOKUP(TableRBRanks31[[#This Row],[Player]],RB!B:O,5,FALSE)</f>
        <v>173.78070376236954</v>
      </c>
      <c r="V82" s="279">
        <f>VLOOKUP(TableRBRanks31[[#This Row],[Player]],RB!B:O,6,FALSE)</f>
        <v>0.74876716194887472</v>
      </c>
      <c r="W82" s="279">
        <f>VLOOKUP(TableRBRanks31[[#This Row],[Player]],RB!B:O,7,FALSE)</f>
        <v>5.8983579042604939</v>
      </c>
      <c r="X82" s="279">
        <f>VLOOKUP(TableRBRanks31[[#This Row],[Player]],RB!B:O,8,FALSE)</f>
        <v>4.4621077545730632</v>
      </c>
      <c r="Y82" s="279">
        <f>VLOOKUP(TableRBRanks31[[#This Row],[Player]],RB!B:O,9,FALSE)</f>
        <v>34.556773313394586</v>
      </c>
      <c r="Z82" s="279">
        <f>VLOOKUP(TableRBRanks31[[#This Row],[Player]],RB!B:O,10,FALSE)</f>
        <v>9.4329307522718425E-2</v>
      </c>
      <c r="AA82" s="272">
        <f>IFERROR(INDEX(TableRBCalcPts[Custom],MATCH(TableRBRanks31[[#This Row],[RK]],TableRBCalcPts[RK],0)),"")</f>
        <v>25.892326524405973</v>
      </c>
      <c r="AB8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2" s="22">
        <v>81</v>
      </c>
      <c r="AE82" s="274" t="str">
        <f>IFERROR(INDEX(TableWRCalcPts[PLAYER],MATCH(TableWRRanks32[[#This Row],[RK]],TableWRCalcPts[RK],0)),"")</f>
        <v>Jamison Crowder</v>
      </c>
      <c r="AF82" s="22" t="str">
        <f>IFERROR(INDEX(TableWRCalcPts[TM],MATCH(TableWRRanks32[[#This Row],[Player]],TableWRCalcPts[PLAYER],0)),"")</f>
        <v>BUF</v>
      </c>
      <c r="AG82" s="22">
        <f>IFERROR(INDEX(TableWRCalcPts[BYE],MATCH(TableWRRanks32[[#This Row],[RK]],TableWRCalcPts[RK],0)),"")</f>
        <v>7</v>
      </c>
      <c r="AH82" s="279">
        <f>VLOOKUP(TableWRRanks32[[#This Row],[Player]],WR!B:O,4,FALSE)</f>
        <v>0.62528057940697068</v>
      </c>
      <c r="AI82" s="279">
        <f>VLOOKUP(TableWRRanks32[[#This Row],[Player]],WR!B:O,5,FALSE)</f>
        <v>0</v>
      </c>
      <c r="AJ82" s="279">
        <f>VLOOKUP(TableWRRanks32[[#This Row],[Player]],WR!B:O,6,FALSE)</f>
        <v>75.068560581545029</v>
      </c>
      <c r="AK82" s="279">
        <f>VLOOKUP(TableWRRanks32[[#This Row],[Player]],WR!B:O,7,FALSE)</f>
        <v>49.417633430831096</v>
      </c>
      <c r="AL82" s="279">
        <f>VLOOKUP(TableWRRanks32[[#This Row],[Player]],WR!B:O,8,FALSE)</f>
        <v>533.71044105297585</v>
      </c>
      <c r="AM82" s="279">
        <f>VLOOKUP(TableWRRanks32[[#This Row],[Player]],WR!B:O,9,FALSE)</f>
        <v>3.5086519735890076</v>
      </c>
      <c r="AN82" s="272">
        <f>IFERROR(INDEX(TableWRCalcPts[Custom],MATCH(TableWRRanks32[[#This Row],[RK]],TableWRCalcPts[RK],0)),"")</f>
        <v>74.485484004772331</v>
      </c>
      <c r="AO8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2" s="22">
        <v>81</v>
      </c>
      <c r="AR82" s="274" t="str">
        <f>IFERROR(INDEX(TableTECalcPts[PLAYER],MATCH(TableTERanks33[[#This Row],[RK]],TableTECalcPts[RK],0)),"")</f>
        <v>Jeremy Sprinkle</v>
      </c>
      <c r="AS82" s="22" t="str">
        <f>IFERROR(INDEX(TableTECalcPts[TM],MATCH(TableTERanks33[[#This Row],[Player]],TableTECalcPts[PLAYER],0)),"")</f>
        <v>DAL</v>
      </c>
      <c r="AT82" s="22">
        <f>IFERROR(INDEX(TableTECalcPts[BYE],MATCH(TableTERanks33[[#This Row],[RK]],TableTECalcPts[RK],0)),"")</f>
        <v>9</v>
      </c>
      <c r="AU82" s="279">
        <f>VLOOKUP(TableTERanks33[[#This Row],[Player]],TE!B:O,4,FALSE)</f>
        <v>8.0445402190749284</v>
      </c>
      <c r="AV82" s="279">
        <f>VLOOKUP(TableTERanks33[[#This Row],[Player]],TE!B:O,5,FALSE)</f>
        <v>4.9160185278766884</v>
      </c>
      <c r="AW82" s="279">
        <f>VLOOKUP(TableTERanks33[[#This Row],[Player]],TE!B:O,6,FALSE)</f>
        <v>50.068830973400843</v>
      </c>
      <c r="AX82" s="279">
        <f>VLOOKUP(TableTERanks33[[#This Row],[Player]],TE!B:O,7,FALSE)</f>
        <v>0.34104277262862737</v>
      </c>
      <c r="AY82" s="272">
        <f>IFERROR(INDEX(TableTECalcPts[Custom],MATCH(TableTERanks33[[#This Row],[RK]],TableTECalcPts[RK],0)),"")</f>
        <v>7.0531397331118484</v>
      </c>
      <c r="AZ8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3" spans="16:52" x14ac:dyDescent="0.3">
      <c r="P83" s="22">
        <v>82</v>
      </c>
      <c r="Q83" s="22" t="str">
        <f>IFERROR(INDEX(TableRBCalcPts[PLAYER],MATCH(TableRBRanks31[[#This Row],[RK]],TableRBCalcPts[RK],0)),"")</f>
        <v>Derrick Gore</v>
      </c>
      <c r="R83" s="22" t="str">
        <f>IFERROR(INDEX(TableRBCalcPts[TM],MATCH(TableRBRanks31[[#This Row],[Player]],TableRBCalcPts[PLAYER],0)),"")</f>
        <v>KC</v>
      </c>
      <c r="S83" s="22">
        <f>IFERROR(INDEX(TableRBCalcPts[BYE],MATCH(TableRBRanks31[[#This Row],[RK]],TableRBCalcPts[RK],0)),"")</f>
        <v>8</v>
      </c>
      <c r="T83" s="279">
        <f>VLOOKUP(TableRBRanks31[[#This Row],[Player]],RB!B:O,4,FALSE)</f>
        <v>25.282656729129229</v>
      </c>
      <c r="U83" s="279">
        <f>VLOOKUP(TableRBRanks31[[#This Row],[Player]],RB!B:O,5,FALSE)</f>
        <v>112.25499587733378</v>
      </c>
      <c r="V83" s="279">
        <f>VLOOKUP(TableRBRanks31[[#This Row],[Player]],RB!B:O,6,FALSE)</f>
        <v>1.1480129724967978</v>
      </c>
      <c r="W83" s="279">
        <f>VLOOKUP(TableRBRanks31[[#This Row],[Player]],RB!B:O,7,FALSE)</f>
        <v>13.692663792866842</v>
      </c>
      <c r="X83" s="279">
        <f>VLOOKUP(TableRBRanks31[[#This Row],[Player]],RB!B:O,8,FALSE)</f>
        <v>9.1498943685200533</v>
      </c>
      <c r="Y83" s="279">
        <f>VLOOKUP(TableRBRanks31[[#This Row],[Player]],RB!B:O,9,FALSE)</f>
        <v>64.483774444000687</v>
      </c>
      <c r="Z83" s="279">
        <f>VLOOKUP(TableRBRanks31[[#This Row],[Player]],RB!B:O,10,FALSE)</f>
        <v>0.20881312284121936</v>
      </c>
      <c r="AA83" s="272">
        <f>IFERROR(INDEX(TableRBCalcPts[Custom],MATCH(TableRBRanks31[[#This Row],[RK]],TableRBCalcPts[RK],0)),"")</f>
        <v>25.814833604161549</v>
      </c>
      <c r="AB8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3" s="22">
        <v>82</v>
      </c>
      <c r="AE83" s="274" t="str">
        <f>IFERROR(INDEX(TableWRCalcPts[PLAYER],MATCH(TableWRRanks32[[#This Row],[RK]],TableWRCalcPts[RK],0)),"")</f>
        <v>Sammy Watkins</v>
      </c>
      <c r="AF83" s="22" t="str">
        <f>IFERROR(INDEX(TableWRCalcPts[TM],MATCH(TableWRRanks32[[#This Row],[Player]],TableWRCalcPts[PLAYER],0)),"")</f>
        <v>GB</v>
      </c>
      <c r="AG83" s="22">
        <f>IFERROR(INDEX(TableWRCalcPts[BYE],MATCH(TableWRRanks32[[#This Row],[RK]],TableWRCalcPts[RK],0)),"")</f>
        <v>14</v>
      </c>
      <c r="AH83" s="279">
        <f>VLOOKUP(TableWRRanks32[[#This Row],[Player]],WR!B:O,4,FALSE)</f>
        <v>5.4748874845400657</v>
      </c>
      <c r="AI83" s="279">
        <f>VLOOKUP(TableWRRanks32[[#This Row],[Player]],WR!B:O,5,FALSE)</f>
        <v>0</v>
      </c>
      <c r="AJ83" s="279">
        <f>VLOOKUP(TableWRRanks32[[#This Row],[Player]],WR!B:O,6,FALSE)</f>
        <v>61.028055169999973</v>
      </c>
      <c r="AK83" s="279">
        <f>VLOOKUP(TableWRRanks32[[#This Row],[Player]],WR!B:O,7,FALSE)</f>
        <v>39.637721832914984</v>
      </c>
      <c r="AL83" s="279">
        <f>VLOOKUP(TableWRRanks32[[#This Row],[Player]],WR!B:O,8,FALSE)</f>
        <v>514.4976293912365</v>
      </c>
      <c r="AM83" s="279">
        <f>VLOOKUP(TableWRRanks32[[#This Row],[Player]],WR!B:O,9,FALSE)</f>
        <v>3.4484817994636034</v>
      </c>
      <c r="AN83" s="272">
        <f>IFERROR(INDEX(TableWRCalcPts[Custom],MATCH(TableWRRanks32[[#This Row],[RK]],TableWRCalcPts[RK],0)),"")</f>
        <v>72.688142484359275</v>
      </c>
      <c r="AO8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3" s="22">
        <v>82</v>
      </c>
      <c r="AR83" s="274" t="str">
        <f>IFERROR(INDEX(TableTECalcPts[PLAYER],MATCH(TableTERanks33[[#This Row],[RK]],TableTECalcPts[RK],0)),"")</f>
        <v>Jacob Hollister</v>
      </c>
      <c r="AS83" s="22" t="str">
        <f>IFERROR(INDEX(TableTECalcPts[TM],MATCH(TableTERanks33[[#This Row],[Player]],TableTECalcPts[PLAYER],0)),"")</f>
        <v>LV</v>
      </c>
      <c r="AT83" s="22">
        <f>IFERROR(INDEX(TableTECalcPts[BYE],MATCH(TableTERanks33[[#This Row],[RK]],TableTECalcPts[RK],0)),"")</f>
        <v>6</v>
      </c>
      <c r="AU83" s="279">
        <f>VLOOKUP(TableTERanks33[[#This Row],[Player]],TE!B:O,4,FALSE)</f>
        <v>8.1898506299999969</v>
      </c>
      <c r="AV83" s="279">
        <f>VLOOKUP(TableTERanks33[[#This Row],[Player]],TE!B:O,5,FALSE)</f>
        <v>5.0613276893399979</v>
      </c>
      <c r="AW83" s="279">
        <f>VLOOKUP(TableTERanks33[[#This Row],[Player]],TE!B:O,6,FALSE)</f>
        <v>45.602562480953381</v>
      </c>
      <c r="AX83" s="279">
        <f>VLOOKUP(TableTERanks33[[#This Row],[Player]],TE!B:O,7,FALSE)</f>
        <v>0.35078508737999975</v>
      </c>
      <c r="AY83" s="272">
        <f>IFERROR(INDEX(TableTECalcPts[Custom],MATCH(TableTERanks33[[#This Row],[RK]],TableTECalcPts[RK],0)),"")</f>
        <v>6.6649667723753367</v>
      </c>
      <c r="AZ8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4" spans="16:52" x14ac:dyDescent="0.3">
      <c r="P84" s="22">
        <v>83</v>
      </c>
      <c r="Q84" s="22" t="str">
        <f>IFERROR(INDEX(TableRBCalcPts[PLAYER],MATCH(TableRBRanks31[[#This Row],[RK]],TableRBCalcPts[RK],0)),"")</f>
        <v>Keaontay Ingram</v>
      </c>
      <c r="R84" s="22" t="str">
        <f>IFERROR(INDEX(TableRBCalcPts[TM],MATCH(TableRBRanks31[[#This Row],[Player]],TableRBCalcPts[PLAYER],0)),"")</f>
        <v>ARI</v>
      </c>
      <c r="S84" s="22">
        <f>IFERROR(INDEX(TableRBCalcPts[BYE],MATCH(TableRBRanks31[[#This Row],[RK]],TableRBCalcPts[RK],0)),"")</f>
        <v>13</v>
      </c>
      <c r="T84" s="279">
        <f>VLOOKUP(TableRBRanks31[[#This Row],[Player]],RB!B:O,4,FALSE)</f>
        <v>22.628216698321111</v>
      </c>
      <c r="U84" s="279">
        <f>VLOOKUP(TableRBRanks31[[#This Row],[Player]],RB!B:O,5,FALSE)</f>
        <v>107.12436314520724</v>
      </c>
      <c r="V84" s="279">
        <f>VLOOKUP(TableRBRanks31[[#This Row],[Player]],RB!B:O,6,FALSE)</f>
        <v>0.50234641070272867</v>
      </c>
      <c r="W84" s="279">
        <f>VLOOKUP(TableRBRanks31[[#This Row],[Player]],RB!B:O,7,FALSE)</f>
        <v>15.589741375000003</v>
      </c>
      <c r="X84" s="279">
        <f>VLOOKUP(TableRBRanks31[[#This Row],[Player]],RB!B:O,8,FALSE)</f>
        <v>11.998254705734377</v>
      </c>
      <c r="Y84" s="279">
        <f>VLOOKUP(TableRBRanks31[[#This Row],[Player]],RB!B:O,9,FALSE)</f>
        <v>96.106020192932363</v>
      </c>
      <c r="Z84" s="279">
        <f>VLOOKUP(TableRBRanks31[[#This Row],[Player]],RB!B:O,10,FALSE)</f>
        <v>0.11998254705734378</v>
      </c>
      <c r="AA84" s="272">
        <f>IFERROR(INDEX(TableRBCalcPts[Custom],MATCH(TableRBRanks31[[#This Row],[RK]],TableRBCalcPts[RK],0)),"")</f>
        <v>24.057012080374395</v>
      </c>
      <c r="AB8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4" s="274">
        <v>83</v>
      </c>
      <c r="AE84" s="22" t="str">
        <f>IFERROR(INDEX(TableWRCalcPts[PLAYER],MATCH(TableWRRanks32[[#This Row],[RK]],TableWRCalcPts[RK],0)),"")</f>
        <v>Kendrick Bourne</v>
      </c>
      <c r="AF84" s="22" t="str">
        <f>IFERROR(INDEX(TableWRCalcPts[TM],MATCH(TableWRRanks32[[#This Row],[Player]],TableWRCalcPts[PLAYER],0)),"")</f>
        <v>NE</v>
      </c>
      <c r="AG84" s="22">
        <f>IFERROR(INDEX(TableWRCalcPts[BYE],MATCH(TableWRRanks32[[#This Row],[RK]],TableWRCalcPts[RK],0)),"")</f>
        <v>10</v>
      </c>
      <c r="AH84" s="279">
        <f>VLOOKUP(TableWRRanks32[[#This Row],[Player]],WR!B:O,4,FALSE)</f>
        <v>34.637356838689826</v>
      </c>
      <c r="AI84" s="279">
        <f>VLOOKUP(TableWRRanks32[[#This Row],[Player]],WR!B:O,5,FALSE)</f>
        <v>0.24208905317363857</v>
      </c>
      <c r="AJ84" s="279">
        <f>VLOOKUP(TableWRRanks32[[#This Row],[Player]],WR!B:O,6,FALSE)</f>
        <v>51.444880963410057</v>
      </c>
      <c r="AK84" s="279">
        <f>VLOOKUP(TableWRRanks32[[#This Row],[Player]],WR!B:O,7,FALSE)</f>
        <v>37.333550115146679</v>
      </c>
      <c r="AL84" s="279">
        <f>VLOOKUP(TableWRRanks32[[#This Row],[Player]],WR!B:O,8,FALSE)</f>
        <v>483.096138489998</v>
      </c>
      <c r="AM84" s="279">
        <f>VLOOKUP(TableWRRanks32[[#This Row],[Player]],WR!B:O,9,FALSE)</f>
        <v>3.2390655140519056</v>
      </c>
      <c r="AN84" s="272">
        <f>IFERROR(INDEX(TableWRCalcPts[Custom],MATCH(TableWRRanks32[[#This Row],[RK]],TableWRCalcPts[RK],0)),"")</f>
        <v>72.660276936222047</v>
      </c>
      <c r="AO8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4" s="274">
        <v>83</v>
      </c>
      <c r="AR84" s="22" t="str">
        <f>IFERROR(INDEX(TableTECalcPts[PLAYER],MATCH(TableTERanks33[[#This Row],[RK]],TableTECalcPts[RK],0)),"")</f>
        <v>Adam Shaheen</v>
      </c>
      <c r="AS84" s="22" t="str">
        <f>IFERROR(INDEX(TableTECalcPts[TM],MATCH(TableTERanks33[[#This Row],[Player]],TableTECalcPts[PLAYER],0)),"")</f>
        <v>MIA</v>
      </c>
      <c r="AT84" s="22">
        <f>IFERROR(INDEX(TableTECalcPts[BYE],MATCH(TableTERanks33[[#This Row],[RK]],TableTECalcPts[RK],0)),"")</f>
        <v>11</v>
      </c>
      <c r="AU84" s="279">
        <f>VLOOKUP(TableTERanks33[[#This Row],[Player]],TE!B:O,4,FALSE)</f>
        <v>6.9298736099999978</v>
      </c>
      <c r="AV84" s="279">
        <f>VLOOKUP(TableTERanks33[[#This Row],[Player]],TE!B:O,5,FALSE)</f>
        <v>4.7580512206259984</v>
      </c>
      <c r="AW84" s="279">
        <f>VLOOKUP(TableTERanks33[[#This Row],[Player]],TE!B:O,6,FALSE)</f>
        <v>47.055371714976914</v>
      </c>
      <c r="AX84" s="279">
        <f>VLOOKUP(TableTERanks33[[#This Row],[Player]],TE!B:O,7,FALSE)</f>
        <v>0.32294635513360637</v>
      </c>
      <c r="AY84" s="272">
        <f>IFERROR(INDEX(TableTECalcPts[Custom],MATCH(TableTERanks33[[#This Row],[RK]],TableTECalcPts[RK],0)),"")</f>
        <v>6.6432153022993292</v>
      </c>
      <c r="AZ84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5" spans="16:52" x14ac:dyDescent="0.3">
      <c r="P85" s="22">
        <v>84</v>
      </c>
      <c r="Q85" s="22" t="str">
        <f>IFERROR(INDEX(TableRBCalcPts[PLAYER],MATCH(TableRBRanks31[[#This Row],[RK]],TableRBCalcPts[RK],0)),"")</f>
        <v>Duke Johnson</v>
      </c>
      <c r="R85" s="22" t="str">
        <f>IFERROR(INDEX(TableRBCalcPts[TM],MATCH(TableRBRanks31[[#This Row],[Player]],TableRBCalcPts[PLAYER],0)),"")</f>
        <v>BUF</v>
      </c>
      <c r="S85" s="22">
        <f>IFERROR(INDEX(TableRBCalcPts[BYE],MATCH(TableRBRanks31[[#This Row],[RK]],TableRBCalcPts[RK],0)),"")</f>
        <v>7</v>
      </c>
      <c r="T85" s="279">
        <f>VLOOKUP(TableRBRanks31[[#This Row],[Player]],RB!B:O,4,FALSE)</f>
        <v>25.5809751685869</v>
      </c>
      <c r="U85" s="279">
        <f>VLOOKUP(TableRBRanks31[[#This Row],[Player]],RB!B:O,5,FALSE)</f>
        <v>108.20752496312259</v>
      </c>
      <c r="V85" s="279">
        <f>VLOOKUP(TableRBRanks31[[#This Row],[Player]],RB!B:O,6,FALSE)</f>
        <v>0.89673902203506295</v>
      </c>
      <c r="W85" s="279">
        <f>VLOOKUP(TableRBRanks31[[#This Row],[Player]],RB!B:O,7,FALSE)</f>
        <v>10.607166633084187</v>
      </c>
      <c r="X85" s="279">
        <f>VLOOKUP(TableRBRanks31[[#This Row],[Player]],RB!B:O,8,FALSE)</f>
        <v>7.7655066920809332</v>
      </c>
      <c r="Y85" s="279">
        <f>VLOOKUP(TableRBRanks31[[#This Row],[Player]],RB!B:O,9,FALSE)</f>
        <v>60.105021796706424</v>
      </c>
      <c r="Z85" s="279">
        <f>VLOOKUP(TableRBRanks31[[#This Row],[Player]],RB!B:O,10,FALSE)</f>
        <v>0.26330674186480107</v>
      </c>
      <c r="AA85" s="272">
        <f>IFERROR(INDEX(TableRBCalcPts[Custom],MATCH(TableRBRanks31[[#This Row],[RK]],TableRBCalcPts[RK],0)),"")</f>
        <v>23.791529259382088</v>
      </c>
      <c r="AB8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5" s="22">
        <v>84</v>
      </c>
      <c r="AE85" s="22" t="str">
        <f>IFERROR(INDEX(TableWRCalcPts[PLAYER],MATCH(TableWRRanks32[[#This Row],[RK]],TableWRCalcPts[RK],0)),"")</f>
        <v>Nico Collins</v>
      </c>
      <c r="AF85" s="22" t="str">
        <f>IFERROR(INDEX(TableWRCalcPts[TM],MATCH(TableWRRanks32[[#This Row],[Player]],TableWRCalcPts[PLAYER],0)),"")</f>
        <v>HOU</v>
      </c>
      <c r="AG85" s="22">
        <f>IFERROR(INDEX(TableWRCalcPts[BYE],MATCH(TableWRRanks32[[#This Row],[RK]],TableWRCalcPts[RK],0)),"")</f>
        <v>6</v>
      </c>
      <c r="AH85" s="279">
        <f>VLOOKUP(TableWRRanks32[[#This Row],[Player]],WR!B:O,4,FALSE)</f>
        <v>0</v>
      </c>
      <c r="AI85" s="279">
        <f>VLOOKUP(TableWRRanks32[[#This Row],[Player]],WR!B:O,5,FALSE)</f>
        <v>0</v>
      </c>
      <c r="AJ85" s="279">
        <f>VLOOKUP(TableWRRanks32[[#This Row],[Player]],WR!B:O,6,FALSE)</f>
        <v>76.644605136742513</v>
      </c>
      <c r="AK85" s="279">
        <f>VLOOKUP(TableWRRanks32[[#This Row],[Player]],WR!B:O,7,FALSE)</f>
        <v>43.524997690465561</v>
      </c>
      <c r="AL85" s="279">
        <f>VLOOKUP(TableWRRanks32[[#This Row],[Player]],WR!B:O,8,FALSE)</f>
        <v>573.65946956033611</v>
      </c>
      <c r="AM85" s="279">
        <f>VLOOKUP(TableWRRanks32[[#This Row],[Player]],WR!B:O,9,FALSE)</f>
        <v>2.5244498660470027</v>
      </c>
      <c r="AN85" s="272">
        <f>IFERROR(INDEX(TableWRCalcPts[Custom],MATCH(TableWRRanks32[[#This Row],[RK]],TableWRCalcPts[RK],0)),"")</f>
        <v>72.512646152315625</v>
      </c>
      <c r="AO8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5" s="22">
        <v>84</v>
      </c>
      <c r="AR85" s="22" t="str">
        <f>IFERROR(INDEX(TableTECalcPts[PLAYER],MATCH(TableTERanks33[[#This Row],[RK]],TableTECalcPts[RK],0)),"")</f>
        <v>Charlie Woerner</v>
      </c>
      <c r="AS85" s="22" t="str">
        <f>IFERROR(INDEX(TableTECalcPts[TM],MATCH(TableTERanks33[[#This Row],[Player]],TableTECalcPts[PLAYER],0)),"")</f>
        <v>SF</v>
      </c>
      <c r="AT85" s="22">
        <f>IFERROR(INDEX(TableTECalcPts[BYE],MATCH(TableTERanks33[[#This Row],[RK]],TableTECalcPts[RK],0)),"")</f>
        <v>9</v>
      </c>
      <c r="AU85" s="279">
        <f>VLOOKUP(TableTERanks33[[#This Row],[Player]],TE!B:O,4,FALSE)</f>
        <v>6.8067458562703873</v>
      </c>
      <c r="AV85" s="279">
        <f>VLOOKUP(TableTERanks33[[#This Row],[Player]],TE!B:O,5,FALSE)</f>
        <v>4.0091733093432582</v>
      </c>
      <c r="AW85" s="279">
        <f>VLOOKUP(TableTERanks33[[#This Row],[Player]],TE!B:O,6,FALSE)</f>
        <v>41.454852018609287</v>
      </c>
      <c r="AX85" s="279">
        <f>VLOOKUP(TableTERanks33[[#This Row],[Player]],TE!B:O,7,FALSE)</f>
        <v>0.34788545229033141</v>
      </c>
      <c r="AY85" s="272">
        <f>IFERROR(INDEX(TableTECalcPts[Custom],MATCH(TableTERanks33[[#This Row],[RK]],TableTECalcPts[RK],0)),"")</f>
        <v>6.2327979156029176</v>
      </c>
      <c r="AZ85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6" spans="16:52" x14ac:dyDescent="0.3">
      <c r="P86" s="22">
        <v>85</v>
      </c>
      <c r="Q86" s="22" t="str">
        <f>IFERROR(INDEX(TableRBCalcPts[PLAYER],MATCH(TableRBRanks31[[#This Row],[RK]],TableRBCalcPts[RK],0)),"")</f>
        <v>Joshua Kelley</v>
      </c>
      <c r="R86" s="22" t="str">
        <f>IFERROR(INDEX(TableRBCalcPts[TM],MATCH(TableRBRanks31[[#This Row],[Player]],TableRBCalcPts[PLAYER],0)),"")</f>
        <v>LAC</v>
      </c>
      <c r="S86" s="22">
        <f>IFERROR(INDEX(TableRBCalcPts[BYE],MATCH(TableRBRanks31[[#This Row],[RK]],TableRBCalcPts[RK],0)),"")</f>
        <v>8</v>
      </c>
      <c r="T86" s="279">
        <f>VLOOKUP(TableRBRanks31[[#This Row],[Player]],RB!B:O,4,FALSE)</f>
        <v>37.245723064339792</v>
      </c>
      <c r="U86" s="279">
        <f>VLOOKUP(TableRBRanks31[[#This Row],[Player]],RB!B:O,5,FALSE)</f>
        <v>148.61043502671578</v>
      </c>
      <c r="V86" s="279">
        <f>VLOOKUP(TableRBRanks31[[#This Row],[Player]],RB!B:O,6,FALSE)</f>
        <v>0.52080968304487962</v>
      </c>
      <c r="W86" s="279">
        <f>VLOOKUP(TableRBRanks31[[#This Row],[Player]],RB!B:O,7,FALSE)</f>
        <v>9.5116046458928611</v>
      </c>
      <c r="X86" s="279">
        <f>VLOOKUP(TableRBRanks31[[#This Row],[Player]],RB!B:O,8,FALSE)</f>
        <v>6.3917983220400032</v>
      </c>
      <c r="Y86" s="279">
        <f>VLOOKUP(TableRBRanks31[[#This Row],[Player]],RB!B:O,9,FALSE)</f>
        <v>46.217280153657335</v>
      </c>
      <c r="Z86" s="279">
        <f>VLOOKUP(TableRBRanks31[[#This Row],[Player]],RB!B:O,10,FALSE)</f>
        <v>5.2403265649919609E-2</v>
      </c>
      <c r="AA86" s="272">
        <f>IFERROR(INDEX(TableRBCalcPts[Custom],MATCH(TableRBRanks31[[#This Row],[RK]],TableRBCalcPts[RK],0)),"")</f>
        <v>22.922049210206108</v>
      </c>
      <c r="AB8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6" s="22">
        <v>85</v>
      </c>
      <c r="AE86" s="274" t="str">
        <f>IFERROR(INDEX(TableWRCalcPts[PLAYER],MATCH(TableWRRanks32[[#This Row],[RK]],TableWRCalcPts[RK],0)),"")</f>
        <v>Sterling Shepard</v>
      </c>
      <c r="AF86" s="22" t="str">
        <f>IFERROR(INDEX(TableWRCalcPts[TM],MATCH(TableWRRanks32[[#This Row],[Player]],TableWRCalcPts[PLAYER],0)),"")</f>
        <v>NYG</v>
      </c>
      <c r="AG86" s="22">
        <f>IFERROR(INDEX(TableWRCalcPts[BYE],MATCH(TableWRRanks32[[#This Row],[RK]],TableWRCalcPts[RK],0)),"")</f>
        <v>9</v>
      </c>
      <c r="AH86" s="279">
        <f>VLOOKUP(TableWRRanks32[[#This Row],[Player]],WR!B:O,4,FALSE)</f>
        <v>9.6473946706252551</v>
      </c>
      <c r="AI86" s="279">
        <f>VLOOKUP(TableWRRanks32[[#This Row],[Player]],WR!B:O,5,FALSE)</f>
        <v>0.20010152285455546</v>
      </c>
      <c r="AJ86" s="279">
        <f>VLOOKUP(TableWRRanks32[[#This Row],[Player]],WR!B:O,6,FALSE)</f>
        <v>76.813914091974851</v>
      </c>
      <c r="AK86" s="279">
        <f>VLOOKUP(TableWRRanks32[[#This Row],[Player]],WR!B:O,7,FALSE)</f>
        <v>49.406709543958222</v>
      </c>
      <c r="AL86" s="279">
        <f>VLOOKUP(TableWRRanks32[[#This Row],[Player]],WR!B:O,8,FALSE)</f>
        <v>534.08653017018844</v>
      </c>
      <c r="AM86" s="279">
        <f>VLOOKUP(TableWRRanks32[[#This Row],[Player]],WR!B:O,9,FALSE)</f>
        <v>2.4009286319946654</v>
      </c>
      <c r="AN86" s="272">
        <f>IFERROR(INDEX(TableWRCalcPts[Custom],MATCH(TableWRRanks32[[#This Row],[RK]],TableWRCalcPts[RK],0)),"")</f>
        <v>69.979573413176695</v>
      </c>
      <c r="AO8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6" s="22">
        <v>85</v>
      </c>
      <c r="AR86" s="274" t="str">
        <f>IFERROR(INDEX(TableTECalcPts[PLAYER],MATCH(TableTERanks33[[#This Row],[RK]],TableTECalcPts[RK],0)),"")</f>
        <v>Ko Kieft</v>
      </c>
      <c r="AS86" s="22" t="str">
        <f>IFERROR(INDEX(TableTECalcPts[TM],MATCH(TableTERanks33[[#This Row],[Player]],TableTECalcPts[PLAYER],0)),"")</f>
        <v>TB</v>
      </c>
      <c r="AT86" s="22">
        <f>IFERROR(INDEX(TableTECalcPts[BYE],MATCH(TableTERanks33[[#This Row],[RK]],TableTECalcPts[RK],0)),"")</f>
        <v>11</v>
      </c>
      <c r="AU86" s="279">
        <f>VLOOKUP(TableTERanks33[[#This Row],[Player]],TE!B:O,4,FALSE)</f>
        <v>7.0739045384182111</v>
      </c>
      <c r="AV86" s="279">
        <f>VLOOKUP(TableTERanks33[[#This Row],[Player]],TE!B:O,5,FALSE)</f>
        <v>4.2351466471509829</v>
      </c>
      <c r="AW86" s="279">
        <f>VLOOKUP(TableTERanks33[[#This Row],[Player]],TE!B:O,6,FALSE)</f>
        <v>42.478520870924356</v>
      </c>
      <c r="AX86" s="279">
        <f>VLOOKUP(TableTERanks33[[#This Row],[Player]],TE!B:O,7,FALSE)</f>
        <v>0.30493055859487073</v>
      </c>
      <c r="AY86" s="272">
        <f>IFERROR(INDEX(TableTECalcPts[Custom],MATCH(TableTERanks33[[#This Row],[RK]],TableTECalcPts[RK],0)),"")</f>
        <v>6.0774354386616594</v>
      </c>
      <c r="AZ86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7" spans="16:52" x14ac:dyDescent="0.3">
      <c r="P87" s="22">
        <v>86</v>
      </c>
      <c r="Q87" s="22" t="str">
        <f>IFERROR(INDEX(TableRBCalcPts[PLAYER],MATCH(TableRBRanks31[[#This Row],[RK]],TableRBCalcPts[RK],0)),"")</f>
        <v>ZaQuandre White</v>
      </c>
      <c r="R87" s="22" t="str">
        <f>IFERROR(INDEX(TableRBCalcPts[TM],MATCH(TableRBRanks31[[#This Row],[Player]],TableRBCalcPts[PLAYER],0)),"")</f>
        <v>MIA</v>
      </c>
      <c r="S87" s="22">
        <f>IFERROR(INDEX(TableRBCalcPts[BYE],MATCH(TableRBRanks31[[#This Row],[RK]],TableRBCalcPts[RK],0)),"")</f>
        <v>11</v>
      </c>
      <c r="T87" s="279">
        <f>VLOOKUP(TableRBRanks31[[#This Row],[Player]],RB!B:O,4,FALSE)</f>
        <v>28.585114638306518</v>
      </c>
      <c r="U87" s="279">
        <f>VLOOKUP(TableRBRanks31[[#This Row],[Player]],RB!B:O,5,FALSE)</f>
        <v>116.62726772429059</v>
      </c>
      <c r="V87" s="279">
        <f>VLOOKUP(TableRBRanks31[[#This Row],[Player]],RB!B:O,6,FALSE)</f>
        <v>0.69933002173226955</v>
      </c>
      <c r="W87" s="279">
        <f>VLOOKUP(TableRBRanks31[[#This Row],[Player]],RB!B:O,7,FALSE)</f>
        <v>10.709804669999999</v>
      </c>
      <c r="X87" s="279">
        <f>VLOOKUP(TableRBRanks31[[#This Row],[Player]],RB!B:O,8,FALSE)</f>
        <v>7.2291181522499981</v>
      </c>
      <c r="Y87" s="279">
        <f>VLOOKUP(TableRBRanks31[[#This Row],[Player]],RB!B:O,9,FALSE)</f>
        <v>49.158003435299989</v>
      </c>
      <c r="Z87" s="279">
        <f>VLOOKUP(TableRBRanks31[[#This Row],[Player]],RB!B:O,10,FALSE)</f>
        <v>0.24579001717649995</v>
      </c>
      <c r="AA87" s="272">
        <f>IFERROR(INDEX(TableRBCalcPts[Custom],MATCH(TableRBRanks31[[#This Row],[RK]],TableRBCalcPts[RK],0)),"")</f>
        <v>22.249247349411675</v>
      </c>
      <c r="AB8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7" s="274">
        <v>86</v>
      </c>
      <c r="AE87" s="274" t="str">
        <f>IFERROR(INDEX(TableWRCalcPts[PLAYER],MATCH(TableWRRanks32[[#This Row],[RK]],TableWRCalcPts[RK],0)),"")</f>
        <v>Jalen Guyton</v>
      </c>
      <c r="AF87" s="22" t="str">
        <f>IFERROR(INDEX(TableWRCalcPts[TM],MATCH(TableWRRanks32[[#This Row],[Player]],TableWRCalcPts[PLAYER],0)),"")</f>
        <v>LAC</v>
      </c>
      <c r="AG87" s="22">
        <f>IFERROR(INDEX(TableWRCalcPts[BYE],MATCH(TableWRRanks32[[#This Row],[RK]],TableWRCalcPts[RK],0)),"")</f>
        <v>8</v>
      </c>
      <c r="AH87" s="279">
        <f>VLOOKUP(TableWRRanks32[[#This Row],[Player]],WR!B:O,4,FALSE)</f>
        <v>42.385595758172137</v>
      </c>
      <c r="AI87" s="279">
        <f>VLOOKUP(TableWRRanks32[[#This Row],[Player]],WR!B:O,5,FALSE)</f>
        <v>6.6676518048376002E-2</v>
      </c>
      <c r="AJ87" s="279">
        <f>VLOOKUP(TableWRRanks32[[#This Row],[Player]],WR!B:O,6,FALSE)</f>
        <v>48.309846057508921</v>
      </c>
      <c r="AK87" s="279">
        <f>VLOOKUP(TableWRRanks32[[#This Row],[Player]],WR!B:O,7,FALSE)</f>
        <v>32.814128914521049</v>
      </c>
      <c r="AL87" s="279">
        <f>VLOOKUP(TableWRRanks32[[#This Row],[Player]],WR!B:O,8,FALSE)</f>
        <v>472.40138083379622</v>
      </c>
      <c r="AM87" s="279">
        <f>VLOOKUP(TableWRRanks32[[#This Row],[Player]],WR!B:O,9,FALSE)</f>
        <v>2.8694079597913409</v>
      </c>
      <c r="AN87" s="272">
        <f>IFERROR(INDEX(TableWRCalcPts[Custom],MATCH(TableWRRanks32[[#This Row],[RK]],TableWRCalcPts[RK],0)),"")</f>
        <v>69.095204526235136</v>
      </c>
      <c r="AO8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7" s="274">
        <v>86</v>
      </c>
      <c r="AR87" s="22" t="str">
        <f>IFERROR(INDEX(TableTECalcPts[PLAYER],MATCH(TableTERanks33[[#This Row],[RK]],TableTECalcPts[RK],0)),"")</f>
        <v>Colby Parkinson</v>
      </c>
      <c r="AS87" s="22" t="str">
        <f>IFERROR(INDEX(TableTECalcPts[TM],MATCH(TableTERanks33[[#This Row],[Player]],TableTECalcPts[PLAYER],0)),"")</f>
        <v>SEA</v>
      </c>
      <c r="AT87" s="22">
        <f>IFERROR(INDEX(TableTECalcPts[BYE],MATCH(TableTERanks33[[#This Row],[RK]],TableTECalcPts[RK],0)),"")</f>
        <v>11</v>
      </c>
      <c r="AU87" s="279">
        <f>VLOOKUP(TableTERanks33[[#This Row],[Player]],TE!B:O,4,FALSE)</f>
        <v>6.9829908757839263</v>
      </c>
      <c r="AV87" s="279">
        <f>VLOOKUP(TableTERanks33[[#This Row],[Player]],TE!B:O,5,FALSE)</f>
        <v>4.3154883612344666</v>
      </c>
      <c r="AW87" s="279">
        <f>VLOOKUP(TableTERanks33[[#This Row],[Player]],TE!B:O,6,FALSE)</f>
        <v>43.370658030406389</v>
      </c>
      <c r="AX87" s="279">
        <f>VLOOKUP(TableTERanks33[[#This Row],[Player]],TE!B:O,7,FALSE)</f>
        <v>0.24166734822913014</v>
      </c>
      <c r="AY87" s="272">
        <f>IFERROR(INDEX(TableTECalcPts[Custom],MATCH(TableTERanks33[[#This Row],[RK]],TableTECalcPts[RK],0)),"")</f>
        <v>5.7870698924154205</v>
      </c>
      <c r="AZ87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8" spans="16:52" x14ac:dyDescent="0.3">
      <c r="P88" s="22">
        <v>87</v>
      </c>
      <c r="Q88" s="22" t="str">
        <f>IFERROR(INDEX(TableRBCalcPts[PLAYER],MATCH(TableRBRanks31[[#This Row],[RK]],TableRBCalcPts[RK],0)),"")</f>
        <v>Jeff Wilson</v>
      </c>
      <c r="R88" s="22" t="str">
        <f>IFERROR(INDEX(TableRBCalcPts[TM],MATCH(TableRBRanks31[[#This Row],[Player]],TableRBCalcPts[PLAYER],0)),"")</f>
        <v>SF</v>
      </c>
      <c r="S88" s="22">
        <f>IFERROR(INDEX(TableRBCalcPts[BYE],MATCH(TableRBRanks31[[#This Row],[RK]],TableRBCalcPts[RK],0)),"")</f>
        <v>9</v>
      </c>
      <c r="T88" s="279">
        <f>VLOOKUP(TableRBRanks31[[#This Row],[Player]],RB!B:O,4,FALSE)</f>
        <v>28.963730247733729</v>
      </c>
      <c r="U88" s="279">
        <f>VLOOKUP(TableRBRanks31[[#This Row],[Player]],RB!B:O,5,FALSE)</f>
        <v>114.40673447854823</v>
      </c>
      <c r="V88" s="279">
        <f>VLOOKUP(TableRBRanks31[[#This Row],[Player]],RB!B:O,6,FALSE)</f>
        <v>1.1937025940378592</v>
      </c>
      <c r="W88" s="279">
        <f>VLOOKUP(TableRBRanks31[[#This Row],[Player]],RB!B:O,7,FALSE)</f>
        <v>7.1252449077148734</v>
      </c>
      <c r="X88" s="279">
        <f>VLOOKUP(TableRBRanks31[[#This Row],[Player]],RB!B:O,8,FALSE)</f>
        <v>4.930669476138692</v>
      </c>
      <c r="Y88" s="279">
        <f>VLOOKUP(TableRBRanks31[[#This Row],[Player]],RB!B:O,9,FALSE)</f>
        <v>31.049879091805149</v>
      </c>
      <c r="Z88" s="279">
        <f>VLOOKUP(TableRBRanks31[[#This Row],[Player]],RB!B:O,10,FALSE)</f>
        <v>7.8154703543900139E-2</v>
      </c>
      <c r="AA88" s="272">
        <f>IFERROR(INDEX(TableRBCalcPts[Custom],MATCH(TableRBRanks31[[#This Row],[RK]],TableRBCalcPts[RK],0)),"")</f>
        <v>22.176805142525897</v>
      </c>
      <c r="AB8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8" s="22">
        <v>87</v>
      </c>
      <c r="AE88" s="274" t="str">
        <f>IFERROR(INDEX(TableWRCalcPts[PLAYER],MATCH(TableWRRanks32[[#This Row],[RK]],TableWRCalcPts[RK],0)),"")</f>
        <v>Corey Davis</v>
      </c>
      <c r="AF88" s="22" t="str">
        <f>IFERROR(INDEX(TableWRCalcPts[TM],MATCH(TableWRRanks32[[#This Row],[Player]],TableWRCalcPts[PLAYER],0)),"")</f>
        <v>NYJ</v>
      </c>
      <c r="AG88" s="22">
        <f>IFERROR(INDEX(TableWRCalcPts[BYE],MATCH(TableWRRanks32[[#This Row],[RK]],TableWRCalcPts[RK],0)),"")</f>
        <v>10</v>
      </c>
      <c r="AH88" s="279">
        <f>VLOOKUP(TableWRRanks32[[#This Row],[Player]],WR!B:O,4,FALSE)</f>
        <v>0</v>
      </c>
      <c r="AI88" s="279">
        <f>VLOOKUP(TableWRRanks32[[#This Row],[Player]],WR!B:O,5,FALSE)</f>
        <v>0</v>
      </c>
      <c r="AJ88" s="279">
        <f>VLOOKUP(TableWRRanks32[[#This Row],[Player]],WR!B:O,6,FALSE)</f>
        <v>64.165580341604581</v>
      </c>
      <c r="AK88" s="279">
        <f>VLOOKUP(TableWRRanks32[[#This Row],[Player]],WR!B:O,7,FALSE)</f>
        <v>36.150887964460019</v>
      </c>
      <c r="AL88" s="279">
        <f>VLOOKUP(TableWRRanks32[[#This Row],[Player]],WR!B:O,8,FALSE)</f>
        <v>477.19172113087222</v>
      </c>
      <c r="AM88" s="279">
        <f>VLOOKUP(TableWRRanks32[[#This Row],[Player]],WR!B:O,9,FALSE)</f>
        <v>2.9282219251212616</v>
      </c>
      <c r="AN88" s="272">
        <f>IFERROR(INDEX(TableWRCalcPts[Custom],MATCH(TableWRRanks32[[#This Row],[RK]],TableWRCalcPts[RK],0)),"")</f>
        <v>65.288503663814794</v>
      </c>
      <c r="AO8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8" s="22">
        <v>87</v>
      </c>
      <c r="AR88" s="274" t="str">
        <f>IFERROR(INDEX(TableTECalcPts[PLAYER],MATCH(TableTERanks33[[#This Row],[RK]],TableTECalcPts[RK],0)),"")</f>
        <v>Jalen Wydermyer</v>
      </c>
      <c r="AS88" s="22" t="str">
        <f>IFERROR(INDEX(TableTECalcPts[TM],MATCH(TableTERanks33[[#This Row],[Player]],TableTECalcPts[PLAYER],0)),"")</f>
        <v>BUF</v>
      </c>
      <c r="AT88" s="22">
        <f>IFERROR(INDEX(TableTECalcPts[BYE],MATCH(TableTERanks33[[#This Row],[RK]],TableTECalcPts[RK],0)),"")</f>
        <v>7</v>
      </c>
      <c r="AU88" s="279">
        <f>VLOOKUP(TableTERanks33[[#This Row],[Player]],TE!B:O,4,FALSE)</f>
        <v>6.3119523688160069</v>
      </c>
      <c r="AV88" s="279">
        <f>VLOOKUP(TableTERanks33[[#This Row],[Player]],TE!B:O,5,FALSE)</f>
        <v>3.7997953260272359</v>
      </c>
      <c r="AW88" s="279">
        <f>VLOOKUP(TableTERanks33[[#This Row],[Player]],TE!B:O,6,FALSE)</f>
        <v>36.49803405263004</v>
      </c>
      <c r="AX88" s="279">
        <f>VLOOKUP(TableTERanks33[[#This Row],[Player]],TE!B:O,7,FALSE)</f>
        <v>0.26665230358085867</v>
      </c>
      <c r="AY88" s="272">
        <f>IFERROR(INDEX(TableTECalcPts[Custom],MATCH(TableTERanks33[[#This Row],[RK]],TableTECalcPts[RK],0)),"")</f>
        <v>5.2497172267481558</v>
      </c>
      <c r="AZ88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89" spans="16:52" x14ac:dyDescent="0.3">
      <c r="P89" s="22">
        <v>88</v>
      </c>
      <c r="Q89" s="22" t="str">
        <f>IFERROR(INDEX(TableRBCalcPts[PLAYER],MATCH(TableRBRanks31[[#This Row],[RK]],TableRBCalcPts[RK],0)),"")</f>
        <v>Ke'Shawn Vaughn</v>
      </c>
      <c r="R89" s="22" t="str">
        <f>IFERROR(INDEX(TableRBCalcPts[TM],MATCH(TableRBRanks31[[#This Row],[Player]],TableRBCalcPts[PLAYER],0)),"")</f>
        <v>TB</v>
      </c>
      <c r="S89" s="22">
        <f>IFERROR(INDEX(TableRBCalcPts[BYE],MATCH(TableRBRanks31[[#This Row],[RK]],TableRBCalcPts[RK],0)),"")</f>
        <v>11</v>
      </c>
      <c r="T89" s="279">
        <f>VLOOKUP(TableRBRanks31[[#This Row],[Player]],RB!B:O,4,FALSE)</f>
        <v>21.340885382174388</v>
      </c>
      <c r="U89" s="279">
        <f>VLOOKUP(TableRBRanks31[[#This Row],[Player]],RB!B:O,5,FALSE)</f>
        <v>93.899895681567315</v>
      </c>
      <c r="V89" s="279">
        <f>VLOOKUP(TableRBRanks31[[#This Row],[Player]],RB!B:O,6,FALSE)</f>
        <v>0.94326713389210803</v>
      </c>
      <c r="W89" s="279">
        <f>VLOOKUP(TableRBRanks31[[#This Row],[Player]],RB!B:O,7,FALSE)</f>
        <v>12.826651325733659</v>
      </c>
      <c r="X89" s="279">
        <f>VLOOKUP(TableRBRanks31[[#This Row],[Player]],RB!B:O,8,FALSE)</f>
        <v>7.7229267632242351</v>
      </c>
      <c r="Y89" s="279">
        <f>VLOOKUP(TableRBRanks31[[#This Row],[Player]],RB!B:O,9,FALSE)</f>
        <v>53.056506863350499</v>
      </c>
      <c r="Z89" s="279">
        <f>VLOOKUP(TableRBRanks31[[#This Row],[Player]],RB!B:O,10,FALSE)</f>
        <v>0.23168780289672705</v>
      </c>
      <c r="AA89" s="272">
        <f>IFERROR(INDEX(TableRBCalcPts[Custom],MATCH(TableRBRanks31[[#This Row],[RK]],TableRBCalcPts[RK],0)),"")</f>
        <v>21.745369875224792</v>
      </c>
      <c r="AB8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89" s="22">
        <v>88</v>
      </c>
      <c r="AE89" s="274" t="str">
        <f>IFERROR(INDEX(TableWRCalcPts[PLAYER],MATCH(TableWRRanks32[[#This Row],[RK]],TableWRCalcPts[RK],0)),"")</f>
        <v>Zay Jones</v>
      </c>
      <c r="AF89" s="22" t="str">
        <f>IFERROR(INDEX(TableWRCalcPts[TM],MATCH(TableWRRanks32[[#This Row],[Player]],TableWRCalcPts[PLAYER],0)),"")</f>
        <v>JAX</v>
      </c>
      <c r="AG89" s="22">
        <f>IFERROR(INDEX(TableWRCalcPts[BYE],MATCH(TableWRRanks32[[#This Row],[RK]],TableWRCalcPts[RK],0)),"")</f>
        <v>11</v>
      </c>
      <c r="AH89" s="279">
        <f>VLOOKUP(TableWRRanks32[[#This Row],[Player]],WR!B:O,4,FALSE)</f>
        <v>1.8994210988340994</v>
      </c>
      <c r="AI89" s="279">
        <f>VLOOKUP(TableWRRanks32[[#This Row],[Player]],WR!B:O,5,FALSE)</f>
        <v>0</v>
      </c>
      <c r="AJ89" s="279">
        <f>VLOOKUP(TableWRRanks32[[#This Row],[Player]],WR!B:O,6,FALSE)</f>
        <v>64.167346639951845</v>
      </c>
      <c r="AK89" s="279">
        <f>VLOOKUP(TableWRRanks32[[#This Row],[Player]],WR!B:O,7,FALSE)</f>
        <v>37.749650028283675</v>
      </c>
      <c r="AL89" s="279">
        <f>VLOOKUP(TableWRRanks32[[#This Row],[Player]],WR!B:O,8,FALSE)</f>
        <v>475.26809385609147</v>
      </c>
      <c r="AM89" s="279">
        <f>VLOOKUP(TableWRRanks32[[#This Row],[Player]],WR!B:O,9,FALSE)</f>
        <v>2.6424755019798574</v>
      </c>
      <c r="AN89" s="272">
        <f>IFERROR(INDEX(TableWRCalcPts[Custom],MATCH(TableWRRanks32[[#This Row],[RK]],TableWRCalcPts[RK],0)),"")</f>
        <v>63.571604507371703</v>
      </c>
      <c r="AO8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89" s="22">
        <v>88</v>
      </c>
      <c r="AR89" s="22" t="str">
        <f>IFERROR(INDEX(TableTECalcPts[PLAYER],MATCH(TableTERanks33[[#This Row],[RK]],TableTECalcPts[RK],0)),"")</f>
        <v>Devin Asiasi</v>
      </c>
      <c r="AS89" s="22" t="str">
        <f>IFERROR(INDEX(TableTECalcPts[TM],MATCH(TableTERanks33[[#This Row],[Player]],TableTECalcPts[PLAYER],0)),"")</f>
        <v>NE</v>
      </c>
      <c r="AT89" s="22">
        <f>IFERROR(INDEX(TableTECalcPts[BYE],MATCH(TableTERanks33[[#This Row],[RK]],TableTECalcPts[RK],0)),"")</f>
        <v>10</v>
      </c>
      <c r="AU89" s="279">
        <f>VLOOKUP(TableTERanks33[[#This Row],[Player]],TE!B:O,4,FALSE)</f>
        <v>5.2494776493275568</v>
      </c>
      <c r="AV89" s="279">
        <f>VLOOKUP(TableTERanks33[[#This Row],[Player]],TE!B:O,5,FALSE)</f>
        <v>3.1601855448951892</v>
      </c>
      <c r="AW89" s="279">
        <f>VLOOKUP(TableTERanks33[[#This Row],[Player]],TE!B:O,6,FALSE)</f>
        <v>39.897342504301754</v>
      </c>
      <c r="AX89" s="279">
        <f>VLOOKUP(TableTERanks33[[#This Row],[Player]],TE!B:O,7,FALSE)</f>
        <v>0.19593150378350174</v>
      </c>
      <c r="AY89" s="272">
        <f>IFERROR(INDEX(TableTECalcPts[Custom],MATCH(TableTERanks33[[#This Row],[RK]],TableTECalcPts[RK],0)),"")</f>
        <v>5.165323273131186</v>
      </c>
      <c r="AZ89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90" spans="16:52" x14ac:dyDescent="0.3">
      <c r="P90" s="22">
        <v>89</v>
      </c>
      <c r="Q90" s="22" t="str">
        <f>IFERROR(INDEX(TableRBCalcPts[PLAYER],MATCH(TableRBRanks31[[#This Row],[RK]],TableRBCalcPts[RK],0)),"")</f>
        <v>Jashaun Corbin</v>
      </c>
      <c r="R90" s="22" t="str">
        <f>IFERROR(INDEX(TableRBCalcPts[TM],MATCH(TableRBRanks31[[#This Row],[Player]],TableRBCalcPts[PLAYER],0)),"")</f>
        <v>NYG</v>
      </c>
      <c r="S90" s="22">
        <f>IFERROR(INDEX(TableRBCalcPts[BYE],MATCH(TableRBRanks31[[#This Row],[RK]],TableRBCalcPts[RK],0)),"")</f>
        <v>9</v>
      </c>
      <c r="T90" s="279">
        <f>VLOOKUP(TableRBRanks31[[#This Row],[Player]],RB!B:O,4,FALSE)</f>
        <v>25.22656814915705</v>
      </c>
      <c r="U90" s="279">
        <f>VLOOKUP(TableRBRanks31[[#This Row],[Player]],RB!B:O,5,FALSE)</f>
        <v>104.94252350049334</v>
      </c>
      <c r="V90" s="279">
        <f>VLOOKUP(TableRBRanks31[[#This Row],[Player]],RB!B:O,6,FALSE)</f>
        <v>0.68550456927057202</v>
      </c>
      <c r="W90" s="279">
        <f>VLOOKUP(TableRBRanks31[[#This Row],[Player]],RB!B:O,7,FALSE)</f>
        <v>12.09667938456297</v>
      </c>
      <c r="X90" s="279">
        <f>VLOOKUP(TableRBRanks31[[#This Row],[Player]],RB!B:O,8,FALSE)</f>
        <v>7.60518232907474</v>
      </c>
      <c r="Y90" s="279">
        <f>VLOOKUP(TableRBRanks31[[#This Row],[Player]],RB!B:O,9,FALSE)</f>
        <v>53.298613863597566</v>
      </c>
      <c r="Z90" s="279">
        <f>VLOOKUP(TableRBRanks31[[#This Row],[Player]],RB!B:O,10,FALSE)</f>
        <v>0.18701268022314937</v>
      </c>
      <c r="AA90" s="272">
        <f>IFERROR(INDEX(TableRBCalcPts[Custom],MATCH(TableRBRanks31[[#This Row],[RK]],TableRBCalcPts[RK],0)),"")</f>
        <v>21.05921723337142</v>
      </c>
      <c r="AB9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0" s="274">
        <v>89</v>
      </c>
      <c r="AE90" s="22" t="str">
        <f>IFERROR(INDEX(TableWRCalcPts[PLAYER],MATCH(TableWRRanks32[[#This Row],[RK]],TableWRCalcPts[RK],0)),"")</f>
        <v>Terrace Marshall</v>
      </c>
      <c r="AF90" s="22" t="str">
        <f>IFERROR(INDEX(TableWRCalcPts[TM],MATCH(TableWRRanks32[[#This Row],[Player]],TableWRCalcPts[PLAYER],0)),"")</f>
        <v>CAR</v>
      </c>
      <c r="AG90" s="22">
        <f>IFERROR(INDEX(TableWRCalcPts[BYE],MATCH(TableWRRanks32[[#This Row],[RK]],TableWRCalcPts[RK],0)),"")</f>
        <v>13</v>
      </c>
      <c r="AH90" s="279">
        <f>VLOOKUP(TableWRRanks32[[#This Row],[Player]],WR!B:O,4,FALSE)</f>
        <v>0</v>
      </c>
      <c r="AI90" s="279">
        <f>VLOOKUP(TableWRRanks32[[#This Row],[Player]],WR!B:O,5,FALSE)</f>
        <v>0</v>
      </c>
      <c r="AJ90" s="279">
        <f>VLOOKUP(TableWRRanks32[[#This Row],[Player]],WR!B:O,6,FALSE)</f>
        <v>81.127414058237591</v>
      </c>
      <c r="AK90" s="279">
        <f>VLOOKUP(TableWRRanks32[[#This Row],[Player]],WR!B:O,7,FALSE)</f>
        <v>46.851081618632207</v>
      </c>
      <c r="AL90" s="279">
        <f>VLOOKUP(TableWRRanks32[[#This Row],[Player]],WR!B:O,8,FALSE)</f>
        <v>492.57094924292869</v>
      </c>
      <c r="AM90" s="279">
        <f>VLOOKUP(TableWRRanks32[[#This Row],[Player]],WR!B:O,9,FALSE)</f>
        <v>1.7587838340402027</v>
      </c>
      <c r="AN90" s="272">
        <f>IFERROR(INDEX(TableWRCalcPts[Custom],MATCH(TableWRRanks32[[#This Row],[RK]],TableWRCalcPts[RK],0)),"")</f>
        <v>59.809797928534088</v>
      </c>
      <c r="AO9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0" s="274">
        <v>89</v>
      </c>
      <c r="AR90" s="274" t="str">
        <f>IFERROR(INDEX(TableTECalcPts[PLAYER],MATCH(TableTERanks33[[#This Row],[RK]],TableTECalcPts[RK],0)),"")</f>
        <v>Teagan Quitoriano</v>
      </c>
      <c r="AS90" s="22" t="str">
        <f>IFERROR(INDEX(TableTECalcPts[TM],MATCH(TableTERanks33[[#This Row],[Player]],TableTECalcPts[PLAYER],0)),"")</f>
        <v>HOU</v>
      </c>
      <c r="AT90" s="22">
        <f>IFERROR(INDEX(TableTECalcPts[BYE],MATCH(TableTERanks33[[#This Row],[RK]],TableTECalcPts[RK],0)),"")</f>
        <v>6</v>
      </c>
      <c r="AU90" s="279">
        <f>VLOOKUP(TableTERanks33[[#This Row],[Player]],TE!B:O,4,FALSE)</f>
        <v>5.9878597763080101</v>
      </c>
      <c r="AV90" s="279">
        <f>VLOOKUP(TableTERanks33[[#This Row],[Player]],TE!B:O,5,FALSE)</f>
        <v>3.9446650202896953</v>
      </c>
      <c r="AW90" s="279">
        <f>VLOOKUP(TableTERanks33[[#This Row],[Player]],TE!B:O,6,FALSE)</f>
        <v>39.486096853099852</v>
      </c>
      <c r="AX90" s="279">
        <f>VLOOKUP(TableTERanks33[[#This Row],[Player]],TE!B:O,7,FALSE)</f>
        <v>0.19723325101448477</v>
      </c>
      <c r="AY90" s="272">
        <f>IFERROR(INDEX(TableTECalcPts[Custom],MATCH(TableTERanks33[[#This Row],[RK]],TableTECalcPts[RK],0)),"")</f>
        <v>5.1320091913968939</v>
      </c>
      <c r="AZ90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91" spans="16:52" x14ac:dyDescent="0.3">
      <c r="P91" s="22">
        <v>90</v>
      </c>
      <c r="Q91" s="22" t="str">
        <f>IFERROR(INDEX(TableRBCalcPts[PLAYER],MATCH(TableRBRanks31[[#This Row],[RK]],TableRBCalcPts[RK],0)),"")</f>
        <v>Rico Dowdle</v>
      </c>
      <c r="R91" s="22" t="str">
        <f>IFERROR(INDEX(TableRBCalcPts[TM],MATCH(TableRBRanks31[[#This Row],[Player]],TableRBCalcPts[PLAYER],0)),"")</f>
        <v>DAL</v>
      </c>
      <c r="S91" s="22">
        <f>IFERROR(INDEX(TableRBCalcPts[BYE],MATCH(TableRBRanks31[[#This Row],[RK]],TableRBCalcPts[RK],0)),"")</f>
        <v>9</v>
      </c>
      <c r="T91" s="279">
        <f>VLOOKUP(TableRBRanks31[[#This Row],[Player]],RB!B:O,4,FALSE)</f>
        <v>26.374427488827191</v>
      </c>
      <c r="U91" s="279">
        <f>VLOOKUP(TableRBRanks31[[#This Row],[Player]],RB!B:O,5,FALSE)</f>
        <v>105.90568161353106</v>
      </c>
      <c r="V91" s="279">
        <f>VLOOKUP(TableRBRanks31[[#This Row],[Player]],RB!B:O,6,FALSE)</f>
        <v>0.72793419869163045</v>
      </c>
      <c r="W91" s="279">
        <f>VLOOKUP(TableRBRanks31[[#This Row],[Player]],RB!B:O,7,FALSE)</f>
        <v>9.1401353932548624</v>
      </c>
      <c r="X91" s="279">
        <f>VLOOKUP(TableRBRanks31[[#This Row],[Player]],RB!B:O,8,FALSE)</f>
        <v>6.938276777019766</v>
      </c>
      <c r="Y91" s="279">
        <f>VLOOKUP(TableRBRanks31[[#This Row],[Player]],RB!B:O,9,FALSE)</f>
        <v>44.189773483585782</v>
      </c>
      <c r="Z91" s="279">
        <f>VLOOKUP(TableRBRanks31[[#This Row],[Player]],RB!B:O,10,FALSE)</f>
        <v>0.14841233747635865</v>
      </c>
      <c r="AA91" s="272">
        <f>IFERROR(INDEX(TableRBCalcPts[Custom],MATCH(TableRBRanks31[[#This Row],[RK]],TableRBCalcPts[RK],0)),"")</f>
        <v>20.267624726719617</v>
      </c>
      <c r="AB9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1" s="22">
        <v>90</v>
      </c>
      <c r="AE91" s="22" t="str">
        <f>IFERROR(INDEX(TableWRCalcPts[PLAYER],MATCH(TableWRRanks32[[#This Row],[RK]],TableWRCalcPts[RK],0)),"")</f>
        <v>David Bell</v>
      </c>
      <c r="AF91" s="22" t="str">
        <f>IFERROR(INDEX(TableWRCalcPts[TM],MATCH(TableWRRanks32[[#This Row],[Player]],TableWRCalcPts[PLAYER],0)),"")</f>
        <v>CLE</v>
      </c>
      <c r="AG91" s="22">
        <f>IFERROR(INDEX(TableWRCalcPts[BYE],MATCH(TableWRRanks32[[#This Row],[RK]],TableWRCalcPts[RK],0)),"")</f>
        <v>9</v>
      </c>
      <c r="AH91" s="279">
        <f>VLOOKUP(TableWRRanks32[[#This Row],[Player]],WR!B:O,4,FALSE)</f>
        <v>0</v>
      </c>
      <c r="AI91" s="279">
        <f>VLOOKUP(TableWRRanks32[[#This Row],[Player]],WR!B:O,5,FALSE)</f>
        <v>0</v>
      </c>
      <c r="AJ91" s="279">
        <f>VLOOKUP(TableWRRanks32[[#This Row],[Player]],WR!B:O,6,FALSE)</f>
        <v>49.18494187276265</v>
      </c>
      <c r="AK91" s="279">
        <f>VLOOKUP(TableWRRanks32[[#This Row],[Player]],WR!B:O,7,FALSE)</f>
        <v>32.088256077790355</v>
      </c>
      <c r="AL91" s="279">
        <f>VLOOKUP(TableWRRanks32[[#This Row],[Player]],WR!B:O,8,FALSE)</f>
        <v>419.39350693671997</v>
      </c>
      <c r="AM91" s="279">
        <f>VLOOKUP(TableWRRanks32[[#This Row],[Player]],WR!B:O,9,FALSE)</f>
        <v>2.6312369983788093</v>
      </c>
      <c r="AN91" s="272">
        <f>IFERROR(INDEX(TableWRCalcPts[Custom],MATCH(TableWRRanks32[[#This Row],[RK]],TableWRCalcPts[RK],0)),"")</f>
        <v>57.726772683944851</v>
      </c>
      <c r="AO9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1" s="22">
        <v>90</v>
      </c>
      <c r="AR91" s="274" t="str">
        <f>IFERROR(INDEX(TableTECalcPts[PLAYER],MATCH(TableTERanks33[[#This Row],[RK]],TableTECalcPts[RK],0)),"")</f>
        <v>Cole Turner</v>
      </c>
      <c r="AS91" s="22" t="str">
        <f>IFERROR(INDEX(TableTECalcPts[TM],MATCH(TableTERanks33[[#This Row],[Player]],TableTECalcPts[PLAYER],0)),"")</f>
        <v>WSH</v>
      </c>
      <c r="AT91" s="22">
        <f>IFERROR(INDEX(TableTECalcPts[BYE],MATCH(TableTERanks33[[#This Row],[RK]],TableTECalcPts[RK],0)),"")</f>
        <v>14</v>
      </c>
      <c r="AU91" s="279">
        <f>VLOOKUP(TableTERanks33[[#This Row],[Player]],TE!B:O,4,FALSE)</f>
        <v>6.1666218534851112</v>
      </c>
      <c r="AV91" s="279">
        <f>VLOOKUP(TableTERanks33[[#This Row],[Player]],TE!B:O,5,FALSE)</f>
        <v>3.8109723054537987</v>
      </c>
      <c r="AW91" s="279">
        <f>VLOOKUP(TableTERanks33[[#This Row],[Player]],TE!B:O,6,FALSE)</f>
        <v>38.730113894960702</v>
      </c>
      <c r="AX91" s="279">
        <f>VLOOKUP(TableTERanks33[[#This Row],[Player]],TE!B:O,7,FALSE)</f>
        <v>0.17725452583506041</v>
      </c>
      <c r="AY91" s="272">
        <f>IFERROR(INDEX(TableTECalcPts[Custom],MATCH(TableTERanks33[[#This Row],[RK]],TableTECalcPts[RK],0)),"")</f>
        <v>4.9365385445064334</v>
      </c>
      <c r="AZ91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92" spans="16:52" x14ac:dyDescent="0.3">
      <c r="P92" s="22">
        <v>91</v>
      </c>
      <c r="Q92" s="22" t="str">
        <f>IFERROR(INDEX(TableRBCalcPts[PLAYER],MATCH(TableRBRanks31[[#This Row],[RK]],TableRBCalcPts[RK],0)),"")</f>
        <v>Demetric Felton</v>
      </c>
      <c r="R92" s="22" t="str">
        <f>IFERROR(INDEX(TableRBCalcPts[TM],MATCH(TableRBRanks31[[#This Row],[Player]],TableRBCalcPts[PLAYER],0)),"")</f>
        <v>CLE</v>
      </c>
      <c r="S92" s="22">
        <f>IFERROR(INDEX(TableRBCalcPts[BYE],MATCH(TableRBRanks31[[#This Row],[RK]],TableRBCalcPts[RK],0)),"")</f>
        <v>9</v>
      </c>
      <c r="T92" s="279">
        <f>VLOOKUP(TableRBRanks31[[#This Row],[Player]],RB!B:O,4,FALSE)</f>
        <v>0.39578932627729491</v>
      </c>
      <c r="U92" s="279">
        <f>VLOOKUP(TableRBRanks31[[#This Row],[Player]],RB!B:O,5,FALSE)</f>
        <v>1.7674561516963172</v>
      </c>
      <c r="V92" s="279">
        <f>VLOOKUP(TableRBRanks31[[#This Row],[Player]],RB!B:O,6,FALSE)</f>
        <v>1.0963364337881068E-2</v>
      </c>
      <c r="W92" s="279">
        <f>VLOOKUP(TableRBRanks31[[#This Row],[Player]],RB!B:O,7,FALSE)</f>
        <v>20.873073927383746</v>
      </c>
      <c r="X92" s="279">
        <f>VLOOKUP(TableRBRanks31[[#This Row],[Player]],RB!B:O,8,FALSE)</f>
        <v>15.483646239333263</v>
      </c>
      <c r="Y92" s="279">
        <f>VLOOKUP(TableRBRanks31[[#This Row],[Player]],RB!B:O,9,FALSE)</f>
        <v>127.89491793689275</v>
      </c>
      <c r="Z92" s="279">
        <f>VLOOKUP(TableRBRanks31[[#This Row],[Player]],RB!B:O,10,FALSE)</f>
        <v>1.0745635040660515</v>
      </c>
      <c r="AA92" s="272">
        <f>IFERROR(INDEX(TableRBCalcPts[Custom],MATCH(TableRBRanks31[[#This Row],[RK]],TableRBCalcPts[RK],0)),"")</f>
        <v>19.479398619282502</v>
      </c>
      <c r="AB9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2" s="22">
        <v>91</v>
      </c>
      <c r="AE92" s="274" t="str">
        <f>IFERROR(INDEX(TableWRCalcPts[PLAYER],MATCH(TableWRRanks32[[#This Row],[RK]],TableWRCalcPts[RK],0)),"")</f>
        <v>Wan'Dale Robinson</v>
      </c>
      <c r="AF92" s="22" t="str">
        <f>IFERROR(INDEX(TableWRCalcPts[TM],MATCH(TableWRRanks32[[#This Row],[Player]],TableWRCalcPts[PLAYER],0)),"")</f>
        <v>NYG</v>
      </c>
      <c r="AG92" s="22">
        <f>IFERROR(INDEX(TableWRCalcPts[BYE],MATCH(TableWRRanks32[[#This Row],[RK]],TableWRCalcPts[RK],0)),"")</f>
        <v>9</v>
      </c>
      <c r="AH92" s="279">
        <f>VLOOKUP(TableWRRanks32[[#This Row],[Player]],WR!B:O,4,FALSE)</f>
        <v>32.283045687201621</v>
      </c>
      <c r="AI92" s="279">
        <f>VLOOKUP(TableWRRanks32[[#This Row],[Player]],WR!B:O,5,FALSE)</f>
        <v>0.13340101523637032</v>
      </c>
      <c r="AJ92" s="279">
        <f>VLOOKUP(TableWRRanks32[[#This Row],[Player]],WR!B:O,6,FALSE)</f>
        <v>52.620555322848908</v>
      </c>
      <c r="AK92" s="279">
        <f>VLOOKUP(TableWRRanks32[[#This Row],[Player]],WR!B:O,7,FALSE)</f>
        <v>33.913947905576116</v>
      </c>
      <c r="AL92" s="279">
        <f>VLOOKUP(TableWRRanks32[[#This Row],[Player]],WR!B:O,8,FALSE)</f>
        <v>376.44482175189489</v>
      </c>
      <c r="AM92" s="279">
        <f>VLOOKUP(TableWRRanks32[[#This Row],[Player]],WR!B:O,9,FALSE)</f>
        <v>2.4078903012959039</v>
      </c>
      <c r="AN92" s="272">
        <f>IFERROR(INDEX(TableWRCalcPts[Custom],MATCH(TableWRRanks32[[#This Row],[RK]],TableWRCalcPts[RK],0)),"")</f>
        <v>56.120534643103298</v>
      </c>
      <c r="AO9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2" s="22">
        <v>91</v>
      </c>
      <c r="AR92" s="274" t="str">
        <f>IFERROR(INDEX(TableTECalcPts[PLAYER],MATCH(TableTERanks33[[#This Row],[RK]],TableTECalcPts[RK],0)),"")</f>
        <v>Eric Tomlinson</v>
      </c>
      <c r="AS92" s="22" t="str">
        <f>IFERROR(INDEX(TableTECalcPts[TM],MATCH(TableTERanks33[[#This Row],[Player]],TableTECalcPts[PLAYER],0)),"")</f>
        <v>DEN</v>
      </c>
      <c r="AT92" s="22">
        <f>IFERROR(INDEX(TableTECalcPts[BYE],MATCH(TableTERanks33[[#This Row],[RK]],TableTECalcPts[RK],0)),"")</f>
        <v>9</v>
      </c>
      <c r="AU92" s="279">
        <f>VLOOKUP(TableTERanks33[[#This Row],[Player]],TE!B:O,4,FALSE)</f>
        <v>5.426171364154369</v>
      </c>
      <c r="AV92" s="279">
        <f>VLOOKUP(TableTERanks33[[#This Row],[Player]],TE!B:O,5,FALSE)</f>
        <v>3.2665551612209298</v>
      </c>
      <c r="AW92" s="279">
        <f>VLOOKUP(TableTERanks33[[#This Row],[Player]],TE!B:O,6,FALSE)</f>
        <v>36.198764337611522</v>
      </c>
      <c r="AX92" s="279">
        <f>VLOOKUP(TableTERanks33[[#This Row],[Player]],TE!B:O,7,FALSE)</f>
        <v>0.19999317313597526</v>
      </c>
      <c r="AY92" s="272">
        <f>IFERROR(INDEX(TableTECalcPts[Custom],MATCH(TableTERanks33[[#This Row],[RK]],TableTECalcPts[RK],0)),"")</f>
        <v>4.8198354725770045</v>
      </c>
      <c r="AZ92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93" spans="16:52" x14ac:dyDescent="0.3">
      <c r="P93" s="22">
        <v>92</v>
      </c>
      <c r="Q93" s="22" t="str">
        <f>IFERROR(INDEX(TableRBCalcPts[PLAYER],MATCH(TableRBRanks31[[#This Row],[RK]],TableRBCalcPts[RK],0)),"")</f>
        <v>Abram Smith</v>
      </c>
      <c r="R93" s="22" t="str">
        <f>IFERROR(INDEX(TableRBCalcPts[TM],MATCH(TableRBRanks31[[#This Row],[Player]],TableRBCalcPts[PLAYER],0)),"")</f>
        <v>NO</v>
      </c>
      <c r="S93" s="22">
        <f>IFERROR(INDEX(TableRBCalcPts[BYE],MATCH(TableRBRanks31[[#This Row],[RK]],TableRBCalcPts[RK],0)),"")</f>
        <v>14</v>
      </c>
      <c r="T93" s="279">
        <f>VLOOKUP(TableRBRanks31[[#This Row],[Player]],RB!B:O,4,FALSE)</f>
        <v>23.317411903598394</v>
      </c>
      <c r="U93" s="279">
        <f>VLOOKUP(TableRBRanks31[[#This Row],[Player]],RB!B:O,5,FALSE)</f>
        <v>103.76009877756668</v>
      </c>
      <c r="V93" s="279">
        <f>VLOOKUP(TableRBRanks31[[#This Row],[Player]],RB!B:O,6,FALSE)</f>
        <v>0.84875379329098155</v>
      </c>
      <c r="W93" s="279">
        <f>VLOOKUP(TableRBRanks31[[#This Row],[Player]],RB!B:O,7,FALSE)</f>
        <v>4.8983367963632247</v>
      </c>
      <c r="X93" s="279">
        <f>VLOOKUP(TableRBRanks31[[#This Row],[Player]],RB!B:O,8,FALSE)</f>
        <v>3.4616546139898907</v>
      </c>
      <c r="Y93" s="279">
        <f>VLOOKUP(TableRBRanks31[[#This Row],[Player]],RB!B:O,9,FALSE)</f>
        <v>26.585507435442359</v>
      </c>
      <c r="Z93" s="279">
        <f>VLOOKUP(TableRBRanks31[[#This Row],[Player]],RB!B:O,10,FALSE)</f>
        <v>0.16886120068243368</v>
      </c>
      <c r="AA93" s="272">
        <f>IFERROR(INDEX(TableRBCalcPts[Custom],MATCH(TableRBRanks31[[#This Row],[RK]],TableRBCalcPts[RK],0)),"")</f>
        <v>19.140250585141398</v>
      </c>
      <c r="AB9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3" s="274">
        <v>92</v>
      </c>
      <c r="AE93" s="22" t="str">
        <f>IFERROR(INDEX(TableWRCalcPts[PLAYER],MATCH(TableWRRanks32[[#This Row],[RK]],TableWRCalcPts[RK],0)),"")</f>
        <v>Velus Jones</v>
      </c>
      <c r="AF93" s="22" t="str">
        <f>IFERROR(INDEX(TableWRCalcPts[TM],MATCH(TableWRRanks32[[#This Row],[Player]],TableWRCalcPts[PLAYER],0)),"")</f>
        <v>CHI</v>
      </c>
      <c r="AG93" s="22">
        <f>IFERROR(INDEX(TableWRCalcPts[BYE],MATCH(TableWRRanks32[[#This Row],[RK]],TableWRCalcPts[RK],0)),"")</f>
        <v>14</v>
      </c>
      <c r="AH93" s="279">
        <f>VLOOKUP(TableWRRanks32[[#This Row],[Player]],WR!B:O,4,FALSE)</f>
        <v>9.2849684960079895</v>
      </c>
      <c r="AI93" s="279">
        <f>VLOOKUP(TableWRRanks32[[#This Row],[Player]],WR!B:O,5,FALSE)</f>
        <v>7.3690226158793573E-2</v>
      </c>
      <c r="AJ93" s="279">
        <f>VLOOKUP(TableWRRanks32[[#This Row],[Player]],WR!B:O,6,FALSE)</f>
        <v>55.604880476499176</v>
      </c>
      <c r="AK93" s="279">
        <f>VLOOKUP(TableWRRanks32[[#This Row],[Player]],WR!B:O,7,FALSE)</f>
        <v>33.640952688281999</v>
      </c>
      <c r="AL93" s="279">
        <f>VLOOKUP(TableWRRanks32[[#This Row],[Player]],WR!B:O,8,FALSE)</f>
        <v>407.39193705509501</v>
      </c>
      <c r="AM93" s="279">
        <f>VLOOKUP(TableWRRanks32[[#This Row],[Player]],WR!B:O,9,FALSE)</f>
        <v>2.3328501620833366</v>
      </c>
      <c r="AN93" s="272">
        <f>IFERROR(INDEX(TableWRCalcPts[Custom],MATCH(TableWRRanks32[[#This Row],[RK]],TableWRCalcPts[RK],0)),"")</f>
        <v>56.106932884563086</v>
      </c>
      <c r="AO9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3" s="274">
        <v>92</v>
      </c>
      <c r="AR93" s="22" t="str">
        <f>IFERROR(INDEX(TableTECalcPts[PLAYER],MATCH(TableTERanks33[[#This Row],[RK]],TableTECalcPts[RK],0)),"")</f>
        <v>James Mitchell</v>
      </c>
      <c r="AS93" s="22" t="str">
        <f>IFERROR(INDEX(TableTECalcPts[TM],MATCH(TableTERanks33[[#This Row],[Player]],TableTECalcPts[PLAYER],0)),"")</f>
        <v>DET</v>
      </c>
      <c r="AT93" s="22">
        <f>IFERROR(INDEX(TableTECalcPts[BYE],MATCH(TableTERanks33[[#This Row],[RK]],TableTECalcPts[RK],0)),"")</f>
        <v>6</v>
      </c>
      <c r="AU93" s="279">
        <f>VLOOKUP(TableTERanks33[[#This Row],[Player]],TE!B:O,4,FALSE)</f>
        <v>6.3239060605794117</v>
      </c>
      <c r="AV93" s="279">
        <f>VLOOKUP(TableTERanks33[[#This Row],[Player]],TE!B:O,5,FALSE)</f>
        <v>3.8069914484688052</v>
      </c>
      <c r="AW93" s="279">
        <f>VLOOKUP(TableTERanks33[[#This Row],[Player]],TE!B:O,6,FALSE)</f>
        <v>32.131007825076715</v>
      </c>
      <c r="AX93" s="279">
        <f>VLOOKUP(TableTERanks33[[#This Row],[Player]],TE!B:O,7,FALSE)</f>
        <v>0.16474378027071621</v>
      </c>
      <c r="AY93" s="272">
        <f>IFERROR(INDEX(TableTECalcPts[Custom],MATCH(TableTERanks33[[#This Row],[RK]],TableTECalcPts[RK],0)),"")</f>
        <v>4.2015634641319686</v>
      </c>
      <c r="AZ93" s="273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0</v>
      </c>
    </row>
    <row r="94" spans="16:52" x14ac:dyDescent="0.3">
      <c r="P94" s="22">
        <v>93</v>
      </c>
      <c r="Q94" s="22" t="str">
        <f>IFERROR(INDEX(TableRBCalcPts[PLAYER],MATCH(TableRBRanks31[[#This Row],[RK]],TableRBCalcPts[RK],0)),"")</f>
        <v>Pierre Strong</v>
      </c>
      <c r="R94" s="22" t="str">
        <f>IFERROR(INDEX(TableRBCalcPts[TM],MATCH(TableRBRanks31[[#This Row],[Player]],TableRBCalcPts[PLAYER],0)),"")</f>
        <v>NE</v>
      </c>
      <c r="S94" s="22">
        <f>IFERROR(INDEX(TableRBCalcPts[BYE],MATCH(TableRBRanks31[[#This Row],[RK]],TableRBCalcPts[RK],0)),"")</f>
        <v>10</v>
      </c>
      <c r="T94" s="279">
        <f>VLOOKUP(TableRBRanks31[[#This Row],[Player]],RB!B:O,4,FALSE)</f>
        <v>26.038022608009125</v>
      </c>
      <c r="U94" s="279">
        <f>VLOOKUP(TableRBRanks31[[#This Row],[Player]],RB!B:O,5,FALSE)</f>
        <v>106.34747756778995</v>
      </c>
      <c r="V94" s="279">
        <f>VLOOKUP(TableRBRanks31[[#This Row],[Player]],RB!B:O,6,FALSE)</f>
        <v>0.55460988155059432</v>
      </c>
      <c r="W94" s="279">
        <f>VLOOKUP(TableRBRanks31[[#This Row],[Player]],RB!B:O,7,FALSE)</f>
        <v>5.8978923321850925</v>
      </c>
      <c r="X94" s="279">
        <f>VLOOKUP(TableRBRanks31[[#This Row],[Player]],RB!B:O,8,FALSE)</f>
        <v>4.3234549723221223</v>
      </c>
      <c r="Y94" s="279">
        <f>VLOOKUP(TableRBRanks31[[#This Row],[Player]],RB!B:O,9,FALSE)</f>
        <v>30.714024051929989</v>
      </c>
      <c r="Z94" s="279">
        <f>VLOOKUP(TableRBRanks31[[#This Row],[Player]],RB!B:O,10,FALSE)</f>
        <v>0.14994641522504468</v>
      </c>
      <c r="AA94" s="272">
        <f>IFERROR(INDEX(TableRBCalcPts[Custom],MATCH(TableRBRanks31[[#This Row],[RK]],TableRBCalcPts[RK],0)),"")</f>
        <v>17.933487942625828</v>
      </c>
      <c r="AB9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4" s="22">
        <v>93</v>
      </c>
      <c r="AE94" s="22" t="str">
        <f>IFERROR(INDEX(TableWRCalcPts[PLAYER],MATCH(TableWRRanks32[[#This Row],[RK]],TableWRCalcPts[RK],0)),"")</f>
        <v>A.J. Green</v>
      </c>
      <c r="AF94" s="22" t="str">
        <f>IFERROR(INDEX(TableWRCalcPts[TM],MATCH(TableWRRanks32[[#This Row],[Player]],TableWRCalcPts[PLAYER],0)),"")</f>
        <v>ARI</v>
      </c>
      <c r="AG94" s="22">
        <f>IFERROR(INDEX(TableWRCalcPts[BYE],MATCH(TableWRRanks32[[#This Row],[RK]],TableWRCalcPts[RK],0)),"")</f>
        <v>13</v>
      </c>
      <c r="AH94" s="279">
        <f>VLOOKUP(TableWRRanks32[[#This Row],[Player]],WR!B:O,4,FALSE)</f>
        <v>0</v>
      </c>
      <c r="AI94" s="279">
        <f>VLOOKUP(TableWRRanks32[[#This Row],[Player]],WR!B:O,5,FALSE)</f>
        <v>0</v>
      </c>
      <c r="AJ94" s="279">
        <f>VLOOKUP(TableWRRanks32[[#This Row],[Player]],WR!B:O,6,FALSE)</f>
        <v>56.123068949999997</v>
      </c>
      <c r="AK94" s="279">
        <f>VLOOKUP(TableWRRanks32[[#This Row],[Player]],WR!B:O,7,FALSE)</f>
        <v>30.502887974324999</v>
      </c>
      <c r="AL94" s="279">
        <f>VLOOKUP(TableWRRanks32[[#This Row],[Player]],WR!B:O,8,FALSE)</f>
        <v>400.19789022314399</v>
      </c>
      <c r="AM94" s="279">
        <f>VLOOKUP(TableWRRanks32[[#This Row],[Player]],WR!B:O,9,FALSE)</f>
        <v>2.4402310379459999</v>
      </c>
      <c r="AN94" s="272">
        <f>IFERROR(INDEX(TableWRCalcPts[Custom],MATCH(TableWRRanks32[[#This Row],[RK]],TableWRCalcPts[RK],0)),"")</f>
        <v>54.6611752499904</v>
      </c>
      <c r="AO9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4" s="22">
        <v>93</v>
      </c>
      <c r="AR94" s="274" t="str">
        <f>IFERROR(INDEX(TableTECalcPts[PLAYER],MATCH(TableTERanks33[[#This Row],[RK]],TableTECalcPts[RK],0)),"")</f>
        <v/>
      </c>
      <c r="AS94" s="22" t="str">
        <f>IFERROR(INDEX(TableTECalcPts[TM],MATCH(TableTERanks33[[#This Row],[Player]],TableTECalcPts[PLAYER],0)),"")</f>
        <v/>
      </c>
      <c r="AT94" s="22" t="str">
        <f>IFERROR(INDEX(TableTECalcPts[BYE],MATCH(TableTERanks33[[#This Row],[RK]],TableTECalcPts[RK],0)),"")</f>
        <v/>
      </c>
      <c r="AU94" s="279" t="e">
        <f>VLOOKUP(TableTERanks33[[#This Row],[Player]],TE!B:O,4,FALSE)</f>
        <v>#N/A</v>
      </c>
      <c r="AV94" s="279" t="e">
        <f>VLOOKUP(TableTERanks33[[#This Row],[Player]],TE!B:O,5,FALSE)</f>
        <v>#N/A</v>
      </c>
      <c r="AW94" s="279" t="e">
        <f>VLOOKUP(TableTERanks33[[#This Row],[Player]],TE!B:O,6,FALSE)</f>
        <v>#N/A</v>
      </c>
      <c r="AX94" s="279" t="e">
        <f>VLOOKUP(TableTERanks33[[#This Row],[Player]],TE!B:O,7,FALSE)</f>
        <v>#N/A</v>
      </c>
      <c r="AY94" s="272" t="str">
        <f>IFERROR(INDEX(TableTECalcPts[Custom],MATCH(TableTERanks33[[#This Row],[RK]],TableTECalcPts[RK],0)),"")</f>
        <v/>
      </c>
      <c r="AZ94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95" spans="16:52" x14ac:dyDescent="0.3">
      <c r="P95" s="22">
        <v>94</v>
      </c>
      <c r="Q95" s="22" t="str">
        <f>IFERROR(INDEX(TableRBCalcPts[PLAYER],MATCH(TableRBRanks31[[#This Row],[RK]],TableRBCalcPts[RK],0)),"")</f>
        <v>Benny Snell</v>
      </c>
      <c r="R95" s="22" t="str">
        <f>IFERROR(INDEX(TableRBCalcPts[TM],MATCH(TableRBRanks31[[#This Row],[Player]],TableRBCalcPts[PLAYER],0)),"")</f>
        <v>PIT</v>
      </c>
      <c r="S95" s="22">
        <f>IFERROR(INDEX(TableRBCalcPts[BYE],MATCH(TableRBRanks31[[#This Row],[RK]],TableRBCalcPts[RK],0)),"")</f>
        <v>9</v>
      </c>
      <c r="T95" s="279">
        <f>VLOOKUP(TableRBRanks31[[#This Row],[Player]],RB!B:O,4,FALSE)</f>
        <v>27.02007223735216</v>
      </c>
      <c r="U95" s="279">
        <f>VLOOKUP(TableRBRanks31[[#This Row],[Player]],RB!B:O,5,FALSE)</f>
        <v>101.27457104372917</v>
      </c>
      <c r="V95" s="279">
        <f>VLOOKUP(TableRBRanks31[[#This Row],[Player]],RB!B:O,6,FALSE)</f>
        <v>0.88027026790056295</v>
      </c>
      <c r="W95" s="279">
        <f>VLOOKUP(TableRBRanks31[[#This Row],[Player]],RB!B:O,7,FALSE)</f>
        <v>4.6185998706251219</v>
      </c>
      <c r="X95" s="279">
        <f>VLOOKUP(TableRBRanks31[[#This Row],[Player]],RB!B:O,8,FALSE)</f>
        <v>2.6589279455188826</v>
      </c>
      <c r="Y95" s="279">
        <f>VLOOKUP(TableRBRanks31[[#This Row],[Player]],RB!B:O,9,FALSE)</f>
        <v>16.059924790934051</v>
      </c>
      <c r="Z95" s="279">
        <f>VLOOKUP(TableRBRanks31[[#This Row],[Player]],RB!B:O,10,FALSE)</f>
        <v>7.9767838365566474E-2</v>
      </c>
      <c r="AA95" s="272">
        <f>IFERROR(INDEX(TableRBCalcPts[Custom],MATCH(TableRBRanks31[[#This Row],[RK]],TableRBCalcPts[RK],0)),"")</f>
        <v>17.493678221063099</v>
      </c>
      <c r="AB9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5" s="22">
        <v>94</v>
      </c>
      <c r="AE95" s="22" t="str">
        <f>IFERROR(INDEX(TableWRCalcPts[PLAYER],MATCH(TableWRRanks32[[#This Row],[RK]],TableWRCalcPts[RK],0)),"")</f>
        <v>Parris Campbell</v>
      </c>
      <c r="AF95" s="22" t="str">
        <f>IFERROR(INDEX(TableWRCalcPts[TM],MATCH(TableWRRanks32[[#This Row],[Player]],TableWRCalcPts[PLAYER],0)),"")</f>
        <v>IND</v>
      </c>
      <c r="AG95" s="22">
        <f>IFERROR(INDEX(TableWRCalcPts[BYE],MATCH(TableWRRanks32[[#This Row],[RK]],TableWRCalcPts[RK],0)),"")</f>
        <v>14</v>
      </c>
      <c r="AH95" s="279">
        <f>VLOOKUP(TableWRRanks32[[#This Row],[Player]],WR!B:O,4,FALSE)</f>
        <v>0</v>
      </c>
      <c r="AI95" s="279">
        <f>VLOOKUP(TableWRRanks32[[#This Row],[Player]],WR!B:O,5,FALSE)</f>
        <v>0</v>
      </c>
      <c r="AJ95" s="279">
        <f>VLOOKUP(TableWRRanks32[[#This Row],[Player]],WR!B:O,6,FALSE)</f>
        <v>55.110416926275235</v>
      </c>
      <c r="AK95" s="279">
        <f>VLOOKUP(TableWRRanks32[[#This Row],[Player]],WR!B:O,7,FALSE)</f>
        <v>33.981083076741314</v>
      </c>
      <c r="AL95" s="279">
        <f>VLOOKUP(TableWRRanks32[[#This Row],[Player]],WR!B:O,8,FALSE)</f>
        <v>409.13224024396538</v>
      </c>
      <c r="AM95" s="279">
        <f>VLOOKUP(TableWRRanks32[[#This Row],[Player]],WR!B:O,9,FALSE)</f>
        <v>2.0728460676812199</v>
      </c>
      <c r="AN95" s="272">
        <f>IFERROR(INDEX(TableWRCalcPts[Custom],MATCH(TableWRRanks32[[#This Row],[RK]],TableWRCalcPts[RK],0)),"")</f>
        <v>53.350300430483863</v>
      </c>
      <c r="AO9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5" s="22">
        <v>94</v>
      </c>
      <c r="AR95" s="22" t="str">
        <f>IFERROR(INDEX(TableTECalcPts[PLAYER],MATCH(TableTERanks33[[#This Row],[RK]],TableTECalcPts[RK],0)),"")</f>
        <v/>
      </c>
      <c r="AS95" s="22" t="str">
        <f>IFERROR(INDEX(TableTECalcPts[TM],MATCH(TableTERanks33[[#This Row],[Player]],TableTECalcPts[PLAYER],0)),"")</f>
        <v/>
      </c>
      <c r="AT95" s="22" t="str">
        <f>IFERROR(INDEX(TableTECalcPts[BYE],MATCH(TableTERanks33[[#This Row],[RK]],TableTECalcPts[RK],0)),"")</f>
        <v/>
      </c>
      <c r="AU95" s="279" t="e">
        <f>VLOOKUP(TableTERanks33[[#This Row],[Player]],TE!B:O,4,FALSE)</f>
        <v>#N/A</v>
      </c>
      <c r="AV95" s="279" t="e">
        <f>VLOOKUP(TableTERanks33[[#This Row],[Player]],TE!B:O,5,FALSE)</f>
        <v>#N/A</v>
      </c>
      <c r="AW95" s="279" t="e">
        <f>VLOOKUP(TableTERanks33[[#This Row],[Player]],TE!B:O,6,FALSE)</f>
        <v>#N/A</v>
      </c>
      <c r="AX95" s="279" t="e">
        <f>VLOOKUP(TableTERanks33[[#This Row],[Player]],TE!B:O,7,FALSE)</f>
        <v>#N/A</v>
      </c>
      <c r="AY95" s="272" t="str">
        <f>IFERROR(INDEX(TableTECalcPts[Custom],MATCH(TableTERanks33[[#This Row],[RK]],TableTECalcPts[RK],0)),"")</f>
        <v/>
      </c>
      <c r="AZ95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96" spans="16:52" x14ac:dyDescent="0.3">
      <c r="P96" s="22">
        <v>95</v>
      </c>
      <c r="Q96" s="22" t="str">
        <f>IFERROR(INDEX(TableRBCalcPts[PLAYER],MATCH(TableRBRanks31[[#This Row],[RK]],TableRBCalcPts[RK],0)),"")</f>
        <v>Snoop Conner</v>
      </c>
      <c r="R96" s="22" t="str">
        <f>IFERROR(INDEX(TableRBCalcPts[TM],MATCH(TableRBRanks31[[#This Row],[Player]],TableRBCalcPts[PLAYER],0)),"")</f>
        <v>JAX</v>
      </c>
      <c r="S96" s="22">
        <f>IFERROR(INDEX(TableRBCalcPts[BYE],MATCH(TableRBRanks31[[#This Row],[RK]],TableRBCalcPts[RK],0)),"")</f>
        <v>11</v>
      </c>
      <c r="T96" s="279">
        <f>VLOOKUP(TableRBRanks31[[#This Row],[Player]],RB!B:O,4,FALSE)</f>
        <v>19.873772917492154</v>
      </c>
      <c r="U96" s="279">
        <f>VLOOKUP(TableRBRanks31[[#This Row],[Player]],RB!B:O,5,FALSE)</f>
        <v>83.722126041279765</v>
      </c>
      <c r="V96" s="279">
        <f>VLOOKUP(TableRBRanks31[[#This Row],[Player]],RB!B:O,6,FALSE)</f>
        <v>0.5173640363555968</v>
      </c>
      <c r="W96" s="279">
        <f>VLOOKUP(TableRBRanks31[[#This Row],[Player]],RB!B:O,7,FALSE)</f>
        <v>11.131070335501851</v>
      </c>
      <c r="X96" s="279">
        <f>VLOOKUP(TableRBRanks31[[#This Row],[Player]],RB!B:O,8,FALSE)</f>
        <v>7.8863633327030618</v>
      </c>
      <c r="Y96" s="279">
        <f>VLOOKUP(TableRBRanks31[[#This Row],[Player]],RB!B:O,9,FALSE)</f>
        <v>50.028555242058538</v>
      </c>
      <c r="Z96" s="279">
        <f>VLOOKUP(TableRBRanks31[[#This Row],[Player]],RB!B:O,10,FALSE)</f>
        <v>0.11482208200975097</v>
      </c>
      <c r="AA96" s="272">
        <f>IFERROR(INDEX(TableRBCalcPts[Custom],MATCH(TableRBRanks31[[#This Row],[RK]],TableRBCalcPts[RK],0)),"")</f>
        <v>17.168184838525917</v>
      </c>
      <c r="AB9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6" s="274">
        <v>95</v>
      </c>
      <c r="AE96" s="274" t="str">
        <f>IFERROR(INDEX(TableWRCalcPts[PLAYER],MATCH(TableWRRanks32[[#This Row],[RK]],TableWRCalcPts[RK],0)),"")</f>
        <v>James Washington</v>
      </c>
      <c r="AF96" s="22" t="str">
        <f>IFERROR(INDEX(TableWRCalcPts[TM],MATCH(TableWRRanks32[[#This Row],[Player]],TableWRCalcPts[PLAYER],0)),"")</f>
        <v>DAL</v>
      </c>
      <c r="AG96" s="22">
        <f>IFERROR(INDEX(TableWRCalcPts[BYE],MATCH(TableWRRanks32[[#This Row],[RK]],TableWRCalcPts[RK],0)),"")</f>
        <v>9</v>
      </c>
      <c r="AH96" s="279">
        <f>VLOOKUP(TableWRRanks32[[#This Row],[Player]],WR!B:O,4,FALSE)</f>
        <v>2.0681910484994361</v>
      </c>
      <c r="AI96" s="279">
        <f>VLOOKUP(TableWRRanks32[[#This Row],[Player]],WR!B:O,5,FALSE)</f>
        <v>0</v>
      </c>
      <c r="AJ96" s="279">
        <f>VLOOKUP(TableWRRanks32[[#This Row],[Player]],WR!B:O,6,FALSE)</f>
        <v>43.089209711058643</v>
      </c>
      <c r="AK96" s="279">
        <f>VLOOKUP(TableWRRanks32[[#This Row],[Player]],WR!B:O,7,FALSE)</f>
        <v>26.68945649502972</v>
      </c>
      <c r="AL96" s="279">
        <f>VLOOKUP(TableWRRanks32[[#This Row],[Player]],WR!B:O,8,FALSE)</f>
        <v>373.9696692134857</v>
      </c>
      <c r="AM96" s="279">
        <f>VLOOKUP(TableWRRanks32[[#This Row],[Player]],WR!B:O,9,FALSE)</f>
        <v>2.2952932585725558</v>
      </c>
      <c r="AN96" s="272">
        <f>IFERROR(INDEX(TableWRCalcPts[Custom],MATCH(TableWRRanks32[[#This Row],[RK]],TableWRCalcPts[RK],0)),"")</f>
        <v>51.375545577633844</v>
      </c>
      <c r="AO9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6" s="274">
        <v>95</v>
      </c>
      <c r="AR96" s="22" t="str">
        <f>IFERROR(INDEX(TableTECalcPts[PLAYER],MATCH(TableTERanks33[[#This Row],[RK]],TableTECalcPts[RK],0)),"")</f>
        <v/>
      </c>
      <c r="AS96" s="22" t="str">
        <f>IFERROR(INDEX(TableTECalcPts[TM],MATCH(TableTERanks33[[#This Row],[Player]],TableTECalcPts[PLAYER],0)),"")</f>
        <v/>
      </c>
      <c r="AT96" s="22" t="str">
        <f>IFERROR(INDEX(TableTECalcPts[BYE],MATCH(TableTERanks33[[#This Row],[RK]],TableTECalcPts[RK],0)),"")</f>
        <v/>
      </c>
      <c r="AU96" s="279" t="e">
        <f>VLOOKUP(TableTERanks33[[#This Row],[Player]],TE!B:O,4,FALSE)</f>
        <v>#N/A</v>
      </c>
      <c r="AV96" s="279" t="e">
        <f>VLOOKUP(TableTERanks33[[#This Row],[Player]],TE!B:O,5,FALSE)</f>
        <v>#N/A</v>
      </c>
      <c r="AW96" s="279" t="e">
        <f>VLOOKUP(TableTERanks33[[#This Row],[Player]],TE!B:O,6,FALSE)</f>
        <v>#N/A</v>
      </c>
      <c r="AX96" s="279" t="e">
        <f>VLOOKUP(TableTERanks33[[#This Row],[Player]],TE!B:O,7,FALSE)</f>
        <v>#N/A</v>
      </c>
      <c r="AY96" s="272" t="str">
        <f>IFERROR(INDEX(TableTECalcPts[Custom],MATCH(TableTERanks33[[#This Row],[RK]],TableTECalcPts[RK],0)),"")</f>
        <v/>
      </c>
      <c r="AZ96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97" spans="16:52" x14ac:dyDescent="0.3">
      <c r="P97" s="22">
        <v>96</v>
      </c>
      <c r="Q97" s="22" t="str">
        <f>IFERROR(INDEX(TableRBCalcPts[PLAYER],MATCH(TableRBRanks31[[#This Row],[RK]],TableRBCalcPts[RK],0)),"")</f>
        <v>Jermar Jefferson</v>
      </c>
      <c r="R97" s="22" t="str">
        <f>IFERROR(INDEX(TableRBCalcPts[TM],MATCH(TableRBRanks31[[#This Row],[Player]],TableRBCalcPts[PLAYER],0)),"")</f>
        <v>DET</v>
      </c>
      <c r="S97" s="22">
        <f>IFERROR(INDEX(TableRBCalcPts[BYE],MATCH(TableRBRanks31[[#This Row],[RK]],TableRBCalcPts[RK],0)),"")</f>
        <v>6</v>
      </c>
      <c r="T97" s="279">
        <f>VLOOKUP(TableRBRanks31[[#This Row],[Player]],RB!B:O,4,FALSE)</f>
        <v>20.464249308931802</v>
      </c>
      <c r="U97" s="279">
        <f>VLOOKUP(TableRBRanks31[[#This Row],[Player]],RB!B:O,5,FALSE)</f>
        <v>88.880115811306368</v>
      </c>
      <c r="V97" s="279">
        <f>VLOOKUP(TableRBRanks31[[#This Row],[Player]],RB!B:O,6,FALSE)</f>
        <v>1.0273053153083764</v>
      </c>
      <c r="W97" s="279">
        <f>VLOOKUP(TableRBRanks31[[#This Row],[Player]],RB!B:O,7,FALSE)</f>
        <v>2.9987897781002069</v>
      </c>
      <c r="X97" s="279">
        <f>VLOOKUP(TableRBRanks31[[#This Row],[Player]],RB!B:O,8,FALSE)</f>
        <v>2.1192447361834161</v>
      </c>
      <c r="Y97" s="279">
        <f>VLOOKUP(TableRBRanks31[[#This Row],[Player]],RB!B:O,9,FALSE)</f>
        <v>14.097584549394027</v>
      </c>
      <c r="Z97" s="279">
        <f>VLOOKUP(TableRBRanks31[[#This Row],[Player]],RB!B:O,10,FALSE)</f>
        <v>0</v>
      </c>
      <c r="AA97" s="272">
        <f>IFERROR(INDEX(TableRBCalcPts[Custom],MATCH(TableRBRanks31[[#This Row],[RK]],TableRBCalcPts[RK],0)),"")</f>
        <v>16.461601927920299</v>
      </c>
      <c r="AB9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7" s="22">
        <v>96</v>
      </c>
      <c r="AE97" s="274" t="str">
        <f>IFERROR(INDEX(TableWRCalcPts[PLAYER],MATCH(TableWRRanks32[[#This Row],[RK]],TableWRCalcPts[RK],0)),"")</f>
        <v>Olamide Zaccheaus</v>
      </c>
      <c r="AF97" s="22" t="str">
        <f>IFERROR(INDEX(TableWRCalcPts[TM],MATCH(TableWRRanks32[[#This Row],[Player]],TableWRCalcPts[PLAYER],0)),"")</f>
        <v>ATL</v>
      </c>
      <c r="AG97" s="22">
        <f>IFERROR(INDEX(TableWRCalcPts[BYE],MATCH(TableWRRanks32[[#This Row],[RK]],TableWRCalcPts[RK],0)),"")</f>
        <v>14</v>
      </c>
      <c r="AH97" s="279">
        <f>VLOOKUP(TableWRRanks32[[#This Row],[Player]],WR!B:O,4,FALSE)</f>
        <v>0.74962902508571139</v>
      </c>
      <c r="AI97" s="279">
        <f>VLOOKUP(TableWRRanks32[[#This Row],[Player]],WR!B:O,5,FALSE)</f>
        <v>0</v>
      </c>
      <c r="AJ97" s="279">
        <f>VLOOKUP(TableWRRanks32[[#This Row],[Player]],WR!B:O,6,FALSE)</f>
        <v>60.216203913257033</v>
      </c>
      <c r="AK97" s="279">
        <f>VLOOKUP(TableWRRanks32[[#This Row],[Player]],WR!B:O,7,FALSE)</f>
        <v>36.012762874678984</v>
      </c>
      <c r="AL97" s="279">
        <f>VLOOKUP(TableWRRanks32[[#This Row],[Player]],WR!B:O,8,FALSE)</f>
        <v>405.14358234013855</v>
      </c>
      <c r="AM97" s="279">
        <f>VLOOKUP(TableWRRanks32[[#This Row],[Player]],WR!B:O,9,FALSE)</f>
        <v>1.7646253808592702</v>
      </c>
      <c r="AN97" s="272">
        <f>IFERROR(INDEX(TableWRCalcPts[Custom],MATCH(TableWRRanks32[[#This Row],[RK]],TableWRCalcPts[RK],0)),"")</f>
        <v>51.177073421678053</v>
      </c>
      <c r="AO9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7" s="22">
        <v>96</v>
      </c>
      <c r="AR97" s="274" t="str">
        <f>IFERROR(INDEX(TableTECalcPts[PLAYER],MATCH(TableTERanks33[[#This Row],[RK]],TableTECalcPts[RK],0)),"")</f>
        <v/>
      </c>
      <c r="AS97" s="22" t="str">
        <f>IFERROR(INDEX(TableTECalcPts[TM],MATCH(TableTERanks33[[#This Row],[Player]],TableTECalcPts[PLAYER],0)),"")</f>
        <v/>
      </c>
      <c r="AT97" s="22" t="str">
        <f>IFERROR(INDEX(TableTECalcPts[BYE],MATCH(TableTERanks33[[#This Row],[RK]],TableTECalcPts[RK],0)),"")</f>
        <v/>
      </c>
      <c r="AU97" s="279" t="e">
        <f>VLOOKUP(TableTERanks33[[#This Row],[Player]],TE!B:O,4,FALSE)</f>
        <v>#N/A</v>
      </c>
      <c r="AV97" s="279" t="e">
        <f>VLOOKUP(TableTERanks33[[#This Row],[Player]],TE!B:O,5,FALSE)</f>
        <v>#N/A</v>
      </c>
      <c r="AW97" s="279" t="e">
        <f>VLOOKUP(TableTERanks33[[#This Row],[Player]],TE!B:O,6,FALSE)</f>
        <v>#N/A</v>
      </c>
      <c r="AX97" s="279" t="e">
        <f>VLOOKUP(TableTERanks33[[#This Row],[Player]],TE!B:O,7,FALSE)</f>
        <v>#N/A</v>
      </c>
      <c r="AY97" s="272" t="str">
        <f>IFERROR(INDEX(TableTECalcPts[Custom],MATCH(TableTERanks33[[#This Row],[RK]],TableTECalcPts[RK],0)),"")</f>
        <v/>
      </c>
      <c r="AZ97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98" spans="16:52" x14ac:dyDescent="0.3">
      <c r="P98" s="22">
        <v>97</v>
      </c>
      <c r="Q98" s="22" t="str">
        <f>IFERROR(INDEX(TableRBCalcPts[PLAYER],MATCH(TableRBRanks31[[#This Row],[RK]],TableRBCalcPts[RK],0)),"")</f>
        <v>Dare Ogunbowale</v>
      </c>
      <c r="R98" s="22" t="str">
        <f>IFERROR(INDEX(TableRBCalcPts[TM],MATCH(TableRBRanks31[[#This Row],[Player]],TableRBCalcPts[PLAYER],0)),"")</f>
        <v>HOU</v>
      </c>
      <c r="S98" s="22">
        <f>IFERROR(INDEX(TableRBCalcPts[BYE],MATCH(TableRBRanks31[[#This Row],[RK]],TableRBCalcPts[RK],0)),"")</f>
        <v>6</v>
      </c>
      <c r="T98" s="279">
        <f>VLOOKUP(TableRBRanks31[[#This Row],[Player]],RB!B:O,4,FALSE)</f>
        <v>18.523947857595022</v>
      </c>
      <c r="U98" s="279">
        <f>VLOOKUP(TableRBRanks31[[#This Row],[Player]],RB!B:O,5,FALSE)</f>
        <v>68.484134261068448</v>
      </c>
      <c r="V98" s="279">
        <f>VLOOKUP(TableRBRanks31[[#This Row],[Player]],RB!B:O,6,FALSE)</f>
        <v>0.37646883863132496</v>
      </c>
      <c r="W98" s="279">
        <f>VLOOKUP(TableRBRanks31[[#This Row],[Player]],RB!B:O,7,FALSE)</f>
        <v>11.001065181415953</v>
      </c>
      <c r="X98" s="279">
        <f>VLOOKUP(TableRBRanks31[[#This Row],[Player]],RB!B:O,8,FALSE)</f>
        <v>8.0098755585889556</v>
      </c>
      <c r="Y98" s="279">
        <f>VLOOKUP(TableRBRanks31[[#This Row],[Player]],RB!B:O,9,FALSE)</f>
        <v>56.950215221567476</v>
      </c>
      <c r="Z98" s="279">
        <f>VLOOKUP(TableRBRanks31[[#This Row],[Player]],RB!B:O,10,FALSE)</f>
        <v>0.25763765240963082</v>
      </c>
      <c r="AA98" s="272">
        <f>IFERROR(INDEX(TableRBCalcPts[Custom],MATCH(TableRBRanks31[[#This Row],[RK]],TableRBCalcPts[RK],0)),"")</f>
        <v>16.348073894509326</v>
      </c>
      <c r="AB9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8" s="22">
        <v>97</v>
      </c>
      <c r="AE98" s="22" t="str">
        <f>IFERROR(INDEX(TableWRCalcPts[PLAYER],MATCH(TableWRRanks32[[#This Row],[RK]],TableWRCalcPts[RK],0)),"")</f>
        <v>Dee Eskridge</v>
      </c>
      <c r="AF98" s="22" t="str">
        <f>IFERROR(INDEX(TableWRCalcPts[TM],MATCH(TableWRRanks32[[#This Row],[Player]],TableWRCalcPts[PLAYER],0)),"")</f>
        <v>SEA</v>
      </c>
      <c r="AG98" s="22">
        <f>IFERROR(INDEX(TableWRCalcPts[BYE],MATCH(TableWRRanks32[[#This Row],[RK]],TableWRCalcPts[RK],0)),"")</f>
        <v>11</v>
      </c>
      <c r="AH98" s="279">
        <f>VLOOKUP(TableWRRanks32[[#This Row],[Player]],WR!B:O,4,FALSE)</f>
        <v>37.673645102977673</v>
      </c>
      <c r="AI98" s="279">
        <f>VLOOKUP(TableWRRanks32[[#This Row],[Player]],WR!B:O,5,FALSE)</f>
        <v>0.10005394414742655</v>
      </c>
      <c r="AJ98" s="279">
        <f>VLOOKUP(TableWRRanks32[[#This Row],[Player]],WR!B:O,6,FALSE)</f>
        <v>52.372431568379447</v>
      </c>
      <c r="AK98" s="279">
        <f>VLOOKUP(TableWRRanks32[[#This Row],[Player]],WR!B:O,7,FALSE)</f>
        <v>29.224937081071637</v>
      </c>
      <c r="AL98" s="279">
        <f>VLOOKUP(TableWRRanks32[[#This Row],[Player]],WR!B:O,8,FALSE)</f>
        <v>342.22401321934888</v>
      </c>
      <c r="AM98" s="279">
        <f>VLOOKUP(TableWRRanks32[[#This Row],[Player]],WR!B:O,9,FALSE)</f>
        <v>1.7827211619453698</v>
      </c>
      <c r="AN98" s="272">
        <f>IFERROR(INDEX(TableWRCalcPts[Custom],MATCH(TableWRRanks32[[#This Row],[RK]],TableWRCalcPts[RK],0)),"")</f>
        <v>49.28641646878944</v>
      </c>
      <c r="AO9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8" s="22">
        <v>97</v>
      </c>
      <c r="AR98" s="274" t="str">
        <f>IFERROR(INDEX(TableTECalcPts[PLAYER],MATCH(TableTERanks33[[#This Row],[RK]],TableTECalcPts[RK],0)),"")</f>
        <v/>
      </c>
      <c r="AS98" s="274" t="str">
        <f>IFERROR(INDEX(TableTECalcPts[TM],MATCH(TableTERanks33[[#This Row],[Player]],TableTECalcPts[PLAYER],0)),"")</f>
        <v/>
      </c>
      <c r="AT98" s="274" t="str">
        <f>IFERROR(INDEX(TableTECalcPts[BYE],MATCH(TableTERanks33[[#This Row],[RK]],TableTECalcPts[RK],0)),"")</f>
        <v/>
      </c>
      <c r="AU98" s="279" t="e">
        <f>VLOOKUP(TableTERanks33[[#This Row],[Player]],TE!B:O,4,FALSE)</f>
        <v>#N/A</v>
      </c>
      <c r="AV98" s="279" t="e">
        <f>VLOOKUP(TableTERanks33[[#This Row],[Player]],TE!B:O,5,FALSE)</f>
        <v>#N/A</v>
      </c>
      <c r="AW98" s="279" t="e">
        <f>VLOOKUP(TableTERanks33[[#This Row],[Player]],TE!B:O,6,FALSE)</f>
        <v>#N/A</v>
      </c>
      <c r="AX98" s="279" t="e">
        <f>VLOOKUP(TableTERanks33[[#This Row],[Player]],TE!B:O,7,FALSE)</f>
        <v>#N/A</v>
      </c>
      <c r="AY98" s="272" t="str">
        <f>IFERROR(INDEX(TableTECalcPts[Custom],MATCH(TableTERanks33[[#This Row],[RK]],TableTECalcPts[RK],0)),"")</f>
        <v/>
      </c>
      <c r="AZ98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99" spans="16:52" x14ac:dyDescent="0.3">
      <c r="P99" s="22">
        <v>98</v>
      </c>
      <c r="Q99" s="22" t="str">
        <f>IFERROR(INDEX(TableRBCalcPts[PLAYER],MATCH(TableRBRanks31[[#This Row],[RK]],TableRBCalcPts[RK],0)),"")</f>
        <v>Mike Davis</v>
      </c>
      <c r="R99" s="22" t="str">
        <f>IFERROR(INDEX(TableRBCalcPts[TM],MATCH(TableRBRanks31[[#This Row],[Player]],TableRBCalcPts[PLAYER],0)),"")</f>
        <v>BAL</v>
      </c>
      <c r="S99" s="22">
        <f>IFERROR(INDEX(TableRBCalcPts[BYE],MATCH(TableRBRanks31[[#This Row],[RK]],TableRBCalcPts[RK],0)),"")</f>
        <v>10</v>
      </c>
      <c r="T99" s="279">
        <f>VLOOKUP(TableRBRanks31[[#This Row],[Player]],RB!B:O,4,FALSE)</f>
        <v>16.668698960402132</v>
      </c>
      <c r="U99" s="279">
        <f>VLOOKUP(TableRBRanks31[[#This Row],[Player]],RB!B:O,5,FALSE)</f>
        <v>86.151808213817546</v>
      </c>
      <c r="V99" s="279">
        <f>VLOOKUP(TableRBRanks31[[#This Row],[Player]],RB!B:O,6,FALSE)</f>
        <v>0.60340690236655725</v>
      </c>
      <c r="W99" s="279">
        <f>VLOOKUP(TableRBRanks31[[#This Row],[Player]],RB!B:O,7,FALSE)</f>
        <v>7.6497173090745232</v>
      </c>
      <c r="X99" s="279">
        <f>VLOOKUP(TableRBRanks31[[#This Row],[Player]],RB!B:O,8,FALSE)</f>
        <v>4.8630345750545185</v>
      </c>
      <c r="Y99" s="279">
        <f>VLOOKUP(TableRBRanks31[[#This Row],[Player]],RB!B:O,9,FALSE)</f>
        <v>33.068635110370728</v>
      </c>
      <c r="Z99" s="279">
        <f>VLOOKUP(TableRBRanks31[[#This Row],[Player]],RB!B:O,10,FALSE)</f>
        <v>2.732041896098044E-2</v>
      </c>
      <c r="AA99" s="272">
        <f>IFERROR(INDEX(TableRBCalcPts[Custom],MATCH(TableRBRanks31[[#This Row],[RK]],TableRBCalcPts[RK],0)),"")</f>
        <v>15.706408260384052</v>
      </c>
      <c r="AB9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99" s="274">
        <v>98</v>
      </c>
      <c r="AE99" s="22" t="str">
        <f>IFERROR(INDEX(TableWRCalcPts[PLAYER],MATCH(TableWRRanks32[[#This Row],[RK]],TableWRCalcPts[RK],0)),"")</f>
        <v>KJ Hamler</v>
      </c>
      <c r="AF99" s="22" t="str">
        <f>IFERROR(INDEX(TableWRCalcPts[TM],MATCH(TableWRRanks32[[#This Row],[Player]],TableWRCalcPts[PLAYER],0)),"")</f>
        <v>DEN</v>
      </c>
      <c r="AG99" s="22">
        <f>IFERROR(INDEX(TableWRCalcPts[BYE],MATCH(TableWRRanks32[[#This Row],[RK]],TableWRCalcPts[RK],0)),"")</f>
        <v>9</v>
      </c>
      <c r="AH99" s="279">
        <f>VLOOKUP(TableWRRanks32[[#This Row],[Player]],WR!B:O,4,FALSE)</f>
        <v>9.7529880238959326</v>
      </c>
      <c r="AI99" s="279">
        <f>VLOOKUP(TableWRRanks32[[#This Row],[Player]],WR!B:O,5,FALSE)</f>
        <v>0</v>
      </c>
      <c r="AJ99" s="279">
        <f>VLOOKUP(TableWRRanks32[[#This Row],[Player]],WR!B:O,6,FALSE)</f>
        <v>42.516332844344518</v>
      </c>
      <c r="AK99" s="279">
        <f>VLOOKUP(TableWRRanks32[[#This Row],[Player]],WR!B:O,7,FALSE)</f>
        <v>25.233443543118472</v>
      </c>
      <c r="AL99" s="279">
        <f>VLOOKUP(TableWRRanks32[[#This Row],[Player]],WR!B:O,8,FALSE)</f>
        <v>340.04058452581864</v>
      </c>
      <c r="AM99" s="279">
        <f>VLOOKUP(TableWRRanks32[[#This Row],[Player]],WR!B:O,9,FALSE)</f>
        <v>2.1579465627823899</v>
      </c>
      <c r="AN99" s="272">
        <f>IFERROR(INDEX(TableWRCalcPts[Custom],MATCH(TableWRRanks32[[#This Row],[RK]],TableWRCalcPts[RK],0)),"")</f>
        <v>47.9270366316658</v>
      </c>
      <c r="AO9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99" s="274">
        <v>98</v>
      </c>
      <c r="AR99" s="274" t="str">
        <f>IFERROR(INDEX(TableTECalcPts[PLAYER],MATCH(TableTERanks33[[#This Row],[RK]],TableTECalcPts[RK],0)),"")</f>
        <v/>
      </c>
      <c r="AS99" s="274" t="str">
        <f>IFERROR(INDEX(TableTECalcPts[TM],MATCH(TableTERanks33[[#This Row],[Player]],TableTECalcPts[PLAYER],0)),"")</f>
        <v/>
      </c>
      <c r="AT99" s="274" t="str">
        <f>IFERROR(INDEX(TableTECalcPts[BYE],MATCH(TableTERanks33[[#This Row],[RK]],TableTECalcPts[RK],0)),"")</f>
        <v/>
      </c>
      <c r="AU99" s="279" t="e">
        <f>VLOOKUP(TableTERanks33[[#This Row],[Player]],TE!B:O,4,FALSE)</f>
        <v>#N/A</v>
      </c>
      <c r="AV99" s="279" t="e">
        <f>VLOOKUP(TableTERanks33[[#This Row],[Player]],TE!B:O,5,FALSE)</f>
        <v>#N/A</v>
      </c>
      <c r="AW99" s="279" t="e">
        <f>VLOOKUP(TableTERanks33[[#This Row],[Player]],TE!B:O,6,FALSE)</f>
        <v>#N/A</v>
      </c>
      <c r="AX99" s="279" t="e">
        <f>VLOOKUP(TableTERanks33[[#This Row],[Player]],TE!B:O,7,FALSE)</f>
        <v>#N/A</v>
      </c>
      <c r="AY99" s="272" t="str">
        <f>IFERROR(INDEX(TableTECalcPts[Custom],MATCH(TableTERanks33[[#This Row],[RK]],TableTECalcPts[RK],0)),"")</f>
        <v/>
      </c>
      <c r="AZ99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100" spans="16:52" x14ac:dyDescent="0.3">
      <c r="P100" s="22">
        <v>99</v>
      </c>
      <c r="Q100" s="22" t="str">
        <f>IFERROR(INDEX(TableRBCalcPts[PLAYER],MATCH(TableRBRanks31[[#This Row],[RK]],TableRBCalcPts[RK],0)),"")</f>
        <v>Darrynton Evans</v>
      </c>
      <c r="R100" s="22" t="str">
        <f>IFERROR(INDEX(TableRBCalcPts[TM],MATCH(TableRBRanks31[[#This Row],[Player]],TableRBCalcPts[PLAYER],0)),"")</f>
        <v>CHI</v>
      </c>
      <c r="S100" s="22">
        <f>IFERROR(INDEX(TableRBCalcPts[BYE],MATCH(TableRBRanks31[[#This Row],[RK]],TableRBCalcPts[RK],0)),"")</f>
        <v>14</v>
      </c>
      <c r="T100" s="279">
        <f>VLOOKUP(TableRBRanks31[[#This Row],[Player]],RB!B:O,4,FALSE)</f>
        <v>15.996179869978494</v>
      </c>
      <c r="U100" s="279">
        <f>VLOOKUP(TableRBRanks31[[#This Row],[Player]],RB!B:O,5,FALSE)</f>
        <v>64.446775784256317</v>
      </c>
      <c r="V100" s="279">
        <f>VLOOKUP(TableRBRanks31[[#This Row],[Player]],RB!B:O,6,FALSE)</f>
        <v>0.49748119395633117</v>
      </c>
      <c r="W100" s="279">
        <f>VLOOKUP(TableRBRanks31[[#This Row],[Player]],RB!B:O,7,FALSE)</f>
        <v>8.9217907970738572</v>
      </c>
      <c r="X100" s="279">
        <f>VLOOKUP(TableRBRanks31[[#This Row],[Player]],RB!B:O,8,FALSE)</f>
        <v>6.7082945003198331</v>
      </c>
      <c r="Y100" s="279">
        <f>VLOOKUP(TableRBRanks31[[#This Row],[Player]],RB!B:O,9,FALSE)</f>
        <v>51.050121147433934</v>
      </c>
      <c r="Z100" s="279">
        <f>VLOOKUP(TableRBRanks31[[#This Row],[Player]],RB!B:O,10,FALSE)</f>
        <v>0.13416589000639667</v>
      </c>
      <c r="AA100" s="272">
        <f>IFERROR(INDEX(TableRBCalcPts[Custom],MATCH(TableRBRanks31[[#This Row],[RK]],TableRBCalcPts[RK],0)),"")</f>
        <v>15.339572196945394</v>
      </c>
      <c r="AB10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0" s="22">
        <v>99</v>
      </c>
      <c r="AE100" s="274" t="str">
        <f>IFERROR(INDEX(TableWRCalcPts[PLAYER],MATCH(TableWRRanks32[[#This Row],[RK]],TableWRCalcPts[RK],0)),"")</f>
        <v>Bryan Edwards</v>
      </c>
      <c r="AF100" s="22" t="str">
        <f>IFERROR(INDEX(TableWRCalcPts[TM],MATCH(TableWRRanks32[[#This Row],[Player]],TableWRCalcPts[PLAYER],0)),"")</f>
        <v>ATL</v>
      </c>
      <c r="AG100" s="22">
        <f>IFERROR(INDEX(TableWRCalcPts[BYE],MATCH(TableWRRanks32[[#This Row],[RK]],TableWRCalcPts[RK],0)),"")</f>
        <v>14</v>
      </c>
      <c r="AH100" s="279">
        <f>VLOOKUP(TableWRRanks32[[#This Row],[Player]],WR!B:O,4,FALSE)</f>
        <v>0</v>
      </c>
      <c r="AI100" s="279">
        <f>VLOOKUP(TableWRRanks32[[#This Row],[Player]],WR!B:O,5,FALSE)</f>
        <v>0</v>
      </c>
      <c r="AJ100" s="279">
        <f>VLOOKUP(TableWRRanks32[[#This Row],[Player]],WR!B:O,6,FALSE)</f>
        <v>50.503912959505897</v>
      </c>
      <c r="AK100" s="279">
        <f>VLOOKUP(TableWRRanks32[[#This Row],[Player]],WR!B:O,7,FALSE)</f>
        <v>27.105450085366812</v>
      </c>
      <c r="AL100" s="279">
        <f>VLOOKUP(TableWRRanks32[[#This Row],[Player]],WR!B:O,8,FALSE)</f>
        <v>359.41826813196394</v>
      </c>
      <c r="AM100" s="279">
        <f>VLOOKUP(TableWRRanks32[[#This Row],[Player]],WR!B:O,9,FALSE)</f>
        <v>1.9786978562317772</v>
      </c>
      <c r="AN100" s="272">
        <f>IFERROR(INDEX(TableWRCalcPts[Custom],MATCH(TableWRRanks32[[#This Row],[RK]],TableWRCalcPts[RK],0)),"")</f>
        <v>47.814013950587054</v>
      </c>
      <c r="AO10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100" s="22">
        <v>99</v>
      </c>
      <c r="AR100" s="274" t="str">
        <f>IFERROR(INDEX(TableTECalcPts[PLAYER],MATCH(TableTERanks33[[#This Row],[RK]],TableTECalcPts[RK],0)),"")</f>
        <v/>
      </c>
      <c r="AS100" s="274" t="str">
        <f>IFERROR(INDEX(TableTECalcPts[TM],MATCH(TableTERanks33[[#This Row],[Player]],TableTECalcPts[PLAYER],0)),"")</f>
        <v/>
      </c>
      <c r="AT100" s="274" t="str">
        <f>IFERROR(INDEX(TableTECalcPts[BYE],MATCH(TableTERanks33[[#This Row],[RK]],TableTECalcPts[RK],0)),"")</f>
        <v/>
      </c>
      <c r="AU100" s="279" t="e">
        <f>VLOOKUP(TableTERanks33[[#This Row],[Player]],TE!B:O,4,FALSE)</f>
        <v>#N/A</v>
      </c>
      <c r="AV100" s="279" t="e">
        <f>VLOOKUP(TableTERanks33[[#This Row],[Player]],TE!B:O,5,FALSE)</f>
        <v>#N/A</v>
      </c>
      <c r="AW100" s="279" t="e">
        <f>VLOOKUP(TableTERanks33[[#This Row],[Player]],TE!B:O,6,FALSE)</f>
        <v>#N/A</v>
      </c>
      <c r="AX100" s="279" t="e">
        <f>VLOOKUP(TableTERanks33[[#This Row],[Player]],TE!B:O,7,FALSE)</f>
        <v>#N/A</v>
      </c>
      <c r="AY100" s="272" t="str">
        <f>IFERROR(INDEX(TableTECalcPts[Custom],MATCH(TableTERanks33[[#This Row],[RK]],TableTECalcPts[RK],0)),"")</f>
        <v/>
      </c>
      <c r="AZ100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101" spans="16:52" x14ac:dyDescent="0.3">
      <c r="P101" s="22">
        <v>100</v>
      </c>
      <c r="Q101" s="22" t="str">
        <f>IFERROR(INDEX(TableRBCalcPts[PLAYER],MATCH(TableRBRanks31[[#This Row],[RK]],TableRBCalcPts[RK],0)),"")</f>
        <v>Zack Moss</v>
      </c>
      <c r="R101" s="22" t="str">
        <f>IFERROR(INDEX(TableRBCalcPts[TM],MATCH(TableRBRanks31[[#This Row],[Player]],TableRBCalcPts[PLAYER],0)),"")</f>
        <v>BUF</v>
      </c>
      <c r="S101" s="22">
        <f>IFERROR(INDEX(TableRBCalcPts[BYE],MATCH(TableRBRanks31[[#This Row],[RK]],TableRBCalcPts[RK],0)),"")</f>
        <v>7</v>
      </c>
      <c r="T101" s="279">
        <f>VLOOKUP(TableRBRanks31[[#This Row],[Player]],RB!B:O,4,FALSE)</f>
        <v>14.995744064344043</v>
      </c>
      <c r="U101" s="279">
        <f>VLOOKUP(TableRBRanks31[[#This Row],[Player]],RB!B:O,5,FALSE)</f>
        <v>60.978808909169018</v>
      </c>
      <c r="V101" s="279">
        <f>VLOOKUP(TableRBRanks31[[#This Row],[Player]],RB!B:O,6,FALSE)</f>
        <v>0.68389959534110401</v>
      </c>
      <c r="W101" s="279">
        <f>VLOOKUP(TableRBRanks31[[#This Row],[Player]],RB!B:O,7,FALSE)</f>
        <v>6.4907218092617498</v>
      </c>
      <c r="X101" s="279">
        <f>VLOOKUP(TableRBRanks31[[#This Row],[Player]],RB!B:O,8,FALSE)</f>
        <v>4.3617650558238958</v>
      </c>
      <c r="Y101" s="279">
        <f>VLOOKUP(TableRBRanks31[[#This Row],[Player]],RB!B:O,9,FALSE)</f>
        <v>32.189826111980352</v>
      </c>
      <c r="Z101" s="279">
        <f>VLOOKUP(TableRBRanks31[[#This Row],[Player]],RB!B:O,10,FALSE)</f>
        <v>0.20848876986228387</v>
      </c>
      <c r="AA101" s="272">
        <f>IFERROR(INDEX(TableRBCalcPts[Custom],MATCH(TableRBRanks31[[#This Row],[RK]],TableRBCalcPts[RK],0)),"")</f>
        <v>14.671193693335264</v>
      </c>
      <c r="AB10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1" s="22">
        <v>100</v>
      </c>
      <c r="AE101" s="22" t="str">
        <f>IFERROR(INDEX(TableWRCalcPts[PLAYER],MATCH(TableWRRanks32[[#This Row],[RK]],TableWRCalcPts[RK],0)),"")</f>
        <v>Laquon Treadwell</v>
      </c>
      <c r="AF101" s="22" t="str">
        <f>IFERROR(INDEX(TableWRCalcPts[TM],MATCH(TableWRRanks32[[#This Row],[Player]],TableWRCalcPts[PLAYER],0)),"")</f>
        <v>JAX</v>
      </c>
      <c r="AG101" s="22">
        <f>IFERROR(INDEX(TableWRCalcPts[BYE],MATCH(TableWRRanks32[[#This Row],[RK]],TableWRCalcPts[RK],0)),"")</f>
        <v>11</v>
      </c>
      <c r="AH101" s="279">
        <f>VLOOKUP(TableWRRanks32[[#This Row],[Player]],WR!B:O,4,FALSE)</f>
        <v>0</v>
      </c>
      <c r="AI101" s="279">
        <f>VLOOKUP(TableWRRanks32[[#This Row],[Player]],WR!B:O,5,FALSE)</f>
        <v>0</v>
      </c>
      <c r="AJ101" s="279">
        <f>VLOOKUP(TableWRRanks32[[#This Row],[Player]],WR!B:O,6,FALSE)</f>
        <v>43.214743655477768</v>
      </c>
      <c r="AK101" s="279">
        <f>VLOOKUP(TableWRRanks32[[#This Row],[Player]],WR!B:O,7,FALSE)</f>
        <v>26.875249079341625</v>
      </c>
      <c r="AL101" s="279">
        <f>VLOOKUP(TableWRRanks32[[#This Row],[Player]],WR!B:O,8,FALSE)</f>
        <v>359.89463984509655</v>
      </c>
      <c r="AM101" s="279">
        <f>VLOOKUP(TableWRRanks32[[#This Row],[Player]],WR!B:O,9,FALSE)</f>
        <v>1.8812674355539138</v>
      </c>
      <c r="AN101" s="272">
        <f>IFERROR(INDEX(TableWRCalcPts[Custom],MATCH(TableWRRanks32[[#This Row],[RK]],TableWRCalcPts[RK],0)),"")</f>
        <v>47.277068597833136</v>
      </c>
      <c r="AO10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  <c r="AQ101" s="22">
        <v>100</v>
      </c>
      <c r="AR101" s="274" t="str">
        <f>IFERROR(INDEX(TableTECalcPts[PLAYER],MATCH(TableTERanks33[[#This Row],[RK]],TableTECalcPts[RK],0)),"")</f>
        <v/>
      </c>
      <c r="AS101" s="274" t="str">
        <f>IFERROR(INDEX(TableTECalcPts[TM],MATCH(TableTERanks33[[#This Row],[Player]],TableTECalcPts[PLAYER],0)),"")</f>
        <v/>
      </c>
      <c r="AT101" s="274" t="str">
        <f>IFERROR(INDEX(TableTECalcPts[BYE],MATCH(TableTERanks33[[#This Row],[RK]],TableTECalcPts[RK],0)),"")</f>
        <v/>
      </c>
      <c r="AU101" s="279" t="e">
        <f>VLOOKUP(TableTERanks33[[#This Row],[Player]],TE!B:O,4,FALSE)</f>
        <v>#N/A</v>
      </c>
      <c r="AV101" s="279" t="e">
        <f>VLOOKUP(TableTERanks33[[#This Row],[Player]],TE!B:O,5,FALSE)</f>
        <v>#N/A</v>
      </c>
      <c r="AW101" s="279" t="e">
        <f>VLOOKUP(TableTERanks33[[#This Row],[Player]],TE!B:O,6,FALSE)</f>
        <v>#N/A</v>
      </c>
      <c r="AX101" s="279" t="e">
        <f>VLOOKUP(TableTERanks33[[#This Row],[Player]],TE!B:O,7,FALSE)</f>
        <v>#N/A</v>
      </c>
      <c r="AY101" s="272" t="str">
        <f>IFERROR(INDEX(TableTECalcPts[Custom],MATCH(TableTERanks33[[#This Row],[RK]],TableTECalcPts[RK],0)),"")</f>
        <v/>
      </c>
      <c r="AZ101" s="273" t="e">
        <f>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</f>
        <v>#VALUE!</v>
      </c>
    </row>
    <row r="102" spans="16:52" x14ac:dyDescent="0.3">
      <c r="P102" s="22">
        <v>101</v>
      </c>
      <c r="Q102" s="22" t="str">
        <f>IFERROR(INDEX(TableRBCalcPts[PLAYER],MATCH(TableRBRanks31[[#This Row],[RK]],TableRBCalcPts[RK],0)),"")</f>
        <v>Isaih Pacheco</v>
      </c>
      <c r="R102" s="22" t="str">
        <f>IFERROR(INDEX(TableRBCalcPts[TM],MATCH(TableRBRanks31[[#This Row],[Player]],TableRBCalcPts[PLAYER],0)),"")</f>
        <v>KC</v>
      </c>
      <c r="S102" s="22">
        <f>IFERROR(INDEX(TableRBCalcPts[BYE],MATCH(TableRBRanks31[[#This Row],[RK]],TableRBCalcPts[RK],0)),"")</f>
        <v>8</v>
      </c>
      <c r="T102" s="279">
        <f>VLOOKUP(TableRBRanks31[[#This Row],[Player]],RB!B:O,4,FALSE)</f>
        <v>15.590971649629694</v>
      </c>
      <c r="U102" s="279">
        <f>VLOOKUP(TableRBRanks31[[#This Row],[Player]],RB!B:O,5,FALSE)</f>
        <v>66.105719794429902</v>
      </c>
      <c r="V102" s="279">
        <f>VLOOKUP(TableRBRanks31[[#This Row],[Player]],RB!B:O,6,FALSE)</f>
        <v>0.50702346828064038</v>
      </c>
      <c r="W102" s="279">
        <f>VLOOKUP(TableRBRanks31[[#This Row],[Player]],RB!B:O,7,FALSE)</f>
        <v>7.5309650860767627</v>
      </c>
      <c r="X102" s="279">
        <f>VLOOKUP(TableRBRanks31[[#This Row],[Player]],RB!B:O,8,FALSE)</f>
        <v>5.1575700286465107</v>
      </c>
      <c r="Y102" s="279">
        <f>VLOOKUP(TableRBRanks31[[#This Row],[Player]],RB!B:O,9,FALSE)</f>
        <v>38.630199514562364</v>
      </c>
      <c r="Z102" s="279">
        <f>VLOOKUP(TableRBRanks31[[#This Row],[Player]],RB!B:O,10,FALSE)</f>
        <v>6.8463318964334205E-2</v>
      </c>
      <c r="AA102" s="272">
        <f>IFERROR(INDEX(TableRBCalcPts[Custom],MATCH(TableRBRanks31[[#This Row],[RK]],TableRBCalcPts[RK],0)),"")</f>
        <v>13.926512654369075</v>
      </c>
      <c r="AB10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2" s="274">
        <v>101</v>
      </c>
      <c r="AE102" s="22" t="str">
        <f>IFERROR(INDEX(TableWRCalcPts[PLAYER],MATCH(TableWRRanks32[[#This Row],[RK]],TableWRCalcPts[RK],0)),"")</f>
        <v>Isaiah McKenzie</v>
      </c>
      <c r="AF102" s="22" t="str">
        <f>IFERROR(INDEX(TableWRCalcPts[TM],MATCH(TableWRRanks32[[#This Row],[Player]],TableWRCalcPts[PLAYER],0)),"")</f>
        <v>BUF</v>
      </c>
      <c r="AG102" s="22">
        <f>IFERROR(INDEX(TableWRCalcPts[BYE],MATCH(TableWRRanks32[[#This Row],[RK]],TableWRCalcPts[RK],0)),"")</f>
        <v>7</v>
      </c>
      <c r="AH102" s="279">
        <f>VLOOKUP(TableWRRanks32[[#This Row],[Player]],WR!B:O,4,FALSE)</f>
        <v>62.198576760721551</v>
      </c>
      <c r="AI102" s="279">
        <f>VLOOKUP(TableWRRanks32[[#This Row],[Player]],WR!B:O,5,FALSE)</f>
        <v>0.80502790330049445</v>
      </c>
      <c r="AJ102" s="279">
        <f>VLOOKUP(TableWRRanks32[[#This Row],[Player]],WR!B:O,6,FALSE)</f>
        <v>40.697807834028566</v>
      </c>
      <c r="AK102" s="279">
        <f>VLOOKUP(TableWRRanks32[[#This Row],[Player]],WR!B:O,7,FALSE)</f>
        <v>24.015776402860254</v>
      </c>
      <c r="AL102" s="279">
        <f>VLOOKUP(TableWRRanks32[[#This Row],[Player]],WR!B:O,8,FALSE)</f>
        <v>267.23803556649437</v>
      </c>
      <c r="AM102" s="279">
        <f>VLOOKUP(TableWRRanks32[[#This Row],[Player]],WR!B:O,9,FALSE)</f>
        <v>1.4649623605744755</v>
      </c>
      <c r="AN102" s="272">
        <f>IFERROR(INDEX(TableWRCalcPts[Custom],MATCH(TableWRRanks32[[#This Row],[RK]],TableWRCalcPts[RK],0)),"")</f>
        <v>46.563602815971421</v>
      </c>
      <c r="AO10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3" spans="16:52" x14ac:dyDescent="0.3">
      <c r="P103" s="22">
        <v>102</v>
      </c>
      <c r="Q103" s="22" t="str">
        <f>IFERROR(INDEX(TableRBCalcPts[PLAYER],MATCH(TableRBRanks31[[#This Row],[RK]],TableRBCalcPts[RK],0)),"")</f>
        <v>Tevin Coleman</v>
      </c>
      <c r="R103" s="22" t="str">
        <f>IFERROR(INDEX(TableRBCalcPts[TM],MATCH(TableRBRanks31[[#This Row],[Player]],TableRBCalcPts[PLAYER],0)),"")</f>
        <v>NYJ</v>
      </c>
      <c r="S103" s="22">
        <f>IFERROR(INDEX(TableRBCalcPts[BYE],MATCH(TableRBRanks31[[#This Row],[RK]],TableRBCalcPts[RK],0)),"")</f>
        <v>10</v>
      </c>
      <c r="T103" s="279">
        <f>VLOOKUP(TableRBRanks31[[#This Row],[Player]],RB!B:O,4,FALSE)</f>
        <v>18.650858218692438</v>
      </c>
      <c r="U103" s="279">
        <f>VLOOKUP(TableRBRanks31[[#This Row],[Player]],RB!B:O,5,FALSE)</f>
        <v>75.722484367891298</v>
      </c>
      <c r="V103" s="279">
        <f>VLOOKUP(TableRBRanks31[[#This Row],[Player]],RB!B:O,6,FALSE)</f>
        <v>0.20940073597913192</v>
      </c>
      <c r="W103" s="279">
        <f>VLOOKUP(TableRBRanks31[[#This Row],[Player]],RB!B:O,7,FALSE)</f>
        <v>10.169557793874406</v>
      </c>
      <c r="X103" s="279">
        <f>VLOOKUP(TableRBRanks31[[#This Row],[Player]],RB!B:O,8,FALSE)</f>
        <v>6.315295389996006</v>
      </c>
      <c r="Y103" s="279">
        <f>VLOOKUP(TableRBRanks31[[#This Row],[Player]],RB!B:O,9,FALSE)</f>
        <v>39.826355748326257</v>
      </c>
      <c r="Z103" s="279">
        <f>VLOOKUP(TableRBRanks31[[#This Row],[Player]],RB!B:O,10,FALSE)</f>
        <v>9.7272138411016687E-2</v>
      </c>
      <c r="AA103" s="272">
        <f>IFERROR(INDEX(TableRBCalcPts[Custom],MATCH(TableRBRanks31[[#This Row],[RK]],TableRBCalcPts[RK],0)),"")</f>
        <v>13.394921257962649</v>
      </c>
      <c r="AB10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3" s="22">
        <v>102</v>
      </c>
      <c r="AE103" s="22" t="str">
        <f>IFERROR(INDEX(TableWRCalcPts[PLAYER],MATCH(TableWRRanks32[[#This Row],[RK]],TableWRCalcPts[RK],0)),"")</f>
        <v>James Proche</v>
      </c>
      <c r="AF103" s="22" t="str">
        <f>IFERROR(INDEX(TableWRCalcPts[TM],MATCH(TableWRRanks32[[#This Row],[Player]],TableWRCalcPts[PLAYER],0)),"")</f>
        <v>BAL</v>
      </c>
      <c r="AG103" s="22">
        <f>IFERROR(INDEX(TableWRCalcPts[BYE],MATCH(TableWRRanks32[[#This Row],[RK]],TableWRCalcPts[RK],0)),"")</f>
        <v>10</v>
      </c>
      <c r="AH103" s="279">
        <f>VLOOKUP(TableWRRanks32[[#This Row],[Player]],WR!B:O,4,FALSE)</f>
        <v>0</v>
      </c>
      <c r="AI103" s="279">
        <f>VLOOKUP(TableWRRanks32[[#This Row],[Player]],WR!B:O,5,FALSE)</f>
        <v>0</v>
      </c>
      <c r="AJ103" s="279">
        <f>VLOOKUP(TableWRRanks32[[#This Row],[Player]],WR!B:O,6,FALSE)</f>
        <v>43.582740701689886</v>
      </c>
      <c r="AK103" s="279">
        <f>VLOOKUP(TableWRRanks32[[#This Row],[Player]],WR!B:O,7,FALSE)</f>
        <v>27.306526595660884</v>
      </c>
      <c r="AL103" s="279">
        <f>VLOOKUP(TableWRRanks32[[#This Row],[Player]],WR!B:O,8,FALSE)</f>
        <v>332.09363869022224</v>
      </c>
      <c r="AM103" s="279">
        <f>VLOOKUP(TableWRRanks32[[#This Row],[Player]],WR!B:O,9,FALSE)</f>
        <v>2.1572156010572097</v>
      </c>
      <c r="AN103" s="272">
        <f>IFERROR(INDEX(TableWRCalcPts[Custom],MATCH(TableWRRanks32[[#This Row],[RK]],TableWRCalcPts[RK],0)),"")</f>
        <v>46.152657475365487</v>
      </c>
      <c r="AO10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4" spans="16:52" x14ac:dyDescent="0.3">
      <c r="P104" s="22">
        <v>103</v>
      </c>
      <c r="Q104" s="22" t="str">
        <f>IFERROR(INDEX(TableRBCalcPts[PLAYER],MATCH(TableRBRanks31[[#This Row],[RK]],TableRBCalcPts[RK],0)),"")</f>
        <v>Kevin Harris</v>
      </c>
      <c r="R104" s="22" t="str">
        <f>IFERROR(INDEX(TableRBCalcPts[TM],MATCH(TableRBRanks31[[#This Row],[Player]],TableRBCalcPts[PLAYER],0)),"")</f>
        <v>NE</v>
      </c>
      <c r="S104" s="22">
        <f>IFERROR(INDEX(TableRBCalcPts[BYE],MATCH(TableRBRanks31[[#This Row],[RK]],TableRBCalcPts[RK],0)),"")</f>
        <v>10</v>
      </c>
      <c r="T104" s="279">
        <f>VLOOKUP(TableRBRanks31[[#This Row],[Player]],RB!B:O,4,FALSE)</f>
        <v>19.027785752006672</v>
      </c>
      <c r="U104" s="279">
        <f>VLOOKUP(TableRBRanks31[[#This Row],[Player]],RB!B:O,5,FALSE)</f>
        <v>83.722257308829356</v>
      </c>
      <c r="V104" s="279">
        <f>VLOOKUP(TableRBRanks31[[#This Row],[Player]],RB!B:O,6,FALSE)</f>
        <v>0.76879942432350179</v>
      </c>
      <c r="W104" s="279">
        <f>VLOOKUP(TableRBRanks31[[#This Row],[Player]],RB!B:O,7,FALSE)</f>
        <v>0.47245298843948003</v>
      </c>
      <c r="X104" s="279">
        <f>VLOOKUP(TableRBRanks31[[#This Row],[Player]],RB!B:O,8,FALSE)</f>
        <v>0.30940946212901549</v>
      </c>
      <c r="Y104" s="279">
        <f>VLOOKUP(TableRBRanks31[[#This Row],[Player]],RB!B:O,9,FALSE)</f>
        <v>2.1528840197088837</v>
      </c>
      <c r="Z104" s="279">
        <f>VLOOKUP(TableRBRanks31[[#This Row],[Player]],RB!B:O,10,FALSE)</f>
        <v>0</v>
      </c>
      <c r="AA104" s="272">
        <f>IFERROR(INDEX(TableRBCalcPts[Custom],MATCH(TableRBRanks31[[#This Row],[RK]],TableRBCalcPts[RK],0)),"")</f>
        <v>13.200310678794835</v>
      </c>
      <c r="AB10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4" s="22">
        <v>103</v>
      </c>
      <c r="AE104" s="274" t="str">
        <f>IFERROR(INDEX(TableWRCalcPts[PLAYER],MATCH(TableWRRanks32[[#This Row],[RK]],TableWRCalcPts[RK],0)),"")</f>
        <v>Braxton Berrios</v>
      </c>
      <c r="AF104" s="22" t="str">
        <f>IFERROR(INDEX(TableWRCalcPts[TM],MATCH(TableWRRanks32[[#This Row],[Player]],TableWRCalcPts[PLAYER],0)),"")</f>
        <v>NYJ</v>
      </c>
      <c r="AG104" s="22">
        <f>IFERROR(INDEX(TableWRCalcPts[BYE],MATCH(TableWRRanks32[[#This Row],[RK]],TableWRCalcPts[RK],0)),"")</f>
        <v>10</v>
      </c>
      <c r="AH104" s="279">
        <f>VLOOKUP(TableWRRanks32[[#This Row],[Player]],WR!B:O,4,FALSE)</f>
        <v>54.933532225702571</v>
      </c>
      <c r="AI104" s="279">
        <f>VLOOKUP(TableWRRanks32[[#This Row],[Player]],WR!B:O,5,FALSE)</f>
        <v>0.6138443912871816</v>
      </c>
      <c r="AJ104" s="279">
        <f>VLOOKUP(TableWRRanks32[[#This Row],[Player]],WR!B:O,6,FALSE)</f>
        <v>42.978832115603055</v>
      </c>
      <c r="AK104" s="279">
        <f>VLOOKUP(TableWRRanks32[[#This Row],[Player]],WR!B:O,7,FALSE)</f>
        <v>27.134872061922657</v>
      </c>
      <c r="AL104" s="279">
        <f>VLOOKUP(TableWRRanks32[[#This Row],[Player]],WR!B:O,8,FALSE)</f>
        <v>276.65882215180739</v>
      </c>
      <c r="AM104" s="279">
        <f>VLOOKUP(TableWRRanks32[[#This Row],[Player]],WR!B:O,9,FALSE)</f>
        <v>1.4641643052148567</v>
      </c>
      <c r="AN104" s="272">
        <f>IFERROR(INDEX(TableWRCalcPts[Custom],MATCH(TableWRRanks32[[#This Row],[RK]],TableWRCalcPts[RK],0)),"")</f>
        <v>45.627287616763233</v>
      </c>
      <c r="AO10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5" spans="16:52" x14ac:dyDescent="0.3">
      <c r="P105" s="22">
        <v>104</v>
      </c>
      <c r="Q105" s="22" t="str">
        <f>IFERROR(INDEX(TableRBCalcPts[PLAYER],MATCH(TableRBRanks31[[#This Row],[RK]],TableRBCalcPts[RK],0)),"")</f>
        <v>Ty Chandler</v>
      </c>
      <c r="R105" s="22" t="str">
        <f>IFERROR(INDEX(TableRBCalcPts[TM],MATCH(TableRBRanks31[[#This Row],[Player]],TableRBCalcPts[PLAYER],0)),"")</f>
        <v>MIN</v>
      </c>
      <c r="S105" s="22">
        <f>IFERROR(INDEX(TableRBCalcPts[BYE],MATCH(TableRBRanks31[[#This Row],[RK]],TableRBCalcPts[RK],0)),"")</f>
        <v>7</v>
      </c>
      <c r="T105" s="279">
        <f>VLOOKUP(TableRBRanks31[[#This Row],[Player]],RB!B:O,4,FALSE)</f>
        <v>17.579252589067522</v>
      </c>
      <c r="U105" s="279">
        <f>VLOOKUP(TableRBRanks31[[#This Row],[Player]],RB!B:O,5,FALSE)</f>
        <v>78.520661564501594</v>
      </c>
      <c r="V105" s="279">
        <f>VLOOKUP(TableRBRanks31[[#This Row],[Player]],RB!B:O,6,FALSE)</f>
        <v>0.61878969113517679</v>
      </c>
      <c r="W105" s="279">
        <f>VLOOKUP(TableRBRanks31[[#This Row],[Player]],RB!B:O,7,FALSE)</f>
        <v>2.578398631182373</v>
      </c>
      <c r="X105" s="279">
        <f>VLOOKUP(TableRBRanks31[[#This Row],[Player]],RB!B:O,8,FALSE)</f>
        <v>1.8102936789531439</v>
      </c>
      <c r="Y105" s="279">
        <f>VLOOKUP(TableRBRanks31[[#This Row],[Player]],RB!B:O,9,FALSE)</f>
        <v>15.561562971001065</v>
      </c>
      <c r="Z105" s="279">
        <f>VLOOKUP(TableRBRanks31[[#This Row],[Player]],RB!B:O,10,FALSE)</f>
        <v>0</v>
      </c>
      <c r="AA105" s="272">
        <f>IFERROR(INDEX(TableRBCalcPts[Custom],MATCH(TableRBRanks31[[#This Row],[RK]],TableRBCalcPts[RK],0)),"")</f>
        <v>13.120960600361327</v>
      </c>
      <c r="AB10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5" s="274">
        <v>104</v>
      </c>
      <c r="AE105" s="22" t="str">
        <f>IFERROR(INDEX(TableWRCalcPts[PLAYER],MATCH(TableWRRanks32[[#This Row],[RK]],TableWRCalcPts[RK],0)),"")</f>
        <v>Jauan Jennings</v>
      </c>
      <c r="AF105" s="22" t="str">
        <f>IFERROR(INDEX(TableWRCalcPts[TM],MATCH(TableWRRanks32[[#This Row],[Player]],TableWRCalcPts[PLAYER],0)),"")</f>
        <v>SF</v>
      </c>
      <c r="AG105" s="22">
        <f>IFERROR(INDEX(TableWRCalcPts[BYE],MATCH(TableWRRanks32[[#This Row],[RK]],TableWRCalcPts[RK],0)),"")</f>
        <v>9</v>
      </c>
      <c r="AH105" s="279">
        <f>VLOOKUP(TableWRRanks32[[#This Row],[Player]],WR!B:O,4,FALSE)</f>
        <v>0</v>
      </c>
      <c r="AI105" s="279">
        <f>VLOOKUP(TableWRRanks32[[#This Row],[Player]],WR!B:O,5,FALSE)</f>
        <v>0</v>
      </c>
      <c r="AJ105" s="279">
        <f>VLOOKUP(TableWRRanks32[[#This Row],[Player]],WR!B:O,6,FALSE)</f>
        <v>44.395756732684987</v>
      </c>
      <c r="AK105" s="279">
        <f>VLOOKUP(TableWRRanks32[[#This Row],[Player]],WR!B:O,7,FALSE)</f>
        <v>25.682945269858266</v>
      </c>
      <c r="AL105" s="279">
        <f>VLOOKUP(TableWRRanks32[[#This Row],[Player]],WR!B:O,8,FALSE)</f>
        <v>283.28288632653664</v>
      </c>
      <c r="AM105" s="279">
        <f>VLOOKUP(TableWRRanks32[[#This Row],[Player]],WR!B:O,9,FALSE)</f>
        <v>2.4980036973935538</v>
      </c>
      <c r="AN105" s="272">
        <f>IFERROR(INDEX(TableWRCalcPts[Custom],MATCH(TableWRRanks32[[#This Row],[RK]],TableWRCalcPts[RK],0)),"")</f>
        <v>43.316310817014994</v>
      </c>
      <c r="AO10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6" spans="16:52" x14ac:dyDescent="0.3">
      <c r="P106" s="22">
        <v>105</v>
      </c>
      <c r="Q106" s="22" t="str">
        <f>IFERROR(INDEX(TableRBCalcPts[PLAYER],MATCH(TableRBRanks31[[#This Row],[RK]],TableRBCalcPts[RK],0)),"")</f>
        <v>Kylin Hill</v>
      </c>
      <c r="R106" s="22" t="str">
        <f>IFERROR(INDEX(TableRBCalcPts[TM],MATCH(TableRBRanks31[[#This Row],[Player]],TableRBCalcPts[PLAYER],0)),"")</f>
        <v>GB</v>
      </c>
      <c r="S106" s="22">
        <f>IFERROR(INDEX(TableRBCalcPts[BYE],MATCH(TableRBRanks31[[#This Row],[RK]],TableRBCalcPts[RK],0)),"")</f>
        <v>14</v>
      </c>
      <c r="T106" s="279">
        <f>VLOOKUP(TableRBRanks31[[#This Row],[Player]],RB!B:O,4,FALSE)</f>
        <v>19.29820162896695</v>
      </c>
      <c r="U106" s="279">
        <f>VLOOKUP(TableRBRanks31[[#This Row],[Player]],RB!B:O,5,FALSE)</f>
        <v>73.912112238943422</v>
      </c>
      <c r="V106" s="279">
        <f>VLOOKUP(TableRBRanks31[[#This Row],[Player]],RB!B:O,6,FALSE)</f>
        <v>0.35682602665469892</v>
      </c>
      <c r="W106" s="279">
        <f>VLOOKUP(TableRBRanks31[[#This Row],[Player]],RB!B:O,7,FALSE)</f>
        <v>5.9250538999999973</v>
      </c>
      <c r="X106" s="279">
        <f>VLOOKUP(TableRBRanks31[[#This Row],[Player]],RB!B:O,8,FALSE)</f>
        <v>3.9816362207999982</v>
      </c>
      <c r="Y106" s="279">
        <f>VLOOKUP(TableRBRanks31[[#This Row],[Player]],RB!B:O,9,FALSE)</f>
        <v>31.335477057695986</v>
      </c>
      <c r="Z106" s="279">
        <f>VLOOKUP(TableRBRanks31[[#This Row],[Player]],RB!B:O,10,FALSE)</f>
        <v>2.05387198019189E-2</v>
      </c>
      <c r="AA106" s="272">
        <f>IFERROR(INDEX(TableRBCalcPts[Custom],MATCH(TableRBRanks31[[#This Row],[RK]],TableRBCalcPts[RK],0)),"")</f>
        <v>12.788947408403649</v>
      </c>
      <c r="AB10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6" s="22">
        <v>105</v>
      </c>
      <c r="AE106" s="274" t="str">
        <f>IFERROR(INDEX(TableWRCalcPts[PLAYER],MATCH(TableWRRanks32[[#This Row],[RK]],TableWRCalcPts[RK],0)),"")</f>
        <v>Anthony Schwartz</v>
      </c>
      <c r="AF106" s="22" t="str">
        <f>IFERROR(INDEX(TableWRCalcPts[TM],MATCH(TableWRRanks32[[#This Row],[Player]],TableWRCalcPts[PLAYER],0)),"")</f>
        <v>CLE</v>
      </c>
      <c r="AG106" s="22">
        <f>IFERROR(INDEX(TableWRCalcPts[BYE],MATCH(TableWRRanks32[[#This Row],[RK]],TableWRCalcPts[RK],0)),"")</f>
        <v>9</v>
      </c>
      <c r="AH106" s="279">
        <f>VLOOKUP(TableWRRanks32[[#This Row],[Player]],WR!B:O,4,FALSE)</f>
        <v>17.429855999901427</v>
      </c>
      <c r="AI106" s="279">
        <f>VLOOKUP(TableWRRanks32[[#This Row],[Player]],WR!B:O,5,FALSE)</f>
        <v>6.6653369024479658E-2</v>
      </c>
      <c r="AJ106" s="279">
        <f>VLOOKUP(TableWRRanks32[[#This Row],[Player]],WR!B:O,6,FALSE)</f>
        <v>40.396391235644117</v>
      </c>
      <c r="AK106" s="279">
        <f>VLOOKUP(TableWRRanks32[[#This Row],[Player]],WR!B:O,7,FALSE)</f>
        <v>24.197438350150826</v>
      </c>
      <c r="AL106" s="279">
        <f>VLOOKUP(TableWRRanks32[[#This Row],[Player]],WR!B:O,8,FALSE)</f>
        <v>286.49767006578577</v>
      </c>
      <c r="AM106" s="279">
        <f>VLOOKUP(TableWRRanks32[[#This Row],[Player]],WR!B:O,9,FALSE)</f>
        <v>1.9357950680120661</v>
      </c>
      <c r="AN106" s="272">
        <f>IFERROR(INDEX(TableWRCalcPts[Custom],MATCH(TableWRRanks32[[#This Row],[RK]],TableWRCalcPts[RK],0)),"")</f>
        <v>42.407443228787997</v>
      </c>
      <c r="AO10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7" spans="16:52" x14ac:dyDescent="0.3">
      <c r="P107" s="22">
        <v>106</v>
      </c>
      <c r="Q107" s="22" t="str">
        <f>IFERROR(INDEX(TableRBCalcPts[PLAYER],MATCH(TableRBRanks31[[#This Row],[RK]],TableRBCalcPts[RK],0)),"")</f>
        <v>Tyler Badie</v>
      </c>
      <c r="R107" s="22" t="str">
        <f>IFERROR(INDEX(TableRBCalcPts[TM],MATCH(TableRBRanks31[[#This Row],[Player]],TableRBCalcPts[PLAYER],0)),"")</f>
        <v>BAL</v>
      </c>
      <c r="S107" s="22">
        <f>IFERROR(INDEX(TableRBCalcPts[BYE],MATCH(TableRBRanks31[[#This Row],[RK]],TableRBCalcPts[RK],0)),"")</f>
        <v>10</v>
      </c>
      <c r="T107" s="279">
        <f>VLOOKUP(TableRBRanks31[[#This Row],[Player]],RB!B:O,4,FALSE)</f>
        <v>10.346089009904771</v>
      </c>
      <c r="U107" s="279">
        <f>VLOOKUP(TableRBRanks31[[#This Row],[Player]],RB!B:O,5,FALSE)</f>
        <v>44.902026302986705</v>
      </c>
      <c r="V107" s="279">
        <f>VLOOKUP(TableRBRanks31[[#This Row],[Player]],RB!B:O,6,FALSE)</f>
        <v>0.24934074513870499</v>
      </c>
      <c r="W107" s="279">
        <f>VLOOKUP(TableRBRanks31[[#This Row],[Player]],RB!B:O,7,FALSE)</f>
        <v>10.367788187367013</v>
      </c>
      <c r="X107" s="279">
        <f>VLOOKUP(TableRBRanks31[[#This Row],[Player]],RB!B:O,8,FALSE)</f>
        <v>6.9671536619106336</v>
      </c>
      <c r="Y107" s="279">
        <f>VLOOKUP(TableRBRanks31[[#This Row],[Player]],RB!B:O,9,FALSE)</f>
        <v>56.294601588237917</v>
      </c>
      <c r="Z107" s="279">
        <f>VLOOKUP(TableRBRanks31[[#This Row],[Player]],RB!B:O,10,FALSE)</f>
        <v>0.16024453422394458</v>
      </c>
      <c r="AA107" s="272">
        <f>IFERROR(INDEX(TableRBCalcPts[Custom],MATCH(TableRBRanks31[[#This Row],[RK]],TableRBCalcPts[RK],0)),"")</f>
        <v>12.577174465298361</v>
      </c>
      <c r="AB10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7" s="22">
        <v>106</v>
      </c>
      <c r="AE107" s="274" t="str">
        <f>IFERROR(INDEX(TableWRCalcPts[PLAYER],MATCH(TableWRRanks32[[#This Row],[RK]],TableWRCalcPts[RK],0)),"")</f>
        <v>Laviska Shenault</v>
      </c>
      <c r="AF107" s="22" t="str">
        <f>IFERROR(INDEX(TableWRCalcPts[TM],MATCH(TableWRRanks32[[#This Row],[Player]],TableWRCalcPts[PLAYER],0)),"")</f>
        <v>JAX</v>
      </c>
      <c r="AG107" s="22">
        <f>IFERROR(INDEX(TableWRCalcPts[BYE],MATCH(TableWRRanks32[[#This Row],[RK]],TableWRCalcPts[RK],0)),"")</f>
        <v>11</v>
      </c>
      <c r="AH107" s="279">
        <f>VLOOKUP(TableWRRanks32[[#This Row],[Player]],WR!B:O,4,FALSE)</f>
        <v>38.519760036697939</v>
      </c>
      <c r="AI107" s="279">
        <f>VLOOKUP(TableWRRanks32[[#This Row],[Player]],WR!B:O,5,FALSE)</f>
        <v>2.4992382879396046E-2</v>
      </c>
      <c r="AJ107" s="279">
        <f>VLOOKUP(TableWRRanks32[[#This Row],[Player]],WR!B:O,6,FALSE)</f>
        <v>41.905205968948138</v>
      </c>
      <c r="AK107" s="279">
        <f>VLOOKUP(TableWRRanks32[[#This Row],[Player]],WR!B:O,7,FALSE)</f>
        <v>26.421232363421797</v>
      </c>
      <c r="AL107" s="279">
        <f>VLOOKUP(TableWRRanks32[[#This Row],[Player]],WR!B:O,8,FALSE)</f>
        <v>280.10107807318406</v>
      </c>
      <c r="AM107" s="279">
        <f>VLOOKUP(TableWRRanks32[[#This Row],[Player]],WR!B:O,9,FALSE)</f>
        <v>1.4003253152613553</v>
      </c>
      <c r="AN107" s="272">
        <f>IFERROR(INDEX(TableWRCalcPts[Custom],MATCH(TableWRRanks32[[#This Row],[RK]],TableWRCalcPts[RK],0)),"")</f>
        <v>40.413989999832708</v>
      </c>
      <c r="AO10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8" spans="16:52" x14ac:dyDescent="0.3">
      <c r="P108" s="22">
        <v>107</v>
      </c>
      <c r="Q108" s="22" t="str">
        <f>IFERROR(INDEX(TableRBCalcPts[PLAYER],MATCH(TableRBRanks31[[#This Row],[RK]],TableRBCalcPts[RK],0)),"")</f>
        <v>Craig Reynolds</v>
      </c>
      <c r="R108" s="22" t="str">
        <f>IFERROR(INDEX(TableRBCalcPts[TM],MATCH(TableRBRanks31[[#This Row],[Player]],TableRBCalcPts[PLAYER],0)),"")</f>
        <v>DET</v>
      </c>
      <c r="S108" s="22">
        <f>IFERROR(INDEX(TableRBCalcPts[BYE],MATCH(TableRBRanks31[[#This Row],[RK]],TableRBCalcPts[RK],0)),"")</f>
        <v>6</v>
      </c>
      <c r="T108" s="279">
        <f>VLOOKUP(TableRBRanks31[[#This Row],[Player]],RB!B:O,4,FALSE)</f>
        <v>12.439053501507566</v>
      </c>
      <c r="U108" s="279">
        <f>VLOOKUP(TableRBRanks31[[#This Row],[Player]],RB!B:O,5,FALSE)</f>
        <v>52.308398780327643</v>
      </c>
      <c r="V108" s="279">
        <f>VLOOKUP(TableRBRanks31[[#This Row],[Player]],RB!B:O,6,FALSE)</f>
        <v>0.39680580669809129</v>
      </c>
      <c r="W108" s="279">
        <f>VLOOKUP(TableRBRanks31[[#This Row],[Player]],RB!B:O,7,FALSE)</f>
        <v>6.9562966666373534</v>
      </c>
      <c r="X108" s="279">
        <f>VLOOKUP(TableRBRanks31[[#This Row],[Player]],RB!B:O,8,FALSE)</f>
        <v>4.8812333709794311</v>
      </c>
      <c r="Y108" s="279">
        <f>VLOOKUP(TableRBRanks31[[#This Row],[Player]],RB!B:O,9,FALSE)</f>
        <v>31.927680970864817</v>
      </c>
      <c r="Z108" s="279">
        <f>VLOOKUP(TableRBRanks31[[#This Row],[Player]],RB!B:O,10,FALSE)</f>
        <v>0.12820644154842109</v>
      </c>
      <c r="AA108" s="272">
        <f>IFERROR(INDEX(TableRBCalcPts[Custom],MATCH(TableRBRanks31[[#This Row],[RK]],TableRBCalcPts[RK],0)),"")</f>
        <v>11.573681464598321</v>
      </c>
      <c r="AB10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8" s="274">
        <v>107</v>
      </c>
      <c r="AE108" s="274" t="str">
        <f>IFERROR(INDEX(TableWRCalcPts[PLAYER],MATCH(TableWRRanks32[[#This Row],[RK]],TableWRCalcPts[RK],0)),"")</f>
        <v>Calvin Austin</v>
      </c>
      <c r="AF108" s="22" t="str">
        <f>IFERROR(INDEX(TableWRCalcPts[TM],MATCH(TableWRRanks32[[#This Row],[Player]],TableWRCalcPts[PLAYER],0)),"")</f>
        <v>PIT</v>
      </c>
      <c r="AG108" s="22">
        <f>IFERROR(INDEX(TableWRCalcPts[BYE],MATCH(TableWRRanks32[[#This Row],[RK]],TableWRCalcPts[RK],0)),"")</f>
        <v>9</v>
      </c>
      <c r="AH108" s="279">
        <f>VLOOKUP(TableWRRanks32[[#This Row],[Player]],WR!B:O,4,FALSE)</f>
        <v>0</v>
      </c>
      <c r="AI108" s="279">
        <f>VLOOKUP(TableWRRanks32[[#This Row],[Player]],WR!B:O,5,FALSE)</f>
        <v>0</v>
      </c>
      <c r="AJ108" s="279">
        <f>VLOOKUP(TableWRRanks32[[#This Row],[Player]],WR!B:O,6,FALSE)</f>
        <v>44.86639874321547</v>
      </c>
      <c r="AK108" s="279">
        <f>VLOOKUP(TableWRRanks32[[#This Row],[Player]],WR!B:O,7,FALSE)</f>
        <v>29.194565662210305</v>
      </c>
      <c r="AL108" s="279">
        <f>VLOOKUP(TableWRRanks32[[#This Row],[Player]],WR!B:O,8,FALSE)</f>
        <v>310.99609191978112</v>
      </c>
      <c r="AM108" s="279">
        <f>VLOOKUP(TableWRRanks32[[#This Row],[Player]],WR!B:O,9,FALSE)</f>
        <v>1.255366323475043</v>
      </c>
      <c r="AN108" s="272">
        <f>IFERROR(INDEX(TableWRCalcPts[Custom],MATCH(TableWRRanks32[[#This Row],[RK]],TableWRCalcPts[RK],0)),"")</f>
        <v>38.631807132828371</v>
      </c>
      <c r="AO10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09" spans="16:52" x14ac:dyDescent="0.3">
      <c r="P109" s="22">
        <v>108</v>
      </c>
      <c r="Q109" s="22" t="str">
        <f>IFERROR(INDEX(TableRBCalcPts[PLAYER],MATCH(TableRBRanks31[[#This Row],[RK]],TableRBCalcPts[RK],0)),"")</f>
        <v>Travis Homer</v>
      </c>
      <c r="R109" s="22" t="str">
        <f>IFERROR(INDEX(TableRBCalcPts[TM],MATCH(TableRBRanks31[[#This Row],[Player]],TableRBCalcPts[PLAYER],0)),"")</f>
        <v>SEA</v>
      </c>
      <c r="S109" s="22">
        <f>IFERROR(INDEX(TableRBCalcPts[BYE],MATCH(TableRBRanks31[[#This Row],[RK]],TableRBCalcPts[RK],0)),"")</f>
        <v>11</v>
      </c>
      <c r="T109" s="279">
        <f>VLOOKUP(TableRBRanks31[[#This Row],[Player]],RB!B:O,4,FALSE)</f>
        <v>12.686840117893686</v>
      </c>
      <c r="U109" s="279">
        <f>VLOOKUP(TableRBRanks31[[#This Row],[Player]],RB!B:O,5,FALSE)</f>
        <v>71.934383468457199</v>
      </c>
      <c r="V109" s="279">
        <f>VLOOKUP(TableRBRanks31[[#This Row],[Player]],RB!B:O,6,FALSE)</f>
        <v>0.20010788829485313</v>
      </c>
      <c r="W109" s="279">
        <f>VLOOKUP(TableRBRanks31[[#This Row],[Player]],RB!B:O,7,FALSE)</f>
        <v>5.8411922251206239</v>
      </c>
      <c r="X109" s="279">
        <f>VLOOKUP(TableRBRanks31[[#This Row],[Player]],RB!B:O,8,FALSE)</f>
        <v>4.0993487035896541</v>
      </c>
      <c r="Y109" s="279">
        <f>VLOOKUP(TableRBRanks31[[#This Row],[Player]],RB!B:O,9,FALSE)</f>
        <v>31.22815955091227</v>
      </c>
      <c r="Z109" s="279">
        <f>VLOOKUP(TableRBRanks31[[#This Row],[Player]],RB!B:O,10,FALSE)</f>
        <v>0</v>
      </c>
      <c r="AA109" s="272">
        <f>IFERROR(INDEX(TableRBCalcPts[Custom],MATCH(TableRBRanks31[[#This Row],[RK]],TableRBCalcPts[RK],0)),"")</f>
        <v>11.516901631706066</v>
      </c>
      <c r="AB10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09" s="22">
        <v>108</v>
      </c>
      <c r="AE109" s="22" t="str">
        <f>IFERROR(INDEX(TableWRCalcPts[PLAYER],MATCH(TableWRRanks32[[#This Row],[RK]],TableWRCalcPts[RK],0)),"")</f>
        <v>Demarcus Robinson</v>
      </c>
      <c r="AF109" s="22" t="str">
        <f>IFERROR(INDEX(TableWRCalcPts[TM],MATCH(TableWRRanks32[[#This Row],[Player]],TableWRCalcPts[PLAYER],0)),"")</f>
        <v>LV</v>
      </c>
      <c r="AG109" s="22">
        <f>IFERROR(INDEX(TableWRCalcPts[BYE],MATCH(TableWRRanks32[[#This Row],[RK]],TableWRCalcPts[RK],0)),"")</f>
        <v>6</v>
      </c>
      <c r="AH109" s="279">
        <f>VLOOKUP(TableWRRanks32[[#This Row],[Player]],WR!B:O,4,FALSE)</f>
        <v>0</v>
      </c>
      <c r="AI109" s="279">
        <f>VLOOKUP(TableWRRanks32[[#This Row],[Player]],WR!B:O,5,FALSE)</f>
        <v>0</v>
      </c>
      <c r="AJ109" s="279">
        <f>VLOOKUP(TableWRRanks32[[#This Row],[Player]],WR!B:O,6,FALSE)</f>
        <v>35.279356559999989</v>
      </c>
      <c r="AK109" s="279">
        <f>VLOOKUP(TableWRRanks32[[#This Row],[Player]],WR!B:O,7,FALSE)</f>
        <v>18.878375688106662</v>
      </c>
      <c r="AL109" s="279">
        <f>VLOOKUP(TableWRRanks32[[#This Row],[Player]],WR!B:O,8,FALSE)</f>
        <v>248.8169915692458</v>
      </c>
      <c r="AM109" s="279">
        <f>VLOOKUP(TableWRRanks32[[#This Row],[Player]],WR!B:O,9,FALSE)</f>
        <v>1.7402032614283327</v>
      </c>
      <c r="AN109" s="272">
        <f>IFERROR(INDEX(TableWRCalcPts[Custom],MATCH(TableWRRanks32[[#This Row],[RK]],TableWRCalcPts[RK],0)),"")</f>
        <v>35.322918725494581</v>
      </c>
      <c r="AO10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0" spans="16:52" x14ac:dyDescent="0.3">
      <c r="P110" s="22">
        <v>109</v>
      </c>
      <c r="Q110" s="22" t="str">
        <f>IFERROR(INDEX(TableRBCalcPts[PLAYER],MATCH(TableRBRanks31[[#This Row],[RK]],TableRBCalcPts[RK],0)),"")</f>
        <v>Qadree Ollison</v>
      </c>
      <c r="R110" s="22" t="str">
        <f>IFERROR(INDEX(TableRBCalcPts[TM],MATCH(TableRBRanks31[[#This Row],[Player]],TableRBCalcPts[PLAYER],0)),"")</f>
        <v>ATL</v>
      </c>
      <c r="S110" s="22">
        <f>IFERROR(INDEX(TableRBCalcPts[BYE],MATCH(TableRBRanks31[[#This Row],[RK]],TableRBCalcPts[RK],0)),"")</f>
        <v>14</v>
      </c>
      <c r="T110" s="279">
        <f>VLOOKUP(TableRBRanks31[[#This Row],[Player]],RB!B:O,4,FALSE)</f>
        <v>14.579326212171415</v>
      </c>
      <c r="U110" s="279">
        <f>VLOOKUP(TableRBRanks31[[#This Row],[Player]],RB!B:O,5,FALSE)</f>
        <v>55.6930261304948</v>
      </c>
      <c r="V110" s="279">
        <f>VLOOKUP(TableRBRanks31[[#This Row],[Player]],RB!B:O,6,FALSE)</f>
        <v>0.27846513065247402</v>
      </c>
      <c r="W110" s="279">
        <f>VLOOKUP(TableRBRanks31[[#This Row],[Player]],RB!B:O,7,FALSE)</f>
        <v>8.4173188265843155</v>
      </c>
      <c r="X110" s="279">
        <f>VLOOKUP(TableRBRanks31[[#This Row],[Player]],RB!B:O,8,FALSE)</f>
        <v>5.7254602658426519</v>
      </c>
      <c r="Y110" s="279">
        <f>VLOOKUP(TableRBRanks31[[#This Row],[Player]],RB!B:O,9,FALSE)</f>
        <v>40.543552180190538</v>
      </c>
      <c r="Z110" s="279">
        <f>VLOOKUP(TableRBRanks31[[#This Row],[Player]],RB!B:O,10,FALSE)</f>
        <v>3.2158280531580839E-2</v>
      </c>
      <c r="AA110" s="272">
        <f>IFERROR(INDEX(TableRBCalcPts[Custom],MATCH(TableRBRanks31[[#This Row],[RK]],TableRBCalcPts[RK],0)),"")</f>
        <v>11.487398298172863</v>
      </c>
      <c r="AB11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0" s="22">
        <v>109</v>
      </c>
      <c r="AE110" s="22" t="str">
        <f>IFERROR(INDEX(TableWRCalcPts[PLAYER],MATCH(TableWRRanks32[[#This Row],[RK]],TableWRCalcPts[RK],0)),"")</f>
        <v>Marquez Callaway</v>
      </c>
      <c r="AF110" s="22" t="str">
        <f>IFERROR(INDEX(TableWRCalcPts[TM],MATCH(TableWRRanks32[[#This Row],[Player]],TableWRCalcPts[PLAYER],0)),"")</f>
        <v>NO</v>
      </c>
      <c r="AG110" s="22">
        <f>IFERROR(INDEX(TableWRCalcPts[BYE],MATCH(TableWRRanks32[[#This Row],[RK]],TableWRCalcPts[RK],0)),"")</f>
        <v>14</v>
      </c>
      <c r="AH110" s="279">
        <f>VLOOKUP(TableWRRanks32[[#This Row],[Player]],WR!B:O,4,FALSE)</f>
        <v>6.7235189268416606</v>
      </c>
      <c r="AI110" s="279">
        <f>VLOOKUP(TableWRRanks32[[#This Row],[Player]],WR!B:O,5,FALSE)</f>
        <v>4.9988988303655481E-2</v>
      </c>
      <c r="AJ110" s="279">
        <f>VLOOKUP(TableWRRanks32[[#This Row],[Player]],WR!B:O,6,FALSE)</f>
        <v>30.320449256246494</v>
      </c>
      <c r="AK110" s="279">
        <f>VLOOKUP(TableWRRanks32[[#This Row],[Player]],WR!B:O,7,FALSE)</f>
        <v>17.622245107730464</v>
      </c>
      <c r="AL110" s="279">
        <f>VLOOKUP(TableWRRanks32[[#This Row],[Player]],WR!B:O,8,FALSE)</f>
        <v>262.74767455626125</v>
      </c>
      <c r="AM110" s="279">
        <f>VLOOKUP(TableWRRanks32[[#This Row],[Player]],WR!B:O,9,FALSE)</f>
        <v>1.3040461379720543</v>
      </c>
      <c r="AN110" s="272">
        <f>IFERROR(INDEX(TableWRCalcPts[Custom],MATCH(TableWRRanks32[[#This Row],[RK]],TableWRCalcPts[RK],0)),"")</f>
        <v>35.071330105964549</v>
      </c>
      <c r="AO11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1" spans="16:52" x14ac:dyDescent="0.3">
      <c r="P111" s="22">
        <v>110</v>
      </c>
      <c r="Q111" s="22" t="str">
        <f>IFERROR(INDEX(TableRBCalcPts[PLAYER],MATCH(TableRBRanks31[[#This Row],[RK]],TableRBCalcPts[RK],0)),"")</f>
        <v>Ty Johnson</v>
      </c>
      <c r="R111" s="22" t="str">
        <f>IFERROR(INDEX(TableRBCalcPts[TM],MATCH(TableRBRanks31[[#This Row],[Player]],TableRBCalcPts[PLAYER],0)),"")</f>
        <v>NYJ</v>
      </c>
      <c r="S111" s="22">
        <f>IFERROR(INDEX(TableRBCalcPts[BYE],MATCH(TableRBRanks31[[#This Row],[RK]],TableRBCalcPts[RK],0)),"")</f>
        <v>10</v>
      </c>
      <c r="T111" s="279">
        <f>VLOOKUP(TableRBRanks31[[#This Row],[Player]],RB!B:O,4,FALSE)</f>
        <v>9.5238424946514577</v>
      </c>
      <c r="U111" s="279">
        <f>VLOOKUP(TableRBRanks31[[#This Row],[Player]],RB!B:O,5,FALSE)</f>
        <v>37.9048931287128</v>
      </c>
      <c r="V111" s="279">
        <f>VLOOKUP(TableRBRanks31[[#This Row],[Player]],RB!B:O,6,FALSE)</f>
        <v>0.20571499788447151</v>
      </c>
      <c r="W111" s="279">
        <f>VLOOKUP(TableRBRanks31[[#This Row],[Player]],RB!B:O,7,FALSE)</f>
        <v>11.106651552418228</v>
      </c>
      <c r="X111" s="279">
        <f>VLOOKUP(TableRBRanks31[[#This Row],[Player]],RB!B:O,8,FALSE)</f>
        <v>7.079379699511378</v>
      </c>
      <c r="Y111" s="279">
        <f>VLOOKUP(TableRBRanks31[[#This Row],[Player]],RB!B:O,9,FALSE)</f>
        <v>56.635037596091024</v>
      </c>
      <c r="Z111" s="279">
        <f>VLOOKUP(TableRBRanks31[[#This Row],[Player]],RB!B:O,10,FALSE)</f>
        <v>0.1274288345912048</v>
      </c>
      <c r="AA111" s="272">
        <f>IFERROR(INDEX(TableRBCalcPts[Custom],MATCH(TableRBRanks31[[#This Row],[RK]],TableRBCalcPts[RK],0)),"")</f>
        <v>11.452856067334441</v>
      </c>
      <c r="AB11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1" s="274">
        <v>110</v>
      </c>
      <c r="AE111" s="22" t="str">
        <f>IFERROR(INDEX(TableWRCalcPts[PLAYER],MATCH(TableWRRanks32[[#This Row],[RK]],TableWRCalcPts[RK],0)),"")</f>
        <v>Quez Watkins</v>
      </c>
      <c r="AF111" s="22" t="str">
        <f>IFERROR(INDEX(TableWRCalcPts[TM],MATCH(TableWRRanks32[[#This Row],[Player]],TableWRCalcPts[PLAYER],0)),"")</f>
        <v>PHI</v>
      </c>
      <c r="AG111" s="22">
        <f>IFERROR(INDEX(TableWRCalcPts[BYE],MATCH(TableWRRanks32[[#This Row],[RK]],TableWRCalcPts[RK],0)),"")</f>
        <v>7</v>
      </c>
      <c r="AH111" s="279">
        <f>VLOOKUP(TableWRRanks32[[#This Row],[Player]],WR!B:O,4,FALSE)</f>
        <v>10.950343221574292</v>
      </c>
      <c r="AI111" s="279">
        <f>VLOOKUP(TableWRRanks32[[#This Row],[Player]],WR!B:O,5,FALSE)</f>
        <v>0</v>
      </c>
      <c r="AJ111" s="279">
        <f>VLOOKUP(TableWRRanks32[[#This Row],[Player]],WR!B:O,6,FALSE)</f>
        <v>31.933675768989708</v>
      </c>
      <c r="AK111" s="279">
        <f>VLOOKUP(TableWRRanks32[[#This Row],[Player]],WR!B:O,7,FALSE)</f>
        <v>19.11549831531724</v>
      </c>
      <c r="AL111" s="279">
        <f>VLOOKUP(TableWRRanks32[[#This Row],[Player]],WR!B:O,8,FALSE)</f>
        <v>259.4622265535088</v>
      </c>
      <c r="AM111" s="279">
        <f>VLOOKUP(TableWRRanks32[[#This Row],[Player]],WR!B:O,9,FALSE)</f>
        <v>1.1660453972343516</v>
      </c>
      <c r="AN111" s="272">
        <f>IFERROR(INDEX(TableWRCalcPts[Custom],MATCH(TableWRRanks32[[#This Row],[RK]],TableWRCalcPts[RK],0)),"")</f>
        <v>34.037529360914419</v>
      </c>
      <c r="AO11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2" spans="16:52" x14ac:dyDescent="0.3">
      <c r="P112" s="22">
        <v>111</v>
      </c>
      <c r="Q112" s="22" t="str">
        <f>IFERROR(INDEX(TableRBCalcPts[PLAYER],MATCH(TableRBRanks31[[#This Row],[RK]],TableRBCalcPts[RK],0)),"")</f>
        <v>DeeJay Dallas</v>
      </c>
      <c r="R112" s="22" t="str">
        <f>IFERROR(INDEX(TableRBCalcPts[TM],MATCH(TableRBRanks31[[#This Row],[Player]],TableRBCalcPts[PLAYER],0)),"")</f>
        <v>SEA</v>
      </c>
      <c r="S112" s="22">
        <f>IFERROR(INDEX(TableRBCalcPts[BYE],MATCH(TableRBRanks31[[#This Row],[RK]],TableRBCalcPts[RK],0)),"")</f>
        <v>11</v>
      </c>
      <c r="T112" s="279">
        <f>VLOOKUP(TableRBRanks31[[#This Row],[Player]],RB!B:O,4,FALSE)</f>
        <v>14.194986569342563</v>
      </c>
      <c r="U112" s="279">
        <f>VLOOKUP(TableRBRanks31[[#This Row],[Player]],RB!B:O,5,FALSE)</f>
        <v>57.986263330641059</v>
      </c>
      <c r="V112" s="279">
        <f>VLOOKUP(TableRBRanks31[[#This Row],[Player]],RB!B:O,6,FALSE)</f>
        <v>0.12506743018428321</v>
      </c>
      <c r="W112" s="279">
        <f>VLOOKUP(TableRBRanks31[[#This Row],[Player]],RB!B:O,7,FALSE)</f>
        <v>9.3106545010452351</v>
      </c>
      <c r="X112" s="279">
        <f>VLOOKUP(TableRBRanks31[[#This Row],[Player]],RB!B:O,8,FALSE)</f>
        <v>7.4531789280867109</v>
      </c>
      <c r="Y112" s="279">
        <f>VLOOKUP(TableRBRanks31[[#This Row],[Player]],RB!B:O,9,FALSE)</f>
        <v>45.669734146082341</v>
      </c>
      <c r="Z112" s="279">
        <f>VLOOKUP(TableRBRanks31[[#This Row],[Player]],RB!B:O,10,FALSE)</f>
        <v>3.8026423102483213E-2</v>
      </c>
      <c r="AA112" s="272">
        <f>IFERROR(INDEX(TableRBCalcPts[Custom],MATCH(TableRBRanks31[[#This Row],[RK]],TableRBCalcPts[RK],0)),"")</f>
        <v>11.344162867392939</v>
      </c>
      <c r="AB11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2" s="22">
        <v>111</v>
      </c>
      <c r="AE112" s="22" t="str">
        <f>IFERROR(INDEX(TableWRCalcPts[PLAYER],MATCH(TableWRRanks32[[#This Row],[RK]],TableWRCalcPts[RK],0)),"")</f>
        <v>Chris Conley</v>
      </c>
      <c r="AF112" s="22" t="str">
        <f>IFERROR(INDEX(TableWRCalcPts[TM],MATCH(TableWRRanks32[[#This Row],[Player]],TableWRCalcPts[PLAYER],0)),"")</f>
        <v>HOU</v>
      </c>
      <c r="AG112" s="22">
        <f>IFERROR(INDEX(TableWRCalcPts[BYE],MATCH(TableWRRanks32[[#This Row],[RK]],TableWRCalcPts[RK],0)),"")</f>
        <v>6</v>
      </c>
      <c r="AH112" s="279">
        <f>VLOOKUP(TableWRRanks32[[#This Row],[Player]],WR!B:O,4,FALSE)</f>
        <v>0</v>
      </c>
      <c r="AI112" s="279">
        <f>VLOOKUP(TableWRRanks32[[#This Row],[Player]],WR!B:O,5,FALSE)</f>
        <v>0</v>
      </c>
      <c r="AJ112" s="279">
        <f>VLOOKUP(TableWRRanks32[[#This Row],[Player]],WR!B:O,6,FALSE)</f>
        <v>31.136870836801645</v>
      </c>
      <c r="AK112" s="279">
        <f>VLOOKUP(TableWRRanks32[[#This Row],[Player]],WR!B:O,7,FALSE)</f>
        <v>18.93744484294276</v>
      </c>
      <c r="AL112" s="279">
        <f>VLOOKUP(TableWRRanks32[[#This Row],[Player]],WR!B:O,8,FALSE)</f>
        <v>249.18964118012795</v>
      </c>
      <c r="AM112" s="279">
        <f>VLOOKUP(TableWRRanks32[[#This Row],[Player]],WR!B:O,9,FALSE)</f>
        <v>1.2596805081103646</v>
      </c>
      <c r="AN112" s="272">
        <f>IFERROR(INDEX(TableWRCalcPts[Custom],MATCH(TableWRRanks32[[#This Row],[RK]],TableWRCalcPts[RK],0)),"")</f>
        <v>32.477047166674978</v>
      </c>
      <c r="AO11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3" spans="16:41" x14ac:dyDescent="0.3">
      <c r="P113" s="22">
        <v>112</v>
      </c>
      <c r="Q113" s="22" t="str">
        <f>IFERROR(INDEX(TableRBCalcPts[PLAYER],MATCH(TableRBRanks31[[#This Row],[RK]],TableRBCalcPts[RK],0)),"")</f>
        <v>Mike Boone</v>
      </c>
      <c r="R113" s="22" t="str">
        <f>IFERROR(INDEX(TableRBCalcPts[TM],MATCH(TableRBRanks31[[#This Row],[Player]],TableRBCalcPts[PLAYER],0)),"")</f>
        <v>DEN</v>
      </c>
      <c r="S113" s="22">
        <f>IFERROR(INDEX(TableRBCalcPts[BYE],MATCH(TableRBRanks31[[#This Row],[RK]],TableRBCalcPts[RK],0)),"")</f>
        <v>9</v>
      </c>
      <c r="T113" s="279">
        <f>VLOOKUP(TableRBRanks31[[#This Row],[Player]],RB!B:O,4,FALSE)</f>
        <v>16.053918440564701</v>
      </c>
      <c r="U113" s="279">
        <f>VLOOKUP(TableRBRanks31[[#This Row],[Player]],RB!B:O,5,FALSE)</f>
        <v>69.513466847645148</v>
      </c>
      <c r="V113" s="279">
        <f>VLOOKUP(TableRBRanks31[[#This Row],[Player]],RB!B:O,6,FALSE)</f>
        <v>0.37511492399599744</v>
      </c>
      <c r="W113" s="279">
        <f>VLOOKUP(TableRBRanks31[[#This Row],[Player]],RB!B:O,7,FALSE)</f>
        <v>4.0549211071096174</v>
      </c>
      <c r="X113" s="279">
        <f>VLOOKUP(TableRBRanks31[[#This Row],[Player]],RB!B:O,8,FALSE)</f>
        <v>2.7249069839776632</v>
      </c>
      <c r="Y113" s="279">
        <f>VLOOKUP(TableRBRanks31[[#This Row],[Player]],RB!B:O,9,FALSE)</f>
        <v>17.099416303125889</v>
      </c>
      <c r="Z113" s="279">
        <f>VLOOKUP(TableRBRanks31[[#This Row],[Player]],RB!B:O,10,FALSE)</f>
        <v>2.499914664199691E-2</v>
      </c>
      <c r="AA113" s="272">
        <f>IFERROR(INDEX(TableRBCalcPts[Custom],MATCH(TableRBRanks31[[#This Row],[RK]],TableRBCalcPts[RK],0)),"")</f>
        <v>11.061972738905069</v>
      </c>
      <c r="AB11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3" s="22">
        <v>112</v>
      </c>
      <c r="AE113" s="22" t="str">
        <f>IFERROR(INDEX(TableWRCalcPts[PLAYER],MATCH(TableWRRanks32[[#This Row],[RK]],TableWRCalcPts[RK],0)),"")</f>
        <v>Amari Rodgers</v>
      </c>
      <c r="AF113" s="22" t="str">
        <f>IFERROR(INDEX(TableWRCalcPts[TM],MATCH(TableWRRanks32[[#This Row],[Player]],TableWRCalcPts[PLAYER],0)),"")</f>
        <v>GB</v>
      </c>
      <c r="AG113" s="22">
        <f>IFERROR(INDEX(TableWRCalcPts[BYE],MATCH(TableWRRanks32[[#This Row],[RK]],TableWRCalcPts[RK],0)),"")</f>
        <v>14</v>
      </c>
      <c r="AH113" s="279">
        <f>VLOOKUP(TableWRRanks32[[#This Row],[Player]],WR!B:O,4,FALSE)</f>
        <v>11.899755445849639</v>
      </c>
      <c r="AI113" s="279">
        <f>VLOOKUP(TableWRRanks32[[#This Row],[Player]],WR!B:O,5,FALSE)</f>
        <v>0</v>
      </c>
      <c r="AJ113" s="279">
        <f>VLOOKUP(TableWRRanks32[[#This Row],[Player]],WR!B:O,6,FALSE)</f>
        <v>28.440258719999989</v>
      </c>
      <c r="AK113" s="279">
        <f>VLOOKUP(TableWRRanks32[[#This Row],[Player]],WR!B:O,7,FALSE)</f>
        <v>17.439566647103991</v>
      </c>
      <c r="AL113" s="279">
        <f>VLOOKUP(TableWRRanks32[[#This Row],[Player]],WR!B:O,8,FALSE)</f>
        <v>217.65382616895465</v>
      </c>
      <c r="AM113" s="279">
        <f>VLOOKUP(TableWRRanks32[[#This Row],[Player]],WR!B:O,9,FALSE)</f>
        <v>1.5521214315922551</v>
      </c>
      <c r="AN113" s="272">
        <f>IFERROR(INDEX(TableWRCalcPts[Custom],MATCH(TableWRRanks32[[#This Row],[RK]],TableWRCalcPts[RK],0)),"")</f>
        <v>32.268086751033962</v>
      </c>
      <c r="AO11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4" spans="16:41" x14ac:dyDescent="0.3">
      <c r="P114" s="22">
        <v>113</v>
      </c>
      <c r="Q114" s="22" t="str">
        <f>IFERROR(INDEX(TableRBCalcPts[PLAYER],MATCH(TableRBRanks31[[#This Row],[RK]],TableRBCalcPts[RK],0)),"")</f>
        <v>Kene Nwangwu</v>
      </c>
      <c r="R114" s="22" t="str">
        <f>IFERROR(INDEX(TableRBCalcPts[TM],MATCH(TableRBRanks31[[#This Row],[Player]],TableRBCalcPts[PLAYER],0)),"")</f>
        <v>MIN</v>
      </c>
      <c r="S114" s="22">
        <f>IFERROR(INDEX(TableRBCalcPts[BYE],MATCH(TableRBRanks31[[#This Row],[RK]],TableRBCalcPts[RK],0)),"")</f>
        <v>7</v>
      </c>
      <c r="T114" s="279">
        <f>VLOOKUP(TableRBRanks31[[#This Row],[Player]],RB!B:O,4,FALSE)</f>
        <v>11.565297755965476</v>
      </c>
      <c r="U114" s="279">
        <f>VLOOKUP(TableRBRanks31[[#This Row],[Player]],RB!B:O,5,FALSE)</f>
        <v>50.193392260890164</v>
      </c>
      <c r="V114" s="279">
        <f>VLOOKUP(TableRBRanks31[[#This Row],[Player]],RB!B:O,6,FALSE)</f>
        <v>0.39322012370282622</v>
      </c>
      <c r="W114" s="279">
        <f>VLOOKUP(TableRBRanks31[[#This Row],[Player]],RB!B:O,7,FALSE)</f>
        <v>4.8990917284059661</v>
      </c>
      <c r="X114" s="279">
        <f>VLOOKUP(TableRBRanks31[[#This Row],[Player]],RB!B:O,8,FALSE)</f>
        <v>3.4612083061188152</v>
      </c>
      <c r="Y114" s="279">
        <f>VLOOKUP(TableRBRanks31[[#This Row],[Player]],RB!B:O,9,FALSE)</f>
        <v>22.220102705947951</v>
      </c>
      <c r="Z114" s="279">
        <f>VLOOKUP(TableRBRanks31[[#This Row],[Player]],RB!B:O,10,FALSE)</f>
        <v>6.4096450113311401E-2</v>
      </c>
      <c r="AA114" s="272">
        <f>IFERROR(INDEX(TableRBCalcPts[Custom],MATCH(TableRBRanks31[[#This Row],[RK]],TableRBCalcPts[RK],0)),"")</f>
        <v>9.9852489395806376</v>
      </c>
      <c r="AB11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4" s="274">
        <v>113</v>
      </c>
      <c r="AE114" s="22" t="str">
        <f>IFERROR(INDEX(TableWRCalcPts[PLAYER],MATCH(TableWRRanks32[[#This Row],[RK]],TableWRCalcPts[RK],0)),"")</f>
        <v>Josh Reynolds</v>
      </c>
      <c r="AF114" s="22" t="str">
        <f>IFERROR(INDEX(TableWRCalcPts[TM],MATCH(TableWRRanks32[[#This Row],[Player]],TableWRCalcPts[PLAYER],0)),"")</f>
        <v>DET</v>
      </c>
      <c r="AG114" s="22">
        <f>IFERROR(INDEX(TableWRCalcPts[BYE],MATCH(TableWRRanks32[[#This Row],[RK]],TableWRCalcPts[RK],0)),"")</f>
        <v>6</v>
      </c>
      <c r="AH114" s="279">
        <f>VLOOKUP(TableWRRanks32[[#This Row],[Player]],WR!B:O,4,FALSE)</f>
        <v>1.8007656618116235</v>
      </c>
      <c r="AI114" s="279">
        <f>VLOOKUP(TableWRRanks32[[#This Row],[Player]],WR!B:O,5,FALSE)</f>
        <v>0</v>
      </c>
      <c r="AJ114" s="279">
        <f>VLOOKUP(TableWRRanks32[[#This Row],[Player]],WR!B:O,6,FALSE)</f>
        <v>31.619530302897065</v>
      </c>
      <c r="AK114" s="279">
        <f>VLOOKUP(TableWRRanks32[[#This Row],[Player]],WR!B:O,7,FALSE)</f>
        <v>18.282412421135085</v>
      </c>
      <c r="AL114" s="279">
        <f>VLOOKUP(TableWRRanks32[[#This Row],[Player]],WR!B:O,8,FALSE)</f>
        <v>222.49695916521398</v>
      </c>
      <c r="AM114" s="279">
        <f>VLOOKUP(TableWRRanks32[[#This Row],[Player]],WR!B:O,9,FALSE)</f>
        <v>1.2066392197949156</v>
      </c>
      <c r="AN114" s="272">
        <f>IFERROR(INDEX(TableWRCalcPts[Custom],MATCH(TableWRRanks32[[#This Row],[RK]],TableWRCalcPts[RK],0)),"")</f>
        <v>29.669607801472058</v>
      </c>
      <c r="AO11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5" spans="16:41" x14ac:dyDescent="0.3">
      <c r="P115" s="22">
        <v>114</v>
      </c>
      <c r="Q115" s="22" t="str">
        <f>IFERROR(INDEX(TableRBCalcPts[PLAYER],MATCH(TableRBRanks31[[#This Row],[RK]],TableRBCalcPts[RK],0)),"")</f>
        <v>Trestan Ebner</v>
      </c>
      <c r="R115" s="22" t="str">
        <f>IFERROR(INDEX(TableRBCalcPts[TM],MATCH(TableRBRanks31[[#This Row],[Player]],TableRBCalcPts[PLAYER],0)),"")</f>
        <v>CHI</v>
      </c>
      <c r="S115" s="22">
        <f>IFERROR(INDEX(TableRBCalcPts[BYE],MATCH(TableRBRanks31[[#This Row],[RK]],TableRBCalcPts[RK],0)),"")</f>
        <v>14</v>
      </c>
      <c r="T115" s="279">
        <f>VLOOKUP(TableRBRanks31[[#This Row],[Player]],RB!B:O,4,FALSE)</f>
        <v>6.7862581266575432</v>
      </c>
      <c r="U115" s="279">
        <f>VLOOKUP(TableRBRanks31[[#This Row],[Player]],RB!B:O,5,FALSE)</f>
        <v>26.873582181563872</v>
      </c>
      <c r="V115" s="279">
        <f>VLOOKUP(TableRBRanks31[[#This Row],[Player]],RB!B:O,6,FALSE)</f>
        <v>0.16083431760178377</v>
      </c>
      <c r="W115" s="279">
        <f>VLOOKUP(TableRBRanks31[[#This Row],[Player]],RB!B:O,7,FALSE)</f>
        <v>7.2231907752712221</v>
      </c>
      <c r="X115" s="279">
        <f>VLOOKUP(TableRBRanks31[[#This Row],[Player]],RB!B:O,8,FALSE)</f>
        <v>5.4101698906781452</v>
      </c>
      <c r="Y115" s="279">
        <f>VLOOKUP(TableRBRanks31[[#This Row],[Player]],RB!B:O,9,FALSE)</f>
        <v>41.351616998813853</v>
      </c>
      <c r="Z115" s="279">
        <f>VLOOKUP(TableRBRanks31[[#This Row],[Player]],RB!B:O,10,FALSE)</f>
        <v>0.14607458704830992</v>
      </c>
      <c r="AA115" s="272">
        <f>IFERROR(INDEX(TableRBCalcPts[Custom],MATCH(TableRBRanks31[[#This Row],[RK]],TableRBCalcPts[RK],0)),"")</f>
        <v>8.6639733459383361</v>
      </c>
      <c r="AB11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5" s="22">
        <v>114</v>
      </c>
      <c r="AE115" s="274" t="str">
        <f>IFERROR(INDEX(TableWRCalcPts[PLAYER],MATCH(TableWRRanks32[[#This Row],[RK]],TableWRCalcPts[RK],0)),"")</f>
        <v>Tyler Johnson</v>
      </c>
      <c r="AF115" s="22" t="str">
        <f>IFERROR(INDEX(TableWRCalcPts[TM],MATCH(TableWRRanks32[[#This Row],[Player]],TableWRCalcPts[PLAYER],0)),"")</f>
        <v>TB</v>
      </c>
      <c r="AG115" s="22">
        <f>IFERROR(INDEX(TableWRCalcPts[BYE],MATCH(TableWRRanks32[[#This Row],[RK]],TableWRCalcPts[RK],0)),"")</f>
        <v>11</v>
      </c>
      <c r="AH115" s="279">
        <f>VLOOKUP(TableWRRanks32[[#This Row],[Player]],WR!B:O,4,FALSE)</f>
        <v>0</v>
      </c>
      <c r="AI115" s="279">
        <f>VLOOKUP(TableWRRanks32[[#This Row],[Player]],WR!B:O,5,FALSE)</f>
        <v>0</v>
      </c>
      <c r="AJ115" s="279">
        <f>VLOOKUP(TableWRRanks32[[#This Row],[Player]],WR!B:O,6,FALSE)</f>
        <v>24.051275430621917</v>
      </c>
      <c r="AK115" s="279">
        <f>VLOOKUP(TableWRRanks32[[#This Row],[Player]],WR!B:O,7,FALSE)</f>
        <v>17.422066076149395</v>
      </c>
      <c r="AL115" s="279">
        <f>VLOOKUP(TableWRRanks32[[#This Row],[Player]],WR!B:O,8,FALSE)</f>
        <v>207.62906652306157</v>
      </c>
      <c r="AM115" s="279">
        <f>VLOOKUP(TableWRRanks32[[#This Row],[Player]],WR!B:O,9,FALSE)</f>
        <v>1.4460314843203999</v>
      </c>
      <c r="AN115" s="272">
        <f>IFERROR(INDEX(TableWRCalcPts[Custom],MATCH(TableWRRanks32[[#This Row],[RK]],TableWRCalcPts[RK],0)),"")</f>
        <v>29.439095558228555</v>
      </c>
      <c r="AO11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6" spans="16:41" x14ac:dyDescent="0.3">
      <c r="P116" s="22">
        <v>115</v>
      </c>
      <c r="Q116" s="22" t="str">
        <f>IFERROR(INDEX(TableRBCalcPts[PLAYER],MATCH(TableRBRanks31[[#This Row],[RK]],TableRBCalcPts[RK],0)),"")</f>
        <v>Mateo Durant</v>
      </c>
      <c r="R116" s="22" t="str">
        <f>IFERROR(INDEX(TableRBCalcPts[TM],MATCH(TableRBRanks31[[#This Row],[Player]],TableRBCalcPts[PLAYER],0)),"")</f>
        <v>PIT</v>
      </c>
      <c r="S116" s="22">
        <f>IFERROR(INDEX(TableRBCalcPts[BYE],MATCH(TableRBRanks31[[#This Row],[RK]],TableRBCalcPts[RK],0)),"")</f>
        <v>9</v>
      </c>
      <c r="T116" s="279">
        <f>VLOOKUP(TableRBRanks31[[#This Row],[Player]],RB!B:O,4,FALSE)</f>
        <v>7.720020639243474</v>
      </c>
      <c r="U116" s="279">
        <f>VLOOKUP(TableRBRanks31[[#This Row],[Player]],RB!B:O,5,FALSE)</f>
        <v>30.648481937796593</v>
      </c>
      <c r="V116" s="279">
        <f>VLOOKUP(TableRBRanks31[[#This Row],[Player]],RB!B:O,6,FALSE)</f>
        <v>0.26325270379820243</v>
      </c>
      <c r="W116" s="279">
        <f>VLOOKUP(TableRBRanks31[[#This Row],[Player]],RB!B:O,7,FALSE)</f>
        <v>7.9175997782144929</v>
      </c>
      <c r="X116" s="279">
        <f>VLOOKUP(TableRBRanks31[[#This Row],[Player]],RB!B:O,8,FALSE)</f>
        <v>4.7062213081706945</v>
      </c>
      <c r="Y116" s="279">
        <f>VLOOKUP(TableRBRanks31[[#This Row],[Player]],RB!B:O,9,FALSE)</f>
        <v>30.684562929272925</v>
      </c>
      <c r="Z116" s="279">
        <f>VLOOKUP(TableRBRanks31[[#This Row],[Player]],RB!B:O,10,FALSE)</f>
        <v>0.14589286055329154</v>
      </c>
      <c r="AA116" s="272">
        <f>IFERROR(INDEX(TableRBCalcPts[Custom],MATCH(TableRBRanks31[[#This Row],[RK]],TableRBCalcPts[RK],0)),"")</f>
        <v>8.5881778728159155</v>
      </c>
      <c r="AB116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6" s="22">
        <v>115</v>
      </c>
      <c r="AE116" s="274" t="str">
        <f>IFERROR(INDEX(TableWRCalcPts[PLAYER],MATCH(TableWRRanks32[[#This Row],[RK]],TableWRCalcPts[RK],0)),"")</f>
        <v>Tyquan Thornton</v>
      </c>
      <c r="AF116" s="22" t="str">
        <f>IFERROR(INDEX(TableWRCalcPts[TM],MATCH(TableWRRanks32[[#This Row],[Player]],TableWRCalcPts[PLAYER],0)),"")</f>
        <v>NE</v>
      </c>
      <c r="AG116" s="22">
        <f>IFERROR(INDEX(TableWRCalcPts[BYE],MATCH(TableWRRanks32[[#This Row],[RK]],TableWRCalcPts[RK],0)),"")</f>
        <v>10</v>
      </c>
      <c r="AH116" s="279">
        <f>VLOOKUP(TableWRRanks32[[#This Row],[Player]],WR!B:O,4,FALSE)</f>
        <v>0</v>
      </c>
      <c r="AI116" s="279">
        <f>VLOOKUP(TableWRRanks32[[#This Row],[Player]],WR!B:O,5,FALSE)</f>
        <v>0</v>
      </c>
      <c r="AJ116" s="279">
        <f>VLOOKUP(TableWRRanks32[[#This Row],[Player]],WR!B:O,6,FALSE)</f>
        <v>25.722440481705029</v>
      </c>
      <c r="AK116" s="279">
        <f>VLOOKUP(TableWRRanks32[[#This Row],[Player]],WR!B:O,7,FALSE)</f>
        <v>16.081669789161982</v>
      </c>
      <c r="AL116" s="279">
        <f>VLOOKUP(TableWRRanks32[[#This Row],[Player]],WR!B:O,8,FALSE)</f>
        <v>234.63156222387332</v>
      </c>
      <c r="AM116" s="279">
        <f>VLOOKUP(TableWRRanks32[[#This Row],[Player]],WR!B:O,9,FALSE)</f>
        <v>0.78699671530711446</v>
      </c>
      <c r="AN116" s="272">
        <f>IFERROR(INDEX(TableWRCalcPts[Custom],MATCH(TableWRRanks32[[#This Row],[RK]],TableWRCalcPts[RK],0)),"")</f>
        <v>28.18513651423002</v>
      </c>
      <c r="AO11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7" spans="16:41" x14ac:dyDescent="0.3">
      <c r="P117" s="22">
        <v>116</v>
      </c>
      <c r="Q117" s="22" t="str">
        <f>IFERROR(INDEX(TableRBCalcPts[PLAYER],MATCH(TableRBRanks31[[#This Row],[RK]],TableRBCalcPts[RK],0)),"")</f>
        <v>Larry Rountree</v>
      </c>
      <c r="R117" s="22" t="str">
        <f>IFERROR(INDEX(TableRBCalcPts[TM],MATCH(TableRBRanks31[[#This Row],[Player]],TableRBCalcPts[PLAYER],0)),"")</f>
        <v>LAC</v>
      </c>
      <c r="S117" s="22">
        <f>IFERROR(INDEX(TableRBCalcPts[BYE],MATCH(TableRBRanks31[[#This Row],[RK]],TableRBCalcPts[RK],0)),"")</f>
        <v>8</v>
      </c>
      <c r="T117" s="279">
        <f>VLOOKUP(TableRBRanks31[[#This Row],[Player]],RB!B:O,4,FALSE)</f>
        <v>10.769847633062108</v>
      </c>
      <c r="U117" s="279">
        <f>VLOOKUP(TableRBRanks31[[#This Row],[Player]],RB!B:O,5,FALSE)</f>
        <v>41.356214910958492</v>
      </c>
      <c r="V117" s="279">
        <f>VLOOKUP(TableRBRanks31[[#This Row],[Player]],RB!B:O,6,FALSE)</f>
        <v>0.28711983620664849</v>
      </c>
      <c r="W117" s="279">
        <f>VLOOKUP(TableRBRanks31[[#This Row],[Player]],RB!B:O,7,FALSE)</f>
        <v>6.5004050901617836</v>
      </c>
      <c r="X117" s="279">
        <f>VLOOKUP(TableRBRanks31[[#This Row],[Player]],RB!B:O,8,FALSE)</f>
        <v>3.6347265077220001</v>
      </c>
      <c r="Y117" s="279">
        <f>VLOOKUP(TableRBRanks31[[#This Row],[Player]],RB!B:O,9,FALSE)</f>
        <v>21.285326452154369</v>
      </c>
      <c r="Z117" s="279">
        <f>VLOOKUP(TableRBRanks31[[#This Row],[Player]],RB!B:O,10,FALSE)</f>
        <v>2.5001558039083781E-2</v>
      </c>
      <c r="AA117" s="272">
        <f>IFERROR(INDEX(TableRBCalcPts[Custom],MATCH(TableRBRanks31[[#This Row],[RK]],TableRBCalcPts[RK],0)),"")</f>
        <v>8.1368825017856814</v>
      </c>
      <c r="AB117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7" s="274">
        <v>116</v>
      </c>
      <c r="AE117" s="22" t="str">
        <f>IFERROR(INDEX(TableWRCalcPts[PLAYER],MATCH(TableWRRanks32[[#This Row],[RK]],TableWRCalcPts[RK],0)),"")</f>
        <v>Damiere Byrd</v>
      </c>
      <c r="AF117" s="22" t="str">
        <f>IFERROR(INDEX(TableWRCalcPts[TM],MATCH(TableWRRanks32[[#This Row],[Player]],TableWRCalcPts[PLAYER],0)),"")</f>
        <v>ATL</v>
      </c>
      <c r="AG117" s="22">
        <f>IFERROR(INDEX(TableWRCalcPts[BYE],MATCH(TableWRRanks32[[#This Row],[RK]],TableWRCalcPts[RK],0)),"")</f>
        <v>14</v>
      </c>
      <c r="AH117" s="279">
        <f>VLOOKUP(TableWRRanks32[[#This Row],[Player]],WR!B:O,4,FALSE)</f>
        <v>0</v>
      </c>
      <c r="AI117" s="279">
        <f>VLOOKUP(TableWRRanks32[[#This Row],[Player]],WR!B:O,5,FALSE)</f>
        <v>0</v>
      </c>
      <c r="AJ117" s="279">
        <f>VLOOKUP(TableWRRanks32[[#This Row],[Player]],WR!B:O,6,FALSE)</f>
        <v>34.463187500567322</v>
      </c>
      <c r="AK117" s="279">
        <f>VLOOKUP(TableWRRanks32[[#This Row],[Player]],WR!B:O,7,FALSE)</f>
        <v>19.916276056577853</v>
      </c>
      <c r="AL117" s="279">
        <f>VLOOKUP(TableWRRanks32[[#This Row],[Player]],WR!B:O,8,FALSE)</f>
        <v>221.99221619159692</v>
      </c>
      <c r="AM117" s="279">
        <f>VLOOKUP(TableWRRanks32[[#This Row],[Player]],WR!B:O,9,FALSE)</f>
        <v>0.69706966198022491</v>
      </c>
      <c r="AN117" s="272">
        <f>IFERROR(INDEX(TableWRCalcPts[Custom],MATCH(TableWRRanks32[[#This Row],[RK]],TableWRCalcPts[RK],0)),"")</f>
        <v>26.381639591041044</v>
      </c>
      <c r="AO11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8" spans="16:41" x14ac:dyDescent="0.3">
      <c r="P118" s="22">
        <v>117</v>
      </c>
      <c r="Q118" s="22" t="str">
        <f>IFERROR(INDEX(TableRBCalcPts[PLAYER],MATCH(TableRBRanks31[[#This Row],[RK]],TableRBCalcPts[RK],0)),"")</f>
        <v>Trey Sermon</v>
      </c>
      <c r="R118" s="22" t="str">
        <f>IFERROR(INDEX(TableRBCalcPts[TM],MATCH(TableRBRanks31[[#This Row],[Player]],TableRBCalcPts[PLAYER],0)),"")</f>
        <v>SF</v>
      </c>
      <c r="S118" s="22">
        <f>IFERROR(INDEX(TableRBCalcPts[BYE],MATCH(TableRBRanks31[[#This Row],[RK]],TableRBCalcPts[RK],0)),"")</f>
        <v>9</v>
      </c>
      <c r="T118" s="279">
        <f>VLOOKUP(TableRBRanks31[[#This Row],[Player]],RB!B:O,4,FALSE)</f>
        <v>10.670847986007162</v>
      </c>
      <c r="U118" s="279">
        <f>VLOOKUP(TableRBRanks31[[#This Row],[Player]],RB!B:O,5,FALSE)</f>
        <v>43.323642823189076</v>
      </c>
      <c r="V118" s="279">
        <f>VLOOKUP(TableRBRanks31[[#This Row],[Player]],RB!B:O,6,FALSE)</f>
        <v>0.24961047920484589</v>
      </c>
      <c r="W118" s="279">
        <f>VLOOKUP(TableRBRanks31[[#This Row],[Player]],RB!B:O,7,FALSE)</f>
        <v>4.0341004690152866</v>
      </c>
      <c r="X118" s="279">
        <f>VLOOKUP(TableRBRanks31[[#This Row],[Player]],RB!B:O,8,FALSE)</f>
        <v>2.42530120197199</v>
      </c>
      <c r="Y118" s="279">
        <f>VLOOKUP(TableRBRanks31[[#This Row],[Player]],RB!B:O,9,FALSE)</f>
        <v>17.410197914156072</v>
      </c>
      <c r="Z118" s="279">
        <f>VLOOKUP(TableRBRanks31[[#This Row],[Player]],RB!B:O,10,FALSE)</f>
        <v>6.5829604053525462E-2</v>
      </c>
      <c r="AA118" s="272">
        <f>IFERROR(INDEX(TableRBCalcPts[Custom],MATCH(TableRBRanks31[[#This Row],[RK]],TableRBCalcPts[RK],0)),"")</f>
        <v>7.9660245732847432</v>
      </c>
      <c r="AB118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8" s="22">
        <v>117</v>
      </c>
      <c r="AE118" s="274" t="str">
        <f>IFERROR(INDEX(TableWRCalcPts[PLAYER],MATCH(TableWRRanks32[[#This Row],[RK]],TableWRCalcPts[RK],0)),"")</f>
        <v>Freddie Swain</v>
      </c>
      <c r="AF118" s="22" t="str">
        <f>IFERROR(INDEX(TableWRCalcPts[TM],MATCH(TableWRRanks32[[#This Row],[Player]],TableWRCalcPts[PLAYER],0)),"")</f>
        <v>SEA</v>
      </c>
      <c r="AG118" s="22">
        <f>IFERROR(INDEX(TableWRCalcPts[BYE],MATCH(TableWRRanks32[[#This Row],[RK]],TableWRCalcPts[RK],0)),"")</f>
        <v>11</v>
      </c>
      <c r="AH118" s="279">
        <f>VLOOKUP(TableWRRanks32[[#This Row],[Player]],WR!B:O,4,FALSE)</f>
        <v>8.0710181612257408</v>
      </c>
      <c r="AI118" s="279">
        <f>VLOOKUP(TableWRRanks32[[#This Row],[Player]],WR!B:O,5,FALSE)</f>
        <v>3.335131471580885E-2</v>
      </c>
      <c r="AJ118" s="279">
        <f>VLOOKUP(TableWRRanks32[[#This Row],[Player]],WR!B:O,6,FALSE)</f>
        <v>24.506395590771682</v>
      </c>
      <c r="AK118" s="279">
        <f>VLOOKUP(TableWRRanks32[[#This Row],[Player]],WR!B:O,7,FALSE)</f>
        <v>14.934197473016264</v>
      </c>
      <c r="AL118" s="279">
        <f>VLOOKUP(TableWRRanks32[[#This Row],[Player]],WR!B:O,8,FALSE)</f>
        <v>194.29390912394157</v>
      </c>
      <c r="AM118" s="279">
        <f>VLOOKUP(TableWRRanks32[[#This Row],[Player]],WR!B:O,9,FALSE)</f>
        <v>0.88111765090795946</v>
      </c>
      <c r="AN118" s="272">
        <f>IFERROR(INDEX(TableWRCalcPts[Custom],MATCH(TableWRRanks32[[#This Row],[RK]],TableWRCalcPts[RK],0)),"")</f>
        <v>25.723306522259342</v>
      </c>
      <c r="AO11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19" spans="16:41" x14ac:dyDescent="0.3">
      <c r="P119" s="22">
        <v>118</v>
      </c>
      <c r="Q119" s="22" t="str">
        <f>IFERROR(INDEX(TableRBCalcPts[PLAYER],MATCH(TableRBRanks31[[#This Row],[RK]],TableRBCalcPts[RK],0)),"")</f>
        <v>Jaret Patterson</v>
      </c>
      <c r="R119" s="22" t="str">
        <f>IFERROR(INDEX(TableRBCalcPts[TM],MATCH(TableRBRanks31[[#This Row],[Player]],TableRBCalcPts[PLAYER],0)),"")</f>
        <v>WSH</v>
      </c>
      <c r="S119" s="22">
        <f>IFERROR(INDEX(TableRBCalcPts[BYE],MATCH(TableRBRanks31[[#This Row],[RK]],TableRBCalcPts[RK],0)),"")</f>
        <v>14</v>
      </c>
      <c r="T119" s="279">
        <f>VLOOKUP(TableRBRanks31[[#This Row],[Player]],RB!B:O,4,FALSE)</f>
        <v>5.30634630768514</v>
      </c>
      <c r="U119" s="279">
        <f>VLOOKUP(TableRBRanks31[[#This Row],[Player]],RB!B:O,5,FALSE)</f>
        <v>21.384575619971116</v>
      </c>
      <c r="V119" s="279">
        <f>VLOOKUP(TableRBRanks31[[#This Row],[Player]],RB!B:O,6,FALSE)</f>
        <v>0.12317153707564812</v>
      </c>
      <c r="W119" s="279">
        <f>VLOOKUP(TableRBRanks31[[#This Row],[Player]],RB!B:O,7,FALSE)</f>
        <v>8.633270594879157</v>
      </c>
      <c r="X119" s="279">
        <f>VLOOKUP(TableRBRanks31[[#This Row],[Player]],RB!B:O,8,FALSE)</f>
        <v>5.6694687996571416</v>
      </c>
      <c r="Y119" s="279">
        <f>VLOOKUP(TableRBRanks31[[#This Row],[Player]],RB!B:O,9,FALSE)</f>
        <v>37.701967517719993</v>
      </c>
      <c r="Z119" s="279">
        <f>VLOOKUP(TableRBRanks31[[#This Row],[Player]],RB!B:O,10,FALSE)</f>
        <v>5.7293164363167566E-2</v>
      </c>
      <c r="AA119" s="272">
        <f>IFERROR(INDEX(TableRBCalcPts[Custom],MATCH(TableRBRanks31[[#This Row],[RK]],TableRBCalcPts[RK],0)),"")</f>
        <v>6.9914425224020054</v>
      </c>
      <c r="AB119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19" s="22">
        <v>118</v>
      </c>
      <c r="AE119" s="274" t="str">
        <f>IFERROR(INDEX(TableWRCalcPts[PLAYER],MATCH(TableWRRanks32[[#This Row],[RK]],TableWRCalcPts[RK],0)),"")</f>
        <v>Jalen Reagor</v>
      </c>
      <c r="AF119" s="22" t="str">
        <f>IFERROR(INDEX(TableWRCalcPts[TM],MATCH(TableWRRanks32[[#This Row],[Player]],TableWRCalcPts[PLAYER],0)),"")</f>
        <v>PHI</v>
      </c>
      <c r="AG119" s="22">
        <f>IFERROR(INDEX(TableWRCalcPts[BYE],MATCH(TableWRRanks32[[#This Row],[RK]],TableWRCalcPts[RK],0)),"")</f>
        <v>7</v>
      </c>
      <c r="AH119" s="279">
        <f>VLOOKUP(TableWRRanks32[[#This Row],[Player]],WR!B:O,4,FALSE)</f>
        <v>37.244440096651473</v>
      </c>
      <c r="AI119" s="279">
        <f>VLOOKUP(TableWRRanks32[[#This Row],[Player]],WR!B:O,5,FALSE)</f>
        <v>9.9548574741584475E-2</v>
      </c>
      <c r="AJ119" s="279">
        <f>VLOOKUP(TableWRRanks32[[#This Row],[Player]],WR!B:O,6,FALSE)</f>
        <v>25.908453925784105</v>
      </c>
      <c r="AK119" s="279">
        <f>VLOOKUP(TableWRRanks32[[#This Row],[Player]],WR!B:O,7,FALSE)</f>
        <v>15.109810329517291</v>
      </c>
      <c r="AL119" s="279">
        <f>VLOOKUP(TableWRRanks32[[#This Row],[Player]],WR!B:O,8,FALSE)</f>
        <v>159.25740087311223</v>
      </c>
      <c r="AM119" s="279">
        <f>VLOOKUP(TableWRRanks32[[#This Row],[Player]],WR!B:O,9,FALSE)</f>
        <v>0.86184033533362092</v>
      </c>
      <c r="AN119" s="272">
        <f>IFERROR(INDEX(TableWRCalcPts[Custom],MATCH(TableWRRanks32[[#This Row],[RK]],TableWRCalcPts[RK],0)),"")</f>
        <v>25.418517557427606</v>
      </c>
      <c r="AO11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0" spans="16:41" x14ac:dyDescent="0.3">
      <c r="P120" s="22">
        <v>119</v>
      </c>
      <c r="Q120" s="22" t="str">
        <f>IFERROR(INDEX(TableRBCalcPts[PLAYER],MATCH(TableRBRanks31[[#This Row],[RK]],TableRBCalcPts[RK],0)),"")</f>
        <v>Jerome Ford</v>
      </c>
      <c r="R120" s="22" t="str">
        <f>IFERROR(INDEX(TableRBCalcPts[TM],MATCH(TableRBRanks31[[#This Row],[Player]],TableRBCalcPts[PLAYER],0)),"")</f>
        <v>CLE</v>
      </c>
      <c r="S120" s="22">
        <f>IFERROR(INDEX(TableRBCalcPts[BYE],MATCH(TableRBRanks31[[#This Row],[RK]],TableRBCalcPts[RK],0)),"")</f>
        <v>9</v>
      </c>
      <c r="T120" s="279">
        <f>VLOOKUP(TableRBRanks31[[#This Row],[Player]],RB!B:O,4,FALSE)</f>
        <v>7.9157865255458972</v>
      </c>
      <c r="U120" s="279">
        <f>VLOOKUP(TableRBRanks31[[#This Row],[Player]],RB!B:O,5,FALSE)</f>
        <v>34.61992518672573</v>
      </c>
      <c r="V120" s="279">
        <f>VLOOKUP(TableRBRanks31[[#This Row],[Player]],RB!B:O,6,FALSE)</f>
        <v>0.16297207552594495</v>
      </c>
      <c r="W120" s="279">
        <f>VLOOKUP(TableRBRanks31[[#This Row],[Player]],RB!B:O,7,FALSE)</f>
        <v>4.3133384778390802</v>
      </c>
      <c r="X120" s="279">
        <f>VLOOKUP(TableRBRanks31[[#This Row],[Player]],RB!B:O,8,FALSE)</f>
        <v>2.8991124274595865</v>
      </c>
      <c r="Y120" s="279">
        <f>VLOOKUP(TableRBRanks31[[#This Row],[Player]],RB!B:O,9,FALSE)</f>
        <v>23.742731086953512</v>
      </c>
      <c r="Z120" s="279">
        <f>VLOOKUP(TableRBRanks31[[#This Row],[Player]],RB!B:O,10,FALSE)</f>
        <v>0</v>
      </c>
      <c r="AA120" s="272">
        <f>IFERROR(INDEX(TableRBCalcPts[Custom],MATCH(TableRBRanks31[[#This Row],[RK]],TableRBCalcPts[RK],0)),"")</f>
        <v>6.8140980805235944</v>
      </c>
      <c r="AB120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0" s="274">
        <v>119</v>
      </c>
      <c r="AE120" s="22" t="str">
        <f>IFERROR(INDEX(TableWRCalcPts[PLAYER],MATCH(TableWRRanks32[[#This Row],[RK]],TableWRCalcPts[RK],0)),"")</f>
        <v>Darius Slayton</v>
      </c>
      <c r="AF120" s="22" t="str">
        <f>IFERROR(INDEX(TableWRCalcPts[TM],MATCH(TableWRRanks32[[#This Row],[Player]],TableWRCalcPts[PLAYER],0)),"")</f>
        <v>NYG</v>
      </c>
      <c r="AG120" s="22">
        <f>IFERROR(INDEX(TableWRCalcPts[BYE],MATCH(TableWRRanks32[[#This Row],[RK]],TableWRCalcPts[RK],0)),"")</f>
        <v>9</v>
      </c>
      <c r="AH120" s="279">
        <f>VLOOKUP(TableWRRanks32[[#This Row],[Player]],WR!B:O,4,FALSE)</f>
        <v>0.80040609141822194</v>
      </c>
      <c r="AI120" s="279">
        <f>VLOOKUP(TableWRRanks32[[#This Row],[Player]],WR!B:O,5,FALSE)</f>
        <v>0</v>
      </c>
      <c r="AJ120" s="279">
        <f>VLOOKUP(TableWRRanks32[[#This Row],[Player]],WR!B:O,6,FALSE)</f>
        <v>23.58852479989779</v>
      </c>
      <c r="AK120" s="279">
        <f>VLOOKUP(TableWRRanks32[[#This Row],[Player]],WR!B:O,7,FALSE)</f>
        <v>13.068042739143378</v>
      </c>
      <c r="AL120" s="279">
        <f>VLOOKUP(TableWRRanks32[[#This Row],[Player]],WR!B:O,8,FALSE)</f>
        <v>187.78777416149032</v>
      </c>
      <c r="AM120" s="279">
        <f>VLOOKUP(TableWRRanks32[[#This Row],[Player]],WR!B:O,9,FALSE)</f>
        <v>1.0702454556744887</v>
      </c>
      <c r="AN120" s="272">
        <f>IFERROR(INDEX(TableWRCalcPts[Custom],MATCH(TableWRRanks32[[#This Row],[RK]],TableWRCalcPts[RK],0)),"")</f>
        <v>25.280290759337788</v>
      </c>
      <c r="AO12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1" spans="16:41" x14ac:dyDescent="0.3">
      <c r="P121" s="22">
        <v>120</v>
      </c>
      <c r="Q121" s="22" t="str">
        <f>IFERROR(INDEX(TableRBCalcPts[PLAYER],MATCH(TableRBRanks31[[#This Row],[RK]],TableRBCalcPts[RK],0)),"")</f>
        <v>Kennedy Brooks</v>
      </c>
      <c r="R121" s="22" t="str">
        <f>IFERROR(INDEX(TableRBCalcPts[TM],MATCH(TableRBRanks31[[#This Row],[Player]],TableRBCalcPts[PLAYER],0)),"")</f>
        <v>PHI</v>
      </c>
      <c r="S121" s="22">
        <f>IFERROR(INDEX(TableRBCalcPts[BYE],MATCH(TableRBRanks31[[#This Row],[RK]],TableRBCalcPts[RK],0)),"")</f>
        <v>7</v>
      </c>
      <c r="T121" s="279">
        <f>VLOOKUP(TableRBRanks31[[#This Row],[Player]],RB!B:O,4,FALSE)</f>
        <v>10.058249345612223</v>
      </c>
      <c r="U121" s="279">
        <f>VLOOKUP(TableRBRanks31[[#This Row],[Player]],RB!B:O,5,FALSE)</f>
        <v>42.144064758115221</v>
      </c>
      <c r="V121" s="279">
        <f>VLOOKUP(TableRBRanks31[[#This Row],[Player]],RB!B:O,6,FALSE)</f>
        <v>0.11783328661682548</v>
      </c>
      <c r="W121" s="279">
        <f>VLOOKUP(TableRBRanks31[[#This Row],[Player]],RB!B:O,7,FALSE)</f>
        <v>3.8467833595511887</v>
      </c>
      <c r="X121" s="279">
        <f>VLOOKUP(TableRBRanks31[[#This Row],[Player]],RB!B:O,8,FALSE)</f>
        <v>2.4507856783700621</v>
      </c>
      <c r="Y121" s="279">
        <f>VLOOKUP(TableRBRanks31[[#This Row],[Player]],RB!B:O,9,FALSE)</f>
        <v>16.420264045079417</v>
      </c>
      <c r="Z121" s="279">
        <f>VLOOKUP(TableRBRanks31[[#This Row],[Player]],RB!B:O,10,FALSE)</f>
        <v>2.3794035712330703E-2</v>
      </c>
      <c r="AA121" s="272">
        <f>IFERROR(INDEX(TableRBCalcPts[Custom],MATCH(TableRBRanks31[[#This Row],[RK]],TableRBCalcPts[RK],0)),"")</f>
        <v>6.7061968142944002</v>
      </c>
      <c r="AB121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1" s="22">
        <v>120</v>
      </c>
      <c r="AE121" s="274" t="str">
        <f>IFERROR(INDEX(TableWRCalcPts[PLAYER],MATCH(TableWRRanks32[[#This Row],[RK]],TableWRCalcPts[RK],0)),"")</f>
        <v>Ashton Dulin</v>
      </c>
      <c r="AF121" s="22" t="str">
        <f>IFERROR(INDEX(TableWRCalcPts[TM],MATCH(TableWRRanks32[[#This Row],[Player]],TableWRCalcPts[PLAYER],0)),"")</f>
        <v>IND</v>
      </c>
      <c r="AG121" s="22">
        <f>IFERROR(INDEX(TableWRCalcPts[BYE],MATCH(TableWRRanks32[[#This Row],[RK]],TableWRCalcPts[RK],0)),"")</f>
        <v>14</v>
      </c>
      <c r="AH121" s="279">
        <f>VLOOKUP(TableWRRanks32[[#This Row],[Player]],WR!B:O,4,FALSE)</f>
        <v>27.873232254532546</v>
      </c>
      <c r="AI121" s="279">
        <f>VLOOKUP(TableWRRanks32[[#This Row],[Player]],WR!B:O,5,FALSE)</f>
        <v>6.6645702734219311E-2</v>
      </c>
      <c r="AJ121" s="279">
        <f>VLOOKUP(TableWRRanks32[[#This Row],[Player]],WR!B:O,6,FALSE)</f>
        <v>22.157796496131279</v>
      </c>
      <c r="AK121" s="279">
        <f>VLOOKUP(TableWRRanks32[[#This Row],[Player]],WR!B:O,7,FALSE)</f>
        <v>12.540800766891273</v>
      </c>
      <c r="AL121" s="279">
        <f>VLOOKUP(TableWRRanks32[[#This Row],[Player]],WR!B:O,8,FALSE)</f>
        <v>150.39371621785912</v>
      </c>
      <c r="AM121" s="279">
        <f>VLOOKUP(TableWRRanks32[[#This Row],[Player]],WR!B:O,9,FALSE)</f>
        <v>1.088106077935018</v>
      </c>
      <c r="AN121" s="272">
        <f>IFERROR(INDEX(TableWRCalcPts[Custom],MATCH(TableWRRanks32[[#This Row],[RK]],TableWRCalcPts[RK],0)),"")</f>
        <v>24.755205531254589</v>
      </c>
      <c r="AO12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2" spans="16:41" x14ac:dyDescent="0.3">
      <c r="P122" s="22">
        <v>121</v>
      </c>
      <c r="Q122" s="22" t="str">
        <f>IFERROR(INDEX(TableRBCalcPts[PLAYER],MATCH(TableRBRanks31[[#This Row],[RK]],TableRBCalcPts[RK],0)),"")</f>
        <v>Anthony McFarland</v>
      </c>
      <c r="R122" s="22" t="str">
        <f>IFERROR(INDEX(TableRBCalcPts[TM],MATCH(TableRBRanks31[[#This Row],[Player]],TableRBCalcPts[PLAYER],0)),"")</f>
        <v>PIT</v>
      </c>
      <c r="S122" s="22">
        <f>IFERROR(INDEX(TableRBCalcPts[BYE],MATCH(TableRBRanks31[[#This Row],[RK]],TableRBCalcPts[RK],0)),"")</f>
        <v>9</v>
      </c>
      <c r="T122" s="279">
        <f>VLOOKUP(TableRBRanks31[[#This Row],[Player]],RB!B:O,4,FALSE)</f>
        <v>4.7177903906487897</v>
      </c>
      <c r="U122" s="279">
        <f>VLOOKUP(TableRBRanks31[[#This Row],[Player]],RB!B:O,5,FALSE)</f>
        <v>20.177526773745228</v>
      </c>
      <c r="V122" s="279">
        <f>VLOOKUP(TableRBRanks31[[#This Row],[Player]],RB!B:O,6,FALSE)</f>
        <v>0.19239412543376044</v>
      </c>
      <c r="W122" s="279">
        <f>VLOOKUP(TableRBRanks31[[#This Row],[Player]],RB!B:O,7,FALSE)</f>
        <v>5.9381998336608692</v>
      </c>
      <c r="X122" s="279">
        <f>VLOOKUP(TableRBRanks31[[#This Row],[Player]],RB!B:O,8,FALSE)</f>
        <v>3.5706395599802803</v>
      </c>
      <c r="Y122" s="279">
        <f>VLOOKUP(TableRBRanks31[[#This Row],[Player]],RB!B:O,9,FALSE)</f>
        <v>25.666146934556107</v>
      </c>
      <c r="Z122" s="279">
        <f>VLOOKUP(TableRBRanks31[[#This Row],[Player]],RB!B:O,10,FALSE)</f>
        <v>9.6407268119467565E-2</v>
      </c>
      <c r="AA122" s="272">
        <f>IFERROR(INDEX(TableRBCalcPts[Custom],MATCH(TableRBRanks31[[#This Row],[RK]],TableRBCalcPts[RK],0)),"")</f>
        <v>6.3171757321495008</v>
      </c>
      <c r="AB122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2" s="22">
        <v>121</v>
      </c>
      <c r="AE122" s="22" t="str">
        <f>IFERROR(INDEX(TableWRCalcPts[PLAYER],MATCH(TableWRRanks32[[#This Row],[RK]],TableWRCalcPts[RK],0)),"")</f>
        <v>Breshad Perriman</v>
      </c>
      <c r="AF122" s="22" t="str">
        <f>IFERROR(INDEX(TableWRCalcPts[TM],MATCH(TableWRRanks32[[#This Row],[Player]],TableWRCalcPts[PLAYER],0)),"")</f>
        <v>TB</v>
      </c>
      <c r="AG122" s="22">
        <f>IFERROR(INDEX(TableWRCalcPts[BYE],MATCH(TableWRRanks32[[#This Row],[RK]],TableWRCalcPts[RK],0)),"")</f>
        <v>11</v>
      </c>
      <c r="AH122" s="279">
        <f>VLOOKUP(TableWRRanks32[[#This Row],[Player]],WR!B:O,4,FALSE)</f>
        <v>2.0000747309171722</v>
      </c>
      <c r="AI122" s="279">
        <f>VLOOKUP(TableWRRanks32[[#This Row],[Player]],WR!B:O,5,FALSE)</f>
        <v>0</v>
      </c>
      <c r="AJ122" s="279">
        <f>VLOOKUP(TableWRRanks32[[#This Row],[Player]],WR!B:O,6,FALSE)</f>
        <v>18.741613421280483</v>
      </c>
      <c r="AK122" s="279">
        <f>VLOOKUP(TableWRRanks32[[#This Row],[Player]],WR!B:O,7,FALSE)</f>
        <v>11.39864928282279</v>
      </c>
      <c r="AL122" s="279">
        <f>VLOOKUP(TableWRRanks32[[#This Row],[Player]],WR!B:O,8,FALSE)</f>
        <v>182.43850005730869</v>
      </c>
      <c r="AM122" s="279">
        <f>VLOOKUP(TableWRRanks32[[#This Row],[Player]],WR!B:O,9,FALSE)</f>
        <v>1.0018588690681425</v>
      </c>
      <c r="AN122" s="272">
        <f>IFERROR(INDEX(TableWRCalcPts[Custom],MATCH(TableWRRanks32[[#This Row],[RK]],TableWRCalcPts[RK],0)),"")</f>
        <v>24.455010693231443</v>
      </c>
      <c r="AO12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3" spans="16:41" x14ac:dyDescent="0.3">
      <c r="P123" s="22">
        <v>122</v>
      </c>
      <c r="Q123" s="22" t="str">
        <f>IFERROR(INDEX(TableRBCalcPts[PLAYER],MATCH(TableRBRanks31[[#This Row],[RK]],TableRBCalcPts[RK],0)),"")</f>
        <v>Gary Brightwell</v>
      </c>
      <c r="R123" s="22" t="str">
        <f>IFERROR(INDEX(TableRBCalcPts[TM],MATCH(TableRBRanks31[[#This Row],[Player]],TableRBCalcPts[PLAYER],0)),"")</f>
        <v>NYG</v>
      </c>
      <c r="S123" s="22">
        <f>IFERROR(INDEX(TableRBCalcPts[BYE],MATCH(TableRBRanks31[[#This Row],[RK]],TableRBCalcPts[RK],0)),"")</f>
        <v>9</v>
      </c>
      <c r="T123" s="279">
        <f>VLOOKUP(TableRBRanks31[[#This Row],[Player]],RB!B:O,4,FALSE)</f>
        <v>7.0303550579618008</v>
      </c>
      <c r="U123" s="279">
        <f>VLOOKUP(TableRBRanks31[[#This Row],[Player]],RB!B:O,5,FALSE)</f>
        <v>28.262027333006436</v>
      </c>
      <c r="V123" s="279">
        <f>VLOOKUP(TableRBRanks31[[#This Row],[Player]],RB!B:O,6,FALSE)</f>
        <v>0.15537084678095581</v>
      </c>
      <c r="W123" s="279">
        <f>VLOOKUP(TableRBRanks31[[#This Row],[Player]],RB!B:O,7,FALSE)</f>
        <v>4.7461115102395839</v>
      </c>
      <c r="X123" s="279">
        <f>VLOOKUP(TableRBRanks31[[#This Row],[Player]],RB!B:O,8,FALSE)</f>
        <v>2.8619052406744689</v>
      </c>
      <c r="Y123" s="279">
        <f>VLOOKUP(TableRBRanks31[[#This Row],[Player]],RB!B:O,9,FALSE)</f>
        <v>17.510472483011732</v>
      </c>
      <c r="Z123" s="279">
        <f>VLOOKUP(TableRBRanks31[[#This Row],[Player]],RB!B:O,10,FALSE)</f>
        <v>3.9887181054696429E-2</v>
      </c>
      <c r="AA123" s="272">
        <f>IFERROR(INDEX(TableRBCalcPts[Custom],MATCH(TableRBRanks31[[#This Row],[RK]],TableRBCalcPts[RK],0)),"")</f>
        <v>5.7487981486157302</v>
      </c>
      <c r="AB123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3" s="274">
        <v>122</v>
      </c>
      <c r="AE123" s="22" t="str">
        <f>IFERROR(INDEX(TableWRCalcPts[PLAYER],MATCH(TableWRRanks32[[#This Row],[RK]],TableWRCalcPts[RK],0)),"")</f>
        <v>Zach Pascal</v>
      </c>
      <c r="AF123" s="22" t="str">
        <f>IFERROR(INDEX(TableWRCalcPts[TM],MATCH(TableWRRanks32[[#This Row],[Player]],TableWRCalcPts[PLAYER],0)),"")</f>
        <v>PHI</v>
      </c>
      <c r="AG123" s="22">
        <f>IFERROR(INDEX(TableWRCalcPts[BYE],MATCH(TableWRRanks32[[#This Row],[RK]],TableWRCalcPts[RK],0)),"")</f>
        <v>7</v>
      </c>
      <c r="AH123" s="279">
        <f>VLOOKUP(TableWRRanks32[[#This Row],[Player]],WR!B:O,4,FALSE)</f>
        <v>0</v>
      </c>
      <c r="AI123" s="279">
        <f>VLOOKUP(TableWRRanks32[[#This Row],[Player]],WR!B:O,5,FALSE)</f>
        <v>0</v>
      </c>
      <c r="AJ123" s="279">
        <f>VLOOKUP(TableWRRanks32[[#This Row],[Player]],WR!B:O,6,FALSE)</f>
        <v>25.305931741463546</v>
      </c>
      <c r="AK123" s="279">
        <f>VLOOKUP(TableWRRanks32[[#This Row],[Player]],WR!B:O,7,FALSE)</f>
        <v>14.598992021650318</v>
      </c>
      <c r="AL123" s="279">
        <f>VLOOKUP(TableWRRanks32[[#This Row],[Player]],WR!B:O,8,FALSE)</f>
        <v>161.17287191901949</v>
      </c>
      <c r="AM123" s="279">
        <f>VLOOKUP(TableWRRanks32[[#This Row],[Player]],WR!B:O,9,FALSE)</f>
        <v>1.278140153820293</v>
      </c>
      <c r="AN123" s="272">
        <f>IFERROR(INDEX(TableWRCalcPts[Custom],MATCH(TableWRRanks32[[#This Row],[RK]],TableWRCalcPts[RK],0)),"")</f>
        <v>23.786128114823704</v>
      </c>
      <c r="AO12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4" spans="16:41" x14ac:dyDescent="0.3">
      <c r="P124" s="22">
        <v>123</v>
      </c>
      <c r="Q124" s="22" t="str">
        <f>IFERROR(INDEX(TableRBCalcPts[PLAYER],MATCH(TableRBRanks31[[#This Row],[RK]],TableRBCalcPts[RK],0)),"")</f>
        <v>Jake Funk</v>
      </c>
      <c r="R124" s="22" t="str">
        <f>IFERROR(INDEX(TableRBCalcPts[TM],MATCH(TableRBRanks31[[#This Row],[Player]],TableRBCalcPts[PLAYER],0)),"")</f>
        <v>LAR</v>
      </c>
      <c r="S124" s="22">
        <f>IFERROR(INDEX(TableRBCalcPts[BYE],MATCH(TableRBRanks31[[#This Row],[RK]],TableRBCalcPts[RK],0)),"")</f>
        <v>7</v>
      </c>
      <c r="T124" s="279">
        <f>VLOOKUP(TableRBRanks31[[#This Row],[Player]],RB!B:O,4,FALSE)</f>
        <v>8.1170824394252286</v>
      </c>
      <c r="U124" s="279">
        <f>VLOOKUP(TableRBRanks31[[#This Row],[Player]],RB!B:O,5,FALSE)</f>
        <v>31.457597190577371</v>
      </c>
      <c r="V124" s="279">
        <f>VLOOKUP(TableRBRanks31[[#This Row],[Player]],RB!B:O,6,FALSE)</f>
        <v>0.1760058225608834</v>
      </c>
      <c r="W124" s="279">
        <f>VLOOKUP(TableRBRanks31[[#This Row],[Player]],RB!B:O,7,FALSE)</f>
        <v>3.1627450827369503</v>
      </c>
      <c r="X124" s="279">
        <f>VLOOKUP(TableRBRanks31[[#This Row],[Player]],RB!B:O,8,FALSE)</f>
        <v>2.0307986176253956</v>
      </c>
      <c r="Y124" s="279">
        <f>VLOOKUP(TableRBRanks31[[#This Row],[Player]],RB!B:O,9,FALSE)</f>
        <v>13.427162624770263</v>
      </c>
      <c r="Z124" s="279">
        <f>VLOOKUP(TableRBRanks31[[#This Row],[Player]],RB!B:O,10,FALSE)</f>
        <v>2.3891748442651711E-2</v>
      </c>
      <c r="AA124" s="272">
        <f>IFERROR(INDEX(TableRBCalcPts[Custom],MATCH(TableRBRanks31[[#This Row],[RK]],TableRBCalcPts[RK],0)),"")</f>
        <v>5.6878614075559746</v>
      </c>
      <c r="AB124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4" s="22">
        <v>123</v>
      </c>
      <c r="AE124" s="22" t="str">
        <f>IFERROR(INDEX(TableWRCalcPts[PLAYER],MATCH(TableWRRanks32[[#This Row],[RK]],TableWRCalcPts[RK],0)),"")</f>
        <v>Jaylon Moore</v>
      </c>
      <c r="AF124" s="22" t="str">
        <f>IFERROR(INDEX(TableWRCalcPts[TM],MATCH(TableWRRanks32[[#This Row],[Player]],TableWRCalcPts[PLAYER],0)),"")</f>
        <v>BAL</v>
      </c>
      <c r="AG124" s="22">
        <f>IFERROR(INDEX(TableWRCalcPts[BYE],MATCH(TableWRRanks32[[#This Row],[RK]],TableWRCalcPts[RK],0)),"")</f>
        <v>10</v>
      </c>
      <c r="AH124" s="279">
        <f>VLOOKUP(TableWRRanks32[[#This Row],[Player]],WR!B:O,4,FALSE)</f>
        <v>0</v>
      </c>
      <c r="AI124" s="279">
        <f>VLOOKUP(TableWRRanks32[[#This Row],[Player]],WR!B:O,5,FALSE)</f>
        <v>0</v>
      </c>
      <c r="AJ124" s="279">
        <f>VLOOKUP(TableWRRanks32[[#This Row],[Player]],WR!B:O,6,FALSE)</f>
        <v>21.929189619346964</v>
      </c>
      <c r="AK124" s="279">
        <f>VLOOKUP(TableWRRanks32[[#This Row],[Player]],WR!B:O,7,FALSE)</f>
        <v>13.569782536451902</v>
      </c>
      <c r="AL124" s="279">
        <f>VLOOKUP(TableWRRanks32[[#This Row],[Player]],WR!B:O,8,FALSE)</f>
        <v>164.33006651643251</v>
      </c>
      <c r="AM124" s="279">
        <f>VLOOKUP(TableWRRanks32[[#This Row],[Player]],WR!B:O,9,FALSE)</f>
        <v>1.2212804282806711</v>
      </c>
      <c r="AN124" s="272">
        <f>IFERROR(INDEX(TableWRCalcPts[Custom],MATCH(TableWRRanks32[[#This Row],[RK]],TableWRCalcPts[RK],0)),"")</f>
        <v>23.760689221327276</v>
      </c>
      <c r="AO12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5" spans="16:41" x14ac:dyDescent="0.3">
      <c r="P125" s="22">
        <v>124</v>
      </c>
      <c r="Q125" s="22" t="str">
        <f>IFERROR(INDEX(TableRBCalcPts[PLAYER],MATCH(TableRBRanks31[[#This Row],[RK]],TableRBCalcPts[RK],0)),"")</f>
        <v>Ryquell Armstead</v>
      </c>
      <c r="R125" s="22" t="str">
        <f>IFERROR(INDEX(TableRBCalcPts[TM],MATCH(TableRBRanks31[[#This Row],[Player]],TableRBCalcPts[PLAYER],0)),"")</f>
        <v>JAX</v>
      </c>
      <c r="S125" s="22">
        <f>IFERROR(INDEX(TableRBCalcPts[BYE],MATCH(TableRBRanks31[[#This Row],[RK]],TableRBCalcPts[RK],0)),"")</f>
        <v>11</v>
      </c>
      <c r="T125" s="279">
        <f>VLOOKUP(TableRBRanks31[[#This Row],[Player]],RB!B:O,4,FALSE)</f>
        <v>2.9442626544432819</v>
      </c>
      <c r="U125" s="279">
        <f>VLOOKUP(TableRBRanks31[[#This Row],[Player]],RB!B:O,5,FALSE)</f>
        <v>19.260384864483136</v>
      </c>
      <c r="V125" s="279">
        <f>VLOOKUP(TableRBRanks31[[#This Row],[Player]],RB!B:O,6,FALSE)</f>
        <v>6.8601319848528478E-2</v>
      </c>
      <c r="W125" s="279">
        <f>VLOOKUP(TableRBRanks31[[#This Row],[Player]],RB!B:O,7,FALSE)</f>
        <v>6.0026479947269396</v>
      </c>
      <c r="X125" s="279">
        <f>VLOOKUP(TableRBRanks31[[#This Row],[Player]],RB!B:O,8,FALSE)</f>
        <v>3.6075914448308906</v>
      </c>
      <c r="Y125" s="279">
        <f>VLOOKUP(TableRBRanks31[[#This Row],[Player]],RB!B:O,9,FALSE)</f>
        <v>24.567697739298364</v>
      </c>
      <c r="Z125" s="279">
        <f>VLOOKUP(TableRBRanks31[[#This Row],[Player]],RB!B:O,10,FALSE)</f>
        <v>7.2151828896617809E-2</v>
      </c>
      <c r="AA125" s="272">
        <f>IFERROR(INDEX(TableRBCalcPts[Custom],MATCH(TableRBRanks31[[#This Row],[RK]],TableRBCalcPts[RK],0)),"")</f>
        <v>5.2273271528490284</v>
      </c>
      <c r="AB125" s="273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0</v>
      </c>
      <c r="AD125" s="22">
        <v>124</v>
      </c>
      <c r="AE125" s="274" t="str">
        <f>IFERROR(INDEX(TableWRCalcPts[PLAYER],MATCH(TableWRRanks32[[#This Row],[RK]],TableWRCalcPts[RK],0)),"")</f>
        <v>Dyami Brown</v>
      </c>
      <c r="AF125" s="22" t="str">
        <f>IFERROR(INDEX(TableWRCalcPts[TM],MATCH(TableWRRanks32[[#This Row],[Player]],TableWRCalcPts[PLAYER],0)),"")</f>
        <v>WSH</v>
      </c>
      <c r="AG125" s="22">
        <f>IFERROR(INDEX(TableWRCalcPts[BYE],MATCH(TableWRRanks32[[#This Row],[RK]],TableWRCalcPts[RK],0)),"")</f>
        <v>14</v>
      </c>
      <c r="AH125" s="279">
        <f>VLOOKUP(TableWRRanks32[[#This Row],[Player]],WR!B:O,4,FALSE)</f>
        <v>0</v>
      </c>
      <c r="AI125" s="279">
        <f>VLOOKUP(TableWRRanks32[[#This Row],[Player]],WR!B:O,5,FALSE)</f>
        <v>0</v>
      </c>
      <c r="AJ125" s="279">
        <f>VLOOKUP(TableWRRanks32[[#This Row],[Player]],WR!B:O,6,FALSE)</f>
        <v>24.666487413940445</v>
      </c>
      <c r="AK125" s="279">
        <f>VLOOKUP(TableWRRanks32[[#This Row],[Player]],WR!B:O,7,FALSE)</f>
        <v>14.71602639115687</v>
      </c>
      <c r="AL125" s="279">
        <f>VLOOKUP(TableWRRanks32[[#This Row],[Player]],WR!B:O,8,FALSE)</f>
        <v>198.96067680844087</v>
      </c>
      <c r="AM125" s="279">
        <f>VLOOKUP(TableWRRanks32[[#This Row],[Player]],WR!B:O,9,FALSE)</f>
        <v>0.62709260847478154</v>
      </c>
      <c r="AN125" s="272">
        <f>IFERROR(INDEX(TableWRCalcPts[Custom],MATCH(TableWRRanks32[[#This Row],[RK]],TableWRCalcPts[RK],0)),"")</f>
        <v>23.658623331692777</v>
      </c>
      <c r="AO12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6" spans="16:41" x14ac:dyDescent="0.3">
      <c r="P126" s="22">
        <v>125</v>
      </c>
      <c r="Q126" s="22" t="str">
        <f>IFERROR(INDEX(TableRBCalcPts[PLAYER],MATCH(TableRBRanks31[[#This Row],[RK]],TableRBCalcPts[RK],0)),"")</f>
        <v/>
      </c>
      <c r="R126" s="22" t="str">
        <f>IFERROR(INDEX(TableRBCalcPts[TM],MATCH(TableRBRanks31[[#This Row],[Player]],TableRBCalcPts[PLAYER],0)),"")</f>
        <v/>
      </c>
      <c r="S126" s="22" t="str">
        <f>IFERROR(INDEX(TableRBCalcPts[BYE],MATCH(TableRBRanks31[[#This Row],[RK]],TableRBCalcPts[RK],0)),"")</f>
        <v/>
      </c>
      <c r="T126" s="279" t="e">
        <f>VLOOKUP(TableRBRanks31[[#This Row],[Player]],RB!B:O,4,FALSE)</f>
        <v>#N/A</v>
      </c>
      <c r="U126" s="279" t="e">
        <f>VLOOKUP(TableRBRanks31[[#This Row],[Player]],RB!B:O,5,FALSE)</f>
        <v>#N/A</v>
      </c>
      <c r="V126" s="279" t="e">
        <f>VLOOKUP(TableRBRanks31[[#This Row],[Player]],RB!B:O,6,FALSE)</f>
        <v>#N/A</v>
      </c>
      <c r="W126" s="279" t="e">
        <f>VLOOKUP(TableRBRanks31[[#This Row],[Player]],RB!B:O,7,FALSE)</f>
        <v>#N/A</v>
      </c>
      <c r="X126" s="279" t="e">
        <f>VLOOKUP(TableRBRanks31[[#This Row],[Player]],RB!B:O,8,FALSE)</f>
        <v>#N/A</v>
      </c>
      <c r="Y126" s="279" t="e">
        <f>VLOOKUP(TableRBRanks31[[#This Row],[Player]],RB!B:O,9,FALSE)</f>
        <v>#N/A</v>
      </c>
      <c r="Z126" s="279" t="e">
        <f>VLOOKUP(TableRBRanks31[[#This Row],[Player]],RB!B:O,10,FALSE)</f>
        <v>#N/A</v>
      </c>
      <c r="AA126" s="272" t="str">
        <f>IFERROR(INDEX(TableRBCalcPts[Custom],MATCH(TableRBRanks31[[#This Row],[RK]],TableRBCalcPts[RK],0)),"")</f>
        <v/>
      </c>
      <c r="AB126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26" s="274">
        <v>125</v>
      </c>
      <c r="AE126" s="274" t="str">
        <f>IFERROR(INDEX(TableWRCalcPts[PLAYER],MATCH(TableWRRanks32[[#This Row],[RK]],TableWRCalcPts[RK],0)),"")</f>
        <v>Rashard Higgins</v>
      </c>
      <c r="AF126" s="22" t="str">
        <f>IFERROR(INDEX(TableWRCalcPts[TM],MATCH(TableWRRanks32[[#This Row],[Player]],TableWRCalcPts[PLAYER],0)),"")</f>
        <v>CAR</v>
      </c>
      <c r="AG126" s="22">
        <f>IFERROR(INDEX(TableWRCalcPts[BYE],MATCH(TableWRRanks32[[#This Row],[RK]],TableWRCalcPts[RK],0)),"")</f>
        <v>13</v>
      </c>
      <c r="AH126" s="279">
        <f>VLOOKUP(TableWRRanks32[[#This Row],[Player]],WR!B:O,4,FALSE)</f>
        <v>0</v>
      </c>
      <c r="AI126" s="279">
        <f>VLOOKUP(TableWRRanks32[[#This Row],[Player]],WR!B:O,5,FALSE)</f>
        <v>0</v>
      </c>
      <c r="AJ126" s="279">
        <f>VLOOKUP(TableWRRanks32[[#This Row],[Player]],WR!B:O,6,FALSE)</f>
        <v>29.330680467208982</v>
      </c>
      <c r="AK126" s="279">
        <f>VLOOKUP(TableWRRanks32[[#This Row],[Player]],WR!B:O,7,FALSE)</f>
        <v>17.586676008138507</v>
      </c>
      <c r="AL126" s="279">
        <f>VLOOKUP(TableWRRanks32[[#This Row],[Player]],WR!B:O,8,FALSE)</f>
        <v>208.76556866727617</v>
      </c>
      <c r="AM126" s="279">
        <f>VLOOKUP(TableWRRanks32[[#This Row],[Player]],WR!B:O,9,FALSE)</f>
        <v>0.41873038114615491</v>
      </c>
      <c r="AN126" s="272">
        <f>IFERROR(INDEX(TableWRCalcPts[Custom],MATCH(TableWRRanks32[[#This Row],[RK]],TableWRCalcPts[RK],0)),"")</f>
        <v>23.388939153604547</v>
      </c>
      <c r="AO12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7" spans="16:41" x14ac:dyDescent="0.3">
      <c r="P127" s="22">
        <v>126</v>
      </c>
      <c r="Q127" s="22" t="str">
        <f>IFERROR(INDEX(TableRBCalcPts[PLAYER],MATCH(TableRBRanks31[[#This Row],[RK]],TableRBCalcPts[RK],0)),"")</f>
        <v/>
      </c>
      <c r="R127" s="22" t="str">
        <f>IFERROR(INDEX(TableRBCalcPts[TM],MATCH(TableRBRanks31[[#This Row],[Player]],TableRBCalcPts[PLAYER],0)),"")</f>
        <v/>
      </c>
      <c r="S127" s="22" t="str">
        <f>IFERROR(INDEX(TableRBCalcPts[BYE],MATCH(TableRBRanks31[[#This Row],[RK]],TableRBCalcPts[RK],0)),"")</f>
        <v/>
      </c>
      <c r="T127" s="279" t="e">
        <f>VLOOKUP(TableRBRanks31[[#This Row],[Player]],RB!B:O,4,FALSE)</f>
        <v>#N/A</v>
      </c>
      <c r="U127" s="279" t="e">
        <f>VLOOKUP(TableRBRanks31[[#This Row],[Player]],RB!B:O,5,FALSE)</f>
        <v>#N/A</v>
      </c>
      <c r="V127" s="279" t="e">
        <f>VLOOKUP(TableRBRanks31[[#This Row],[Player]],RB!B:O,6,FALSE)</f>
        <v>#N/A</v>
      </c>
      <c r="W127" s="279" t="e">
        <f>VLOOKUP(TableRBRanks31[[#This Row],[Player]],RB!B:O,7,FALSE)</f>
        <v>#N/A</v>
      </c>
      <c r="X127" s="279" t="e">
        <f>VLOOKUP(TableRBRanks31[[#This Row],[Player]],RB!B:O,8,FALSE)</f>
        <v>#N/A</v>
      </c>
      <c r="Y127" s="279" t="e">
        <f>VLOOKUP(TableRBRanks31[[#This Row],[Player]],RB!B:O,9,FALSE)</f>
        <v>#N/A</v>
      </c>
      <c r="Z127" s="279" t="e">
        <f>VLOOKUP(TableRBRanks31[[#This Row],[Player]],RB!B:O,10,FALSE)</f>
        <v>#N/A</v>
      </c>
      <c r="AA127" s="272" t="str">
        <f>IFERROR(INDEX(TableRBCalcPts[Custom],MATCH(TableRBRanks31[[#This Row],[RK]],TableRBCalcPts[RK],0)),"")</f>
        <v/>
      </c>
      <c r="AB127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27" s="22">
        <v>126</v>
      </c>
      <c r="AE127" s="22" t="str">
        <f>IFERROR(INDEX(TableWRCalcPts[PLAYER],MATCH(TableWRRanks32[[#This Row],[RK]],TableWRCalcPts[RK],0)),"")</f>
        <v>Auden Tate</v>
      </c>
      <c r="AF127" s="22" t="str">
        <f>IFERROR(INDEX(TableWRCalcPts[TM],MATCH(TableWRRanks32[[#This Row],[Player]],TableWRCalcPts[PLAYER],0)),"")</f>
        <v>ATL</v>
      </c>
      <c r="AG127" s="22">
        <f>IFERROR(INDEX(TableWRCalcPts[BYE],MATCH(TableWRRanks32[[#This Row],[RK]],TableWRCalcPts[RK],0)),"")</f>
        <v>14</v>
      </c>
      <c r="AH127" s="279">
        <f>VLOOKUP(TableWRRanks32[[#This Row],[Player]],WR!B:O,4,FALSE)</f>
        <v>0</v>
      </c>
      <c r="AI127" s="279">
        <f>VLOOKUP(TableWRRanks32[[#This Row],[Player]],WR!B:O,5,FALSE)</f>
        <v>0</v>
      </c>
      <c r="AJ127" s="279">
        <f>VLOOKUP(TableWRRanks32[[#This Row],[Player]],WR!B:O,6,FALSE)</f>
        <v>30.43184498842022</v>
      </c>
      <c r="AK127" s="279">
        <f>VLOOKUP(TableWRRanks32[[#This Row],[Player]],WR!B:O,7,FALSE)</f>
        <v>16.4207920091049</v>
      </c>
      <c r="AL127" s="279">
        <f>VLOOKUP(TableWRRanks32[[#This Row],[Player]],WR!B:O,8,FALSE)</f>
        <v>193.61558464419318</v>
      </c>
      <c r="AM127" s="279">
        <f>VLOOKUP(TableWRRanks32[[#This Row],[Player]],WR!B:O,9,FALSE)</f>
        <v>0.55830692830956663</v>
      </c>
      <c r="AN127" s="272">
        <f>IFERROR(INDEX(TableWRCalcPts[Custom],MATCH(TableWRRanks32[[#This Row],[RK]],TableWRCalcPts[RK],0)),"")</f>
        <v>22.711400034276718</v>
      </c>
      <c r="AO12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8" spans="16:41" x14ac:dyDescent="0.3">
      <c r="P128" s="22">
        <v>127</v>
      </c>
      <c r="Q128" s="22" t="str">
        <f>IFERROR(INDEX(TableRBCalcPts[PLAYER],MATCH(TableRBRanks31[[#This Row],[RK]],TableRBCalcPts[RK],0)),"")</f>
        <v/>
      </c>
      <c r="R128" s="22" t="str">
        <f>IFERROR(INDEX(TableRBCalcPts[TM],MATCH(TableRBRanks31[[#This Row],[Player]],TableRBCalcPts[PLAYER],0)),"")</f>
        <v/>
      </c>
      <c r="S128" s="22" t="str">
        <f>IFERROR(INDEX(TableRBCalcPts[BYE],MATCH(TableRBRanks31[[#This Row],[RK]],TableRBCalcPts[RK],0)),"")</f>
        <v/>
      </c>
      <c r="T128" s="279" t="e">
        <f>VLOOKUP(TableRBRanks31[[#This Row],[Player]],RB!B:O,4,FALSE)</f>
        <v>#N/A</v>
      </c>
      <c r="U128" s="279" t="e">
        <f>VLOOKUP(TableRBRanks31[[#This Row],[Player]],RB!B:O,5,FALSE)</f>
        <v>#N/A</v>
      </c>
      <c r="V128" s="279" t="e">
        <f>VLOOKUP(TableRBRanks31[[#This Row],[Player]],RB!B:O,6,FALSE)</f>
        <v>#N/A</v>
      </c>
      <c r="W128" s="279" t="e">
        <f>VLOOKUP(TableRBRanks31[[#This Row],[Player]],RB!B:O,7,FALSE)</f>
        <v>#N/A</v>
      </c>
      <c r="X128" s="279" t="e">
        <f>VLOOKUP(TableRBRanks31[[#This Row],[Player]],RB!B:O,8,FALSE)</f>
        <v>#N/A</v>
      </c>
      <c r="Y128" s="279" t="e">
        <f>VLOOKUP(TableRBRanks31[[#This Row],[Player]],RB!B:O,9,FALSE)</f>
        <v>#N/A</v>
      </c>
      <c r="Z128" s="279" t="e">
        <f>VLOOKUP(TableRBRanks31[[#This Row],[Player]],RB!B:O,10,FALSE)</f>
        <v>#N/A</v>
      </c>
      <c r="AA128" s="272" t="str">
        <f>IFERROR(INDEX(TableRBCalcPts[Custom],MATCH(TableRBRanks31[[#This Row],[RK]],TableRBCalcPts[RK],0)),"")</f>
        <v/>
      </c>
      <c r="AB128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28" s="22">
        <v>127</v>
      </c>
      <c r="AE128" s="22" t="str">
        <f>IFERROR(INDEX(TableWRCalcPts[PLAYER],MATCH(TableWRRanks32[[#This Row],[RK]],TableWRCalcPts[RK],0)),"")</f>
        <v>Noah Brown</v>
      </c>
      <c r="AF128" s="22" t="str">
        <f>IFERROR(INDEX(TableWRCalcPts[TM],MATCH(TableWRRanks32[[#This Row],[Player]],TableWRCalcPts[PLAYER],0)),"")</f>
        <v>DAL</v>
      </c>
      <c r="AG128" s="22">
        <f>IFERROR(INDEX(TableWRCalcPts[BYE],MATCH(TableWRRanks32[[#This Row],[RK]],TableWRCalcPts[RK],0)),"")</f>
        <v>9</v>
      </c>
      <c r="AH128" s="279">
        <f>VLOOKUP(TableWRRanks32[[#This Row],[Player]],WR!B:O,4,FALSE)</f>
        <v>0</v>
      </c>
      <c r="AI128" s="279">
        <f>VLOOKUP(TableWRRanks32[[#This Row],[Player]],WR!B:O,5,FALSE)</f>
        <v>0</v>
      </c>
      <c r="AJ128" s="279">
        <f>VLOOKUP(TableWRRanks32[[#This Row],[Player]],WR!B:O,6,FALSE)</f>
        <v>22.850338483137158</v>
      </c>
      <c r="AK128" s="279">
        <f>VLOOKUP(TableWRRanks32[[#This Row],[Player]],WR!B:O,7,FALSE)</f>
        <v>14.226620739601195</v>
      </c>
      <c r="AL128" s="279">
        <f>VLOOKUP(TableWRRanks32[[#This Row],[Player]],WR!B:O,8,FALSE)</f>
        <v>163.51879011356093</v>
      </c>
      <c r="AM128" s="279">
        <f>VLOOKUP(TableWRRanks32[[#This Row],[Player]],WR!B:O,9,FALSE)</f>
        <v>0.9958634517720838</v>
      </c>
      <c r="AN128" s="272">
        <f>IFERROR(INDEX(TableWRCalcPts[Custom],MATCH(TableWRRanks32[[#This Row],[RK]],TableWRCalcPts[RK],0)),"")</f>
        <v>22.327059721988597</v>
      </c>
      <c r="AO12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29" spans="16:41" x14ac:dyDescent="0.3">
      <c r="P129" s="22">
        <v>128</v>
      </c>
      <c r="Q129" s="22" t="str">
        <f>IFERROR(INDEX(TableRBCalcPts[PLAYER],MATCH(TableRBRanks31[[#This Row],[RK]],TableRBCalcPts[RK],0)),"")</f>
        <v/>
      </c>
      <c r="R129" s="22" t="str">
        <f>IFERROR(INDEX(TableRBCalcPts[TM],MATCH(TableRBRanks31[[#This Row],[Player]],TableRBCalcPts[PLAYER],0)),"")</f>
        <v/>
      </c>
      <c r="S129" s="22" t="str">
        <f>IFERROR(INDEX(TableRBCalcPts[BYE],MATCH(TableRBRanks31[[#This Row],[RK]],TableRBCalcPts[RK],0)),"")</f>
        <v/>
      </c>
      <c r="T129" s="279" t="e">
        <f>VLOOKUP(TableRBRanks31[[#This Row],[Player]],RB!B:O,4,FALSE)</f>
        <v>#N/A</v>
      </c>
      <c r="U129" s="279" t="e">
        <f>VLOOKUP(TableRBRanks31[[#This Row],[Player]],RB!B:O,5,FALSE)</f>
        <v>#N/A</v>
      </c>
      <c r="V129" s="279" t="e">
        <f>VLOOKUP(TableRBRanks31[[#This Row],[Player]],RB!B:O,6,FALSE)</f>
        <v>#N/A</v>
      </c>
      <c r="W129" s="279" t="e">
        <f>VLOOKUP(TableRBRanks31[[#This Row],[Player]],RB!B:O,7,FALSE)</f>
        <v>#N/A</v>
      </c>
      <c r="X129" s="279" t="e">
        <f>VLOOKUP(TableRBRanks31[[#This Row],[Player]],RB!B:O,8,FALSE)</f>
        <v>#N/A</v>
      </c>
      <c r="Y129" s="279" t="e">
        <f>VLOOKUP(TableRBRanks31[[#This Row],[Player]],RB!B:O,9,FALSE)</f>
        <v>#N/A</v>
      </c>
      <c r="Z129" s="279" t="e">
        <f>VLOOKUP(TableRBRanks31[[#This Row],[Player]],RB!B:O,10,FALSE)</f>
        <v>#N/A</v>
      </c>
      <c r="AA129" s="272" t="str">
        <f>IFERROR(INDEX(TableRBCalcPts[Custom],MATCH(TableRBRanks31[[#This Row],[RK]],TableRBCalcPts[RK],0)),"")</f>
        <v/>
      </c>
      <c r="AB129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29" s="274">
        <v>128</v>
      </c>
      <c r="AE129" s="274" t="str">
        <f>IFERROR(INDEX(TableWRCalcPts[PLAYER],MATCH(TableWRRanks32[[#This Row],[RK]],TableWRCalcPts[RK],0)),"")</f>
        <v>KhaDarel Hodge</v>
      </c>
      <c r="AF129" s="22" t="str">
        <f>IFERROR(INDEX(TableWRCalcPts[TM],MATCH(TableWRRanks32[[#This Row],[Player]],TableWRCalcPts[PLAYER],0)),"")</f>
        <v>ATL</v>
      </c>
      <c r="AG129" s="22">
        <f>IFERROR(INDEX(TableWRCalcPts[BYE],MATCH(TableWRRanks32[[#This Row],[RK]],TableWRCalcPts[RK],0)),"")</f>
        <v>14</v>
      </c>
      <c r="AH129" s="279">
        <f>VLOOKUP(TableWRRanks32[[#This Row],[Player]],WR!B:O,4,FALSE)</f>
        <v>0</v>
      </c>
      <c r="AI129" s="279">
        <f>VLOOKUP(TableWRRanks32[[#This Row],[Player]],WR!B:O,5,FALSE)</f>
        <v>0</v>
      </c>
      <c r="AJ129" s="279">
        <f>VLOOKUP(TableWRRanks32[[#This Row],[Player]],WR!B:O,6,FALSE)</f>
        <v>27.841900734086583</v>
      </c>
      <c r="AK129" s="279">
        <f>VLOOKUP(TableWRRanks32[[#This Row],[Player]],WR!B:O,7,FALSE)</f>
        <v>14.830679606064409</v>
      </c>
      <c r="AL129" s="279">
        <f>VLOOKUP(TableWRRanks32[[#This Row],[Player]],WR!B:O,8,FALSE)</f>
        <v>189.18620223463469</v>
      </c>
      <c r="AM129" s="279">
        <f>VLOOKUP(TableWRRanks32[[#This Row],[Player]],WR!B:O,9,FALSE)</f>
        <v>0.55781150771439203</v>
      </c>
      <c r="AN129" s="272">
        <f>IFERROR(INDEX(TableWRCalcPts[Custom],MATCH(TableWRRanks32[[#This Row],[RK]],TableWRCalcPts[RK],0)),"")</f>
        <v>22.265489269749821</v>
      </c>
      <c r="AO12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0" spans="16:41" x14ac:dyDescent="0.3">
      <c r="P130" s="22">
        <v>129</v>
      </c>
      <c r="Q130" s="22" t="str">
        <f>IFERROR(INDEX(TableRBCalcPts[PLAYER],MATCH(TableRBRanks31[[#This Row],[RK]],TableRBCalcPts[RK],0)),"")</f>
        <v/>
      </c>
      <c r="R130" s="22" t="str">
        <f>IFERROR(INDEX(TableRBCalcPts[TM],MATCH(TableRBRanks31[[#This Row],[Player]],TableRBCalcPts[PLAYER],0)),"")</f>
        <v/>
      </c>
      <c r="S130" s="22" t="str">
        <f>IFERROR(INDEX(TableRBCalcPts[BYE],MATCH(TableRBRanks31[[#This Row],[RK]],TableRBCalcPts[RK],0)),"")</f>
        <v/>
      </c>
      <c r="T130" s="279" t="e">
        <f>VLOOKUP(TableRBRanks31[[#This Row],[Player]],RB!B:O,4,FALSE)</f>
        <v>#N/A</v>
      </c>
      <c r="U130" s="279" t="e">
        <f>VLOOKUP(TableRBRanks31[[#This Row],[Player]],RB!B:O,5,FALSE)</f>
        <v>#N/A</v>
      </c>
      <c r="V130" s="279" t="e">
        <f>VLOOKUP(TableRBRanks31[[#This Row],[Player]],RB!B:O,6,FALSE)</f>
        <v>#N/A</v>
      </c>
      <c r="W130" s="279" t="e">
        <f>VLOOKUP(TableRBRanks31[[#This Row],[Player]],RB!B:O,7,FALSE)</f>
        <v>#N/A</v>
      </c>
      <c r="X130" s="279" t="e">
        <f>VLOOKUP(TableRBRanks31[[#This Row],[Player]],RB!B:O,8,FALSE)</f>
        <v>#N/A</v>
      </c>
      <c r="Y130" s="279" t="e">
        <f>VLOOKUP(TableRBRanks31[[#This Row],[Player]],RB!B:O,9,FALSE)</f>
        <v>#N/A</v>
      </c>
      <c r="Z130" s="279" t="e">
        <f>VLOOKUP(TableRBRanks31[[#This Row],[Player]],RB!B:O,10,FALSE)</f>
        <v>#N/A</v>
      </c>
      <c r="AA130" s="272" t="str">
        <f>IFERROR(INDEX(TableRBCalcPts[Custom],MATCH(TableRBRanks31[[#This Row],[RK]],TableRBCalcPts[RK],0)),"")</f>
        <v/>
      </c>
      <c r="AB130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0" s="22">
        <v>129</v>
      </c>
      <c r="AE130" s="22" t="str">
        <f>IFERROR(INDEX(TableWRCalcPts[PLAYER],MATCH(TableWRRanks32[[#This Row],[RK]],TableWRCalcPts[RK],0)),"")</f>
        <v>Ben Skowronek</v>
      </c>
      <c r="AF130" s="22" t="str">
        <f>IFERROR(INDEX(TableWRCalcPts[TM],MATCH(TableWRRanks32[[#This Row],[Player]],TableWRCalcPts[PLAYER],0)),"")</f>
        <v>LAR</v>
      </c>
      <c r="AG130" s="22">
        <f>IFERROR(INDEX(TableWRCalcPts[BYE],MATCH(TableWRRanks32[[#This Row],[RK]],TableWRCalcPts[RK],0)),"")</f>
        <v>7</v>
      </c>
      <c r="AH130" s="279">
        <f>VLOOKUP(TableWRRanks32[[#This Row],[Player]],WR!B:O,4,FALSE)</f>
        <v>0</v>
      </c>
      <c r="AI130" s="279">
        <f>VLOOKUP(TableWRRanks32[[#This Row],[Player]],WR!B:O,5,FALSE)</f>
        <v>0</v>
      </c>
      <c r="AJ130" s="279">
        <f>VLOOKUP(TableWRRanks32[[#This Row],[Player]],WR!B:O,6,FALSE)</f>
        <v>20.007220958038392</v>
      </c>
      <c r="AK130" s="279">
        <f>VLOOKUP(TableWRRanks32[[#This Row],[Player]],WR!B:O,7,FALSE)</f>
        <v>12.644563645480265</v>
      </c>
      <c r="AL130" s="279">
        <f>VLOOKUP(TableWRRanks32[[#This Row],[Player]],WR!B:O,8,FALSE)</f>
        <v>152.39715350301844</v>
      </c>
      <c r="AM130" s="279">
        <f>VLOOKUP(TableWRRanks32[[#This Row],[Player]],WR!B:O,9,FALSE)</f>
        <v>1.1380107280932237</v>
      </c>
      <c r="AN130" s="272">
        <f>IFERROR(INDEX(TableWRCalcPts[Custom],MATCH(TableWRRanks32[[#This Row],[RK]],TableWRCalcPts[RK],0)),"")</f>
        <v>22.067779718861189</v>
      </c>
      <c r="AO13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1" spans="16:41" x14ac:dyDescent="0.3">
      <c r="P131" s="22">
        <v>130</v>
      </c>
      <c r="Q131" s="22" t="str">
        <f>IFERROR(INDEX(TableRBCalcPts[PLAYER],MATCH(TableRBRanks31[[#This Row],[RK]],TableRBCalcPts[RK],0)),"")</f>
        <v/>
      </c>
      <c r="R131" s="22" t="str">
        <f>IFERROR(INDEX(TableRBCalcPts[TM],MATCH(TableRBRanks31[[#This Row],[Player]],TableRBCalcPts[PLAYER],0)),"")</f>
        <v/>
      </c>
      <c r="S131" s="22" t="str">
        <f>IFERROR(INDEX(TableRBCalcPts[BYE],MATCH(TableRBRanks31[[#This Row],[RK]],TableRBCalcPts[RK],0)),"")</f>
        <v/>
      </c>
      <c r="T131" s="279" t="e">
        <f>VLOOKUP(TableRBRanks31[[#This Row],[Player]],RB!B:O,4,FALSE)</f>
        <v>#N/A</v>
      </c>
      <c r="U131" s="279" t="e">
        <f>VLOOKUP(TableRBRanks31[[#This Row],[Player]],RB!B:O,5,FALSE)</f>
        <v>#N/A</v>
      </c>
      <c r="V131" s="279" t="e">
        <f>VLOOKUP(TableRBRanks31[[#This Row],[Player]],RB!B:O,6,FALSE)</f>
        <v>#N/A</v>
      </c>
      <c r="W131" s="279" t="e">
        <f>VLOOKUP(TableRBRanks31[[#This Row],[Player]],RB!B:O,7,FALSE)</f>
        <v>#N/A</v>
      </c>
      <c r="X131" s="279" t="e">
        <f>VLOOKUP(TableRBRanks31[[#This Row],[Player]],RB!B:O,8,FALSE)</f>
        <v>#N/A</v>
      </c>
      <c r="Y131" s="279" t="e">
        <f>VLOOKUP(TableRBRanks31[[#This Row],[Player]],RB!B:O,9,FALSE)</f>
        <v>#N/A</v>
      </c>
      <c r="Z131" s="279" t="e">
        <f>VLOOKUP(TableRBRanks31[[#This Row],[Player]],RB!B:O,10,FALSE)</f>
        <v>#N/A</v>
      </c>
      <c r="AA131" s="272" t="str">
        <f>IFERROR(INDEX(TableRBCalcPts[Custom],MATCH(TableRBRanks31[[#This Row],[RK]],TableRBCalcPts[RK],0)),"")</f>
        <v/>
      </c>
      <c r="AB131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1" s="22">
        <v>130</v>
      </c>
      <c r="AE131" s="274" t="str">
        <f>IFERROR(INDEX(TableWRCalcPts[PLAYER],MATCH(TableWRRanks32[[#This Row],[RK]],TableWRCalcPts[RK],0)),"")</f>
        <v>Malik Turner</v>
      </c>
      <c r="AF131" s="22" t="str">
        <f>IFERROR(INDEX(TableWRCalcPts[TM],MATCH(TableWRRanks32[[#This Row],[Player]],TableWRCalcPts[PLAYER],0)),"")</f>
        <v>SF</v>
      </c>
      <c r="AG131" s="22">
        <f>IFERROR(INDEX(TableWRCalcPts[BYE],MATCH(TableWRRanks32[[#This Row],[RK]],TableWRCalcPts[RK],0)),"")</f>
        <v>9</v>
      </c>
      <c r="AH131" s="279">
        <f>VLOOKUP(TableWRRanks32[[#This Row],[Player]],WR!B:O,4,FALSE)</f>
        <v>0</v>
      </c>
      <c r="AI131" s="279">
        <f>VLOOKUP(TableWRRanks32[[#This Row],[Player]],WR!B:O,5,FALSE)</f>
        <v>0</v>
      </c>
      <c r="AJ131" s="279">
        <f>VLOOKUP(TableWRRanks32[[#This Row],[Player]],WR!B:O,6,FALSE)</f>
        <v>23.020022009540362</v>
      </c>
      <c r="AK131" s="279">
        <f>VLOOKUP(TableWRRanks32[[#This Row],[Player]],WR!B:O,7,FALSE)</f>
        <v>12.974084404576947</v>
      </c>
      <c r="AL131" s="279">
        <f>VLOOKUP(TableWRRanks32[[#This Row],[Player]],WR!B:O,8,FALSE)</f>
        <v>169.05231979163761</v>
      </c>
      <c r="AM131" s="279">
        <f>VLOOKUP(TableWRRanks32[[#This Row],[Player]],WR!B:O,9,FALSE)</f>
        <v>0.81088027528605922</v>
      </c>
      <c r="AN131" s="272">
        <f>IFERROR(INDEX(TableWRCalcPts[Custom],MATCH(TableWRRanks32[[#This Row],[RK]],TableWRCalcPts[RK],0)),"")</f>
        <v>21.770513630880117</v>
      </c>
      <c r="AO13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2" spans="16:41" x14ac:dyDescent="0.3">
      <c r="P132" s="22">
        <v>131</v>
      </c>
      <c r="Q132" s="22" t="str">
        <f>IFERROR(INDEX(TableRBCalcPts[PLAYER],MATCH(TableRBRanks31[[#This Row],[RK]],TableRBCalcPts[RK],0)),"")</f>
        <v/>
      </c>
      <c r="R132" s="22" t="str">
        <f>IFERROR(INDEX(TableRBCalcPts[TM],MATCH(TableRBRanks31[[#This Row],[Player]],TableRBCalcPts[PLAYER],0)),"")</f>
        <v/>
      </c>
      <c r="S132" s="22" t="str">
        <f>IFERROR(INDEX(TableRBCalcPts[BYE],MATCH(TableRBRanks31[[#This Row],[RK]],TableRBCalcPts[RK],0)),"")</f>
        <v/>
      </c>
      <c r="T132" s="279" t="e">
        <f>VLOOKUP(TableRBRanks31[[#This Row],[Player]],RB!B:O,4,FALSE)</f>
        <v>#N/A</v>
      </c>
      <c r="U132" s="279" t="e">
        <f>VLOOKUP(TableRBRanks31[[#This Row],[Player]],RB!B:O,5,FALSE)</f>
        <v>#N/A</v>
      </c>
      <c r="V132" s="279" t="e">
        <f>VLOOKUP(TableRBRanks31[[#This Row],[Player]],RB!B:O,6,FALSE)</f>
        <v>#N/A</v>
      </c>
      <c r="W132" s="279" t="e">
        <f>VLOOKUP(TableRBRanks31[[#This Row],[Player]],RB!B:O,7,FALSE)</f>
        <v>#N/A</v>
      </c>
      <c r="X132" s="279" t="e">
        <f>VLOOKUP(TableRBRanks31[[#This Row],[Player]],RB!B:O,8,FALSE)</f>
        <v>#N/A</v>
      </c>
      <c r="Y132" s="279" t="e">
        <f>VLOOKUP(TableRBRanks31[[#This Row],[Player]],RB!B:O,9,FALSE)</f>
        <v>#N/A</v>
      </c>
      <c r="Z132" s="279" t="e">
        <f>VLOOKUP(TableRBRanks31[[#This Row],[Player]],RB!B:O,10,FALSE)</f>
        <v>#N/A</v>
      </c>
      <c r="AA132" s="272" t="str">
        <f>IFERROR(INDEX(TableRBCalcPts[Custom],MATCH(TableRBRanks31[[#This Row],[RK]],TableRBCalcPts[RK],0)),"")</f>
        <v/>
      </c>
      <c r="AB132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2" s="274">
        <v>131</v>
      </c>
      <c r="AE132" s="274" t="str">
        <f>IFERROR(INDEX(TableWRCalcPts[PLAYER],MATCH(TableWRRanks32[[#This Row],[RK]],TableWRCalcPts[RK],0)),"")</f>
        <v>Equanimeous St. Brown</v>
      </c>
      <c r="AF132" s="22" t="str">
        <f>IFERROR(INDEX(TableWRCalcPts[TM],MATCH(TableWRRanks32[[#This Row],[Player]],TableWRCalcPts[PLAYER],0)),"")</f>
        <v>CHI</v>
      </c>
      <c r="AG132" s="22">
        <f>IFERROR(INDEX(TableWRCalcPts[BYE],MATCH(TableWRRanks32[[#This Row],[RK]],TableWRCalcPts[RK],0)),"")</f>
        <v>14</v>
      </c>
      <c r="AH132" s="279">
        <f>VLOOKUP(TableWRRanks32[[#This Row],[Player]],WR!B:O,4,FALSE)</f>
        <v>0</v>
      </c>
      <c r="AI132" s="279">
        <f>VLOOKUP(TableWRRanks32[[#This Row],[Player]],WR!B:O,5,FALSE)</f>
        <v>0</v>
      </c>
      <c r="AJ132" s="279">
        <f>VLOOKUP(TableWRRanks32[[#This Row],[Player]],WR!B:O,6,FALSE)</f>
        <v>22.241952190599669</v>
      </c>
      <c r="AK132" s="279">
        <f>VLOOKUP(TableWRRanks32[[#This Row],[Player]],WR!B:O,7,FALSE)</f>
        <v>12.268660828334777</v>
      </c>
      <c r="AL132" s="279">
        <f>VLOOKUP(TableWRRanks32[[#This Row],[Player]],WR!B:O,8,FALSE)</f>
        <v>154.70781304530155</v>
      </c>
      <c r="AM132" s="279">
        <f>VLOOKUP(TableWRRanks32[[#This Row],[Player]],WR!B:O,9,FALSE)</f>
        <v>0.93469932443815062</v>
      </c>
      <c r="AN132" s="272">
        <f>IFERROR(INDEX(TableWRCalcPts[Custom],MATCH(TableWRRanks32[[#This Row],[RK]],TableWRCalcPts[RK],0)),"")</f>
        <v>21.07897725115906</v>
      </c>
      <c r="AO13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3" spans="16:41" x14ac:dyDescent="0.3">
      <c r="P133" s="22">
        <v>132</v>
      </c>
      <c r="Q133" s="22" t="str">
        <f>IFERROR(INDEX(TableRBCalcPts[PLAYER],MATCH(TableRBRanks31[[#This Row],[RK]],TableRBCalcPts[RK],0)),"")</f>
        <v/>
      </c>
      <c r="R133" s="22" t="str">
        <f>IFERROR(INDEX(TableRBCalcPts[TM],MATCH(TableRBRanks31[[#This Row],[Player]],TableRBCalcPts[PLAYER],0)),"")</f>
        <v/>
      </c>
      <c r="S133" s="22" t="str">
        <f>IFERROR(INDEX(TableRBCalcPts[BYE],MATCH(TableRBRanks31[[#This Row],[RK]],TableRBCalcPts[RK],0)),"")</f>
        <v/>
      </c>
      <c r="T133" s="279" t="e">
        <f>VLOOKUP(TableRBRanks31[[#This Row],[Player]],RB!B:O,4,FALSE)</f>
        <v>#N/A</v>
      </c>
      <c r="U133" s="279" t="e">
        <f>VLOOKUP(TableRBRanks31[[#This Row],[Player]],RB!B:O,5,FALSE)</f>
        <v>#N/A</v>
      </c>
      <c r="V133" s="279" t="e">
        <f>VLOOKUP(TableRBRanks31[[#This Row],[Player]],RB!B:O,6,FALSE)</f>
        <v>#N/A</v>
      </c>
      <c r="W133" s="279" t="e">
        <f>VLOOKUP(TableRBRanks31[[#This Row],[Player]],RB!B:O,7,FALSE)</f>
        <v>#N/A</v>
      </c>
      <c r="X133" s="279" t="e">
        <f>VLOOKUP(TableRBRanks31[[#This Row],[Player]],RB!B:O,8,FALSE)</f>
        <v>#N/A</v>
      </c>
      <c r="Y133" s="279" t="e">
        <f>VLOOKUP(TableRBRanks31[[#This Row],[Player]],RB!B:O,9,FALSE)</f>
        <v>#N/A</v>
      </c>
      <c r="Z133" s="279" t="e">
        <f>VLOOKUP(TableRBRanks31[[#This Row],[Player]],RB!B:O,10,FALSE)</f>
        <v>#N/A</v>
      </c>
      <c r="AA133" s="272" t="str">
        <f>IFERROR(INDEX(TableRBCalcPts[Custom],MATCH(TableRBRanks31[[#This Row],[RK]],TableRBCalcPts[RK],0)),"")</f>
        <v/>
      </c>
      <c r="AB133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3" s="22">
        <v>132</v>
      </c>
      <c r="AE133" s="274" t="str">
        <f>IFERROR(INDEX(TableWRCalcPts[PLAYER],MATCH(TableWRRanks32[[#This Row],[RK]],TableWRCalcPts[RK],0)),"")</f>
        <v>Tre'Quan Smith</v>
      </c>
      <c r="AF133" s="22" t="str">
        <f>IFERROR(INDEX(TableWRCalcPts[TM],MATCH(TableWRRanks32[[#This Row],[Player]],TableWRCalcPts[PLAYER],0)),"")</f>
        <v>NO</v>
      </c>
      <c r="AG133" s="22">
        <f>IFERROR(INDEX(TableWRCalcPts[BYE],MATCH(TableWRRanks32[[#This Row],[RK]],TableWRCalcPts[RK],0)),"")</f>
        <v>14</v>
      </c>
      <c r="AH133" s="279">
        <f>VLOOKUP(TableWRRanks32[[#This Row],[Player]],WR!B:O,4,FALSE)</f>
        <v>13.172098418013222</v>
      </c>
      <c r="AI133" s="279">
        <f>VLOOKUP(TableWRRanks32[[#This Row],[Player]],WR!B:O,5,FALSE)</f>
        <v>0</v>
      </c>
      <c r="AJ133" s="279">
        <f>VLOOKUP(TableWRRanks32[[#This Row],[Player]],WR!B:O,6,FALSE)</f>
        <v>17.640988658179783</v>
      </c>
      <c r="AK133" s="279">
        <f>VLOOKUP(TableWRRanks32[[#This Row],[Player]],WR!B:O,7,FALSE)</f>
        <v>10.967402648790371</v>
      </c>
      <c r="AL133" s="279">
        <f>VLOOKUP(TableWRRanks32[[#This Row],[Player]],WR!B:O,8,FALSE)</f>
        <v>133.45987020722123</v>
      </c>
      <c r="AM133" s="279">
        <f>VLOOKUP(TableWRRanks32[[#This Row],[Player]],WR!B:O,9,FALSE)</f>
        <v>1.009001043688714</v>
      </c>
      <c r="AN133" s="272">
        <f>IFERROR(INDEX(TableWRCalcPts[Custom],MATCH(TableWRRanks32[[#This Row],[RK]],TableWRCalcPts[RK],0)),"")</f>
        <v>20.717203124655729</v>
      </c>
      <c r="AO13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4" spans="16:41" x14ac:dyDescent="0.3">
      <c r="P134" s="22">
        <v>133</v>
      </c>
      <c r="Q134" s="22" t="str">
        <f>IFERROR(INDEX(TableRBCalcPts[PLAYER],MATCH(TableRBRanks31[[#This Row],[RK]],TableRBCalcPts[RK],0)),"")</f>
        <v/>
      </c>
      <c r="R134" s="22" t="str">
        <f>IFERROR(INDEX(TableRBCalcPts[TM],MATCH(TableRBRanks31[[#This Row],[Player]],TableRBCalcPts[PLAYER],0)),"")</f>
        <v/>
      </c>
      <c r="S134" s="22" t="str">
        <f>IFERROR(INDEX(TableRBCalcPts[BYE],MATCH(TableRBRanks31[[#This Row],[RK]],TableRBCalcPts[RK],0)),"")</f>
        <v/>
      </c>
      <c r="T134" s="279" t="e">
        <f>VLOOKUP(TableRBRanks31[[#This Row],[Player]],RB!B:O,4,FALSE)</f>
        <v>#N/A</v>
      </c>
      <c r="U134" s="279" t="e">
        <f>VLOOKUP(TableRBRanks31[[#This Row],[Player]],RB!B:O,5,FALSE)</f>
        <v>#N/A</v>
      </c>
      <c r="V134" s="279" t="e">
        <f>VLOOKUP(TableRBRanks31[[#This Row],[Player]],RB!B:O,6,FALSE)</f>
        <v>#N/A</v>
      </c>
      <c r="W134" s="279" t="e">
        <f>VLOOKUP(TableRBRanks31[[#This Row],[Player]],RB!B:O,7,FALSE)</f>
        <v>#N/A</v>
      </c>
      <c r="X134" s="279" t="e">
        <f>VLOOKUP(TableRBRanks31[[#This Row],[Player]],RB!B:O,8,FALSE)</f>
        <v>#N/A</v>
      </c>
      <c r="Y134" s="279" t="e">
        <f>VLOOKUP(TableRBRanks31[[#This Row],[Player]],RB!B:O,9,FALSE)</f>
        <v>#N/A</v>
      </c>
      <c r="Z134" s="279" t="e">
        <f>VLOOKUP(TableRBRanks31[[#This Row],[Player]],RB!B:O,10,FALSE)</f>
        <v>#N/A</v>
      </c>
      <c r="AA134" s="272" t="str">
        <f>IFERROR(INDEX(TableRBCalcPts[Custom],MATCH(TableRBRanks31[[#This Row],[RK]],TableRBCalcPts[RK],0)),"")</f>
        <v/>
      </c>
      <c r="AB134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4" s="22">
        <v>133</v>
      </c>
      <c r="AE134" s="274" t="str">
        <f>IFERROR(INDEX(TableWRCalcPts[PLAYER],MATCH(TableWRRanks32[[#This Row],[RK]],TableWRCalcPts[RK],0)),"")</f>
        <v>Miles Boykin</v>
      </c>
      <c r="AF134" s="22" t="str">
        <f>IFERROR(INDEX(TableWRCalcPts[TM],MATCH(TableWRRanks32[[#This Row],[Player]],TableWRCalcPts[PLAYER],0)),"")</f>
        <v>PIT</v>
      </c>
      <c r="AG134" s="22">
        <f>IFERROR(INDEX(TableWRCalcPts[BYE],MATCH(TableWRRanks32[[#This Row],[RK]],TableWRCalcPts[RK],0)),"")</f>
        <v>9</v>
      </c>
      <c r="AH134" s="279">
        <f>VLOOKUP(TableWRRanks32[[#This Row],[Player]],WR!B:O,4,FALSE)</f>
        <v>0</v>
      </c>
      <c r="AI134" s="279">
        <f>VLOOKUP(TableWRRanks32[[#This Row],[Player]],WR!B:O,5,FALSE)</f>
        <v>0</v>
      </c>
      <c r="AJ134" s="279">
        <f>VLOOKUP(TableWRRanks32[[#This Row],[Player]],WR!B:O,6,FALSE)</f>
        <v>23.752799334643477</v>
      </c>
      <c r="AK134" s="279">
        <f>VLOOKUP(TableWRRanks32[[#This Row],[Player]],WR!B:O,7,FALSE)</f>
        <v>13.900138170633364</v>
      </c>
      <c r="AL134" s="279">
        <f>VLOOKUP(TableWRRanks32[[#This Row],[Player]],WR!B:O,8,FALSE)</f>
        <v>172.22271193414738</v>
      </c>
      <c r="AM134" s="279">
        <f>VLOOKUP(TableWRRanks32[[#This Row],[Player]],WR!B:O,9,FALSE)</f>
        <v>0.52125518139875116</v>
      </c>
      <c r="AN134" s="272">
        <f>IFERROR(INDEX(TableWRCalcPts[Custom],MATCH(TableWRRanks32[[#This Row],[RK]],TableWRCalcPts[RK],0)),"")</f>
        <v>20.349802281807243</v>
      </c>
      <c r="AO13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5" spans="16:41" x14ac:dyDescent="0.3">
      <c r="P135" s="22">
        <v>134</v>
      </c>
      <c r="Q135" s="22" t="str">
        <f>IFERROR(INDEX(TableRBCalcPts[PLAYER],MATCH(TableRBRanks31[[#This Row],[RK]],TableRBCalcPts[RK],0)),"")</f>
        <v/>
      </c>
      <c r="R135" s="22" t="str">
        <f>IFERROR(INDEX(TableRBCalcPts[TM],MATCH(TableRBRanks31[[#This Row],[Player]],TableRBCalcPts[PLAYER],0)),"")</f>
        <v/>
      </c>
      <c r="S135" s="22" t="str">
        <f>IFERROR(INDEX(TableRBCalcPts[BYE],MATCH(TableRBRanks31[[#This Row],[RK]],TableRBCalcPts[RK],0)),"")</f>
        <v/>
      </c>
      <c r="T135" s="279" t="e">
        <f>VLOOKUP(TableRBRanks31[[#This Row],[Player]],RB!B:O,4,FALSE)</f>
        <v>#N/A</v>
      </c>
      <c r="U135" s="279" t="e">
        <f>VLOOKUP(TableRBRanks31[[#This Row],[Player]],RB!B:O,5,FALSE)</f>
        <v>#N/A</v>
      </c>
      <c r="V135" s="279" t="e">
        <f>VLOOKUP(TableRBRanks31[[#This Row],[Player]],RB!B:O,6,FALSE)</f>
        <v>#N/A</v>
      </c>
      <c r="W135" s="279" t="e">
        <f>VLOOKUP(TableRBRanks31[[#This Row],[Player]],RB!B:O,7,FALSE)</f>
        <v>#N/A</v>
      </c>
      <c r="X135" s="279" t="e">
        <f>VLOOKUP(TableRBRanks31[[#This Row],[Player]],RB!B:O,8,FALSE)</f>
        <v>#N/A</v>
      </c>
      <c r="Y135" s="279" t="e">
        <f>VLOOKUP(TableRBRanks31[[#This Row],[Player]],RB!B:O,9,FALSE)</f>
        <v>#N/A</v>
      </c>
      <c r="Z135" s="279" t="e">
        <f>VLOOKUP(TableRBRanks31[[#This Row],[Player]],RB!B:O,10,FALSE)</f>
        <v>#N/A</v>
      </c>
      <c r="AA135" s="272" t="str">
        <f>IFERROR(INDEX(TableRBCalcPts[Custom],MATCH(TableRBRanks31[[#This Row],[RK]],TableRBCalcPts[RK],0)),"")</f>
        <v/>
      </c>
      <c r="AB135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5" s="274">
        <v>134</v>
      </c>
      <c r="AE135" s="22" t="str">
        <f>IFERROR(INDEX(TableWRCalcPts[PLAYER],MATCH(TableWRRanks32[[#This Row],[RK]],TableWRCalcPts[RK],0)),"")</f>
        <v>Keelan Cole</v>
      </c>
      <c r="AF135" s="22" t="str">
        <f>IFERROR(INDEX(TableWRCalcPts[TM],MATCH(TableWRRanks32[[#This Row],[Player]],TableWRCalcPts[PLAYER],0)),"")</f>
        <v>LV</v>
      </c>
      <c r="AG135" s="22">
        <f>IFERROR(INDEX(TableWRCalcPts[BYE],MATCH(TableWRRanks32[[#This Row],[RK]],TableWRCalcPts[RK],0)),"")</f>
        <v>6</v>
      </c>
      <c r="AH135" s="279">
        <f>VLOOKUP(TableWRRanks32[[#This Row],[Player]],WR!B:O,4,FALSE)</f>
        <v>0</v>
      </c>
      <c r="AI135" s="279">
        <f>VLOOKUP(TableWRRanks32[[#This Row],[Player]],WR!B:O,5,FALSE)</f>
        <v>0</v>
      </c>
      <c r="AJ135" s="279">
        <f>VLOOKUP(TableWRRanks32[[#This Row],[Player]],WR!B:O,6,FALSE)</f>
        <v>17.639678279999995</v>
      </c>
      <c r="AK135" s="279">
        <f>VLOOKUP(TableWRRanks32[[#This Row],[Player]],WR!B:O,7,FALSE)</f>
        <v>10.035212973491996</v>
      </c>
      <c r="AL135" s="279">
        <f>VLOOKUP(TableWRRanks32[[#This Row],[Player]],WR!B:O,8,FALSE)</f>
        <v>143.2399050194409</v>
      </c>
      <c r="AM135" s="279">
        <f>VLOOKUP(TableWRRanks32[[#This Row],[Player]],WR!B:O,9,FALSE)</f>
        <v>0.85077478946913287</v>
      </c>
      <c r="AN135" s="272">
        <f>IFERROR(INDEX(TableWRCalcPts[Custom],MATCH(TableWRRanks32[[#This Row],[RK]],TableWRCalcPts[RK],0)),"")</f>
        <v>19.428639238758887</v>
      </c>
      <c r="AO13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6" spans="16:41" x14ac:dyDescent="0.3">
      <c r="P136" s="22">
        <v>135</v>
      </c>
      <c r="Q136" s="22" t="str">
        <f>IFERROR(INDEX(TableRBCalcPts[PLAYER],MATCH(TableRBRanks31[[#This Row],[RK]],TableRBCalcPts[RK],0)),"")</f>
        <v/>
      </c>
      <c r="R136" s="22" t="str">
        <f>IFERROR(INDEX(TableRBCalcPts[TM],MATCH(TableRBRanks31[[#This Row],[Player]],TableRBCalcPts[PLAYER],0)),"")</f>
        <v/>
      </c>
      <c r="S136" s="22" t="str">
        <f>IFERROR(INDEX(TableRBCalcPts[BYE],MATCH(TableRBRanks31[[#This Row],[RK]],TableRBCalcPts[RK],0)),"")</f>
        <v/>
      </c>
      <c r="T136" s="279" t="e">
        <f>VLOOKUP(TableRBRanks31[[#This Row],[Player]],RB!B:O,4,FALSE)</f>
        <v>#N/A</v>
      </c>
      <c r="U136" s="279" t="e">
        <f>VLOOKUP(TableRBRanks31[[#This Row],[Player]],RB!B:O,5,FALSE)</f>
        <v>#N/A</v>
      </c>
      <c r="V136" s="279" t="e">
        <f>VLOOKUP(TableRBRanks31[[#This Row],[Player]],RB!B:O,6,FALSE)</f>
        <v>#N/A</v>
      </c>
      <c r="W136" s="279" t="e">
        <f>VLOOKUP(TableRBRanks31[[#This Row],[Player]],RB!B:O,7,FALSE)</f>
        <v>#N/A</v>
      </c>
      <c r="X136" s="279" t="e">
        <f>VLOOKUP(TableRBRanks31[[#This Row],[Player]],RB!B:O,8,FALSE)</f>
        <v>#N/A</v>
      </c>
      <c r="Y136" s="279" t="e">
        <f>VLOOKUP(TableRBRanks31[[#This Row],[Player]],RB!B:O,9,FALSE)</f>
        <v>#N/A</v>
      </c>
      <c r="Z136" s="279" t="e">
        <f>VLOOKUP(TableRBRanks31[[#This Row],[Player]],RB!B:O,10,FALSE)</f>
        <v>#N/A</v>
      </c>
      <c r="AA136" s="272" t="str">
        <f>IFERROR(INDEX(TableRBCalcPts[Custom],MATCH(TableRBRanks31[[#This Row],[RK]],TableRBCalcPts[RK],0)),"")</f>
        <v/>
      </c>
      <c r="AB136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6" s="22">
        <v>135</v>
      </c>
      <c r="AE136" s="22" t="str">
        <f>IFERROR(INDEX(TableWRCalcPts[PLAYER],MATCH(TableWRRanks32[[#This Row],[RK]],TableWRCalcPts[RK],0)),"")</f>
        <v>Nelson Agholor</v>
      </c>
      <c r="AF136" s="22" t="str">
        <f>IFERROR(INDEX(TableWRCalcPts[TM],MATCH(TableWRRanks32[[#This Row],[Player]],TableWRCalcPts[PLAYER],0)),"")</f>
        <v>NE</v>
      </c>
      <c r="AG136" s="22">
        <f>IFERROR(INDEX(TableWRCalcPts[BYE],MATCH(TableWRRanks32[[#This Row],[RK]],TableWRCalcPts[RK],0)),"")</f>
        <v>10</v>
      </c>
      <c r="AH136" s="279">
        <f>VLOOKUP(TableWRRanks32[[#This Row],[Player]],WR!B:O,4,FALSE)</f>
        <v>0</v>
      </c>
      <c r="AI136" s="279">
        <f>VLOOKUP(TableWRRanks32[[#This Row],[Player]],WR!B:O,5,FALSE)</f>
        <v>0</v>
      </c>
      <c r="AJ136" s="279">
        <f>VLOOKUP(TableWRRanks32[[#This Row],[Player]],WR!B:O,6,FALSE)</f>
        <v>18.898119537579198</v>
      </c>
      <c r="AK136" s="279">
        <f>VLOOKUP(TableWRRanks32[[#This Row],[Player]],WR!B:O,7,FALSE)</f>
        <v>12.385827544929406</v>
      </c>
      <c r="AL136" s="279">
        <f>VLOOKUP(TableWRRanks32[[#This Row],[Player]],WR!B:O,8,FALSE)</f>
        <v>128.44103164091791</v>
      </c>
      <c r="AM136" s="279">
        <f>VLOOKUP(TableWRRanks32[[#This Row],[Player]],WR!B:O,9,FALSE)</f>
        <v>1.0759207619565749</v>
      </c>
      <c r="AN136" s="272">
        <f>IFERROR(INDEX(TableWRCalcPts[Custom],MATCH(TableWRRanks32[[#This Row],[RK]],TableWRCalcPts[RK],0)),"")</f>
        <v>19.29962773583124</v>
      </c>
      <c r="AO13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7" spans="16:41" x14ac:dyDescent="0.3">
      <c r="P137" s="22">
        <v>136</v>
      </c>
      <c r="Q137" s="22" t="str">
        <f>IFERROR(INDEX(TableRBCalcPts[PLAYER],MATCH(TableRBRanks31[[#This Row],[RK]],TableRBCalcPts[RK],0)),"")</f>
        <v/>
      </c>
      <c r="R137" s="22" t="str">
        <f>IFERROR(INDEX(TableRBCalcPts[TM],MATCH(TableRBRanks31[[#This Row],[Player]],TableRBCalcPts[PLAYER],0)),"")</f>
        <v/>
      </c>
      <c r="S137" s="22" t="str">
        <f>IFERROR(INDEX(TableRBCalcPts[BYE],MATCH(TableRBRanks31[[#This Row],[RK]],TableRBCalcPts[RK],0)),"")</f>
        <v/>
      </c>
      <c r="T137" s="279" t="e">
        <f>VLOOKUP(TableRBRanks31[[#This Row],[Player]],RB!B:O,4,FALSE)</f>
        <v>#N/A</v>
      </c>
      <c r="U137" s="279" t="e">
        <f>VLOOKUP(TableRBRanks31[[#This Row],[Player]],RB!B:O,5,FALSE)</f>
        <v>#N/A</v>
      </c>
      <c r="V137" s="279" t="e">
        <f>VLOOKUP(TableRBRanks31[[#This Row],[Player]],RB!B:O,6,FALSE)</f>
        <v>#N/A</v>
      </c>
      <c r="W137" s="279" t="e">
        <f>VLOOKUP(TableRBRanks31[[#This Row],[Player]],RB!B:O,7,FALSE)</f>
        <v>#N/A</v>
      </c>
      <c r="X137" s="279" t="e">
        <f>VLOOKUP(TableRBRanks31[[#This Row],[Player]],RB!B:O,8,FALSE)</f>
        <v>#N/A</v>
      </c>
      <c r="Y137" s="279" t="e">
        <f>VLOOKUP(TableRBRanks31[[#This Row],[Player]],RB!B:O,9,FALSE)</f>
        <v>#N/A</v>
      </c>
      <c r="Z137" s="279" t="e">
        <f>VLOOKUP(TableRBRanks31[[#This Row],[Player]],RB!B:O,10,FALSE)</f>
        <v>#N/A</v>
      </c>
      <c r="AA137" s="272" t="str">
        <f>IFERROR(INDEX(TableRBCalcPts[Custom],MATCH(TableRBRanks31[[#This Row],[RK]],TableRBCalcPts[RK],0)),"")</f>
        <v/>
      </c>
      <c r="AB137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7" s="22">
        <v>136</v>
      </c>
      <c r="AE137" s="22" t="str">
        <f>IFERROR(INDEX(TableWRCalcPts[PLAYER],MATCH(TableWRRanks32[[#This Row],[RK]],TableWRCalcPts[RK],0)),"")</f>
        <v>Mack Hollins</v>
      </c>
      <c r="AF137" s="22" t="str">
        <f>IFERROR(INDEX(TableWRCalcPts[TM],MATCH(TableWRRanks32[[#This Row],[Player]],TableWRCalcPts[PLAYER],0)),"")</f>
        <v>LV</v>
      </c>
      <c r="AG137" s="22">
        <f>IFERROR(INDEX(TableWRCalcPts[BYE],MATCH(TableWRRanks32[[#This Row],[RK]],TableWRCalcPts[RK],0)),"")</f>
        <v>6</v>
      </c>
      <c r="AH137" s="279">
        <f>VLOOKUP(TableWRRanks32[[#This Row],[Player]],WR!B:O,4,FALSE)</f>
        <v>0</v>
      </c>
      <c r="AI137" s="279">
        <f>VLOOKUP(TableWRRanks32[[#This Row],[Player]],WR!B:O,5,FALSE)</f>
        <v>0</v>
      </c>
      <c r="AJ137" s="279">
        <f>VLOOKUP(TableWRRanks32[[#This Row],[Player]],WR!B:O,6,FALSE)</f>
        <v>16.379701259999994</v>
      </c>
      <c r="AK137" s="279">
        <f>VLOOKUP(TableWRRanks32[[#This Row],[Player]],WR!B:O,7,FALSE)</f>
        <v>9.9408406946939962</v>
      </c>
      <c r="AL137" s="279">
        <f>VLOOKUP(TableWRRanks32[[#This Row],[Player]],WR!B:O,8,FALSE)</f>
        <v>134.40016619226282</v>
      </c>
      <c r="AM137" s="279">
        <f>VLOOKUP(TableWRRanks32[[#This Row],[Player]],WR!B:O,9,FALSE)</f>
        <v>0.90461650321715359</v>
      </c>
      <c r="AN137" s="272">
        <f>IFERROR(INDEX(TableWRCalcPts[Custom],MATCH(TableWRRanks32[[#This Row],[RK]],TableWRCalcPts[RK],0)),"")</f>
        <v>18.867715638529205</v>
      </c>
      <c r="AO13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8" spans="16:41" x14ac:dyDescent="0.3">
      <c r="P138" s="22">
        <v>137</v>
      </c>
      <c r="Q138" s="22" t="str">
        <f>IFERROR(INDEX(TableRBCalcPts[PLAYER],MATCH(TableRBRanks31[[#This Row],[RK]],TableRBCalcPts[RK],0)),"")</f>
        <v/>
      </c>
      <c r="R138" s="22" t="str">
        <f>IFERROR(INDEX(TableRBCalcPts[TM],MATCH(TableRBRanks31[[#This Row],[Player]],TableRBCalcPts[PLAYER],0)),"")</f>
        <v/>
      </c>
      <c r="S138" s="22" t="str">
        <f>IFERROR(INDEX(TableRBCalcPts[BYE],MATCH(TableRBRanks31[[#This Row],[RK]],TableRBCalcPts[RK],0)),"")</f>
        <v/>
      </c>
      <c r="T138" s="279" t="e">
        <f>VLOOKUP(TableRBRanks31[[#This Row],[Player]],RB!B:O,4,FALSE)</f>
        <v>#N/A</v>
      </c>
      <c r="U138" s="279" t="e">
        <f>VLOOKUP(TableRBRanks31[[#This Row],[Player]],RB!B:O,5,FALSE)</f>
        <v>#N/A</v>
      </c>
      <c r="V138" s="279" t="e">
        <f>VLOOKUP(TableRBRanks31[[#This Row],[Player]],RB!B:O,6,FALSE)</f>
        <v>#N/A</v>
      </c>
      <c r="W138" s="279" t="e">
        <f>VLOOKUP(TableRBRanks31[[#This Row],[Player]],RB!B:O,7,FALSE)</f>
        <v>#N/A</v>
      </c>
      <c r="X138" s="279" t="e">
        <f>VLOOKUP(TableRBRanks31[[#This Row],[Player]],RB!B:O,8,FALSE)</f>
        <v>#N/A</v>
      </c>
      <c r="Y138" s="279" t="e">
        <f>VLOOKUP(TableRBRanks31[[#This Row],[Player]],RB!B:O,9,FALSE)</f>
        <v>#N/A</v>
      </c>
      <c r="Z138" s="279" t="e">
        <f>VLOOKUP(TableRBRanks31[[#This Row],[Player]],RB!B:O,10,FALSE)</f>
        <v>#N/A</v>
      </c>
      <c r="AA138" s="272" t="str">
        <f>IFERROR(INDEX(TableRBCalcPts[Custom],MATCH(TableRBRanks31[[#This Row],[RK]],TableRBCalcPts[RK],0)),"")</f>
        <v/>
      </c>
      <c r="AB138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8" s="274">
        <v>137</v>
      </c>
      <c r="AE138" s="22" t="str">
        <f>IFERROR(INDEX(TableWRCalcPts[PLAYER],MATCH(TableWRRanks32[[#This Row],[RK]],TableWRCalcPts[RK],0)),"")</f>
        <v>Romeo Doubs</v>
      </c>
      <c r="AF138" s="22" t="str">
        <f>IFERROR(INDEX(TableWRCalcPts[TM],MATCH(TableWRRanks32[[#This Row],[Player]],TableWRCalcPts[PLAYER],0)),"")</f>
        <v>GB</v>
      </c>
      <c r="AG138" s="22">
        <f>IFERROR(INDEX(TableWRCalcPts[BYE],MATCH(TableWRRanks32[[#This Row],[RK]],TableWRCalcPts[RK],0)),"")</f>
        <v>14</v>
      </c>
      <c r="AH138" s="279">
        <f>VLOOKUP(TableWRRanks32[[#This Row],[Player]],WR!B:O,4,FALSE)</f>
        <v>0</v>
      </c>
      <c r="AI138" s="279">
        <f>VLOOKUP(TableWRRanks32[[#This Row],[Player]],WR!B:O,5,FALSE)</f>
        <v>0</v>
      </c>
      <c r="AJ138" s="279">
        <f>VLOOKUP(TableWRRanks32[[#This Row],[Player]],WR!B:O,6,FALSE)</f>
        <v>17.775161699999991</v>
      </c>
      <c r="AK138" s="279">
        <f>VLOOKUP(TableWRRanks32[[#This Row],[Player]],WR!B:O,7,FALSE)</f>
        <v>11.481073301038057</v>
      </c>
      <c r="AL138" s="279">
        <f>VLOOKUP(TableWRRanks32[[#This Row],[Player]],WR!B:O,8,FALSE)</f>
        <v>147.41698118532864</v>
      </c>
      <c r="AM138" s="279">
        <f>VLOOKUP(TableWRRanks32[[#This Row],[Player]],WR!B:O,9,FALSE)</f>
        <v>0.61505749826989586</v>
      </c>
      <c r="AN138" s="272">
        <f>IFERROR(INDEX(TableWRCalcPts[Custom],MATCH(TableWRRanks32[[#This Row],[RK]],TableWRCalcPts[RK],0)),"")</f>
        <v>18.432043108152239</v>
      </c>
      <c r="AO13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39" spans="16:41" x14ac:dyDescent="0.3">
      <c r="P139" s="22">
        <v>138</v>
      </c>
      <c r="Q139" s="22" t="str">
        <f>IFERROR(INDEX(TableRBCalcPts[PLAYER],MATCH(TableRBRanks31[[#This Row],[RK]],TableRBCalcPts[RK],0)),"")</f>
        <v/>
      </c>
      <c r="R139" s="22" t="str">
        <f>IFERROR(INDEX(TableRBCalcPts[TM],MATCH(TableRBRanks31[[#This Row],[Player]],TableRBCalcPts[PLAYER],0)),"")</f>
        <v/>
      </c>
      <c r="S139" s="22" t="str">
        <f>IFERROR(INDEX(TableRBCalcPts[BYE],MATCH(TableRBRanks31[[#This Row],[RK]],TableRBCalcPts[RK],0)),"")</f>
        <v/>
      </c>
      <c r="T139" s="279" t="e">
        <f>VLOOKUP(TableRBRanks31[[#This Row],[Player]],RB!B:O,4,FALSE)</f>
        <v>#N/A</v>
      </c>
      <c r="U139" s="279" t="e">
        <f>VLOOKUP(TableRBRanks31[[#This Row],[Player]],RB!B:O,5,FALSE)</f>
        <v>#N/A</v>
      </c>
      <c r="V139" s="279" t="e">
        <f>VLOOKUP(TableRBRanks31[[#This Row],[Player]],RB!B:O,6,FALSE)</f>
        <v>#N/A</v>
      </c>
      <c r="W139" s="279" t="e">
        <f>VLOOKUP(TableRBRanks31[[#This Row],[Player]],RB!B:O,7,FALSE)</f>
        <v>#N/A</v>
      </c>
      <c r="X139" s="279" t="e">
        <f>VLOOKUP(TableRBRanks31[[#This Row],[Player]],RB!B:O,8,FALSE)</f>
        <v>#N/A</v>
      </c>
      <c r="Y139" s="279" t="e">
        <f>VLOOKUP(TableRBRanks31[[#This Row],[Player]],RB!B:O,9,FALSE)</f>
        <v>#N/A</v>
      </c>
      <c r="Z139" s="279" t="e">
        <f>VLOOKUP(TableRBRanks31[[#This Row],[Player]],RB!B:O,10,FALSE)</f>
        <v>#N/A</v>
      </c>
      <c r="AA139" s="272" t="str">
        <f>IFERROR(INDEX(TableRBCalcPts[Custom],MATCH(TableRBRanks31[[#This Row],[RK]],TableRBCalcPts[RK],0)),"")</f>
        <v/>
      </c>
      <c r="AB139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39" s="22">
        <v>138</v>
      </c>
      <c r="AE139" s="274" t="str">
        <f>IFERROR(INDEX(TableWRCalcPts[PLAYER],MATCH(TableWRRanks32[[#This Row],[RK]],TableWRCalcPts[RK],0)),"")</f>
        <v>Richie James</v>
      </c>
      <c r="AF139" s="22" t="str">
        <f>IFERROR(INDEX(TableWRCalcPts[TM],MATCH(TableWRRanks32[[#This Row],[Player]],TableWRCalcPts[PLAYER],0)),"")</f>
        <v>NYG</v>
      </c>
      <c r="AG139" s="22">
        <f>IFERROR(INDEX(TableWRCalcPts[BYE],MATCH(TableWRRanks32[[#This Row],[RK]],TableWRCalcPts[RK],0)),"")</f>
        <v>9</v>
      </c>
      <c r="AH139" s="279">
        <f>VLOOKUP(TableWRRanks32[[#This Row],[Player]],WR!B:O,4,FALSE)</f>
        <v>0</v>
      </c>
      <c r="AI139" s="279">
        <f>VLOOKUP(TableWRRanks32[[#This Row],[Player]],WR!B:O,5,FALSE)</f>
        <v>0</v>
      </c>
      <c r="AJ139" s="279">
        <f>VLOOKUP(TableWRRanks32[[#This Row],[Player]],WR!B:O,6,FALSE)</f>
        <v>17.540185107616306</v>
      </c>
      <c r="AK139" s="279">
        <f>VLOOKUP(TableWRRanks32[[#This Row],[Player]],WR!B:O,7,FALSE)</f>
        <v>11.343237709095467</v>
      </c>
      <c r="AL139" s="279">
        <f>VLOOKUP(TableWRRanks32[[#This Row],[Player]],WR!B:O,8,FALSE)</f>
        <v>143.09930648397358</v>
      </c>
      <c r="AM139" s="279">
        <f>VLOOKUP(TableWRRanks32[[#This Row],[Player]],WR!B:O,9,FALSE)</f>
        <v>0.66925102483663257</v>
      </c>
      <c r="AN139" s="272">
        <f>IFERROR(INDEX(TableWRCalcPts[Custom],MATCH(TableWRRanks32[[#This Row],[RK]],TableWRCalcPts[RK],0)),"")</f>
        <v>18.325436797417154</v>
      </c>
      <c r="AO13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0" spans="16:41" x14ac:dyDescent="0.3">
      <c r="P140" s="22">
        <v>139</v>
      </c>
      <c r="Q140" s="22" t="str">
        <f>IFERROR(INDEX(TableRBCalcPts[PLAYER],MATCH(TableRBRanks31[[#This Row],[RK]],TableRBCalcPts[RK],0)),"")</f>
        <v/>
      </c>
      <c r="R140" s="22" t="str">
        <f>IFERROR(INDEX(TableRBCalcPts[TM],MATCH(TableRBRanks31[[#This Row],[Player]],TableRBCalcPts[PLAYER],0)),"")</f>
        <v/>
      </c>
      <c r="S140" s="22" t="str">
        <f>IFERROR(INDEX(TableRBCalcPts[BYE],MATCH(TableRBRanks31[[#This Row],[RK]],TableRBCalcPts[RK],0)),"")</f>
        <v/>
      </c>
      <c r="T140" s="279" t="e">
        <f>VLOOKUP(TableRBRanks31[[#This Row],[Player]],RB!B:O,4,FALSE)</f>
        <v>#N/A</v>
      </c>
      <c r="U140" s="279" t="e">
        <f>VLOOKUP(TableRBRanks31[[#This Row],[Player]],RB!B:O,5,FALSE)</f>
        <v>#N/A</v>
      </c>
      <c r="V140" s="279" t="e">
        <f>VLOOKUP(TableRBRanks31[[#This Row],[Player]],RB!B:O,6,FALSE)</f>
        <v>#N/A</v>
      </c>
      <c r="W140" s="279" t="e">
        <f>VLOOKUP(TableRBRanks31[[#This Row],[Player]],RB!B:O,7,FALSE)</f>
        <v>#N/A</v>
      </c>
      <c r="X140" s="279" t="e">
        <f>VLOOKUP(TableRBRanks31[[#This Row],[Player]],RB!B:O,8,FALSE)</f>
        <v>#N/A</v>
      </c>
      <c r="Y140" s="279" t="e">
        <f>VLOOKUP(TableRBRanks31[[#This Row],[Player]],RB!B:O,9,FALSE)</f>
        <v>#N/A</v>
      </c>
      <c r="Z140" s="279" t="e">
        <f>VLOOKUP(TableRBRanks31[[#This Row],[Player]],RB!B:O,10,FALSE)</f>
        <v>#N/A</v>
      </c>
      <c r="AA140" s="272" t="str">
        <f>IFERROR(INDEX(TableRBCalcPts[Custom],MATCH(TableRBRanks31[[#This Row],[RK]],TableRBCalcPts[RK],0)),"")</f>
        <v/>
      </c>
      <c r="AB140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0" s="22">
        <v>139</v>
      </c>
      <c r="AE140" s="274" t="str">
        <f>IFERROR(INDEX(TableWRCalcPts[PLAYER],MATCH(TableWRRanks32[[#This Row],[RK]],TableWRCalcPts[RK],0)),"")</f>
        <v>Ray-Ray McCloud</v>
      </c>
      <c r="AF140" s="22" t="str">
        <f>IFERROR(INDEX(TableWRCalcPts[TM],MATCH(TableWRRanks32[[#This Row],[Player]],TableWRCalcPts[PLAYER],0)),"")</f>
        <v>SF</v>
      </c>
      <c r="AG140" s="22">
        <f>IFERROR(INDEX(TableWRCalcPts[BYE],MATCH(TableWRRanks32[[#This Row],[RK]],TableWRCalcPts[RK],0)),"")</f>
        <v>9</v>
      </c>
      <c r="AH140" s="279">
        <f>VLOOKUP(TableWRRanks32[[#This Row],[Player]],WR!B:O,4,FALSE)</f>
        <v>0</v>
      </c>
      <c r="AI140" s="279">
        <f>VLOOKUP(TableWRRanks32[[#This Row],[Player]],WR!B:O,5,FALSE)</f>
        <v>0</v>
      </c>
      <c r="AJ140" s="279">
        <f>VLOOKUP(TableWRRanks32[[#This Row],[Player]],WR!B:O,6,FALSE)</f>
        <v>21.375734723144621</v>
      </c>
      <c r="AK140" s="279">
        <f>VLOOKUP(TableWRRanks32[[#This Row],[Player]],WR!B:O,7,FALSE)</f>
        <v>13.201653765014118</v>
      </c>
      <c r="AL140" s="279">
        <f>VLOOKUP(TableWRRanks32[[#This Row],[Player]],WR!B:O,8,FALSE)</f>
        <v>146.27432371635643</v>
      </c>
      <c r="AM140" s="279">
        <f>VLOOKUP(TableWRRanks32[[#This Row],[Player]],WR!B:O,9,FALSE)</f>
        <v>0.49467373225376432</v>
      </c>
      <c r="AN140" s="272">
        <f>IFERROR(INDEX(TableWRCalcPts[Custom],MATCH(TableWRRanks32[[#This Row],[RK]],TableWRCalcPts[RK],0)),"")</f>
        <v>17.59547476515823</v>
      </c>
      <c r="AO14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1" spans="16:41" x14ac:dyDescent="0.3">
      <c r="P141" s="22">
        <v>140</v>
      </c>
      <c r="Q141" s="22" t="str">
        <f>IFERROR(INDEX(TableRBCalcPts[PLAYER],MATCH(TableRBRanks31[[#This Row],[RK]],TableRBCalcPts[RK],0)),"")</f>
        <v/>
      </c>
      <c r="R141" s="22" t="str">
        <f>IFERROR(INDEX(TableRBCalcPts[TM],MATCH(TableRBRanks31[[#This Row],[Player]],TableRBCalcPts[PLAYER],0)),"")</f>
        <v/>
      </c>
      <c r="S141" s="22" t="str">
        <f>IFERROR(INDEX(TableRBCalcPts[BYE],MATCH(TableRBRanks31[[#This Row],[RK]],TableRBCalcPts[RK],0)),"")</f>
        <v/>
      </c>
      <c r="T141" s="279" t="e">
        <f>VLOOKUP(TableRBRanks31[[#This Row],[Player]],RB!B:O,4,FALSE)</f>
        <v>#N/A</v>
      </c>
      <c r="U141" s="279" t="e">
        <f>VLOOKUP(TableRBRanks31[[#This Row],[Player]],RB!B:O,5,FALSE)</f>
        <v>#N/A</v>
      </c>
      <c r="V141" s="279" t="e">
        <f>VLOOKUP(TableRBRanks31[[#This Row],[Player]],RB!B:O,6,FALSE)</f>
        <v>#N/A</v>
      </c>
      <c r="W141" s="279" t="e">
        <f>VLOOKUP(TableRBRanks31[[#This Row],[Player]],RB!B:O,7,FALSE)</f>
        <v>#N/A</v>
      </c>
      <c r="X141" s="279" t="e">
        <f>VLOOKUP(TableRBRanks31[[#This Row],[Player]],RB!B:O,8,FALSE)</f>
        <v>#N/A</v>
      </c>
      <c r="Y141" s="279" t="e">
        <f>VLOOKUP(TableRBRanks31[[#This Row],[Player]],RB!B:O,9,FALSE)</f>
        <v>#N/A</v>
      </c>
      <c r="Z141" s="279" t="e">
        <f>VLOOKUP(TableRBRanks31[[#This Row],[Player]],RB!B:O,10,FALSE)</f>
        <v>#N/A</v>
      </c>
      <c r="AA141" s="272" t="str">
        <f>IFERROR(INDEX(TableRBCalcPts[Custom],MATCH(TableRBRanks31[[#This Row],[RK]],TableRBCalcPts[RK],0)),"")</f>
        <v/>
      </c>
      <c r="AB141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1" s="274">
        <v>140</v>
      </c>
      <c r="AE141" s="274" t="str">
        <f>IFERROR(INDEX(TableWRCalcPts[PLAYER],MATCH(TableWRRanks32[[#This Row],[RK]],TableWRCalcPts[RK],0)),"")</f>
        <v>Olabisi Johnson</v>
      </c>
      <c r="AF141" s="22" t="str">
        <f>IFERROR(INDEX(TableWRCalcPts[TM],MATCH(TableWRRanks32[[#This Row],[Player]],TableWRCalcPts[PLAYER],0)),"")</f>
        <v>MIN</v>
      </c>
      <c r="AG141" s="22">
        <f>IFERROR(INDEX(TableWRCalcPts[BYE],MATCH(TableWRRanks32[[#This Row],[RK]],TableWRCalcPts[RK],0)),"")</f>
        <v>7</v>
      </c>
      <c r="AH141" s="279">
        <f>VLOOKUP(TableWRRanks32[[#This Row],[Player]],WR!B:O,4,FALSE)</f>
        <v>0</v>
      </c>
      <c r="AI141" s="279">
        <f>VLOOKUP(TableWRRanks32[[#This Row],[Player]],WR!B:O,5,FALSE)</f>
        <v>0</v>
      </c>
      <c r="AJ141" s="279">
        <f>VLOOKUP(TableWRRanks32[[#This Row],[Player]],WR!B:O,6,FALSE)</f>
        <v>18.624275085477876</v>
      </c>
      <c r="AK141" s="279">
        <f>VLOOKUP(TableWRRanks32[[#This Row],[Player]],WR!B:O,7,FALSE)</f>
        <v>11.900911779620364</v>
      </c>
      <c r="AL141" s="279">
        <f>VLOOKUP(TableWRRanks32[[#This Row],[Player]],WR!B:O,8,FALSE)</f>
        <v>125.16503563250099</v>
      </c>
      <c r="AM141" s="279">
        <f>VLOOKUP(TableWRRanks32[[#This Row],[Player]],WR!B:O,9,FALSE)</f>
        <v>0.82250949914195792</v>
      </c>
      <c r="AN141" s="272">
        <f>IFERROR(INDEX(TableWRCalcPts[Custom],MATCH(TableWRRanks32[[#This Row],[RK]],TableWRCalcPts[RK],0)),"")</f>
        <v>17.451560558101846</v>
      </c>
      <c r="AO14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2" spans="16:41" x14ac:dyDescent="0.3">
      <c r="P142" s="22">
        <v>141</v>
      </c>
      <c r="Q142" s="22" t="str">
        <f>IFERROR(INDEX(TableRBCalcPts[PLAYER],MATCH(TableRBRanks31[[#This Row],[RK]],TableRBCalcPts[RK],0)),"")</f>
        <v/>
      </c>
      <c r="R142" s="22" t="str">
        <f>IFERROR(INDEX(TableRBCalcPts[TM],MATCH(TableRBRanks31[[#This Row],[Player]],TableRBCalcPts[PLAYER],0)),"")</f>
        <v/>
      </c>
      <c r="S142" s="22" t="str">
        <f>IFERROR(INDEX(TableRBCalcPts[BYE],MATCH(TableRBRanks31[[#This Row],[RK]],TableRBCalcPts[RK],0)),"")</f>
        <v/>
      </c>
      <c r="T142" s="279" t="e">
        <f>VLOOKUP(TableRBRanks31[[#This Row],[Player]],RB!B:O,4,FALSE)</f>
        <v>#N/A</v>
      </c>
      <c r="U142" s="279" t="e">
        <f>VLOOKUP(TableRBRanks31[[#This Row],[Player]],RB!B:O,5,FALSE)</f>
        <v>#N/A</v>
      </c>
      <c r="V142" s="279" t="e">
        <f>VLOOKUP(TableRBRanks31[[#This Row],[Player]],RB!B:O,6,FALSE)</f>
        <v>#N/A</v>
      </c>
      <c r="W142" s="279" t="e">
        <f>VLOOKUP(TableRBRanks31[[#This Row],[Player]],RB!B:O,7,FALSE)</f>
        <v>#N/A</v>
      </c>
      <c r="X142" s="279" t="e">
        <f>VLOOKUP(TableRBRanks31[[#This Row],[Player]],RB!B:O,8,FALSE)</f>
        <v>#N/A</v>
      </c>
      <c r="Y142" s="279" t="e">
        <f>VLOOKUP(TableRBRanks31[[#This Row],[Player]],RB!B:O,9,FALSE)</f>
        <v>#N/A</v>
      </c>
      <c r="Z142" s="279" t="e">
        <f>VLOOKUP(TableRBRanks31[[#This Row],[Player]],RB!B:O,10,FALSE)</f>
        <v>#N/A</v>
      </c>
      <c r="AA142" s="272" t="str">
        <f>IFERROR(INDEX(TableRBCalcPts[Custom],MATCH(TableRBRanks31[[#This Row],[RK]],TableRBCalcPts[RK],0)),"")</f>
        <v/>
      </c>
      <c r="AB142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2" s="22">
        <v>141</v>
      </c>
      <c r="AE142" s="22" t="str">
        <f>IFERROR(INDEX(TableWRCalcPts[PLAYER],MATCH(TableWRRanks32[[#This Row],[RK]],TableWRCalcPts[RK],0)),"")</f>
        <v>Tutu Atwell</v>
      </c>
      <c r="AF142" s="22" t="str">
        <f>IFERROR(INDEX(TableWRCalcPts[TM],MATCH(TableWRRanks32[[#This Row],[Player]],TableWRCalcPts[PLAYER],0)),"")</f>
        <v>LAR</v>
      </c>
      <c r="AG142" s="22">
        <f>IFERROR(INDEX(TableWRCalcPts[BYE],MATCH(TableWRRanks32[[#This Row],[RK]],TableWRCalcPts[RK],0)),"")</f>
        <v>7</v>
      </c>
      <c r="AH142" s="279">
        <f>VLOOKUP(TableWRRanks32[[#This Row],[Player]],WR!B:O,4,FALSE)</f>
        <v>0</v>
      </c>
      <c r="AI142" s="279">
        <f>VLOOKUP(TableWRRanks32[[#This Row],[Player]],WR!B:O,5,FALSE)</f>
        <v>0</v>
      </c>
      <c r="AJ142" s="279">
        <f>VLOOKUP(TableWRRanks32[[#This Row],[Player]],WR!B:O,6,FALSE)</f>
        <v>17.727551145095806</v>
      </c>
      <c r="AK142" s="279">
        <f>VLOOKUP(TableWRRanks32[[#This Row],[Player]],WR!B:O,7,FALSE)</f>
        <v>9.7324255786575975</v>
      </c>
      <c r="AL142" s="279">
        <f>VLOOKUP(TableWRRanks32[[#This Row],[Player]],WR!B:O,8,FALSE)</f>
        <v>120.13106978258229</v>
      </c>
      <c r="AM142" s="279">
        <f>VLOOKUP(TableWRRanks32[[#This Row],[Player]],WR!B:O,9,FALSE)</f>
        <v>0.89968890158927806</v>
      </c>
      <c r="AN142" s="272">
        <f>IFERROR(INDEX(TableWRCalcPts[Custom],MATCH(TableWRRanks32[[#This Row],[RK]],TableWRCalcPts[RK],0)),"")</f>
        <v>17.411240387793896</v>
      </c>
      <c r="AO14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3" spans="16:41" x14ac:dyDescent="0.3">
      <c r="P143" s="22">
        <v>142</v>
      </c>
      <c r="Q143" s="22" t="str">
        <f>IFERROR(INDEX(TableRBCalcPts[PLAYER],MATCH(TableRBRanks31[[#This Row],[RK]],TableRBCalcPts[RK],0)),"")</f>
        <v/>
      </c>
      <c r="R143" s="22" t="str">
        <f>IFERROR(INDEX(TableRBCalcPts[TM],MATCH(TableRBRanks31[[#This Row],[Player]],TableRBCalcPts[PLAYER],0)),"")</f>
        <v/>
      </c>
      <c r="S143" s="22" t="str">
        <f>IFERROR(INDEX(TableRBCalcPts[BYE],MATCH(TableRBRanks31[[#This Row],[RK]],TableRBCalcPts[RK],0)),"")</f>
        <v/>
      </c>
      <c r="T143" s="279" t="e">
        <f>VLOOKUP(TableRBRanks31[[#This Row],[Player]],RB!B:O,4,FALSE)</f>
        <v>#N/A</v>
      </c>
      <c r="U143" s="279" t="e">
        <f>VLOOKUP(TableRBRanks31[[#This Row],[Player]],RB!B:O,5,FALSE)</f>
        <v>#N/A</v>
      </c>
      <c r="V143" s="279" t="e">
        <f>VLOOKUP(TableRBRanks31[[#This Row],[Player]],RB!B:O,6,FALSE)</f>
        <v>#N/A</v>
      </c>
      <c r="W143" s="279" t="e">
        <f>VLOOKUP(TableRBRanks31[[#This Row],[Player]],RB!B:O,7,FALSE)</f>
        <v>#N/A</v>
      </c>
      <c r="X143" s="279" t="e">
        <f>VLOOKUP(TableRBRanks31[[#This Row],[Player]],RB!B:O,8,FALSE)</f>
        <v>#N/A</v>
      </c>
      <c r="Y143" s="279" t="e">
        <f>VLOOKUP(TableRBRanks31[[#This Row],[Player]],RB!B:O,9,FALSE)</f>
        <v>#N/A</v>
      </c>
      <c r="Z143" s="279" t="e">
        <f>VLOOKUP(TableRBRanks31[[#This Row],[Player]],RB!B:O,10,FALSE)</f>
        <v>#N/A</v>
      </c>
      <c r="AA143" s="272" t="str">
        <f>IFERROR(INDEX(TableRBCalcPts[Custom],MATCH(TableRBRanks31[[#This Row],[RK]],TableRBCalcPts[RK],0)),"")</f>
        <v/>
      </c>
      <c r="AB143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3" s="22">
        <v>142</v>
      </c>
      <c r="AE143" s="274" t="str">
        <f>IFERROR(INDEX(TableWRCalcPts[PLAYER],MATCH(TableWRRanks32[[#This Row],[RK]],TableWRCalcPts[RK],0)),"")</f>
        <v>Racey McMath</v>
      </c>
      <c r="AF143" s="22" t="str">
        <f>IFERROR(INDEX(TableWRCalcPts[TM],MATCH(TableWRRanks32[[#This Row],[Player]],TableWRCalcPts[PLAYER],0)),"")</f>
        <v>TEN</v>
      </c>
      <c r="AG143" s="22">
        <f>IFERROR(INDEX(TableWRCalcPts[BYE],MATCH(TableWRRanks32[[#This Row],[RK]],TableWRCalcPts[RK],0)),"")</f>
        <v>6</v>
      </c>
      <c r="AH143" s="279">
        <f>VLOOKUP(TableWRRanks32[[#This Row],[Player]],WR!B:O,4,FALSE)</f>
        <v>0</v>
      </c>
      <c r="AI143" s="279">
        <f>VLOOKUP(TableWRRanks32[[#This Row],[Player]],WR!B:O,5,FALSE)</f>
        <v>0</v>
      </c>
      <c r="AJ143" s="279">
        <f>VLOOKUP(TableWRRanks32[[#This Row],[Player]],WR!B:O,6,FALSE)</f>
        <v>15.457119263704227</v>
      </c>
      <c r="AK143" s="279">
        <f>VLOOKUP(TableWRRanks32[[#This Row],[Player]],WR!B:O,7,FALSE)</f>
        <v>10.037853249849524</v>
      </c>
      <c r="AL143" s="279">
        <f>VLOOKUP(TableWRRanks32[[#This Row],[Player]],WR!B:O,8,FALSE)</f>
        <v>130.24532835565168</v>
      </c>
      <c r="AM143" s="279">
        <f>VLOOKUP(TableWRRanks32[[#This Row],[Player]],WR!B:O,9,FALSE)</f>
        <v>0.69707314235066142</v>
      </c>
      <c r="AN143" s="272">
        <f>IFERROR(INDEX(TableWRCalcPts[Custom],MATCH(TableWRRanks32[[#This Row],[RK]],TableWRCalcPts[RK],0)),"")</f>
        <v>17.206971689669135</v>
      </c>
      <c r="AO14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4" spans="16:41" x14ac:dyDescent="0.3">
      <c r="P144" s="22">
        <v>143</v>
      </c>
      <c r="Q144" s="22" t="str">
        <f>IFERROR(INDEX(TableRBCalcPts[PLAYER],MATCH(TableRBRanks31[[#This Row],[RK]],TableRBCalcPts[RK],0)),"")</f>
        <v/>
      </c>
      <c r="R144" s="22" t="str">
        <f>IFERROR(INDEX(TableRBCalcPts[TM],MATCH(TableRBRanks31[[#This Row],[Player]],TableRBCalcPts[PLAYER],0)),"")</f>
        <v/>
      </c>
      <c r="S144" s="22" t="str">
        <f>IFERROR(INDEX(TableRBCalcPts[BYE],MATCH(TableRBRanks31[[#This Row],[RK]],TableRBCalcPts[RK],0)),"")</f>
        <v/>
      </c>
      <c r="T144" s="279" t="e">
        <f>VLOOKUP(TableRBRanks31[[#This Row],[Player]],RB!B:O,4,FALSE)</f>
        <v>#N/A</v>
      </c>
      <c r="U144" s="279" t="e">
        <f>VLOOKUP(TableRBRanks31[[#This Row],[Player]],RB!B:O,5,FALSE)</f>
        <v>#N/A</v>
      </c>
      <c r="V144" s="279" t="e">
        <f>VLOOKUP(TableRBRanks31[[#This Row],[Player]],RB!B:O,6,FALSE)</f>
        <v>#N/A</v>
      </c>
      <c r="W144" s="279" t="e">
        <f>VLOOKUP(TableRBRanks31[[#This Row],[Player]],RB!B:O,7,FALSE)</f>
        <v>#N/A</v>
      </c>
      <c r="X144" s="279" t="e">
        <f>VLOOKUP(TableRBRanks31[[#This Row],[Player]],RB!B:O,8,FALSE)</f>
        <v>#N/A</v>
      </c>
      <c r="Y144" s="279" t="e">
        <f>VLOOKUP(TableRBRanks31[[#This Row],[Player]],RB!B:O,9,FALSE)</f>
        <v>#N/A</v>
      </c>
      <c r="Z144" s="279" t="e">
        <f>VLOOKUP(TableRBRanks31[[#This Row],[Player]],RB!B:O,10,FALSE)</f>
        <v>#N/A</v>
      </c>
      <c r="AA144" s="272" t="str">
        <f>IFERROR(INDEX(TableRBCalcPts[Custom],MATCH(TableRBRanks31[[#This Row],[RK]],TableRBCalcPts[RK],0)),"")</f>
        <v/>
      </c>
      <c r="AB144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4" s="274">
        <v>143</v>
      </c>
      <c r="AE144" s="22" t="str">
        <f>IFERROR(INDEX(TableWRCalcPts[PLAYER],MATCH(TableWRRanks32[[#This Row],[RK]],TableWRCalcPts[RK],0)),"")</f>
        <v>Khalil Shakir</v>
      </c>
      <c r="AF144" s="22" t="str">
        <f>IFERROR(INDEX(TableWRCalcPts[TM],MATCH(TableWRRanks32[[#This Row],[Player]],TableWRCalcPts[PLAYER],0)),"")</f>
        <v>BUF</v>
      </c>
      <c r="AG144" s="22">
        <f>IFERROR(INDEX(TableWRCalcPts[BYE],MATCH(TableWRRanks32[[#This Row],[RK]],TableWRCalcPts[RK],0)),"")</f>
        <v>7</v>
      </c>
      <c r="AH144" s="279">
        <f>VLOOKUP(TableWRRanks32[[#This Row],[Player]],WR!B:O,4,FALSE)</f>
        <v>8.0369397139775973</v>
      </c>
      <c r="AI144" s="279">
        <f>VLOOKUP(TableWRRanks32[[#This Row],[Player]],WR!B:O,5,FALSE)</f>
        <v>3.3348297568371772E-2</v>
      </c>
      <c r="AJ144" s="279">
        <f>VLOOKUP(TableWRRanks32[[#This Row],[Player]],WR!B:O,6,FALSE)</f>
        <v>15.499165145637411</v>
      </c>
      <c r="AK144" s="279">
        <f>VLOOKUP(TableWRRanks32[[#This Row],[Player]],WR!B:O,7,FALSE)</f>
        <v>11.142349823198735</v>
      </c>
      <c r="AL144" s="279">
        <f>VLOOKUP(TableWRRanks32[[#This Row],[Player]],WR!B:O,8,FALSE)</f>
        <v>110.47376941416765</v>
      </c>
      <c r="AM144" s="279">
        <f>VLOOKUP(TableWRRanks32[[#This Row],[Player]],WR!B:O,9,FALSE)</f>
        <v>0.77826689296363449</v>
      </c>
      <c r="AN144" s="272">
        <f>IFERROR(INDEX(TableWRCalcPts[Custom],MATCH(TableWRRanks32[[#This Row],[RK]],TableWRCalcPts[RK],0)),"")</f>
        <v>16.720762056006564</v>
      </c>
      <c r="AO14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5" spans="16:41" x14ac:dyDescent="0.3">
      <c r="P145" s="22">
        <v>144</v>
      </c>
      <c r="Q145" s="22" t="str">
        <f>IFERROR(INDEX(TableRBCalcPts[PLAYER],MATCH(TableRBRanks31[[#This Row],[RK]],TableRBCalcPts[RK],0)),"")</f>
        <v/>
      </c>
      <c r="R145" s="22" t="str">
        <f>IFERROR(INDEX(TableRBCalcPts[TM],MATCH(TableRBRanks31[[#This Row],[Player]],TableRBCalcPts[PLAYER],0)),"")</f>
        <v/>
      </c>
      <c r="S145" s="22" t="str">
        <f>IFERROR(INDEX(TableRBCalcPts[BYE],MATCH(TableRBRanks31[[#This Row],[RK]],TableRBCalcPts[RK],0)),"")</f>
        <v/>
      </c>
      <c r="T145" s="279" t="e">
        <f>VLOOKUP(TableRBRanks31[[#This Row],[Player]],RB!B:O,4,FALSE)</f>
        <v>#N/A</v>
      </c>
      <c r="U145" s="279" t="e">
        <f>VLOOKUP(TableRBRanks31[[#This Row],[Player]],RB!B:O,5,FALSE)</f>
        <v>#N/A</v>
      </c>
      <c r="V145" s="279" t="e">
        <f>VLOOKUP(TableRBRanks31[[#This Row],[Player]],RB!B:O,6,FALSE)</f>
        <v>#N/A</v>
      </c>
      <c r="W145" s="279" t="e">
        <f>VLOOKUP(TableRBRanks31[[#This Row],[Player]],RB!B:O,7,FALSE)</f>
        <v>#N/A</v>
      </c>
      <c r="X145" s="279" t="e">
        <f>VLOOKUP(TableRBRanks31[[#This Row],[Player]],RB!B:O,8,FALSE)</f>
        <v>#N/A</v>
      </c>
      <c r="Y145" s="279" t="e">
        <f>VLOOKUP(TableRBRanks31[[#This Row],[Player]],RB!B:O,9,FALSE)</f>
        <v>#N/A</v>
      </c>
      <c r="Z145" s="279" t="e">
        <f>VLOOKUP(TableRBRanks31[[#This Row],[Player]],RB!B:O,10,FALSE)</f>
        <v>#N/A</v>
      </c>
      <c r="AA145" s="272" t="str">
        <f>IFERROR(INDEX(TableRBCalcPts[Custom],MATCH(TableRBRanks31[[#This Row],[RK]],TableRBCalcPts[RK],0)),"")</f>
        <v/>
      </c>
      <c r="AB145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5" s="22">
        <v>144</v>
      </c>
      <c r="AE145" s="274" t="str">
        <f>IFERROR(INDEX(TableWRCalcPts[PLAYER],MATCH(TableWRRanks32[[#This Row],[RK]],TableWRCalcPts[RK],0)),"")</f>
        <v>Danny Gray</v>
      </c>
      <c r="AF145" s="22" t="str">
        <f>IFERROR(INDEX(TableWRCalcPts[TM],MATCH(TableWRRanks32[[#This Row],[Player]],TableWRCalcPts[PLAYER],0)),"")</f>
        <v>SF</v>
      </c>
      <c r="AG145" s="22">
        <f>IFERROR(INDEX(TableWRCalcPts[BYE],MATCH(TableWRRanks32[[#This Row],[RK]],TableWRCalcPts[RK],0)),"")</f>
        <v>9</v>
      </c>
      <c r="AH145" s="279">
        <f>VLOOKUP(TableWRRanks32[[#This Row],[Player]],WR!B:O,4,FALSE)</f>
        <v>0</v>
      </c>
      <c r="AI145" s="279">
        <f>VLOOKUP(TableWRRanks32[[#This Row],[Player]],WR!B:O,5,FALSE)</f>
        <v>0</v>
      </c>
      <c r="AJ145" s="279">
        <f>VLOOKUP(TableWRRanks32[[#This Row],[Player]],WR!B:O,6,FALSE)</f>
        <v>16.990968626089316</v>
      </c>
      <c r="AK145" s="279">
        <f>VLOOKUP(TableWRRanks32[[#This Row],[Player]],WR!B:O,7,FALSE)</f>
        <v>9.9957868427283447</v>
      </c>
      <c r="AL145" s="279">
        <f>VLOOKUP(TableWRRanks32[[#This Row],[Player]],WR!B:O,8,FALSE)</f>
        <v>116.96073006970452</v>
      </c>
      <c r="AM145" s="279">
        <f>VLOOKUP(TableWRRanks32[[#This Row],[Player]],WR!B:O,9,FALSE)</f>
        <v>0.78634950529885139</v>
      </c>
      <c r="AN145" s="272">
        <f>IFERROR(INDEX(TableWRCalcPts[Custom],MATCH(TableWRRanks32[[#This Row],[RK]],TableWRCalcPts[RK],0)),"")</f>
        <v>16.414170038763562</v>
      </c>
      <c r="AO14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6" spans="16:41" x14ac:dyDescent="0.3">
      <c r="P146" s="22">
        <v>145</v>
      </c>
      <c r="Q146" s="22" t="str">
        <f>IFERROR(INDEX(TableRBCalcPts[PLAYER],MATCH(TableRBRanks31[[#This Row],[RK]],TableRBCalcPts[RK],0)),"")</f>
        <v/>
      </c>
      <c r="R146" s="22" t="str">
        <f>IFERROR(INDEX(TableRBCalcPts[TM],MATCH(TableRBRanks31[[#This Row],[Player]],TableRBCalcPts[PLAYER],0)),"")</f>
        <v/>
      </c>
      <c r="S146" s="22" t="str">
        <f>IFERROR(INDEX(TableRBCalcPts[BYE],MATCH(TableRBRanks31[[#This Row],[RK]],TableRBCalcPts[RK],0)),"")</f>
        <v/>
      </c>
      <c r="T146" s="279" t="e">
        <f>VLOOKUP(TableRBRanks31[[#This Row],[Player]],RB!B:O,4,FALSE)</f>
        <v>#N/A</v>
      </c>
      <c r="U146" s="279" t="e">
        <f>VLOOKUP(TableRBRanks31[[#This Row],[Player]],RB!B:O,5,FALSE)</f>
        <v>#N/A</v>
      </c>
      <c r="V146" s="279" t="e">
        <f>VLOOKUP(TableRBRanks31[[#This Row],[Player]],RB!B:O,6,FALSE)</f>
        <v>#N/A</v>
      </c>
      <c r="W146" s="279" t="e">
        <f>VLOOKUP(TableRBRanks31[[#This Row],[Player]],RB!B:O,7,FALSE)</f>
        <v>#N/A</v>
      </c>
      <c r="X146" s="279" t="e">
        <f>VLOOKUP(TableRBRanks31[[#This Row],[Player]],RB!B:O,8,FALSE)</f>
        <v>#N/A</v>
      </c>
      <c r="Y146" s="279" t="e">
        <f>VLOOKUP(TableRBRanks31[[#This Row],[Player]],RB!B:O,9,FALSE)</f>
        <v>#N/A</v>
      </c>
      <c r="Z146" s="279" t="e">
        <f>VLOOKUP(TableRBRanks31[[#This Row],[Player]],RB!B:O,10,FALSE)</f>
        <v>#N/A</v>
      </c>
      <c r="AA146" s="272" t="str">
        <f>IFERROR(INDEX(TableRBCalcPts[Custom],MATCH(TableRBRanks31[[#This Row],[RK]],TableRBCalcPts[RK],0)),"")</f>
        <v/>
      </c>
      <c r="AB146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6" s="22">
        <v>145</v>
      </c>
      <c r="AE146" s="274" t="str">
        <f>IFERROR(INDEX(TableWRCalcPts[PLAYER],MATCH(TableWRRanks32[[#This Row],[RK]],TableWRCalcPts[RK],0)),"")</f>
        <v>Dez Fitzpatrick</v>
      </c>
      <c r="AF146" s="22" t="str">
        <f>IFERROR(INDEX(TableWRCalcPts[TM],MATCH(TableWRRanks32[[#This Row],[Player]],TableWRCalcPts[PLAYER],0)),"")</f>
        <v>TEN</v>
      </c>
      <c r="AG146" s="22">
        <f>IFERROR(INDEX(TableWRCalcPts[BYE],MATCH(TableWRRanks32[[#This Row],[RK]],TableWRCalcPts[RK],0)),"")</f>
        <v>6</v>
      </c>
      <c r="AH146" s="279">
        <f>VLOOKUP(TableWRRanks32[[#This Row],[Player]],WR!B:O,4,FALSE)</f>
        <v>0</v>
      </c>
      <c r="AI146" s="279">
        <f>VLOOKUP(TableWRRanks32[[#This Row],[Player]],WR!B:O,5,FALSE)</f>
        <v>0</v>
      </c>
      <c r="AJ146" s="279">
        <f>VLOOKUP(TableWRRanks32[[#This Row],[Player]],WR!B:O,6,FALSE)</f>
        <v>16.00915923740795</v>
      </c>
      <c r="AK146" s="279">
        <f>VLOOKUP(TableWRRanks32[[#This Row],[Player]],WR!B:O,7,FALSE)</f>
        <v>10.38834342915402</v>
      </c>
      <c r="AL146" s="279">
        <f>VLOOKUP(TableWRRanks32[[#This Row],[Player]],WR!B:O,8,FALSE)</f>
        <v>122.24440500993597</v>
      </c>
      <c r="AM146" s="279">
        <f>VLOOKUP(TableWRRanks32[[#This Row],[Player]],WR!B:O,9,FALSE)</f>
        <v>0.69457048301099988</v>
      </c>
      <c r="AN146" s="272">
        <f>IFERROR(INDEX(TableWRCalcPts[Custom],MATCH(TableWRRanks32[[#This Row],[RK]],TableWRCalcPts[RK],0)),"")</f>
        <v>16.391863399059599</v>
      </c>
      <c r="AO14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7" spans="16:41" x14ac:dyDescent="0.3">
      <c r="P147" s="22">
        <v>146</v>
      </c>
      <c r="Q147" s="22" t="str">
        <f>IFERROR(INDEX(TableRBCalcPts[PLAYER],MATCH(TableRBRanks31[[#This Row],[RK]],TableRBCalcPts[RK],0)),"")</f>
        <v/>
      </c>
      <c r="R147" s="22" t="str">
        <f>IFERROR(INDEX(TableRBCalcPts[TM],MATCH(TableRBRanks31[[#This Row],[Player]],TableRBCalcPts[PLAYER],0)),"")</f>
        <v/>
      </c>
      <c r="S147" s="22" t="str">
        <f>IFERROR(INDEX(TableRBCalcPts[BYE],MATCH(TableRBRanks31[[#This Row],[RK]],TableRBCalcPts[RK],0)),"")</f>
        <v/>
      </c>
      <c r="T147" s="279" t="e">
        <f>VLOOKUP(TableRBRanks31[[#This Row],[Player]],RB!B:O,4,FALSE)</f>
        <v>#N/A</v>
      </c>
      <c r="U147" s="279" t="e">
        <f>VLOOKUP(TableRBRanks31[[#This Row],[Player]],RB!B:O,5,FALSE)</f>
        <v>#N/A</v>
      </c>
      <c r="V147" s="279" t="e">
        <f>VLOOKUP(TableRBRanks31[[#This Row],[Player]],RB!B:O,6,FALSE)</f>
        <v>#N/A</v>
      </c>
      <c r="W147" s="279" t="e">
        <f>VLOOKUP(TableRBRanks31[[#This Row],[Player]],RB!B:O,7,FALSE)</f>
        <v>#N/A</v>
      </c>
      <c r="X147" s="279" t="e">
        <f>VLOOKUP(TableRBRanks31[[#This Row],[Player]],RB!B:O,8,FALSE)</f>
        <v>#N/A</v>
      </c>
      <c r="Y147" s="279" t="e">
        <f>VLOOKUP(TableRBRanks31[[#This Row],[Player]],RB!B:O,9,FALSE)</f>
        <v>#N/A</v>
      </c>
      <c r="Z147" s="279" t="e">
        <f>VLOOKUP(TableRBRanks31[[#This Row],[Player]],RB!B:O,10,FALSE)</f>
        <v>#N/A</v>
      </c>
      <c r="AA147" s="272" t="str">
        <f>IFERROR(INDEX(TableRBCalcPts[Custom],MATCH(TableRBRanks31[[#This Row],[RK]],TableRBCalcPts[RK],0)),"")</f>
        <v/>
      </c>
      <c r="AB147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7" s="274">
        <v>146</v>
      </c>
      <c r="AE147" s="274" t="str">
        <f>IFERROR(INDEX(TableWRCalcPts[PLAYER],MATCH(TableWRRanks32[[#This Row],[RK]],TableWRCalcPts[RK],0)),"")</f>
        <v>Deonte Harty</v>
      </c>
      <c r="AF147" s="22" t="str">
        <f>IFERROR(INDEX(TableWRCalcPts[TM],MATCH(TableWRRanks32[[#This Row],[Player]],TableWRCalcPts[PLAYER],0)),"")</f>
        <v>NO</v>
      </c>
      <c r="AG147" s="22">
        <f>IFERROR(INDEX(TableWRCalcPts[BYE],MATCH(TableWRRanks32[[#This Row],[RK]],TableWRCalcPts[RK],0)),"")</f>
        <v>14</v>
      </c>
      <c r="AH147" s="279">
        <f>VLOOKUP(TableWRRanks32[[#This Row],[Player]],WR!B:O,4,FALSE)</f>
        <v>13.996916725023535</v>
      </c>
      <c r="AI147" s="279">
        <f>VLOOKUP(TableWRRanks32[[#This Row],[Player]],WR!B:O,5,FALSE)</f>
        <v>0</v>
      </c>
      <c r="AJ147" s="279">
        <f>VLOOKUP(TableWRRanks32[[#This Row],[Player]],WR!B:O,6,FALSE)</f>
        <v>13.230741493634834</v>
      </c>
      <c r="AK147" s="279">
        <f>VLOOKUP(TableWRRanks32[[#This Row],[Player]],WR!B:O,7,FALSE)</f>
        <v>8.1091214614487903</v>
      </c>
      <c r="AL147" s="279">
        <f>VLOOKUP(TableWRRanks32[[#This Row],[Player]],WR!B:O,8,FALSE)</f>
        <v>122.44773406787674</v>
      </c>
      <c r="AM147" s="279">
        <f>VLOOKUP(TableWRRanks32[[#This Row],[Player]],WR!B:O,9,FALSE)</f>
        <v>0.40545607307243953</v>
      </c>
      <c r="AN147" s="272">
        <f>IFERROR(INDEX(TableWRCalcPts[Custom],MATCH(TableWRRanks32[[#This Row],[RK]],TableWRCalcPts[RK],0)),"")</f>
        <v>16.077201517724664</v>
      </c>
      <c r="AO14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8" spans="16:41" x14ac:dyDescent="0.3">
      <c r="P148" s="22">
        <v>147</v>
      </c>
      <c r="Q148" s="22" t="str">
        <f>IFERROR(INDEX(TableRBCalcPts[PLAYER],MATCH(TableRBRanks31[[#This Row],[RK]],TableRBCalcPts[RK],0)),"")</f>
        <v/>
      </c>
      <c r="R148" s="22" t="str">
        <f>IFERROR(INDEX(TableRBCalcPts[TM],MATCH(TableRBRanks31[[#This Row],[Player]],TableRBCalcPts[PLAYER],0)),"")</f>
        <v/>
      </c>
      <c r="S148" s="22" t="str">
        <f>IFERROR(INDEX(TableRBCalcPts[BYE],MATCH(TableRBRanks31[[#This Row],[RK]],TableRBCalcPts[RK],0)),"")</f>
        <v/>
      </c>
      <c r="T148" s="279" t="e">
        <f>VLOOKUP(TableRBRanks31[[#This Row],[Player]],RB!B:O,4,FALSE)</f>
        <v>#N/A</v>
      </c>
      <c r="U148" s="279" t="e">
        <f>VLOOKUP(TableRBRanks31[[#This Row],[Player]],RB!B:O,5,FALSE)</f>
        <v>#N/A</v>
      </c>
      <c r="V148" s="279" t="e">
        <f>VLOOKUP(TableRBRanks31[[#This Row],[Player]],RB!B:O,6,FALSE)</f>
        <v>#N/A</v>
      </c>
      <c r="W148" s="279" t="e">
        <f>VLOOKUP(TableRBRanks31[[#This Row],[Player]],RB!B:O,7,FALSE)</f>
        <v>#N/A</v>
      </c>
      <c r="X148" s="279" t="e">
        <f>VLOOKUP(TableRBRanks31[[#This Row],[Player]],RB!B:O,8,FALSE)</f>
        <v>#N/A</v>
      </c>
      <c r="Y148" s="279" t="e">
        <f>VLOOKUP(TableRBRanks31[[#This Row],[Player]],RB!B:O,9,FALSE)</f>
        <v>#N/A</v>
      </c>
      <c r="Z148" s="279" t="e">
        <f>VLOOKUP(TableRBRanks31[[#This Row],[Player]],RB!B:O,10,FALSE)</f>
        <v>#N/A</v>
      </c>
      <c r="AA148" s="272" t="str">
        <f>IFERROR(INDEX(TableRBCalcPts[Custom],MATCH(TableRBRanks31[[#This Row],[RK]],TableRBCalcPts[RK],0)),"")</f>
        <v/>
      </c>
      <c r="AB148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8" s="22">
        <v>147</v>
      </c>
      <c r="AE148" s="274" t="str">
        <f>IFERROR(INDEX(TableWRCalcPts[PLAYER],MATCH(TableWRRanks32[[#This Row],[RK]],TableWRCalcPts[RK],0)),"")</f>
        <v>Ty Montgomery</v>
      </c>
      <c r="AF148" s="22" t="str">
        <f>IFERROR(INDEX(TableWRCalcPts[TM],MATCH(TableWRRanks32[[#This Row],[Player]],TableWRCalcPts[PLAYER],0)),"")</f>
        <v>NE</v>
      </c>
      <c r="AG148" s="22">
        <f>IFERROR(INDEX(TableWRCalcPts[BYE],MATCH(TableWRRanks32[[#This Row],[RK]],TableWRCalcPts[RK],0)),"")</f>
        <v>10</v>
      </c>
      <c r="AH148" s="279">
        <f>VLOOKUP(TableWRRanks32[[#This Row],[Player]],WR!B:O,4,FALSE)</f>
        <v>46.307621745936238</v>
      </c>
      <c r="AI148" s="279">
        <f>VLOOKUP(TableWRRanks32[[#This Row],[Player]],WR!B:O,5,FALSE)</f>
        <v>0.19949131167366993</v>
      </c>
      <c r="AJ148" s="279">
        <f>VLOOKUP(TableWRRanks32[[#This Row],[Player]],WR!B:O,6,FALSE)</f>
        <v>8.9241120038568447</v>
      </c>
      <c r="AK148" s="279">
        <f>VLOOKUP(TableWRRanks32[[#This Row],[Player]],WR!B:O,7,FALSE)</f>
        <v>5.5391040023939029</v>
      </c>
      <c r="AL148" s="279">
        <f>VLOOKUP(TableWRRanks32[[#This Row],[Player]],WR!B:O,8,FALSE)</f>
        <v>69.546528030056791</v>
      </c>
      <c r="AM148" s="279">
        <f>VLOOKUP(TableWRRanks32[[#This Row],[Player]],WR!B:O,9,FALSE)</f>
        <v>0.30772800013299467</v>
      </c>
      <c r="AN148" s="272">
        <f>IFERROR(INDEX(TableWRCalcPts[Custom],MATCH(TableWRRanks32[[#This Row],[RK]],TableWRCalcPts[RK],0)),"")</f>
        <v>14.628730848439291</v>
      </c>
      <c r="AO14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49" spans="16:41" x14ac:dyDescent="0.3">
      <c r="P149" s="22">
        <v>148</v>
      </c>
      <c r="Q149" s="22" t="str">
        <f>IFERROR(INDEX(TableRBCalcPts[PLAYER],MATCH(TableRBRanks31[[#This Row],[RK]],TableRBCalcPts[RK],0)),"")</f>
        <v/>
      </c>
      <c r="R149" s="22" t="str">
        <f>IFERROR(INDEX(TableRBCalcPts[TM],MATCH(TableRBRanks31[[#This Row],[Player]],TableRBCalcPts[PLAYER],0)),"")</f>
        <v/>
      </c>
      <c r="S149" s="22" t="str">
        <f>IFERROR(INDEX(TableRBCalcPts[BYE],MATCH(TableRBRanks31[[#This Row],[RK]],TableRBCalcPts[RK],0)),"")</f>
        <v/>
      </c>
      <c r="T149" s="279" t="e">
        <f>VLOOKUP(TableRBRanks31[[#This Row],[Player]],RB!B:O,4,FALSE)</f>
        <v>#N/A</v>
      </c>
      <c r="U149" s="279" t="e">
        <f>VLOOKUP(TableRBRanks31[[#This Row],[Player]],RB!B:O,5,FALSE)</f>
        <v>#N/A</v>
      </c>
      <c r="V149" s="279" t="e">
        <f>VLOOKUP(TableRBRanks31[[#This Row],[Player]],RB!B:O,6,FALSE)</f>
        <v>#N/A</v>
      </c>
      <c r="W149" s="279" t="e">
        <f>VLOOKUP(TableRBRanks31[[#This Row],[Player]],RB!B:O,7,FALSE)</f>
        <v>#N/A</v>
      </c>
      <c r="X149" s="279" t="e">
        <f>VLOOKUP(TableRBRanks31[[#This Row],[Player]],RB!B:O,8,FALSE)</f>
        <v>#N/A</v>
      </c>
      <c r="Y149" s="279" t="e">
        <f>VLOOKUP(TableRBRanks31[[#This Row],[Player]],RB!B:O,9,FALSE)</f>
        <v>#N/A</v>
      </c>
      <c r="Z149" s="279" t="e">
        <f>VLOOKUP(TableRBRanks31[[#This Row],[Player]],RB!B:O,10,FALSE)</f>
        <v>#N/A</v>
      </c>
      <c r="AA149" s="272" t="str">
        <f>IFERROR(INDEX(TableRBCalcPts[Custom],MATCH(TableRBRanks31[[#This Row],[RK]],TableRBCalcPts[RK],0)),"")</f>
        <v/>
      </c>
      <c r="AB149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49" s="22">
        <v>148</v>
      </c>
      <c r="AE149" s="22" t="str">
        <f>IFERROR(INDEX(TableWRCalcPts[PLAYER],MATCH(TableWRRanks32[[#This Row],[RK]],TableWRCalcPts[RK],0)),"")</f>
        <v>Kyle Philips</v>
      </c>
      <c r="AF149" s="22" t="str">
        <f>IFERROR(INDEX(TableWRCalcPts[TM],MATCH(TableWRRanks32[[#This Row],[Player]],TableWRCalcPts[PLAYER],0)),"")</f>
        <v>TEN</v>
      </c>
      <c r="AG149" s="22">
        <f>IFERROR(INDEX(TableWRCalcPts[BYE],MATCH(TableWRRanks32[[#This Row],[RK]],TableWRCalcPts[RK],0)),"")</f>
        <v>6</v>
      </c>
      <c r="AH149" s="279">
        <f>VLOOKUP(TableWRRanks32[[#This Row],[Player]],WR!B:O,4,FALSE)</f>
        <v>0</v>
      </c>
      <c r="AI149" s="279">
        <f>VLOOKUP(TableWRRanks32[[#This Row],[Player]],WR!B:O,5,FALSE)</f>
        <v>0</v>
      </c>
      <c r="AJ149" s="279">
        <f>VLOOKUP(TableWRRanks32[[#This Row],[Player]],WR!B:O,6,FALSE)</f>
        <v>16.561199211111671</v>
      </c>
      <c r="AK149" s="279">
        <f>VLOOKUP(TableWRRanks32[[#This Row],[Player]],WR!B:O,7,FALSE)</f>
        <v>9.4016891880073725</v>
      </c>
      <c r="AL149" s="279">
        <f>VLOOKUP(TableWRRanks32[[#This Row],[Player]],WR!B:O,8,FALSE)</f>
        <v>105.33603083668784</v>
      </c>
      <c r="AM149" s="279">
        <f>VLOOKUP(TableWRRanks32[[#This Row],[Player]],WR!B:O,9,FALSE)</f>
        <v>0.68038540176369144</v>
      </c>
      <c r="AN149" s="272">
        <f>IFERROR(INDEX(TableWRCalcPts[Custom],MATCH(TableWRRanks32[[#This Row],[RK]],TableWRCalcPts[RK],0)),"")</f>
        <v>14.615915494250935</v>
      </c>
      <c r="AO14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0" spans="16:41" x14ac:dyDescent="0.3">
      <c r="P150" s="22">
        <v>149</v>
      </c>
      <c r="Q150" s="22" t="str">
        <f>IFERROR(INDEX(TableRBCalcPts[PLAYER],MATCH(TableRBRanks31[[#This Row],[RK]],TableRBCalcPts[RK],0)),"")</f>
        <v/>
      </c>
      <c r="R150" s="22" t="str">
        <f>IFERROR(INDEX(TableRBCalcPts[TM],MATCH(TableRBRanks31[[#This Row],[Player]],TableRBCalcPts[PLAYER],0)),"")</f>
        <v/>
      </c>
      <c r="S150" s="22" t="str">
        <f>IFERROR(INDEX(TableRBCalcPts[BYE],MATCH(TableRBRanks31[[#This Row],[RK]],TableRBCalcPts[RK],0)),"")</f>
        <v/>
      </c>
      <c r="T150" s="279" t="e">
        <f>VLOOKUP(TableRBRanks31[[#This Row],[Player]],RB!B:O,4,FALSE)</f>
        <v>#N/A</v>
      </c>
      <c r="U150" s="279" t="e">
        <f>VLOOKUP(TableRBRanks31[[#This Row],[Player]],RB!B:O,5,FALSE)</f>
        <v>#N/A</v>
      </c>
      <c r="V150" s="279" t="e">
        <f>VLOOKUP(TableRBRanks31[[#This Row],[Player]],RB!B:O,6,FALSE)</f>
        <v>#N/A</v>
      </c>
      <c r="W150" s="279" t="e">
        <f>VLOOKUP(TableRBRanks31[[#This Row],[Player]],RB!B:O,7,FALSE)</f>
        <v>#N/A</v>
      </c>
      <c r="X150" s="279" t="e">
        <f>VLOOKUP(TableRBRanks31[[#This Row],[Player]],RB!B:O,8,FALSE)</f>
        <v>#N/A</v>
      </c>
      <c r="Y150" s="279" t="e">
        <f>VLOOKUP(TableRBRanks31[[#This Row],[Player]],RB!B:O,9,FALSE)</f>
        <v>#N/A</v>
      </c>
      <c r="Z150" s="279" t="e">
        <f>VLOOKUP(TableRBRanks31[[#This Row],[Player]],RB!B:O,10,FALSE)</f>
        <v>#N/A</v>
      </c>
      <c r="AA150" s="272" t="str">
        <f>IFERROR(INDEX(TableRBCalcPts[Custom],MATCH(TableRBRanks31[[#This Row],[RK]],TableRBCalcPts[RK],0)),"")</f>
        <v/>
      </c>
      <c r="AB150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0" s="274">
        <v>149</v>
      </c>
      <c r="AE150" s="274" t="str">
        <f>IFERROR(INDEX(TableWRCalcPts[PLAYER],MATCH(TableWRRanks32[[#This Row],[RK]],TableWRCalcPts[RK],0)),"")</f>
        <v>Andy Isabella</v>
      </c>
      <c r="AF150" s="22" t="str">
        <f>IFERROR(INDEX(TableWRCalcPts[TM],MATCH(TableWRRanks32[[#This Row],[Player]],TableWRCalcPts[PLAYER],0)),"")</f>
        <v>ARI</v>
      </c>
      <c r="AG150" s="22">
        <f>IFERROR(INDEX(TableWRCalcPts[BYE],MATCH(TableWRRanks32[[#This Row],[RK]],TableWRCalcPts[RK],0)),"")</f>
        <v>13</v>
      </c>
      <c r="AH150" s="279">
        <f>VLOOKUP(TableWRRanks32[[#This Row],[Player]],WR!B:O,4,FALSE)</f>
        <v>0</v>
      </c>
      <c r="AI150" s="279">
        <f>VLOOKUP(TableWRRanks32[[#This Row],[Player]],WR!B:O,5,FALSE)</f>
        <v>0</v>
      </c>
      <c r="AJ150" s="279">
        <f>VLOOKUP(TableWRRanks32[[#This Row],[Player]],WR!B:O,6,FALSE)</f>
        <v>16.213331029999999</v>
      </c>
      <c r="AK150" s="279">
        <f>VLOOKUP(TableWRRanks32[[#This Row],[Player]],WR!B:O,7,FALSE)</f>
        <v>10.342058331428571</v>
      </c>
      <c r="AL150" s="279">
        <f>VLOOKUP(TableWRRanks32[[#This Row],[Player]],WR!B:O,8,FALSE)</f>
        <v>132.17150547565714</v>
      </c>
      <c r="AM150" s="279">
        <f>VLOOKUP(TableWRRanks32[[#This Row],[Player]],WR!B:O,9,FALSE)</f>
        <v>0.21545954857142852</v>
      </c>
      <c r="AN150" s="272">
        <f>IFERROR(INDEX(TableWRCalcPts[Custom],MATCH(TableWRRanks32[[#This Row],[RK]],TableWRCalcPts[RK],0)),"")</f>
        <v>14.509907838994287</v>
      </c>
      <c r="AO15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1" spans="16:41" x14ac:dyDescent="0.3">
      <c r="P151" s="22">
        <v>150</v>
      </c>
      <c r="Q151" s="22" t="str">
        <f>IFERROR(INDEX(TableRBCalcPts[PLAYER],MATCH(TableRBRanks31[[#This Row],[RK]],TableRBCalcPts[RK],0)),"")</f>
        <v/>
      </c>
      <c r="R151" s="22" t="str">
        <f>IFERROR(INDEX(TableRBCalcPts[TM],MATCH(TableRBRanks31[[#This Row],[Player]],TableRBCalcPts[PLAYER],0)),"")</f>
        <v/>
      </c>
      <c r="S151" s="22" t="str">
        <f>IFERROR(INDEX(TableRBCalcPts[BYE],MATCH(TableRBRanks31[[#This Row],[RK]],TableRBCalcPts[RK],0)),"")</f>
        <v/>
      </c>
      <c r="T151" s="279" t="e">
        <f>VLOOKUP(TableRBRanks31[[#This Row],[Player]],RB!B:O,4,FALSE)</f>
        <v>#N/A</v>
      </c>
      <c r="U151" s="279" t="e">
        <f>VLOOKUP(TableRBRanks31[[#This Row],[Player]],RB!B:O,5,FALSE)</f>
        <v>#N/A</v>
      </c>
      <c r="V151" s="279" t="e">
        <f>VLOOKUP(TableRBRanks31[[#This Row],[Player]],RB!B:O,6,FALSE)</f>
        <v>#N/A</v>
      </c>
      <c r="W151" s="279" t="e">
        <f>VLOOKUP(TableRBRanks31[[#This Row],[Player]],RB!B:O,7,FALSE)</f>
        <v>#N/A</v>
      </c>
      <c r="X151" s="279" t="e">
        <f>VLOOKUP(TableRBRanks31[[#This Row],[Player]],RB!B:O,8,FALSE)</f>
        <v>#N/A</v>
      </c>
      <c r="Y151" s="279" t="e">
        <f>VLOOKUP(TableRBRanks31[[#This Row],[Player]],RB!B:O,9,FALSE)</f>
        <v>#N/A</v>
      </c>
      <c r="Z151" s="279" t="e">
        <f>VLOOKUP(TableRBRanks31[[#This Row],[Player]],RB!B:O,10,FALSE)</f>
        <v>#N/A</v>
      </c>
      <c r="AA151" s="272" t="str">
        <f>IFERROR(INDEX(TableRBCalcPts[Custom],MATCH(TableRBRanks31[[#This Row],[RK]],TableRBCalcPts[RK],0)),"")</f>
        <v/>
      </c>
      <c r="AB151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1" s="22">
        <v>150</v>
      </c>
      <c r="AE151" s="274" t="str">
        <f>IFERROR(INDEX(TableWRCalcPts[PLAYER],MATCH(TableWRRanks32[[#This Row],[RK]],TableWRCalcPts[RK],0)),"")</f>
        <v>Quintez Cephus</v>
      </c>
      <c r="AF151" s="22" t="str">
        <f>IFERROR(INDEX(TableWRCalcPts[TM],MATCH(TableWRRanks32[[#This Row],[Player]],TableWRCalcPts[PLAYER],0)),"")</f>
        <v>DET</v>
      </c>
      <c r="AG151" s="22">
        <f>IFERROR(INDEX(TableWRCalcPts[BYE],MATCH(TableWRRanks32[[#This Row],[RK]],TableWRCalcPts[RK],0)),"")</f>
        <v>6</v>
      </c>
      <c r="AH151" s="279">
        <f>VLOOKUP(TableWRRanks32[[#This Row],[Player]],WR!B:O,4,FALSE)</f>
        <v>0</v>
      </c>
      <c r="AI151" s="279">
        <f>VLOOKUP(TableWRRanks32[[#This Row],[Player]],WR!B:O,5,FALSE)</f>
        <v>0</v>
      </c>
      <c r="AJ151" s="279">
        <f>VLOOKUP(TableWRRanks32[[#This Row],[Player]],WR!B:O,6,FALSE)</f>
        <v>13.912593333274707</v>
      </c>
      <c r="AK151" s="279">
        <f>VLOOKUP(TableWRRanks32[[#This Row],[Player]],WR!B:O,7,FALSE)</f>
        <v>8.8762345466292629</v>
      </c>
      <c r="AL151" s="279">
        <f>VLOOKUP(TableWRRanks32[[#This Row],[Player]],WR!B:O,8,FALSE)</f>
        <v>106.78110159595003</v>
      </c>
      <c r="AM151" s="279">
        <f>VLOOKUP(TableWRRanks32[[#This Row],[Player]],WR!B:O,9,FALSE)</f>
        <v>0.55032654189101426</v>
      </c>
      <c r="AN151" s="272">
        <f>IFERROR(INDEX(TableWRCalcPts[Custom],MATCH(TableWRRanks32[[#This Row],[RK]],TableWRCalcPts[RK],0)),"")</f>
        <v>13.980069410941089</v>
      </c>
      <c r="AO15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2" spans="16:41" x14ac:dyDescent="0.3">
      <c r="P152" s="22">
        <v>151</v>
      </c>
      <c r="Q152" s="22" t="str">
        <f>IFERROR(INDEX(TableRBCalcPts[PLAYER],MATCH(TableRBRanks31[[#This Row],[RK]],TableRBCalcPts[RK],0)),"")</f>
        <v/>
      </c>
      <c r="R152" s="22" t="str">
        <f>IFERROR(INDEX(TableRBCalcPts[TM],MATCH(TableRBRanks31[[#This Row],[Player]],TableRBCalcPts[PLAYER],0)),"")</f>
        <v/>
      </c>
      <c r="S152" s="22" t="str">
        <f>IFERROR(INDEX(TableRBCalcPts[BYE],MATCH(TableRBRanks31[[#This Row],[RK]],TableRBCalcPts[RK],0)),"")</f>
        <v/>
      </c>
      <c r="T152" s="279" t="e">
        <f>VLOOKUP(TableRBRanks31[[#This Row],[Player]],RB!B:O,4,FALSE)</f>
        <v>#N/A</v>
      </c>
      <c r="U152" s="279" t="e">
        <f>VLOOKUP(TableRBRanks31[[#This Row],[Player]],RB!B:O,5,FALSE)</f>
        <v>#N/A</v>
      </c>
      <c r="V152" s="279" t="e">
        <f>VLOOKUP(TableRBRanks31[[#This Row],[Player]],RB!B:O,6,FALSE)</f>
        <v>#N/A</v>
      </c>
      <c r="W152" s="279" t="e">
        <f>VLOOKUP(TableRBRanks31[[#This Row],[Player]],RB!B:O,7,FALSE)</f>
        <v>#N/A</v>
      </c>
      <c r="X152" s="279" t="e">
        <f>VLOOKUP(TableRBRanks31[[#This Row],[Player]],RB!B:O,8,FALSE)</f>
        <v>#N/A</v>
      </c>
      <c r="Y152" s="279" t="e">
        <f>VLOOKUP(TableRBRanks31[[#This Row],[Player]],RB!B:O,9,FALSE)</f>
        <v>#N/A</v>
      </c>
      <c r="Z152" s="279" t="e">
        <f>VLOOKUP(TableRBRanks31[[#This Row],[Player]],RB!B:O,10,FALSE)</f>
        <v>#N/A</v>
      </c>
      <c r="AA152" s="272" t="str">
        <f>IFERROR(INDEX(TableRBCalcPts[Custom],MATCH(TableRBRanks31[[#This Row],[RK]],TableRBCalcPts[RK],0)),"")</f>
        <v/>
      </c>
      <c r="AB152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2" s="22">
        <v>151</v>
      </c>
      <c r="AE152" s="22" t="str">
        <f>IFERROR(INDEX(TableWRCalcPts[PLAYER],MATCH(TableWRRanks32[[#This Row],[RK]],TableWRCalcPts[RK],0)),"")</f>
        <v>Cam Sims</v>
      </c>
      <c r="AF152" s="22" t="str">
        <f>IFERROR(INDEX(TableWRCalcPts[TM],MATCH(TableWRRanks32[[#This Row],[Player]],TableWRCalcPts[PLAYER],0)),"")</f>
        <v>WSH</v>
      </c>
      <c r="AG152" s="22">
        <f>IFERROR(INDEX(TableWRCalcPts[BYE],MATCH(TableWRRanks32[[#This Row],[RK]],TableWRCalcPts[RK],0)),"")</f>
        <v>14</v>
      </c>
      <c r="AH152" s="279">
        <f>VLOOKUP(TableWRRanks32[[#This Row],[Player]],WR!B:O,4,FALSE)</f>
        <v>0</v>
      </c>
      <c r="AI152" s="279">
        <f>VLOOKUP(TableWRRanks32[[#This Row],[Player]],WR!B:O,5,FALSE)</f>
        <v>0</v>
      </c>
      <c r="AJ152" s="279">
        <f>VLOOKUP(TableWRRanks32[[#This Row],[Player]],WR!B:O,6,FALSE)</f>
        <v>14.183230263015757</v>
      </c>
      <c r="AK152" s="279">
        <f>VLOOKUP(TableWRRanks32[[#This Row],[Player]],WR!B:O,7,FALSE)</f>
        <v>8.7666546255700393</v>
      </c>
      <c r="AL152" s="279">
        <f>VLOOKUP(TableWRRanks32[[#This Row],[Player]],WR!B:O,8,FALSE)</f>
        <v>113.37697415334515</v>
      </c>
      <c r="AM152" s="279">
        <f>VLOOKUP(TableWRRanks32[[#This Row],[Player]],WR!B:O,9,FALSE)</f>
        <v>0.42956607665293195</v>
      </c>
      <c r="AN152" s="272">
        <f>IFERROR(INDEX(TableWRCalcPts[Custom],MATCH(TableWRRanks32[[#This Row],[RK]],TableWRCalcPts[RK],0)),"")</f>
        <v>13.915093875252108</v>
      </c>
      <c r="AO15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3" spans="16:41" x14ac:dyDescent="0.3">
      <c r="P153" s="22">
        <v>152</v>
      </c>
      <c r="Q153" s="22" t="str">
        <f>IFERROR(INDEX(TableRBCalcPts[PLAYER],MATCH(TableRBRanks31[[#This Row],[RK]],TableRBCalcPts[RK],0)),"")</f>
        <v/>
      </c>
      <c r="R153" s="22" t="str">
        <f>IFERROR(INDEX(TableRBCalcPts[TM],MATCH(TableRBRanks31[[#This Row],[Player]],TableRBCalcPts[PLAYER],0)),"")</f>
        <v/>
      </c>
      <c r="S153" s="22" t="str">
        <f>IFERROR(INDEX(TableRBCalcPts[BYE],MATCH(TableRBRanks31[[#This Row],[RK]],TableRBCalcPts[RK],0)),"")</f>
        <v/>
      </c>
      <c r="T153" s="279" t="e">
        <f>VLOOKUP(TableRBRanks31[[#This Row],[Player]],RB!B:O,4,FALSE)</f>
        <v>#N/A</v>
      </c>
      <c r="U153" s="279" t="e">
        <f>VLOOKUP(TableRBRanks31[[#This Row],[Player]],RB!B:O,5,FALSE)</f>
        <v>#N/A</v>
      </c>
      <c r="V153" s="279" t="e">
        <f>VLOOKUP(TableRBRanks31[[#This Row],[Player]],RB!B:O,6,FALSE)</f>
        <v>#N/A</v>
      </c>
      <c r="W153" s="279" t="e">
        <f>VLOOKUP(TableRBRanks31[[#This Row],[Player]],RB!B:O,7,FALSE)</f>
        <v>#N/A</v>
      </c>
      <c r="X153" s="279" t="e">
        <f>VLOOKUP(TableRBRanks31[[#This Row],[Player]],RB!B:O,8,FALSE)</f>
        <v>#N/A</v>
      </c>
      <c r="Y153" s="279" t="e">
        <f>VLOOKUP(TableRBRanks31[[#This Row],[Player]],RB!B:O,9,FALSE)</f>
        <v>#N/A</v>
      </c>
      <c r="Z153" s="279" t="e">
        <f>VLOOKUP(TableRBRanks31[[#This Row],[Player]],RB!B:O,10,FALSE)</f>
        <v>#N/A</v>
      </c>
      <c r="AA153" s="272" t="str">
        <f>IFERROR(INDEX(TableRBCalcPts[Custom],MATCH(TableRBRanks31[[#This Row],[RK]],TableRBCalcPts[RK],0)),"")</f>
        <v/>
      </c>
      <c r="AB153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3" s="274">
        <v>152</v>
      </c>
      <c r="AE153" s="22" t="str">
        <f>IFERROR(INDEX(TableWRCalcPts[PLAYER],MATCH(TableWRRanks32[[#This Row],[RK]],TableWRCalcPts[RK],0)),"")</f>
        <v>Dante Pettis</v>
      </c>
      <c r="AF153" s="22" t="str">
        <f>IFERROR(INDEX(TableWRCalcPts[TM],MATCH(TableWRRanks32[[#This Row],[Player]],TableWRCalcPts[PLAYER],0)),"")</f>
        <v>CHI</v>
      </c>
      <c r="AG153" s="22">
        <f>IFERROR(INDEX(TableWRCalcPts[BYE],MATCH(TableWRRanks32[[#This Row],[RK]],TableWRCalcPts[RK],0)),"")</f>
        <v>14</v>
      </c>
      <c r="AH153" s="279">
        <f>VLOOKUP(TableWRRanks32[[#This Row],[Player]],WR!B:O,4,FALSE)</f>
        <v>0</v>
      </c>
      <c r="AI153" s="279">
        <f>VLOOKUP(TableWRRanks32[[#This Row],[Player]],WR!B:O,5,FALSE)</f>
        <v>0</v>
      </c>
      <c r="AJ153" s="279">
        <f>VLOOKUP(TableWRRanks32[[#This Row],[Player]],WR!B:O,6,FALSE)</f>
        <v>20.486008596604961</v>
      </c>
      <c r="AK153" s="279">
        <f>VLOOKUP(TableWRRanks32[[#This Row],[Player]],WR!B:O,7,FALSE)</f>
        <v>10.48678780060208</v>
      </c>
      <c r="AL153" s="279">
        <f>VLOOKUP(TableWRRanks32[[#This Row],[Player]],WR!B:O,8,FALSE)</f>
        <v>123.74409604710455</v>
      </c>
      <c r="AM153" s="279">
        <f>VLOOKUP(TableWRRanks32[[#This Row],[Player]],WR!B:O,9,FALSE)</f>
        <v>0.22921940547764114</v>
      </c>
      <c r="AN153" s="272">
        <f>IFERROR(INDEX(TableWRCalcPts[Custom],MATCH(TableWRRanks32[[#This Row],[RK]],TableWRCalcPts[RK],0)),"")</f>
        <v>13.749726037576302</v>
      </c>
      <c r="AO15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4" spans="16:41" x14ac:dyDescent="0.3">
      <c r="P154" s="22">
        <v>153</v>
      </c>
      <c r="Q154" s="274" t="str">
        <f>IFERROR(INDEX(TableRBCalcPts[PLAYER],MATCH(TableRBRanks31[[#This Row],[RK]],TableRBCalcPts[RK],0)),"")</f>
        <v/>
      </c>
      <c r="R154" s="274" t="str">
        <f>IFERROR(INDEX(TableRBCalcPts[TM],MATCH(TableRBRanks31[[#This Row],[Player]],TableRBCalcPts[PLAYER],0)),"")</f>
        <v/>
      </c>
      <c r="S154" s="274" t="str">
        <f>IFERROR(INDEX(TableRBCalcPts[BYE],MATCH(TableRBRanks31[[#This Row],[RK]],TableRBCalcPts[RK],0)),"")</f>
        <v/>
      </c>
      <c r="T154" s="279" t="e">
        <f>VLOOKUP(TableRBRanks31[[#This Row],[Player]],RB!B:O,4,FALSE)</f>
        <v>#N/A</v>
      </c>
      <c r="U154" s="279" t="e">
        <f>VLOOKUP(TableRBRanks31[[#This Row],[Player]],RB!B:O,5,FALSE)</f>
        <v>#N/A</v>
      </c>
      <c r="V154" s="279" t="e">
        <f>VLOOKUP(TableRBRanks31[[#This Row],[Player]],RB!B:O,6,FALSE)</f>
        <v>#N/A</v>
      </c>
      <c r="W154" s="279" t="e">
        <f>VLOOKUP(TableRBRanks31[[#This Row],[Player]],RB!B:O,7,FALSE)</f>
        <v>#N/A</v>
      </c>
      <c r="X154" s="279" t="e">
        <f>VLOOKUP(TableRBRanks31[[#This Row],[Player]],RB!B:O,8,FALSE)</f>
        <v>#N/A</v>
      </c>
      <c r="Y154" s="279" t="e">
        <f>VLOOKUP(TableRBRanks31[[#This Row],[Player]],RB!B:O,9,FALSE)</f>
        <v>#N/A</v>
      </c>
      <c r="Z154" s="279" t="e">
        <f>VLOOKUP(TableRBRanks31[[#This Row],[Player]],RB!B:O,10,FALSE)</f>
        <v>#N/A</v>
      </c>
      <c r="AA154" s="272" t="str">
        <f>IFERROR(INDEX(TableRBCalcPts[Custom],MATCH(TableRBRanks31[[#This Row],[RK]],TableRBCalcPts[RK],0)),"")</f>
        <v/>
      </c>
      <c r="AB154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4" s="22">
        <v>153</v>
      </c>
      <c r="AE154" s="274" t="str">
        <f>IFERROR(INDEX(TableWRCalcPts[PLAYER],MATCH(TableWRRanks32[[#This Row],[RK]],TableWRCalcPts[RK],0)),"")</f>
        <v>Brandon Zylstra</v>
      </c>
      <c r="AF154" s="22" t="str">
        <f>IFERROR(INDEX(TableWRCalcPts[TM],MATCH(TableWRRanks32[[#This Row],[Player]],TableWRCalcPts[PLAYER],0)),"")</f>
        <v>CAR</v>
      </c>
      <c r="AG154" s="22">
        <f>IFERROR(INDEX(TableWRCalcPts[BYE],MATCH(TableWRRanks32[[#This Row],[RK]],TableWRCalcPts[RK],0)),"")</f>
        <v>13</v>
      </c>
      <c r="AH154" s="279">
        <f>VLOOKUP(TableWRRanks32[[#This Row],[Player]],WR!B:O,4,FALSE)</f>
        <v>0</v>
      </c>
      <c r="AI154" s="279">
        <f>VLOOKUP(TableWRRanks32[[#This Row],[Player]],WR!B:O,5,FALSE)</f>
        <v>0</v>
      </c>
      <c r="AJ154" s="279">
        <f>VLOOKUP(TableWRRanks32[[#This Row],[Player]],WR!B:O,6,FALSE)</f>
        <v>14.977368749213095</v>
      </c>
      <c r="AK154" s="279">
        <f>VLOOKUP(TableWRRanks32[[#This Row],[Player]],WR!B:O,7,FALSE)</f>
        <v>8.9594619857792726</v>
      </c>
      <c r="AL154" s="279">
        <f>VLOOKUP(TableWRRanks32[[#This Row],[Player]],WR!B:O,8,FALSE)</f>
        <v>108.01507764067911</v>
      </c>
      <c r="AM154" s="279">
        <f>VLOOKUP(TableWRRanks32[[#This Row],[Player]],WR!B:O,9,FALSE)</f>
        <v>0.48999157670396126</v>
      </c>
      <c r="AN154" s="272">
        <f>IFERROR(INDEX(TableWRCalcPts[Custom],MATCH(TableWRRanks32[[#This Row],[RK]],TableWRCalcPts[RK],0)),"")</f>
        <v>13.741457224291679</v>
      </c>
      <c r="AO15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5" spans="16:41" x14ac:dyDescent="0.3">
      <c r="P155" s="22">
        <v>154</v>
      </c>
      <c r="Q155" s="274" t="str">
        <f>IFERROR(INDEX(TableRBCalcPts[PLAYER],MATCH(TableRBRanks31[[#This Row],[RK]],TableRBCalcPts[RK],0)),"")</f>
        <v/>
      </c>
      <c r="R155" s="274" t="str">
        <f>IFERROR(INDEX(TableRBCalcPts[TM],MATCH(TableRBRanks31[[#This Row],[Player]],TableRBCalcPts[PLAYER],0)),"")</f>
        <v/>
      </c>
      <c r="S155" s="274" t="str">
        <f>IFERROR(INDEX(TableRBCalcPts[BYE],MATCH(TableRBRanks31[[#This Row],[RK]],TableRBCalcPts[RK],0)),"")</f>
        <v/>
      </c>
      <c r="T155" s="279" t="e">
        <f>VLOOKUP(TableRBRanks31[[#This Row],[Player]],RB!B:O,4,FALSE)</f>
        <v>#N/A</v>
      </c>
      <c r="U155" s="279" t="e">
        <f>VLOOKUP(TableRBRanks31[[#This Row],[Player]],RB!B:O,5,FALSE)</f>
        <v>#N/A</v>
      </c>
      <c r="V155" s="279" t="e">
        <f>VLOOKUP(TableRBRanks31[[#This Row],[Player]],RB!B:O,6,FALSE)</f>
        <v>#N/A</v>
      </c>
      <c r="W155" s="279" t="e">
        <f>VLOOKUP(TableRBRanks31[[#This Row],[Player]],RB!B:O,7,FALSE)</f>
        <v>#N/A</v>
      </c>
      <c r="X155" s="279" t="e">
        <f>VLOOKUP(TableRBRanks31[[#This Row],[Player]],RB!B:O,8,FALSE)</f>
        <v>#N/A</v>
      </c>
      <c r="Y155" s="279" t="e">
        <f>VLOOKUP(TableRBRanks31[[#This Row],[Player]],RB!B:O,9,FALSE)</f>
        <v>#N/A</v>
      </c>
      <c r="Z155" s="279" t="e">
        <f>VLOOKUP(TableRBRanks31[[#This Row],[Player]],RB!B:O,10,FALSE)</f>
        <v>#N/A</v>
      </c>
      <c r="AA155" s="272" t="str">
        <f>IFERROR(INDEX(TableRBCalcPts[Custom],MATCH(TableRBRanks31[[#This Row],[RK]],TableRBCalcPts[RK],0)),"")</f>
        <v/>
      </c>
      <c r="AB155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5" s="22">
        <v>154</v>
      </c>
      <c r="AE155" s="274" t="str">
        <f>IFERROR(INDEX(TableWRCalcPts[PLAYER],MATCH(TableWRRanks32[[#This Row],[RK]],TableWRCalcPts[RK],0)),"")</f>
        <v>DeAndre Carter</v>
      </c>
      <c r="AF155" s="22" t="str">
        <f>IFERROR(INDEX(TableWRCalcPts[TM],MATCH(TableWRRanks32[[#This Row],[Player]],TableWRCalcPts[PLAYER],0)),"")</f>
        <v>LAC</v>
      </c>
      <c r="AG155" s="22">
        <f>IFERROR(INDEX(TableWRCalcPts[BYE],MATCH(TableWRRanks32[[#This Row],[RK]],TableWRCalcPts[RK],0)),"")</f>
        <v>8</v>
      </c>
      <c r="AH155" s="279">
        <f>VLOOKUP(TableWRRanks32[[#This Row],[Player]],WR!B:O,4,FALSE)</f>
        <v>0</v>
      </c>
      <c r="AI155" s="279">
        <f>VLOOKUP(TableWRRanks32[[#This Row],[Player]],WR!B:O,5,FALSE)</f>
        <v>0</v>
      </c>
      <c r="AJ155" s="279">
        <f>VLOOKUP(TableWRRanks32[[#This Row],[Player]],WR!B:O,6,FALSE)</f>
        <v>11.732391185395022</v>
      </c>
      <c r="AK155" s="279">
        <f>VLOOKUP(TableWRRanks32[[#This Row],[Player]],WR!B:O,7,FALSE)</f>
        <v>7.4787589663233121</v>
      </c>
      <c r="AL155" s="279">
        <f>VLOOKUP(TableWRRanks32[[#This Row],[Player]],WR!B:O,8,FALSE)</f>
        <v>97.822167279508918</v>
      </c>
      <c r="AM155" s="279">
        <f>VLOOKUP(TableWRRanks32[[#This Row],[Player]],WR!B:O,9,FALSE)</f>
        <v>0.59082195833954165</v>
      </c>
      <c r="AN155" s="272">
        <f>IFERROR(INDEX(TableWRCalcPts[Custom],MATCH(TableWRRanks32[[#This Row],[RK]],TableWRCalcPts[RK],0)),"")</f>
        <v>13.327148477988143</v>
      </c>
      <c r="AO15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6" spans="16:41" x14ac:dyDescent="0.3">
      <c r="P156" s="22">
        <v>155</v>
      </c>
      <c r="Q156" s="274" t="str">
        <f>IFERROR(INDEX(TableRBCalcPts[PLAYER],MATCH(TableRBRanks31[[#This Row],[RK]],TableRBCalcPts[RK],0)),"")</f>
        <v/>
      </c>
      <c r="R156" s="274" t="str">
        <f>IFERROR(INDEX(TableRBCalcPts[TM],MATCH(TableRBRanks31[[#This Row],[Player]],TableRBCalcPts[PLAYER],0)),"")</f>
        <v/>
      </c>
      <c r="S156" s="274" t="str">
        <f>IFERROR(INDEX(TableRBCalcPts[BYE],MATCH(TableRBRanks31[[#This Row],[RK]],TableRBCalcPts[RK],0)),"")</f>
        <v/>
      </c>
      <c r="T156" s="279" t="e">
        <f>VLOOKUP(TableRBRanks31[[#This Row],[Player]],RB!B:O,4,FALSE)</f>
        <v>#N/A</v>
      </c>
      <c r="U156" s="279" t="e">
        <f>VLOOKUP(TableRBRanks31[[#This Row],[Player]],RB!B:O,5,FALSE)</f>
        <v>#N/A</v>
      </c>
      <c r="V156" s="279" t="e">
        <f>VLOOKUP(TableRBRanks31[[#This Row],[Player]],RB!B:O,6,FALSE)</f>
        <v>#N/A</v>
      </c>
      <c r="W156" s="279" t="e">
        <f>VLOOKUP(TableRBRanks31[[#This Row],[Player]],RB!B:O,7,FALSE)</f>
        <v>#N/A</v>
      </c>
      <c r="X156" s="279" t="e">
        <f>VLOOKUP(TableRBRanks31[[#This Row],[Player]],RB!B:O,8,FALSE)</f>
        <v>#N/A</v>
      </c>
      <c r="Y156" s="279" t="e">
        <f>VLOOKUP(TableRBRanks31[[#This Row],[Player]],RB!B:O,9,FALSE)</f>
        <v>#N/A</v>
      </c>
      <c r="Z156" s="279" t="e">
        <f>VLOOKUP(TableRBRanks31[[#This Row],[Player]],RB!B:O,10,FALSE)</f>
        <v>#N/A</v>
      </c>
      <c r="AA156" s="272" t="str">
        <f>IFERROR(INDEX(TableRBCalcPts[Custom],MATCH(TableRBRanks31[[#This Row],[RK]],TableRBCalcPts[RK],0)),"")</f>
        <v/>
      </c>
      <c r="AB156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6" s="274">
        <v>155</v>
      </c>
      <c r="AE156" s="274" t="str">
        <f>IFERROR(INDEX(TableWRCalcPts[PLAYER],MATCH(TableWRRanks32[[#This Row],[RK]],TableWRCalcPts[RK],0)),"")</f>
        <v>Ihmir Smith-Marsette</v>
      </c>
      <c r="AF156" s="22" t="str">
        <f>IFERROR(INDEX(TableWRCalcPts[TM],MATCH(TableWRRanks32[[#This Row],[Player]],TableWRCalcPts[PLAYER],0)),"")</f>
        <v>MIN</v>
      </c>
      <c r="AG156" s="22">
        <f>IFERROR(INDEX(TableWRCalcPts[BYE],MATCH(TableWRRanks32[[#This Row],[RK]],TableWRCalcPts[RK],0)),"")</f>
        <v>7</v>
      </c>
      <c r="AH156" s="279">
        <f>VLOOKUP(TableWRRanks32[[#This Row],[Player]],WR!B:O,4,FALSE)</f>
        <v>0</v>
      </c>
      <c r="AI156" s="279">
        <f>VLOOKUP(TableWRRanks32[[#This Row],[Player]],WR!B:O,5,FALSE)</f>
        <v>0</v>
      </c>
      <c r="AJ156" s="279">
        <f>VLOOKUP(TableWRRanks32[[#This Row],[Player]],WR!B:O,6,FALSE)</f>
        <v>13.497497619077659</v>
      </c>
      <c r="AK156" s="279">
        <f>VLOOKUP(TableWRRanks32[[#This Row],[Player]],WR!B:O,7,FALSE)</f>
        <v>8.0735032054853413</v>
      </c>
      <c r="AL156" s="279">
        <f>VLOOKUP(TableWRRanks32[[#This Row],[Player]],WR!B:O,8,FALSE)</f>
        <v>97.9315938825372</v>
      </c>
      <c r="AM156" s="279">
        <f>VLOOKUP(TableWRRanks32[[#This Row],[Player]],WR!B:O,9,FALSE)</f>
        <v>0.57321872758945913</v>
      </c>
      <c r="AN156" s="272">
        <f>IFERROR(INDEX(TableWRCalcPts[Custom],MATCH(TableWRRanks32[[#This Row],[RK]],TableWRCalcPts[RK],0)),"")</f>
        <v>13.232471753790474</v>
      </c>
      <c r="AO15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7" spans="16:41" x14ac:dyDescent="0.3">
      <c r="P157" s="22">
        <v>156</v>
      </c>
      <c r="Q157" s="274" t="str">
        <f>IFERROR(INDEX(TableRBCalcPts[PLAYER],MATCH(TableRBRanks31[[#This Row],[RK]],TableRBCalcPts[RK],0)),"")</f>
        <v/>
      </c>
      <c r="R157" s="274" t="str">
        <f>IFERROR(INDEX(TableRBCalcPts[TM],MATCH(TableRBRanks31[[#This Row],[Player]],TableRBCalcPts[PLAYER],0)),"")</f>
        <v/>
      </c>
      <c r="S157" s="274" t="str">
        <f>IFERROR(INDEX(TableRBCalcPts[BYE],MATCH(TableRBRanks31[[#This Row],[RK]],TableRBCalcPts[RK],0)),"")</f>
        <v/>
      </c>
      <c r="T157" s="279" t="e">
        <f>VLOOKUP(TableRBRanks31[[#This Row],[Player]],RB!B:O,4,FALSE)</f>
        <v>#N/A</v>
      </c>
      <c r="U157" s="279" t="e">
        <f>VLOOKUP(TableRBRanks31[[#This Row],[Player]],RB!B:O,5,FALSE)</f>
        <v>#N/A</v>
      </c>
      <c r="V157" s="279" t="e">
        <f>VLOOKUP(TableRBRanks31[[#This Row],[Player]],RB!B:O,6,FALSE)</f>
        <v>#N/A</v>
      </c>
      <c r="W157" s="279" t="e">
        <f>VLOOKUP(TableRBRanks31[[#This Row],[Player]],RB!B:O,7,FALSE)</f>
        <v>#N/A</v>
      </c>
      <c r="X157" s="279" t="e">
        <f>VLOOKUP(TableRBRanks31[[#This Row],[Player]],RB!B:O,8,FALSE)</f>
        <v>#N/A</v>
      </c>
      <c r="Y157" s="279" t="e">
        <f>VLOOKUP(TableRBRanks31[[#This Row],[Player]],RB!B:O,9,FALSE)</f>
        <v>#N/A</v>
      </c>
      <c r="Z157" s="279" t="e">
        <f>VLOOKUP(TableRBRanks31[[#This Row],[Player]],RB!B:O,10,FALSE)</f>
        <v>#N/A</v>
      </c>
      <c r="AA157" s="272" t="str">
        <f>IFERROR(INDEX(TableRBCalcPts[Custom],MATCH(TableRBRanks31[[#This Row],[RK]],TableRBCalcPts[RK],0)),"")</f>
        <v/>
      </c>
      <c r="AB157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7" s="22">
        <v>156</v>
      </c>
      <c r="AE157" s="22" t="str">
        <f>IFERROR(INDEX(TableWRCalcPts[PLAYER],MATCH(TableWRRanks32[[#This Row],[RK]],TableWRCalcPts[RK],0)),"")</f>
        <v>Preston Williams</v>
      </c>
      <c r="AF157" s="22" t="str">
        <f>IFERROR(INDEX(TableWRCalcPts[TM],MATCH(TableWRRanks32[[#This Row],[Player]],TableWRCalcPts[PLAYER],0)),"")</f>
        <v>MIA</v>
      </c>
      <c r="AG157" s="22">
        <f>IFERROR(INDEX(TableWRCalcPts[BYE],MATCH(TableWRRanks32[[#This Row],[RK]],TableWRCalcPts[RK],0)),"")</f>
        <v>11</v>
      </c>
      <c r="AH157" s="279">
        <f>VLOOKUP(TableWRRanks32[[#This Row],[Player]],WR!B:O,4,FALSE)</f>
        <v>0</v>
      </c>
      <c r="AI157" s="279">
        <f>VLOOKUP(TableWRRanks32[[#This Row],[Player]],WR!B:O,5,FALSE)</f>
        <v>0</v>
      </c>
      <c r="AJ157" s="279">
        <f>VLOOKUP(TableWRRanks32[[#This Row],[Player]],WR!B:O,6,FALSE)</f>
        <v>15.119724239999996</v>
      </c>
      <c r="AK157" s="279">
        <f>VLOOKUP(TableWRRanks32[[#This Row],[Player]],WR!B:O,7,FALSE)</f>
        <v>8.9372689982639972</v>
      </c>
      <c r="AL157" s="279">
        <f>VLOOKUP(TableWRRanks32[[#This Row],[Player]],WR!B:O,8,FALSE)</f>
        <v>107.78346411906381</v>
      </c>
      <c r="AM157" s="279">
        <f>VLOOKUP(TableWRRanks32[[#This Row],[Player]],WR!B:O,9,FALSE)</f>
        <v>0.37778087601312527</v>
      </c>
      <c r="AN157" s="272">
        <f>IFERROR(INDEX(TableWRCalcPts[Custom],MATCH(TableWRRanks32[[#This Row],[RK]],TableWRCalcPts[RK],0)),"")</f>
        <v>13.045031667985134</v>
      </c>
      <c r="AO15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8" spans="16:41" x14ac:dyDescent="0.3">
      <c r="P158" s="22">
        <v>157</v>
      </c>
      <c r="Q158" s="274" t="str">
        <f>IFERROR(INDEX(TableRBCalcPts[PLAYER],MATCH(TableRBRanks31[[#This Row],[RK]],TableRBCalcPts[RK],0)),"")</f>
        <v/>
      </c>
      <c r="R158" s="274" t="str">
        <f>IFERROR(INDEX(TableRBCalcPts[TM],MATCH(TableRBRanks31[[#This Row],[Player]],TableRBCalcPts[PLAYER],0)),"")</f>
        <v/>
      </c>
      <c r="S158" s="274" t="str">
        <f>IFERROR(INDEX(TableRBCalcPts[BYE],MATCH(TableRBRanks31[[#This Row],[RK]],TableRBCalcPts[RK],0)),"")</f>
        <v/>
      </c>
      <c r="T158" s="279" t="e">
        <f>VLOOKUP(TableRBRanks31[[#This Row],[Player]],RB!B:O,4,FALSE)</f>
        <v>#N/A</v>
      </c>
      <c r="U158" s="279" t="e">
        <f>VLOOKUP(TableRBRanks31[[#This Row],[Player]],RB!B:O,5,FALSE)</f>
        <v>#N/A</v>
      </c>
      <c r="V158" s="279" t="e">
        <f>VLOOKUP(TableRBRanks31[[#This Row],[Player]],RB!B:O,6,FALSE)</f>
        <v>#N/A</v>
      </c>
      <c r="W158" s="279" t="e">
        <f>VLOOKUP(TableRBRanks31[[#This Row],[Player]],RB!B:O,7,FALSE)</f>
        <v>#N/A</v>
      </c>
      <c r="X158" s="279" t="e">
        <f>VLOOKUP(TableRBRanks31[[#This Row],[Player]],RB!B:O,8,FALSE)</f>
        <v>#N/A</v>
      </c>
      <c r="Y158" s="279" t="e">
        <f>VLOOKUP(TableRBRanks31[[#This Row],[Player]],RB!B:O,9,FALSE)</f>
        <v>#N/A</v>
      </c>
      <c r="Z158" s="279" t="e">
        <f>VLOOKUP(TableRBRanks31[[#This Row],[Player]],RB!B:O,10,FALSE)</f>
        <v>#N/A</v>
      </c>
      <c r="AA158" s="272" t="str">
        <f>IFERROR(INDEX(TableRBCalcPts[Custom],MATCH(TableRBRanks31[[#This Row],[RK]],TableRBCalcPts[RK],0)),"")</f>
        <v/>
      </c>
      <c r="AB158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8" s="22">
        <v>157</v>
      </c>
      <c r="AE158" s="22" t="str">
        <f>IFERROR(INDEX(TableWRCalcPts[PLAYER],MATCH(TableWRRanks32[[#This Row],[RK]],TableWRCalcPts[RK],0)),"")</f>
        <v>Jakeem Grant</v>
      </c>
      <c r="AF158" s="22" t="str">
        <f>IFERROR(INDEX(TableWRCalcPts[TM],MATCH(TableWRRanks32[[#This Row],[Player]],TableWRCalcPts[PLAYER],0)),"")</f>
        <v>CLE</v>
      </c>
      <c r="AG158" s="22">
        <f>IFERROR(INDEX(TableWRCalcPts[BYE],MATCH(TableWRRanks32[[#This Row],[RK]],TableWRCalcPts[RK],0)),"")</f>
        <v>9</v>
      </c>
      <c r="AH158" s="279">
        <f>VLOOKUP(TableWRRanks32[[#This Row],[Player]],WR!B:O,4,FALSE)</f>
        <v>8.5649579196456358</v>
      </c>
      <c r="AI158" s="279">
        <f>VLOOKUP(TableWRRanks32[[#This Row],[Player]],WR!B:O,5,FALSE)</f>
        <v>3.3326684512239829E-2</v>
      </c>
      <c r="AJ158" s="279">
        <f>VLOOKUP(TableWRRanks32[[#This Row],[Player]],WR!B:O,6,FALSE)</f>
        <v>13.945730470021115</v>
      </c>
      <c r="AK158" s="279">
        <f>VLOOKUP(TableWRRanks32[[#This Row],[Player]],WR!B:O,7,FALSE)</f>
        <v>8.9461860965185451</v>
      </c>
      <c r="AL158" s="279">
        <f>VLOOKUP(TableWRRanks32[[#This Row],[Player]],WR!B:O,8,FALSE)</f>
        <v>89.909170270011387</v>
      </c>
      <c r="AM158" s="279">
        <f>VLOOKUP(TableWRRanks32[[#This Row],[Player]],WR!B:O,9,FALSE)</f>
        <v>0.47468687005643201</v>
      </c>
      <c r="AN158" s="272">
        <f>IFERROR(INDEX(TableWRCalcPts[Custom],MATCH(TableWRRanks32[[#This Row],[RK]],TableWRCalcPts[RK],0)),"")</f>
        <v>12.895494146377734</v>
      </c>
      <c r="AO15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59" spans="16:41" x14ac:dyDescent="0.3">
      <c r="P159" s="22">
        <v>158</v>
      </c>
      <c r="Q159" s="274" t="str">
        <f>IFERROR(INDEX(TableRBCalcPts[PLAYER],MATCH(TableRBRanks31[[#This Row],[RK]],TableRBCalcPts[RK],0)),"")</f>
        <v/>
      </c>
      <c r="R159" s="274" t="str">
        <f>IFERROR(INDEX(TableRBCalcPts[TM],MATCH(TableRBRanks31[[#This Row],[Player]],TableRBCalcPts[PLAYER],0)),"")</f>
        <v/>
      </c>
      <c r="S159" s="274" t="str">
        <f>IFERROR(INDEX(TableRBCalcPts[BYE],MATCH(TableRBRanks31[[#This Row],[RK]],TableRBCalcPts[RK],0)),"")</f>
        <v/>
      </c>
      <c r="T159" s="279" t="e">
        <f>VLOOKUP(TableRBRanks31[[#This Row],[Player]],RB!B:O,4,FALSE)</f>
        <v>#N/A</v>
      </c>
      <c r="U159" s="279" t="e">
        <f>VLOOKUP(TableRBRanks31[[#This Row],[Player]],RB!B:O,5,FALSE)</f>
        <v>#N/A</v>
      </c>
      <c r="V159" s="279" t="e">
        <f>VLOOKUP(TableRBRanks31[[#This Row],[Player]],RB!B:O,6,FALSE)</f>
        <v>#N/A</v>
      </c>
      <c r="W159" s="279" t="e">
        <f>VLOOKUP(TableRBRanks31[[#This Row],[Player]],RB!B:O,7,FALSE)</f>
        <v>#N/A</v>
      </c>
      <c r="X159" s="279" t="e">
        <f>VLOOKUP(TableRBRanks31[[#This Row],[Player]],RB!B:O,8,FALSE)</f>
        <v>#N/A</v>
      </c>
      <c r="Y159" s="279" t="e">
        <f>VLOOKUP(TableRBRanks31[[#This Row],[Player]],RB!B:O,9,FALSE)</f>
        <v>#N/A</v>
      </c>
      <c r="Z159" s="279" t="e">
        <f>VLOOKUP(TableRBRanks31[[#This Row],[Player]],RB!B:O,10,FALSE)</f>
        <v>#N/A</v>
      </c>
      <c r="AA159" s="272" t="str">
        <f>IFERROR(INDEX(TableRBCalcPts[Custom],MATCH(TableRBRanks31[[#This Row],[RK]],TableRBCalcPts[RK],0)),"")</f>
        <v/>
      </c>
      <c r="AB159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59" s="274">
        <v>158</v>
      </c>
      <c r="AE159" s="274" t="str">
        <f>IFERROR(INDEX(TableWRCalcPts[PLAYER],MATCH(TableWRRanks32[[#This Row],[RK]],TableWRCalcPts[RK],0)),"")</f>
        <v>Phillip Dorsett</v>
      </c>
      <c r="AF159" s="22" t="str">
        <f>IFERROR(INDEX(TableWRCalcPts[TM],MATCH(TableWRRanks32[[#This Row],[Player]],TableWRCalcPts[PLAYER],0)),"")</f>
        <v>HOU</v>
      </c>
      <c r="AG159" s="22">
        <f>IFERROR(INDEX(TableWRCalcPts[BYE],MATCH(TableWRRanks32[[#This Row],[RK]],TableWRCalcPts[RK],0)),"")</f>
        <v>6</v>
      </c>
      <c r="AH159" s="279">
        <f>VLOOKUP(TableWRRanks32[[#This Row],[Player]],WR!B:O,4,FALSE)</f>
        <v>0</v>
      </c>
      <c r="AI159" s="279">
        <f>VLOOKUP(TableWRRanks32[[#This Row],[Player]],WR!B:O,5,FALSE)</f>
        <v>0</v>
      </c>
      <c r="AJ159" s="279">
        <f>VLOOKUP(TableWRRanks32[[#This Row],[Player]],WR!B:O,6,FALSE)</f>
        <v>11.376933574985218</v>
      </c>
      <c r="AK159" s="279">
        <f>VLOOKUP(TableWRRanks32[[#This Row],[Player]],WR!B:O,7,FALSE)</f>
        <v>7.2004612596081445</v>
      </c>
      <c r="AL159" s="279">
        <f>VLOOKUP(TableWRRanks32[[#This Row],[Player]],WR!B:O,8,FALSE)</f>
        <v>98.376253491024869</v>
      </c>
      <c r="AM159" s="279">
        <f>VLOOKUP(TableWRRanks32[[#This Row],[Player]],WR!B:O,9,FALSE)</f>
        <v>0.50645041928535772</v>
      </c>
      <c r="AN159" s="272">
        <f>IFERROR(INDEX(TableWRCalcPts[Custom],MATCH(TableWRRanks32[[#This Row],[RK]],TableWRCalcPts[RK],0)),"")</f>
        <v>12.876327864814634</v>
      </c>
      <c r="AO15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0" spans="16:41" x14ac:dyDescent="0.3">
      <c r="P160" s="22">
        <v>159</v>
      </c>
      <c r="Q160" s="274" t="str">
        <f>IFERROR(INDEX(TableRBCalcPts[PLAYER],MATCH(TableRBRanks31[[#This Row],[RK]],TableRBCalcPts[RK],0)),"")</f>
        <v/>
      </c>
      <c r="R160" s="274" t="str">
        <f>IFERROR(INDEX(TableRBCalcPts[TM],MATCH(TableRBRanks31[[#This Row],[Player]],TableRBCalcPts[PLAYER],0)),"")</f>
        <v/>
      </c>
      <c r="S160" s="274" t="str">
        <f>IFERROR(INDEX(TableRBCalcPts[BYE],MATCH(TableRBRanks31[[#This Row],[RK]],TableRBCalcPts[RK],0)),"")</f>
        <v/>
      </c>
      <c r="T160" s="279" t="e">
        <f>VLOOKUP(TableRBRanks31[[#This Row],[Player]],RB!B:O,4,FALSE)</f>
        <v>#N/A</v>
      </c>
      <c r="U160" s="279" t="e">
        <f>VLOOKUP(TableRBRanks31[[#This Row],[Player]],RB!B:O,5,FALSE)</f>
        <v>#N/A</v>
      </c>
      <c r="V160" s="279" t="e">
        <f>VLOOKUP(TableRBRanks31[[#This Row],[Player]],RB!B:O,6,FALSE)</f>
        <v>#N/A</v>
      </c>
      <c r="W160" s="279" t="e">
        <f>VLOOKUP(TableRBRanks31[[#This Row],[Player]],RB!B:O,7,FALSE)</f>
        <v>#N/A</v>
      </c>
      <c r="X160" s="279" t="e">
        <f>VLOOKUP(TableRBRanks31[[#This Row],[Player]],RB!B:O,8,FALSE)</f>
        <v>#N/A</v>
      </c>
      <c r="Y160" s="279" t="e">
        <f>VLOOKUP(TableRBRanks31[[#This Row],[Player]],RB!B:O,9,FALSE)</f>
        <v>#N/A</v>
      </c>
      <c r="Z160" s="279" t="e">
        <f>VLOOKUP(TableRBRanks31[[#This Row],[Player]],RB!B:O,10,FALSE)</f>
        <v>#N/A</v>
      </c>
      <c r="AA160" s="272" t="str">
        <f>IFERROR(INDEX(TableRBCalcPts[Custom],MATCH(TableRBRanks31[[#This Row],[RK]],TableRBCalcPts[RK],0)),"")</f>
        <v/>
      </c>
      <c r="AB160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0" s="22">
        <v>159</v>
      </c>
      <c r="AE160" s="22" t="str">
        <f>IFERROR(INDEX(TableWRCalcPts[PLAYER],MATCH(TableWRRanks32[[#This Row],[RK]],TableWRCalcPts[RK],0)),"")</f>
        <v>Mike Thomas</v>
      </c>
      <c r="AF160" s="22" t="str">
        <f>IFERROR(INDEX(TableWRCalcPts[TM],MATCH(TableWRRanks32[[#This Row],[Player]],TableWRCalcPts[PLAYER],0)),"")</f>
        <v>CIN</v>
      </c>
      <c r="AG160" s="22">
        <f>IFERROR(INDEX(TableWRCalcPts[BYE],MATCH(TableWRRanks32[[#This Row],[RK]],TableWRCalcPts[RK],0)),"")</f>
        <v>10</v>
      </c>
      <c r="AH160" s="279">
        <f>VLOOKUP(TableWRRanks32[[#This Row],[Player]],WR!B:O,4,FALSE)</f>
        <v>0</v>
      </c>
      <c r="AI160" s="279">
        <f>VLOOKUP(TableWRRanks32[[#This Row],[Player]],WR!B:O,5,FALSE)</f>
        <v>0</v>
      </c>
      <c r="AJ160" s="279">
        <f>VLOOKUP(TableWRRanks32[[#This Row],[Player]],WR!B:O,6,FALSE)</f>
        <v>12.395724530649938</v>
      </c>
      <c r="AK160" s="279">
        <f>VLOOKUP(TableWRRanks32[[#This Row],[Player]],WR!B:O,7,FALSE)</f>
        <v>7.847733200354476</v>
      </c>
      <c r="AL160" s="279">
        <f>VLOOKUP(TableWRRanks32[[#This Row],[Player]],WR!B:O,8,FALSE)</f>
        <v>93.781712183469239</v>
      </c>
      <c r="AM160" s="279">
        <f>VLOOKUP(TableWRRanks32[[#This Row],[Player]],WR!B:O,9,FALSE)</f>
        <v>0.54934132402481339</v>
      </c>
      <c r="AN160" s="272">
        <f>IFERROR(INDEX(TableWRCalcPts[Custom],MATCH(TableWRRanks32[[#This Row],[RK]],TableWRCalcPts[RK],0)),"")</f>
        <v>12.674219162495806</v>
      </c>
      <c r="AO16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1" spans="16:41" x14ac:dyDescent="0.3">
      <c r="P161" s="22">
        <v>160</v>
      </c>
      <c r="Q161" s="274" t="str">
        <f>IFERROR(INDEX(TableRBCalcPts[PLAYER],MATCH(TableRBRanks31[[#This Row],[RK]],TableRBCalcPts[RK],0)),"")</f>
        <v/>
      </c>
      <c r="R161" s="274" t="str">
        <f>IFERROR(INDEX(TableRBCalcPts[TM],MATCH(TableRBRanks31[[#This Row],[Player]],TableRBCalcPts[PLAYER],0)),"")</f>
        <v/>
      </c>
      <c r="S161" s="274" t="str">
        <f>IFERROR(INDEX(TableRBCalcPts[BYE],MATCH(TableRBRanks31[[#This Row],[RK]],TableRBCalcPts[RK],0)),"")</f>
        <v/>
      </c>
      <c r="T161" s="279" t="e">
        <f>VLOOKUP(TableRBRanks31[[#This Row],[Player]],RB!B:O,4,FALSE)</f>
        <v>#N/A</v>
      </c>
      <c r="U161" s="279" t="e">
        <f>VLOOKUP(TableRBRanks31[[#This Row],[Player]],RB!B:O,5,FALSE)</f>
        <v>#N/A</v>
      </c>
      <c r="V161" s="279" t="e">
        <f>VLOOKUP(TableRBRanks31[[#This Row],[Player]],RB!B:O,6,FALSE)</f>
        <v>#N/A</v>
      </c>
      <c r="W161" s="279" t="e">
        <f>VLOOKUP(TableRBRanks31[[#This Row],[Player]],RB!B:O,7,FALSE)</f>
        <v>#N/A</v>
      </c>
      <c r="X161" s="279" t="e">
        <f>VLOOKUP(TableRBRanks31[[#This Row],[Player]],RB!B:O,8,FALSE)</f>
        <v>#N/A</v>
      </c>
      <c r="Y161" s="279" t="e">
        <f>VLOOKUP(TableRBRanks31[[#This Row],[Player]],RB!B:O,9,FALSE)</f>
        <v>#N/A</v>
      </c>
      <c r="Z161" s="279" t="e">
        <f>VLOOKUP(TableRBRanks31[[#This Row],[Player]],RB!B:O,10,FALSE)</f>
        <v>#N/A</v>
      </c>
      <c r="AA161" s="272" t="str">
        <f>IFERROR(INDEX(TableRBCalcPts[Custom],MATCH(TableRBRanks31[[#This Row],[RK]],TableRBCalcPts[RK],0)),"")</f>
        <v/>
      </c>
      <c r="AB161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1" s="22">
        <v>160</v>
      </c>
      <c r="AE161" s="274" t="str">
        <f>IFERROR(INDEX(TableWRCalcPts[PLAYER],MATCH(TableWRRanks32[[#This Row],[RK]],TableWRCalcPts[RK],0)),"")</f>
        <v>Antoine Wesley</v>
      </c>
      <c r="AF161" s="22" t="str">
        <f>IFERROR(INDEX(TableWRCalcPts[TM],MATCH(TableWRRanks32[[#This Row],[Player]],TableWRCalcPts[PLAYER],0)),"")</f>
        <v>ARI</v>
      </c>
      <c r="AG161" s="22">
        <f>IFERROR(INDEX(TableWRCalcPts[BYE],MATCH(TableWRRanks32[[#This Row],[RK]],TableWRCalcPts[RK],0)),"")</f>
        <v>13</v>
      </c>
      <c r="AH161" s="279">
        <f>VLOOKUP(TableWRRanks32[[#This Row],[Player]],WR!B:O,4,FALSE)</f>
        <v>0</v>
      </c>
      <c r="AI161" s="279">
        <f>VLOOKUP(TableWRRanks32[[#This Row],[Player]],WR!B:O,5,FALSE)</f>
        <v>0</v>
      </c>
      <c r="AJ161" s="279">
        <f>VLOOKUP(TableWRRanks32[[#This Row],[Player]],WR!B:O,6,FALSE)</f>
        <v>12.471793100000001</v>
      </c>
      <c r="AK161" s="279">
        <f>VLOOKUP(TableWRRanks32[[#This Row],[Player]],WR!B:O,7,FALSE)</f>
        <v>7.4018092198294481</v>
      </c>
      <c r="AL161" s="279">
        <f>VLOOKUP(TableWRRanks32[[#This Row],[Player]],WR!B:O,8,FALSE)</f>
        <v>93.33681426204933</v>
      </c>
      <c r="AM161" s="279">
        <f>VLOOKUP(TableWRRanks32[[#This Row],[Player]],WR!B:O,9,FALSE)</f>
        <v>0.52552845460789077</v>
      </c>
      <c r="AN161" s="272">
        <f>IFERROR(INDEX(TableWRCalcPts[Custom],MATCH(TableWRRanks32[[#This Row],[RK]],TableWRCalcPts[RK],0)),"")</f>
        <v>12.486852153852277</v>
      </c>
      <c r="AO16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2" spans="16:41" x14ac:dyDescent="0.3">
      <c r="P162" s="22">
        <v>161</v>
      </c>
      <c r="Q162" s="274" t="str">
        <f>IFERROR(INDEX(TableRBCalcPts[PLAYER],MATCH(TableRBRanks31[[#This Row],[RK]],TableRBCalcPts[RK],0)),"")</f>
        <v/>
      </c>
      <c r="R162" s="274" t="str">
        <f>IFERROR(INDEX(TableRBCalcPts[TM],MATCH(TableRBRanks31[[#This Row],[Player]],TableRBCalcPts[PLAYER],0)),"")</f>
        <v/>
      </c>
      <c r="S162" s="274" t="str">
        <f>IFERROR(INDEX(TableRBCalcPts[BYE],MATCH(TableRBRanks31[[#This Row],[RK]],TableRBCalcPts[RK],0)),"")</f>
        <v/>
      </c>
      <c r="T162" s="279" t="e">
        <f>VLOOKUP(TableRBRanks31[[#This Row],[Player]],RB!B:O,4,FALSE)</f>
        <v>#N/A</v>
      </c>
      <c r="U162" s="279" t="e">
        <f>VLOOKUP(TableRBRanks31[[#This Row],[Player]],RB!B:O,5,FALSE)</f>
        <v>#N/A</v>
      </c>
      <c r="V162" s="279" t="e">
        <f>VLOOKUP(TableRBRanks31[[#This Row],[Player]],RB!B:O,6,FALSE)</f>
        <v>#N/A</v>
      </c>
      <c r="W162" s="279" t="e">
        <f>VLOOKUP(TableRBRanks31[[#This Row],[Player]],RB!B:O,7,FALSE)</f>
        <v>#N/A</v>
      </c>
      <c r="X162" s="279" t="e">
        <f>VLOOKUP(TableRBRanks31[[#This Row],[Player]],RB!B:O,8,FALSE)</f>
        <v>#N/A</v>
      </c>
      <c r="Y162" s="279" t="e">
        <f>VLOOKUP(TableRBRanks31[[#This Row],[Player]],RB!B:O,9,FALSE)</f>
        <v>#N/A</v>
      </c>
      <c r="Z162" s="279" t="e">
        <f>VLOOKUP(TableRBRanks31[[#This Row],[Player]],RB!B:O,10,FALSE)</f>
        <v>#N/A</v>
      </c>
      <c r="AA162" s="272" t="str">
        <f>IFERROR(INDEX(TableRBCalcPts[Custom],MATCH(TableRBRanks31[[#This Row],[RK]],TableRBCalcPts[RK],0)),"")</f>
        <v/>
      </c>
      <c r="AB162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2" s="274">
        <v>161</v>
      </c>
      <c r="AE162" s="274" t="str">
        <f>IFERROR(INDEX(TableWRCalcPts[PLAYER],MATCH(TableWRRanks32[[#This Row],[RK]],TableWRCalcPts[RK],0)),"")</f>
        <v>Dazz Newsome</v>
      </c>
      <c r="AF162" s="22" t="str">
        <f>IFERROR(INDEX(TableWRCalcPts[TM],MATCH(TableWRRanks32[[#This Row],[Player]],TableWRCalcPts[PLAYER],0)),"")</f>
        <v>CHI</v>
      </c>
      <c r="AG162" s="22">
        <f>IFERROR(INDEX(TableWRCalcPts[BYE],MATCH(TableWRRanks32[[#This Row],[RK]],TableWRCalcPts[RK],0)),"")</f>
        <v>14</v>
      </c>
      <c r="AH162" s="279">
        <f>VLOOKUP(TableWRRanks32[[#This Row],[Player]],WR!B:O,4,FALSE)</f>
        <v>0</v>
      </c>
      <c r="AI162" s="279">
        <f>VLOOKUP(TableWRRanks32[[#This Row],[Player]],WR!B:O,5,FALSE)</f>
        <v>0</v>
      </c>
      <c r="AJ162" s="279">
        <f>VLOOKUP(TableWRRanks32[[#This Row],[Player]],WR!B:O,6,FALSE)</f>
        <v>13.462234220626115</v>
      </c>
      <c r="AK162" s="279">
        <f>VLOOKUP(TableWRRanks32[[#This Row],[Player]],WR!B:O,7,FALSE)</f>
        <v>7.7677091453012679</v>
      </c>
      <c r="AL162" s="279">
        <f>VLOOKUP(TableWRRanks32[[#This Row],[Player]],WR!B:O,8,FALSE)</f>
        <v>96.483124120584165</v>
      </c>
      <c r="AM162" s="279">
        <f>VLOOKUP(TableWRRanks32[[#This Row],[Player]],WR!B:O,9,FALSE)</f>
        <v>0.42109160103475296</v>
      </c>
      <c r="AN162" s="272">
        <f>IFERROR(INDEX(TableWRCalcPts[Custom],MATCH(TableWRRanks32[[#This Row],[RK]],TableWRCalcPts[RK],0)),"")</f>
        <v>12.174862018266934</v>
      </c>
      <c r="AO16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3" spans="16:41" x14ac:dyDescent="0.3">
      <c r="P163" s="22">
        <v>162</v>
      </c>
      <c r="Q163" s="274" t="str">
        <f>IFERROR(INDEX(TableRBCalcPts[PLAYER],MATCH(TableRBRanks31[[#This Row],[RK]],TableRBCalcPts[RK],0)),"")</f>
        <v/>
      </c>
      <c r="R163" s="274" t="str">
        <f>IFERROR(INDEX(TableRBCalcPts[TM],MATCH(TableRBRanks31[[#This Row],[Player]],TableRBCalcPts[PLAYER],0)),"")</f>
        <v/>
      </c>
      <c r="S163" s="274" t="str">
        <f>IFERROR(INDEX(TableRBCalcPts[BYE],MATCH(TableRBRanks31[[#This Row],[RK]],TableRBCalcPts[RK],0)),"")</f>
        <v/>
      </c>
      <c r="T163" s="279" t="e">
        <f>VLOOKUP(TableRBRanks31[[#This Row],[Player]],RB!B:O,4,FALSE)</f>
        <v>#N/A</v>
      </c>
      <c r="U163" s="279" t="e">
        <f>VLOOKUP(TableRBRanks31[[#This Row],[Player]],RB!B:O,5,FALSE)</f>
        <v>#N/A</v>
      </c>
      <c r="V163" s="279" t="e">
        <f>VLOOKUP(TableRBRanks31[[#This Row],[Player]],RB!B:O,6,FALSE)</f>
        <v>#N/A</v>
      </c>
      <c r="W163" s="279" t="e">
        <f>VLOOKUP(TableRBRanks31[[#This Row],[Player]],RB!B:O,7,FALSE)</f>
        <v>#N/A</v>
      </c>
      <c r="X163" s="279" t="e">
        <f>VLOOKUP(TableRBRanks31[[#This Row],[Player]],RB!B:O,8,FALSE)</f>
        <v>#N/A</v>
      </c>
      <c r="Y163" s="279" t="e">
        <f>VLOOKUP(TableRBRanks31[[#This Row],[Player]],RB!B:O,9,FALSE)</f>
        <v>#N/A</v>
      </c>
      <c r="Z163" s="279" t="e">
        <f>VLOOKUP(TableRBRanks31[[#This Row],[Player]],RB!B:O,10,FALSE)</f>
        <v>#N/A</v>
      </c>
      <c r="AA163" s="272" t="str">
        <f>IFERROR(INDEX(TableRBCalcPts[Custom],MATCH(TableRBRanks31[[#This Row],[RK]],TableRBCalcPts[RK],0)),"")</f>
        <v/>
      </c>
      <c r="AB163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3" s="22">
        <v>162</v>
      </c>
      <c r="AE163" s="22" t="str">
        <f>IFERROR(INDEX(TableWRCalcPts[PLAYER],MATCH(TableWRRanks32[[#This Row],[RK]],TableWRCalcPts[RK],0)),"")</f>
        <v>Greg Ward</v>
      </c>
      <c r="AF163" s="22" t="str">
        <f>IFERROR(INDEX(TableWRCalcPts[TM],MATCH(TableWRRanks32[[#This Row],[Player]],TableWRCalcPts[PLAYER],0)),"")</f>
        <v>PHI</v>
      </c>
      <c r="AG163" s="22">
        <f>IFERROR(INDEX(TableWRCalcPts[BYE],MATCH(TableWRRanks32[[#This Row],[RK]],TableWRCalcPts[RK],0)),"")</f>
        <v>7</v>
      </c>
      <c r="AH163" s="279">
        <f>VLOOKUP(TableWRRanks32[[#This Row],[Player]],WR!B:O,4,FALSE)</f>
        <v>0</v>
      </c>
      <c r="AI163" s="279">
        <f>VLOOKUP(TableWRRanks32[[#This Row],[Player]],WR!B:O,5,FALSE)</f>
        <v>0</v>
      </c>
      <c r="AJ163" s="279">
        <f>VLOOKUP(TableWRRanks32[[#This Row],[Player]],WR!B:O,6,FALSE)</f>
        <v>14.460532423693452</v>
      </c>
      <c r="AK163" s="279">
        <f>VLOOKUP(TableWRRanks32[[#This Row],[Player]],WR!B:O,7,FALSE)</f>
        <v>9.2099131006503594</v>
      </c>
      <c r="AL163" s="279">
        <f>VLOOKUP(TableWRRanks32[[#This Row],[Player]],WR!B:O,8,FALSE)</f>
        <v>96.969758127039839</v>
      </c>
      <c r="AM163" s="279">
        <f>VLOOKUP(TableWRRanks32[[#This Row],[Player]],WR!B:O,9,FALSE)</f>
        <v>0.35918661092536402</v>
      </c>
      <c r="AN163" s="272">
        <f>IFERROR(INDEX(TableWRCalcPts[Custom],MATCH(TableWRRanks32[[#This Row],[RK]],TableWRCalcPts[RK],0)),"")</f>
        <v>11.852095478256167</v>
      </c>
      <c r="AO16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4" spans="16:41" x14ac:dyDescent="0.3">
      <c r="P164" s="22">
        <v>163</v>
      </c>
      <c r="Q164" s="274" t="str">
        <f>IFERROR(INDEX(TableRBCalcPts[PLAYER],MATCH(TableRBRanks31[[#This Row],[RK]],TableRBCalcPts[RK],0)),"")</f>
        <v/>
      </c>
      <c r="R164" s="274" t="str">
        <f>IFERROR(INDEX(TableRBCalcPts[TM],MATCH(TableRBRanks31[[#This Row],[Player]],TableRBCalcPts[PLAYER],0)),"")</f>
        <v/>
      </c>
      <c r="S164" s="274" t="str">
        <f>IFERROR(INDEX(TableRBCalcPts[BYE],MATCH(TableRBRanks31[[#This Row],[RK]],TableRBCalcPts[RK],0)),"")</f>
        <v/>
      </c>
      <c r="T164" s="279" t="e">
        <f>VLOOKUP(TableRBRanks31[[#This Row],[Player]],RB!B:O,4,FALSE)</f>
        <v>#N/A</v>
      </c>
      <c r="U164" s="279" t="e">
        <f>VLOOKUP(TableRBRanks31[[#This Row],[Player]],RB!B:O,5,FALSE)</f>
        <v>#N/A</v>
      </c>
      <c r="V164" s="279" t="e">
        <f>VLOOKUP(TableRBRanks31[[#This Row],[Player]],RB!B:O,6,FALSE)</f>
        <v>#N/A</v>
      </c>
      <c r="W164" s="279" t="e">
        <f>VLOOKUP(TableRBRanks31[[#This Row],[Player]],RB!B:O,7,FALSE)</f>
        <v>#N/A</v>
      </c>
      <c r="X164" s="279" t="e">
        <f>VLOOKUP(TableRBRanks31[[#This Row],[Player]],RB!B:O,8,FALSE)</f>
        <v>#N/A</v>
      </c>
      <c r="Y164" s="279" t="e">
        <f>VLOOKUP(TableRBRanks31[[#This Row],[Player]],RB!B:O,9,FALSE)</f>
        <v>#N/A</v>
      </c>
      <c r="Z164" s="279" t="e">
        <f>VLOOKUP(TableRBRanks31[[#This Row],[Player]],RB!B:O,10,FALSE)</f>
        <v>#N/A</v>
      </c>
      <c r="AA164" s="272" t="str">
        <f>IFERROR(INDEX(TableRBCalcPts[Custom],MATCH(TableRBRanks31[[#This Row],[RK]],TableRBCalcPts[RK],0)),"")</f>
        <v/>
      </c>
      <c r="AB164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4" s="22">
        <v>163</v>
      </c>
      <c r="AE164" s="22" t="str">
        <f>IFERROR(INDEX(TableWRCalcPts[PLAYER],MATCH(TableWRRanks32[[#This Row],[RK]],TableWRCalcPts[RK],0)),"")</f>
        <v>Denzel Mims</v>
      </c>
      <c r="AF164" s="22" t="str">
        <f>IFERROR(INDEX(TableWRCalcPts[TM],MATCH(TableWRRanks32[[#This Row],[Player]],TableWRCalcPts[PLAYER],0)),"")</f>
        <v>NYJ</v>
      </c>
      <c r="AG164" s="22">
        <f>IFERROR(INDEX(TableWRCalcPts[BYE],MATCH(TableWRRanks32[[#This Row],[RK]],TableWRCalcPts[RK],0)),"")</f>
        <v>10</v>
      </c>
      <c r="AH164" s="279">
        <f>VLOOKUP(TableWRRanks32[[#This Row],[Player]],WR!B:O,4,FALSE)</f>
        <v>0</v>
      </c>
      <c r="AI164" s="279">
        <f>VLOOKUP(TableWRRanks32[[#This Row],[Player]],WR!B:O,5,FALSE)</f>
        <v>0</v>
      </c>
      <c r="AJ164" s="279">
        <f>VLOOKUP(TableWRRanks32[[#This Row],[Player]],WR!B:O,6,FALSE)</f>
        <v>12.106713272000864</v>
      </c>
      <c r="AK164" s="279">
        <f>VLOOKUP(TableWRRanks32[[#This Row],[Player]],WR!B:O,7,FALSE)</f>
        <v>6.1211542303236373</v>
      </c>
      <c r="AL164" s="279">
        <f>VLOOKUP(TableWRRanks32[[#This Row],[Player]],WR!B:O,8,FALSE)</f>
        <v>92.735486589403109</v>
      </c>
      <c r="AM164" s="279">
        <f>VLOOKUP(TableWRRanks32[[#This Row],[Player]],WR!B:O,9,FALSE)</f>
        <v>0.36726925381941822</v>
      </c>
      <c r="AN164" s="272">
        <f>IFERROR(INDEX(TableWRCalcPts[Custom],MATCH(TableWRRanks32[[#This Row],[RK]],TableWRCalcPts[RK],0)),"")</f>
        <v>11.477164181856821</v>
      </c>
      <c r="AO16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5" spans="16:41" x14ac:dyDescent="0.3">
      <c r="P165" s="22">
        <v>164</v>
      </c>
      <c r="Q165" s="274" t="str">
        <f>IFERROR(INDEX(TableRBCalcPts[PLAYER],MATCH(TableRBRanks31[[#This Row],[RK]],TableRBCalcPts[RK],0)),"")</f>
        <v/>
      </c>
      <c r="R165" s="274" t="str">
        <f>IFERROR(INDEX(TableRBCalcPts[TM],MATCH(TableRBRanks31[[#This Row],[Player]],TableRBCalcPts[PLAYER],0)),"")</f>
        <v/>
      </c>
      <c r="S165" s="274" t="str">
        <f>IFERROR(INDEX(TableRBCalcPts[BYE],MATCH(TableRBRanks31[[#This Row],[RK]],TableRBCalcPts[RK],0)),"")</f>
        <v/>
      </c>
      <c r="T165" s="279" t="e">
        <f>VLOOKUP(TableRBRanks31[[#This Row],[Player]],RB!B:O,4,FALSE)</f>
        <v>#N/A</v>
      </c>
      <c r="U165" s="279" t="e">
        <f>VLOOKUP(TableRBRanks31[[#This Row],[Player]],RB!B:O,5,FALSE)</f>
        <v>#N/A</v>
      </c>
      <c r="V165" s="279" t="e">
        <f>VLOOKUP(TableRBRanks31[[#This Row],[Player]],RB!B:O,6,FALSE)</f>
        <v>#N/A</v>
      </c>
      <c r="W165" s="279" t="e">
        <f>VLOOKUP(TableRBRanks31[[#This Row],[Player]],RB!B:O,7,FALSE)</f>
        <v>#N/A</v>
      </c>
      <c r="X165" s="279" t="e">
        <f>VLOOKUP(TableRBRanks31[[#This Row],[Player]],RB!B:O,8,FALSE)</f>
        <v>#N/A</v>
      </c>
      <c r="Y165" s="279" t="e">
        <f>VLOOKUP(TableRBRanks31[[#This Row],[Player]],RB!B:O,9,FALSE)</f>
        <v>#N/A</v>
      </c>
      <c r="Z165" s="279" t="e">
        <f>VLOOKUP(TableRBRanks31[[#This Row],[Player]],RB!B:O,10,FALSE)</f>
        <v>#N/A</v>
      </c>
      <c r="AA165" s="272" t="str">
        <f>IFERROR(INDEX(TableRBCalcPts[Custom],MATCH(TableRBRanks31[[#This Row],[RK]],TableRBCalcPts[RK],0)),"")</f>
        <v/>
      </c>
      <c r="AB165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5" s="274">
        <v>164</v>
      </c>
      <c r="AE165" s="274" t="str">
        <f>IFERROR(INDEX(TableWRCalcPts[PLAYER],MATCH(TableWRRanks32[[#This Row],[RK]],TableWRCalcPts[RK],0)),"")</f>
        <v>Trent Sherfield</v>
      </c>
      <c r="AF165" s="22" t="str">
        <f>IFERROR(INDEX(TableWRCalcPts[TM],MATCH(TableWRRanks32[[#This Row],[Player]],TableWRCalcPts[PLAYER],0)),"")</f>
        <v>MIA</v>
      </c>
      <c r="AG165" s="22">
        <f>IFERROR(INDEX(TableWRCalcPts[BYE],MATCH(TableWRRanks32[[#This Row],[RK]],TableWRCalcPts[RK],0)),"")</f>
        <v>11</v>
      </c>
      <c r="AH165" s="279">
        <f>VLOOKUP(TableWRRanks32[[#This Row],[Player]],WR!B:O,4,FALSE)</f>
        <v>0</v>
      </c>
      <c r="AI165" s="279">
        <f>VLOOKUP(TableWRRanks32[[#This Row],[Player]],WR!B:O,5,FALSE)</f>
        <v>0</v>
      </c>
      <c r="AJ165" s="279">
        <f>VLOOKUP(TableWRRanks32[[#This Row],[Player]],WR!B:O,6,FALSE)</f>
        <v>11.969781689999996</v>
      </c>
      <c r="AK165" s="279">
        <f>VLOOKUP(TableWRRanks32[[#This Row],[Player]],WR!B:O,7,FALSE)</f>
        <v>6.7263909839938938</v>
      </c>
      <c r="AL165" s="279">
        <f>VLOOKUP(TableWRRanks32[[#This Row],[Player]],WR!B:O,8,FALSE)</f>
        <v>74.662939922332214</v>
      </c>
      <c r="AM165" s="279">
        <f>VLOOKUP(TableWRRanks32[[#This Row],[Player]],WR!B:O,9,FALSE)</f>
        <v>0.60127275466046504</v>
      </c>
      <c r="AN165" s="272">
        <f>IFERROR(INDEX(TableWRCalcPts[Custom],MATCH(TableWRRanks32[[#This Row],[RK]],TableWRCalcPts[RK],0)),"")</f>
        <v>11.073930520196011</v>
      </c>
      <c r="AO16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6" spans="16:41" x14ac:dyDescent="0.3">
      <c r="P166" s="22">
        <v>165</v>
      </c>
      <c r="Q166" s="274" t="str">
        <f>IFERROR(INDEX(TableRBCalcPts[PLAYER],MATCH(TableRBRanks31[[#This Row],[RK]],TableRBCalcPts[RK],0)),"")</f>
        <v/>
      </c>
      <c r="R166" s="274" t="str">
        <f>IFERROR(INDEX(TableRBCalcPts[TM],MATCH(TableRBRanks31[[#This Row],[Player]],TableRBCalcPts[PLAYER],0)),"")</f>
        <v/>
      </c>
      <c r="S166" s="274" t="str">
        <f>IFERROR(INDEX(TableRBCalcPts[BYE],MATCH(TableRBRanks31[[#This Row],[RK]],TableRBCalcPts[RK],0)),"")</f>
        <v/>
      </c>
      <c r="T166" s="279" t="e">
        <f>VLOOKUP(TableRBRanks31[[#This Row],[Player]],RB!B:O,4,FALSE)</f>
        <v>#N/A</v>
      </c>
      <c r="U166" s="279" t="e">
        <f>VLOOKUP(TableRBRanks31[[#This Row],[Player]],RB!B:O,5,FALSE)</f>
        <v>#N/A</v>
      </c>
      <c r="V166" s="279" t="e">
        <f>VLOOKUP(TableRBRanks31[[#This Row],[Player]],RB!B:O,6,FALSE)</f>
        <v>#N/A</v>
      </c>
      <c r="W166" s="279" t="e">
        <f>VLOOKUP(TableRBRanks31[[#This Row],[Player]],RB!B:O,7,FALSE)</f>
        <v>#N/A</v>
      </c>
      <c r="X166" s="279" t="e">
        <f>VLOOKUP(TableRBRanks31[[#This Row],[Player]],RB!B:O,8,FALSE)</f>
        <v>#N/A</v>
      </c>
      <c r="Y166" s="279" t="e">
        <f>VLOOKUP(TableRBRanks31[[#This Row],[Player]],RB!B:O,9,FALSE)</f>
        <v>#N/A</v>
      </c>
      <c r="Z166" s="279" t="e">
        <f>VLOOKUP(TableRBRanks31[[#This Row],[Player]],RB!B:O,10,FALSE)</f>
        <v>#N/A</v>
      </c>
      <c r="AA166" s="272" t="str">
        <f>IFERROR(INDEX(TableRBCalcPts[Custom],MATCH(TableRBRanks31[[#This Row],[RK]],TableRBCalcPts[RK],0)),"")</f>
        <v/>
      </c>
      <c r="AB166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6" s="22">
        <v>165</v>
      </c>
      <c r="AE166" s="274" t="str">
        <f>IFERROR(INDEX(TableWRCalcPts[PLAYER],MATCH(TableWRRanks32[[#This Row],[RK]],TableWRCalcPts[RK],0)),"")</f>
        <v>Simi Fehoko</v>
      </c>
      <c r="AF166" s="22" t="str">
        <f>IFERROR(INDEX(TableWRCalcPts[TM],MATCH(TableWRRanks32[[#This Row],[Player]],TableWRCalcPts[PLAYER],0)),"")</f>
        <v>DAL</v>
      </c>
      <c r="AG166" s="22">
        <f>IFERROR(INDEX(TableWRCalcPts[BYE],MATCH(TableWRRanks32[[#This Row],[RK]],TableWRCalcPts[RK],0)),"")</f>
        <v>9</v>
      </c>
      <c r="AH166" s="279">
        <f>VLOOKUP(TableWRRanks32[[#This Row],[Player]],WR!B:O,4,FALSE)</f>
        <v>0</v>
      </c>
      <c r="AI166" s="279">
        <f>VLOOKUP(TableWRRanks32[[#This Row],[Player]],WR!B:O,5,FALSE)</f>
        <v>0</v>
      </c>
      <c r="AJ166" s="279">
        <f>VLOOKUP(TableWRRanks32[[#This Row],[Player]],WR!B:O,6,FALSE)</f>
        <v>11.65686937498282</v>
      </c>
      <c r="AK166" s="279">
        <f>VLOOKUP(TableWRRanks32[[#This Row],[Player]],WR!B:O,7,FALSE)</f>
        <v>6.9428313997397684</v>
      </c>
      <c r="AL166" s="279">
        <f>VLOOKUP(TableWRRanks32[[#This Row],[Player]],WR!B:O,8,FALSE)</f>
        <v>80.335641975494383</v>
      </c>
      <c r="AM166" s="279">
        <f>VLOOKUP(TableWRRanks32[[#This Row],[Player]],WR!B:O,9,FALSE)</f>
        <v>0.49294102938152351</v>
      </c>
      <c r="AN166" s="272">
        <f>IFERROR(INDEX(TableWRCalcPts[Custom],MATCH(TableWRRanks32[[#This Row],[RK]],TableWRCalcPts[RK],0)),"")</f>
        <v>10.99121037383858</v>
      </c>
      <c r="AO16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7" spans="16:41" x14ac:dyDescent="0.3">
      <c r="P167" s="22">
        <v>166</v>
      </c>
      <c r="Q167" s="274" t="str">
        <f>IFERROR(INDEX(TableRBCalcPts[PLAYER],MATCH(TableRBRanks31[[#This Row],[RK]],TableRBCalcPts[RK],0)),"")</f>
        <v/>
      </c>
      <c r="R167" s="274" t="str">
        <f>IFERROR(INDEX(TableRBCalcPts[TM],MATCH(TableRBRanks31[[#This Row],[Player]],TableRBCalcPts[PLAYER],0)),"")</f>
        <v/>
      </c>
      <c r="S167" s="274" t="str">
        <f>IFERROR(INDEX(TableRBCalcPts[BYE],MATCH(TableRBRanks31[[#This Row],[RK]],TableRBCalcPts[RK],0)),"")</f>
        <v/>
      </c>
      <c r="T167" s="279" t="e">
        <f>VLOOKUP(TableRBRanks31[[#This Row],[Player]],RB!B:O,4,FALSE)</f>
        <v>#N/A</v>
      </c>
      <c r="U167" s="279" t="e">
        <f>VLOOKUP(TableRBRanks31[[#This Row],[Player]],RB!B:O,5,FALSE)</f>
        <v>#N/A</v>
      </c>
      <c r="V167" s="279" t="e">
        <f>VLOOKUP(TableRBRanks31[[#This Row],[Player]],RB!B:O,6,FALSE)</f>
        <v>#N/A</v>
      </c>
      <c r="W167" s="279" t="e">
        <f>VLOOKUP(TableRBRanks31[[#This Row],[Player]],RB!B:O,7,FALSE)</f>
        <v>#N/A</v>
      </c>
      <c r="X167" s="279" t="e">
        <f>VLOOKUP(TableRBRanks31[[#This Row],[Player]],RB!B:O,8,FALSE)</f>
        <v>#N/A</v>
      </c>
      <c r="Y167" s="279" t="e">
        <f>VLOOKUP(TableRBRanks31[[#This Row],[Player]],RB!B:O,9,FALSE)</f>
        <v>#N/A</v>
      </c>
      <c r="Z167" s="279" t="e">
        <f>VLOOKUP(TableRBRanks31[[#This Row],[Player]],RB!B:O,10,FALSE)</f>
        <v>#N/A</v>
      </c>
      <c r="AA167" s="272" t="str">
        <f>IFERROR(INDEX(TableRBCalcPts[Custom],MATCH(TableRBRanks31[[#This Row],[RK]],TableRBCalcPts[RK],0)),"")</f>
        <v/>
      </c>
      <c r="AB167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7" s="22">
        <v>166</v>
      </c>
      <c r="AE167" s="274" t="str">
        <f>IFERROR(INDEX(TableWRCalcPts[PLAYER],MATCH(TableWRRanks32[[#This Row],[RK]],TableWRCalcPts[RK],0)),"")</f>
        <v>Jamal Agnew</v>
      </c>
      <c r="AF167" s="22" t="str">
        <f>IFERROR(INDEX(TableWRCalcPts[TM],MATCH(TableWRRanks32[[#This Row],[Player]],TableWRCalcPts[PLAYER],0)),"")</f>
        <v>JAX</v>
      </c>
      <c r="AG167" s="22">
        <f>IFERROR(INDEX(TableWRCalcPts[BYE],MATCH(TableWRRanks32[[#This Row],[RK]],TableWRCalcPts[RK],0)),"")</f>
        <v>11</v>
      </c>
      <c r="AH167" s="279">
        <f>VLOOKUP(TableWRRanks32[[#This Row],[Player]],WR!B:O,4,FALSE)</f>
        <v>0</v>
      </c>
      <c r="AI167" s="279">
        <f>VLOOKUP(TableWRRanks32[[#This Row],[Player]],WR!B:O,5,FALSE)</f>
        <v>0</v>
      </c>
      <c r="AJ167" s="279">
        <f>VLOOKUP(TableWRRanks32[[#This Row],[Player]],WR!B:O,6,FALSE)</f>
        <v>11.785839178766663</v>
      </c>
      <c r="AK167" s="279">
        <f>VLOOKUP(TableWRRanks32[[#This Row],[Player]],WR!B:O,7,FALSE)</f>
        <v>7.1657902206901305</v>
      </c>
      <c r="AL167" s="279">
        <f>VLOOKUP(TableWRRanks32[[#This Row],[Player]],WR!B:O,8,FALSE)</f>
        <v>81.024708241287271</v>
      </c>
      <c r="AM167" s="279">
        <f>VLOOKUP(TableWRRanks32[[#This Row],[Player]],WR!B:O,9,FALSE)</f>
        <v>0.44427899368278811</v>
      </c>
      <c r="AN167" s="272">
        <f>IFERROR(INDEX(TableWRCalcPts[Custom],MATCH(TableWRRanks32[[#This Row],[RK]],TableWRCalcPts[RK],0)),"")</f>
        <v>10.768144786225456</v>
      </c>
      <c r="AO16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8" spans="16:41" x14ac:dyDescent="0.3">
      <c r="P168" s="22">
        <v>167</v>
      </c>
      <c r="Q168" s="274" t="str">
        <f>IFERROR(INDEX(TableRBCalcPts[PLAYER],MATCH(TableRBRanks31[[#This Row],[RK]],TableRBCalcPts[RK],0)),"")</f>
        <v/>
      </c>
      <c r="R168" s="274" t="str">
        <f>IFERROR(INDEX(TableRBCalcPts[TM],MATCH(TableRBRanks31[[#This Row],[Player]],TableRBCalcPts[PLAYER],0)),"")</f>
        <v/>
      </c>
      <c r="S168" s="274" t="str">
        <f>IFERROR(INDEX(TableRBCalcPts[BYE],MATCH(TableRBRanks31[[#This Row],[RK]],TableRBCalcPts[RK],0)),"")</f>
        <v/>
      </c>
      <c r="T168" s="279" t="e">
        <f>VLOOKUP(TableRBRanks31[[#This Row],[Player]],RB!B:O,4,FALSE)</f>
        <v>#N/A</v>
      </c>
      <c r="U168" s="279" t="e">
        <f>VLOOKUP(TableRBRanks31[[#This Row],[Player]],RB!B:O,5,FALSE)</f>
        <v>#N/A</v>
      </c>
      <c r="V168" s="279" t="e">
        <f>VLOOKUP(TableRBRanks31[[#This Row],[Player]],RB!B:O,6,FALSE)</f>
        <v>#N/A</v>
      </c>
      <c r="W168" s="279" t="e">
        <f>VLOOKUP(TableRBRanks31[[#This Row],[Player]],RB!B:O,7,FALSE)</f>
        <v>#N/A</v>
      </c>
      <c r="X168" s="279" t="e">
        <f>VLOOKUP(TableRBRanks31[[#This Row],[Player]],RB!B:O,8,FALSE)</f>
        <v>#N/A</v>
      </c>
      <c r="Y168" s="279" t="e">
        <f>VLOOKUP(TableRBRanks31[[#This Row],[Player]],RB!B:O,9,FALSE)</f>
        <v>#N/A</v>
      </c>
      <c r="Z168" s="279" t="e">
        <f>VLOOKUP(TableRBRanks31[[#This Row],[Player]],RB!B:O,10,FALSE)</f>
        <v>#N/A</v>
      </c>
      <c r="AA168" s="272" t="str">
        <f>IFERROR(INDEX(TableRBCalcPts[Custom],MATCH(TableRBRanks31[[#This Row],[RK]],TableRBCalcPts[RK],0)),"")</f>
        <v/>
      </c>
      <c r="AB168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8" s="274">
        <v>167</v>
      </c>
      <c r="AE168" s="22" t="str">
        <f>IFERROR(INDEX(TableWRCalcPts[PLAYER],MATCH(TableWRRanks32[[#This Row],[RK]],TableWRCalcPts[RK],0)),"")</f>
        <v>Josh Gordon</v>
      </c>
      <c r="AF168" s="22" t="str">
        <f>IFERROR(INDEX(TableWRCalcPts[TM],MATCH(TableWRRanks32[[#This Row],[Player]],TableWRCalcPts[PLAYER],0)),"")</f>
        <v>KC</v>
      </c>
      <c r="AG168" s="22">
        <f>IFERROR(INDEX(TableWRCalcPts[BYE],MATCH(TableWRRanks32[[#This Row],[RK]],TableWRCalcPts[RK],0)),"")</f>
        <v>8</v>
      </c>
      <c r="AH168" s="279">
        <f>VLOOKUP(TableWRRanks32[[#This Row],[Player]],WR!B:O,4,FALSE)</f>
        <v>0</v>
      </c>
      <c r="AI168" s="279">
        <f>VLOOKUP(TableWRRanks32[[#This Row],[Player]],WR!B:O,5,FALSE)</f>
        <v>0</v>
      </c>
      <c r="AJ168" s="279">
        <f>VLOOKUP(TableWRRanks32[[#This Row],[Player]],WR!B:O,6,FALSE)</f>
        <v>9.5848646550067897</v>
      </c>
      <c r="AK168" s="279">
        <f>VLOOKUP(TableWRRanks32[[#This Row],[Player]],WR!B:O,7,FALSE)</f>
        <v>5.9456658157671667</v>
      </c>
      <c r="AL168" s="279">
        <f>VLOOKUP(TableWRRanks32[[#This Row],[Player]],WR!B:O,8,FALSE)</f>
        <v>76.853187506508988</v>
      </c>
      <c r="AM168" s="279">
        <f>VLOOKUP(TableWRRanks32[[#This Row],[Player]],WR!B:O,9,FALSE)</f>
        <v>0.42214227291946882</v>
      </c>
      <c r="AN168" s="272">
        <f>IFERROR(INDEX(TableWRCalcPts[Custom],MATCH(TableWRRanks32[[#This Row],[RK]],TableWRCalcPts[RK],0)),"")</f>
        <v>10.218172388167712</v>
      </c>
      <c r="AO16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69" spans="16:41" x14ac:dyDescent="0.3">
      <c r="P169" s="22">
        <v>168</v>
      </c>
      <c r="Q169" s="274" t="str">
        <f>IFERROR(INDEX(TableRBCalcPts[PLAYER],MATCH(TableRBRanks31[[#This Row],[RK]],TableRBCalcPts[RK],0)),"")</f>
        <v/>
      </c>
      <c r="R169" s="274" t="str">
        <f>IFERROR(INDEX(TableRBCalcPts[TM],MATCH(TableRBRanks31[[#This Row],[Player]],TableRBCalcPts[PLAYER],0)),"")</f>
        <v/>
      </c>
      <c r="S169" s="274" t="str">
        <f>IFERROR(INDEX(TableRBCalcPts[BYE],MATCH(TableRBRanks31[[#This Row],[RK]],TableRBCalcPts[RK],0)),"")</f>
        <v/>
      </c>
      <c r="T169" s="279" t="e">
        <f>VLOOKUP(TableRBRanks31[[#This Row],[Player]],RB!B:O,4,FALSE)</f>
        <v>#N/A</v>
      </c>
      <c r="U169" s="279" t="e">
        <f>VLOOKUP(TableRBRanks31[[#This Row],[Player]],RB!B:O,5,FALSE)</f>
        <v>#N/A</v>
      </c>
      <c r="V169" s="279" t="e">
        <f>VLOOKUP(TableRBRanks31[[#This Row],[Player]],RB!B:O,6,FALSE)</f>
        <v>#N/A</v>
      </c>
      <c r="W169" s="279" t="e">
        <f>VLOOKUP(TableRBRanks31[[#This Row],[Player]],RB!B:O,7,FALSE)</f>
        <v>#N/A</v>
      </c>
      <c r="X169" s="279" t="e">
        <f>VLOOKUP(TableRBRanks31[[#This Row],[Player]],RB!B:O,8,FALSE)</f>
        <v>#N/A</v>
      </c>
      <c r="Y169" s="279" t="e">
        <f>VLOOKUP(TableRBRanks31[[#This Row],[Player]],RB!B:O,9,FALSE)</f>
        <v>#N/A</v>
      </c>
      <c r="Z169" s="279" t="e">
        <f>VLOOKUP(TableRBRanks31[[#This Row],[Player]],RB!B:O,10,FALSE)</f>
        <v>#N/A</v>
      </c>
      <c r="AA169" s="272" t="str">
        <f>IFERROR(INDEX(TableRBCalcPts[Custom],MATCH(TableRBRanks31[[#This Row],[RK]],TableRBCalcPts[RK],0)),"")</f>
        <v/>
      </c>
      <c r="AB169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69" s="22">
        <v>168</v>
      </c>
      <c r="AE169" s="274" t="str">
        <f>IFERROR(INDEX(TableWRCalcPts[PLAYER],MATCH(TableWRRanks32[[#This Row],[RK]],TableWRCalcPts[RK],0)),"")</f>
        <v>Kendall Hinton</v>
      </c>
      <c r="AF169" s="22" t="str">
        <f>IFERROR(INDEX(TableWRCalcPts[TM],MATCH(TableWRRanks32[[#This Row],[Player]],TableWRCalcPts[PLAYER],0)),"")</f>
        <v>DEN</v>
      </c>
      <c r="AG169" s="22">
        <f>IFERROR(INDEX(TableWRCalcPts[BYE],MATCH(TableWRRanks32[[#This Row],[RK]],TableWRCalcPts[RK],0)),"")</f>
        <v>9</v>
      </c>
      <c r="AH169" s="279">
        <f>VLOOKUP(TableWRRanks32[[#This Row],[Player]],WR!B:O,4,FALSE)</f>
        <v>0</v>
      </c>
      <c r="AI169" s="279">
        <f>VLOOKUP(TableWRRanks32[[#This Row],[Player]],WR!B:O,5,FALSE)</f>
        <v>0</v>
      </c>
      <c r="AJ169" s="279">
        <f>VLOOKUP(TableWRRanks32[[#This Row],[Player]],WR!B:O,6,FALSE)</f>
        <v>10.399645003070717</v>
      </c>
      <c r="AK169" s="279">
        <f>VLOOKUP(TableWRRanks32[[#This Row],[Player]],WR!B:O,7,FALSE)</f>
        <v>6.408261250892175</v>
      </c>
      <c r="AL169" s="279">
        <f>VLOOKUP(TableWRRanks32[[#This Row],[Player]],WR!B:O,8,FALSE)</f>
        <v>72.901411038207087</v>
      </c>
      <c r="AM169" s="279">
        <f>VLOOKUP(TableWRRanks32[[#This Row],[Player]],WR!B:O,9,FALSE)</f>
        <v>0.47390410919781817</v>
      </c>
      <c r="AN169" s="272">
        <f>IFERROR(INDEX(TableWRCalcPts[Custom],MATCH(TableWRRanks32[[#This Row],[RK]],TableWRCalcPts[RK],0)),"")</f>
        <v>10.133565759007617</v>
      </c>
      <c r="AO16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0" spans="16:41" x14ac:dyDescent="0.3">
      <c r="P170" s="22">
        <v>169</v>
      </c>
      <c r="Q170" s="274" t="str">
        <f>IFERROR(INDEX(TableRBCalcPts[PLAYER],MATCH(TableRBRanks31[[#This Row],[RK]],TableRBCalcPts[RK],0)),"")</f>
        <v/>
      </c>
      <c r="R170" s="274" t="str">
        <f>IFERROR(INDEX(TableRBCalcPts[TM],MATCH(TableRBRanks31[[#This Row],[Player]],TableRBCalcPts[PLAYER],0)),"")</f>
        <v/>
      </c>
      <c r="S170" s="274" t="str">
        <f>IFERROR(INDEX(TableRBCalcPts[BYE],MATCH(TableRBRanks31[[#This Row],[RK]],TableRBCalcPts[RK],0)),"")</f>
        <v/>
      </c>
      <c r="T170" s="279" t="e">
        <f>VLOOKUP(TableRBRanks31[[#This Row],[Player]],RB!B:O,4,FALSE)</f>
        <v>#N/A</v>
      </c>
      <c r="U170" s="279" t="e">
        <f>VLOOKUP(TableRBRanks31[[#This Row],[Player]],RB!B:O,5,FALSE)</f>
        <v>#N/A</v>
      </c>
      <c r="V170" s="279" t="e">
        <f>VLOOKUP(TableRBRanks31[[#This Row],[Player]],RB!B:O,6,FALSE)</f>
        <v>#N/A</v>
      </c>
      <c r="W170" s="279" t="e">
        <f>VLOOKUP(TableRBRanks31[[#This Row],[Player]],RB!B:O,7,FALSE)</f>
        <v>#N/A</v>
      </c>
      <c r="X170" s="279" t="e">
        <f>VLOOKUP(TableRBRanks31[[#This Row],[Player]],RB!B:O,8,FALSE)</f>
        <v>#N/A</v>
      </c>
      <c r="Y170" s="279" t="e">
        <f>VLOOKUP(TableRBRanks31[[#This Row],[Player]],RB!B:O,9,FALSE)</f>
        <v>#N/A</v>
      </c>
      <c r="Z170" s="279" t="e">
        <f>VLOOKUP(TableRBRanks31[[#This Row],[Player]],RB!B:O,10,FALSE)</f>
        <v>#N/A</v>
      </c>
      <c r="AA170" s="272" t="str">
        <f>IFERROR(INDEX(TableRBCalcPts[Custom],MATCH(TableRBRanks31[[#This Row],[RK]],TableRBCalcPts[RK],0)),"")</f>
        <v/>
      </c>
      <c r="AB170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70" s="22">
        <v>169</v>
      </c>
      <c r="AE170" s="274" t="str">
        <f>IFERROR(INDEX(TableWRCalcPts[PLAYER],MATCH(TableWRRanks32[[#This Row],[RK]],TableWRCalcPts[RK],0)),"")</f>
        <v>Juwann Winfree</v>
      </c>
      <c r="AF170" s="22" t="str">
        <f>IFERROR(INDEX(TableWRCalcPts[TM],MATCH(TableWRRanks32[[#This Row],[Player]],TableWRCalcPts[PLAYER],0)),"")</f>
        <v>GB</v>
      </c>
      <c r="AG170" s="22">
        <f>IFERROR(INDEX(TableWRCalcPts[BYE],MATCH(TableWRRanks32[[#This Row],[RK]],TableWRCalcPts[RK],0)),"")</f>
        <v>14</v>
      </c>
      <c r="AH170" s="279">
        <f>VLOOKUP(TableWRRanks32[[#This Row],[Player]],WR!B:O,4,FALSE)</f>
        <v>0</v>
      </c>
      <c r="AI170" s="279">
        <f>VLOOKUP(TableWRRanks32[[#This Row],[Player]],WR!B:O,5,FALSE)</f>
        <v>0</v>
      </c>
      <c r="AJ170" s="279">
        <f>VLOOKUP(TableWRRanks32[[#This Row],[Player]],WR!B:O,6,FALSE)</f>
        <v>10.072591629999998</v>
      </c>
      <c r="AK170" s="279">
        <f>VLOOKUP(TableWRRanks32[[#This Row],[Player]],WR!B:O,7,FALSE)</f>
        <v>6.115070378572999</v>
      </c>
      <c r="AL170" s="279">
        <f>VLOOKUP(TableWRRanks32[[#This Row],[Player]],WR!B:O,8,FALSE)</f>
        <v>66.715417830231416</v>
      </c>
      <c r="AM170" s="279">
        <f>VLOOKUP(TableWRRanks32[[#This Row],[Player]],WR!B:O,9,FALSE)</f>
        <v>0.52589605255727789</v>
      </c>
      <c r="AN170" s="272">
        <f>IFERROR(INDEX(TableWRCalcPts[Custom],MATCH(TableWRRanks32[[#This Row],[RK]],TableWRCalcPts[RK],0)),"")</f>
        <v>9.826918098366809</v>
      </c>
      <c r="AO17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1" spans="16:41" x14ac:dyDescent="0.3">
      <c r="P171" s="22">
        <v>170</v>
      </c>
      <c r="Q171" s="274" t="str">
        <f>IFERROR(INDEX(TableRBCalcPts[PLAYER],MATCH(TableRBRanks31[[#This Row],[RK]],TableRBCalcPts[RK],0)),"")</f>
        <v/>
      </c>
      <c r="R171" s="274" t="str">
        <f>IFERROR(INDEX(TableRBCalcPts[TM],MATCH(TableRBRanks31[[#This Row],[Player]],TableRBCalcPts[PLAYER],0)),"")</f>
        <v/>
      </c>
      <c r="S171" s="274" t="str">
        <f>IFERROR(INDEX(TableRBCalcPts[BYE],MATCH(TableRBRanks31[[#This Row],[RK]],TableRBCalcPts[RK],0)),"")</f>
        <v/>
      </c>
      <c r="T171" s="279" t="e">
        <f>VLOOKUP(TableRBRanks31[[#This Row],[Player]],RB!B:O,4,FALSE)</f>
        <v>#N/A</v>
      </c>
      <c r="U171" s="279" t="e">
        <f>VLOOKUP(TableRBRanks31[[#This Row],[Player]],RB!B:O,5,FALSE)</f>
        <v>#N/A</v>
      </c>
      <c r="V171" s="279" t="e">
        <f>VLOOKUP(TableRBRanks31[[#This Row],[Player]],RB!B:O,6,FALSE)</f>
        <v>#N/A</v>
      </c>
      <c r="W171" s="279" t="e">
        <f>VLOOKUP(TableRBRanks31[[#This Row],[Player]],RB!B:O,7,FALSE)</f>
        <v>#N/A</v>
      </c>
      <c r="X171" s="279" t="e">
        <f>VLOOKUP(TableRBRanks31[[#This Row],[Player]],RB!B:O,8,FALSE)</f>
        <v>#N/A</v>
      </c>
      <c r="Y171" s="279" t="e">
        <f>VLOOKUP(TableRBRanks31[[#This Row],[Player]],RB!B:O,9,FALSE)</f>
        <v>#N/A</v>
      </c>
      <c r="Z171" s="279" t="e">
        <f>VLOOKUP(TableRBRanks31[[#This Row],[Player]],RB!B:O,10,FALSE)</f>
        <v>#N/A</v>
      </c>
      <c r="AA171" s="272" t="str">
        <f>IFERROR(INDEX(TableRBCalcPts[Custom],MATCH(TableRBRanks31[[#This Row],[RK]],TableRBCalcPts[RK],0)),"")</f>
        <v/>
      </c>
      <c r="AB171" s="273" t="e">
        <f>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</f>
        <v>#VALUE!</v>
      </c>
      <c r="AD171" s="274">
        <v>170</v>
      </c>
      <c r="AE171" s="22" t="str">
        <f>IFERROR(INDEX(TableWRCalcPts[PLAYER],MATCH(TableWRRanks32[[#This Row],[RK]],TableWRCalcPts[RK],0)),"")</f>
        <v>Kalif Raymond</v>
      </c>
      <c r="AF171" s="22" t="str">
        <f>IFERROR(INDEX(TableWRCalcPts[TM],MATCH(TableWRRanks32[[#This Row],[Player]],TableWRCalcPts[PLAYER],0)),"")</f>
        <v>DET</v>
      </c>
      <c r="AG171" s="22">
        <f>IFERROR(INDEX(TableWRCalcPts[BYE],MATCH(TableWRRanks32[[#This Row],[RK]],TableWRCalcPts[RK],0)),"")</f>
        <v>6</v>
      </c>
      <c r="AH171" s="279">
        <f>VLOOKUP(TableWRRanks32[[#This Row],[Player]],WR!B:O,4,FALSE)</f>
        <v>17.985313784904868</v>
      </c>
      <c r="AI171" s="279">
        <f>VLOOKUP(TableWRRanks32[[#This Row],[Player]],WR!B:O,5,FALSE)</f>
        <v>3.3347512255770803E-2</v>
      </c>
      <c r="AJ171" s="279">
        <f>VLOOKUP(TableWRRanks32[[#This Row],[Player]],WR!B:O,6,FALSE)</f>
        <v>9.485859090869118</v>
      </c>
      <c r="AK171" s="279">
        <f>VLOOKUP(TableWRRanks32[[#This Row],[Player]],WR!B:O,7,FALSE)</f>
        <v>5.0995978472512373</v>
      </c>
      <c r="AL171" s="279">
        <f>VLOOKUP(TableWRRanks32[[#This Row],[Player]],WR!B:O,8,FALSE)</f>
        <v>55.457823346213388</v>
      </c>
      <c r="AM171" s="279">
        <f>VLOOKUP(TableWRRanks32[[#This Row],[Player]],WR!B:O,9,FALSE)</f>
        <v>0.32637426222407917</v>
      </c>
      <c r="AN171" s="272">
        <f>IFERROR(INDEX(TableWRCalcPts[Custom],MATCH(TableWRRanks32[[#This Row],[RK]],TableWRCalcPts[RK],0)),"")</f>
        <v>9.502644359990926</v>
      </c>
      <c r="AO17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2" spans="16:41" x14ac:dyDescent="0.3">
      <c r="AD172" s="22">
        <v>171</v>
      </c>
      <c r="AE172" s="274" t="str">
        <f>IFERROR(INDEX(TableWRCalcPts[PLAYER],MATCH(TableWRRanks32[[#This Row],[RK]],TableWRCalcPts[RK],0)),"")</f>
        <v>Mike Strachan</v>
      </c>
      <c r="AF172" s="22" t="str">
        <f>IFERROR(INDEX(TableWRCalcPts[TM],MATCH(TableWRRanks32[[#This Row],[Player]],TableWRCalcPts[PLAYER],0)),"")</f>
        <v>IND</v>
      </c>
      <c r="AG172" s="22">
        <f>IFERROR(INDEX(TableWRCalcPts[BYE],MATCH(TableWRRanks32[[#This Row],[RK]],TableWRCalcPts[RK],0)),"")</f>
        <v>14</v>
      </c>
      <c r="AH172" s="279">
        <f>VLOOKUP(TableWRRanks32[[#This Row],[Player]],WR!B:O,4,FALSE)</f>
        <v>0</v>
      </c>
      <c r="AI172" s="279">
        <f>VLOOKUP(TableWRRanks32[[#This Row],[Player]],WR!B:O,5,FALSE)</f>
        <v>0</v>
      </c>
      <c r="AJ172" s="279">
        <f>VLOOKUP(TableWRRanks32[[#This Row],[Player]],WR!B:O,6,FALSE)</f>
        <v>11.931121190224536</v>
      </c>
      <c r="AK172" s="279">
        <f>VLOOKUP(TableWRRanks32[[#This Row],[Player]],WR!B:O,7,FALSE)</f>
        <v>6.9606161023769948</v>
      </c>
      <c r="AL172" s="279">
        <f>VLOOKUP(TableWRRanks32[[#This Row],[Player]],WR!B:O,8,FALSE)</f>
        <v>76.962746335551572</v>
      </c>
      <c r="AM172" s="279">
        <f>VLOOKUP(TableWRRanks32[[#This Row],[Player]],WR!B:O,9,FALSE)</f>
        <v>0.29805369061785075</v>
      </c>
      <c r="AN172" s="272">
        <f>IFERROR(INDEX(TableWRCalcPts[Custom],MATCH(TableWRRanks32[[#This Row],[RK]],TableWRCalcPts[RK],0)),"")</f>
        <v>9.4845967772622615</v>
      </c>
      <c r="AO17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3" spans="16:41" x14ac:dyDescent="0.3">
      <c r="AD173" s="22">
        <v>172</v>
      </c>
      <c r="AE173" s="274" t="str">
        <f>IFERROR(INDEX(TableWRCalcPts[PLAYER],MATCH(TableWRRanks32[[#This Row],[RK]],TableWRCalcPts[RK],0)),"")</f>
        <v>Erik Ezukanma</v>
      </c>
      <c r="AF173" s="22" t="str">
        <f>IFERROR(INDEX(TableWRCalcPts[TM],MATCH(TableWRRanks32[[#This Row],[Player]],TableWRCalcPts[PLAYER],0)),"")</f>
        <v>MIA</v>
      </c>
      <c r="AG173" s="22">
        <f>IFERROR(INDEX(TableWRCalcPts[BYE],MATCH(TableWRRanks32[[#This Row],[RK]],TableWRCalcPts[RK],0)),"")</f>
        <v>11</v>
      </c>
      <c r="AH173" s="279">
        <f>VLOOKUP(TableWRRanks32[[#This Row],[Player]],WR!B:O,4,FALSE)</f>
        <v>0</v>
      </c>
      <c r="AI173" s="279">
        <f>VLOOKUP(TableWRRanks32[[#This Row],[Player]],WR!B:O,5,FALSE)</f>
        <v>0</v>
      </c>
      <c r="AJ173" s="279">
        <f>VLOOKUP(TableWRRanks32[[#This Row],[Player]],WR!B:O,6,FALSE)</f>
        <v>9.4498276499999978</v>
      </c>
      <c r="AK173" s="279">
        <f>VLOOKUP(TableWRRanks32[[#This Row],[Player]],WR!B:O,7,FALSE)</f>
        <v>5.8796827638299982</v>
      </c>
      <c r="AL173" s="279">
        <f>VLOOKUP(TableWRRanks32[[#This Row],[Player]],WR!B:O,8,FALSE)</f>
        <v>64.850080373017946</v>
      </c>
      <c r="AM173" s="279">
        <f>VLOOKUP(TableWRRanks32[[#This Row],[Player]],WR!B:O,9,FALSE)</f>
        <v>0.47731741994191873</v>
      </c>
      <c r="AN173" s="272">
        <f>IFERROR(INDEX(TableWRCalcPts[Custom],MATCH(TableWRRanks32[[#This Row],[RK]],TableWRCalcPts[RK],0)),"")</f>
        <v>9.3489125569533069</v>
      </c>
      <c r="AO17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4" spans="16:41" x14ac:dyDescent="0.3">
      <c r="AD174" s="274">
        <v>173</v>
      </c>
      <c r="AE174" s="22" t="str">
        <f>IFERROR(INDEX(TableWRCalcPts[PLAYER],MATCH(TableWRRanks32[[#This Row],[RK]],TableWRCalcPts[RK],0)),"")</f>
        <v>Jason Moore</v>
      </c>
      <c r="AF174" s="22" t="str">
        <f>IFERROR(INDEX(TableWRCalcPts[TM],MATCH(TableWRRanks32[[#This Row],[Player]],TableWRCalcPts[PLAYER],0)),"")</f>
        <v>LAC</v>
      </c>
      <c r="AG174" s="22">
        <f>IFERROR(INDEX(TableWRCalcPts[BYE],MATCH(TableWRRanks32[[#This Row],[RK]],TableWRCalcPts[RK],0)),"")</f>
        <v>8</v>
      </c>
      <c r="AH174" s="279">
        <f>VLOOKUP(TableWRRanks32[[#This Row],[Player]],WR!B:O,4,FALSE)</f>
        <v>0</v>
      </c>
      <c r="AI174" s="279">
        <f>VLOOKUP(TableWRRanks32[[#This Row],[Player]],WR!B:O,5,FALSE)</f>
        <v>0</v>
      </c>
      <c r="AJ174" s="279">
        <f>VLOOKUP(TableWRRanks32[[#This Row],[Player]],WR!B:O,6,FALSE)</f>
        <v>8.9718285535373692</v>
      </c>
      <c r="AK174" s="279">
        <f>VLOOKUP(TableWRRanks32[[#This Row],[Player]],WR!B:O,7,FALSE)</f>
        <v>5.6023893261906146</v>
      </c>
      <c r="AL174" s="279">
        <f>VLOOKUP(TableWRRanks32[[#This Row],[Player]],WR!B:O,8,FALSE)</f>
        <v>68.610333511532119</v>
      </c>
      <c r="AM174" s="279">
        <f>VLOOKUP(TableWRRanks32[[#This Row],[Player]],WR!B:O,9,FALSE)</f>
        <v>0.34507032898220652</v>
      </c>
      <c r="AN174" s="272">
        <f>IFERROR(INDEX(TableWRCalcPts[Custom],MATCH(TableWRRanks32[[#This Row],[RK]],TableWRCalcPts[RK],0)),"")</f>
        <v>8.9314553250464517</v>
      </c>
      <c r="AO17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5" spans="16:41" x14ac:dyDescent="0.3">
      <c r="AD175" s="22">
        <v>174</v>
      </c>
      <c r="AE175" s="274" t="str">
        <f>IFERROR(INDEX(TableWRCalcPts[PLAYER],MATCH(TableWRRanks32[[#This Row],[RK]],TableWRCalcPts[RK],0)),"")</f>
        <v>Jalen Nailor</v>
      </c>
      <c r="AF175" s="22" t="str">
        <f>IFERROR(INDEX(TableWRCalcPts[TM],MATCH(TableWRRanks32[[#This Row],[Player]],TableWRCalcPts[PLAYER],0)),"")</f>
        <v>MIN</v>
      </c>
      <c r="AG175" s="22">
        <f>IFERROR(INDEX(TableWRCalcPts[BYE],MATCH(TableWRRanks32[[#This Row],[RK]],TableWRCalcPts[RK],0)),"")</f>
        <v>7</v>
      </c>
      <c r="AH175" s="279">
        <f>VLOOKUP(TableWRRanks32[[#This Row],[Player]],WR!B:O,4,FALSE)</f>
        <v>0</v>
      </c>
      <c r="AI175" s="279">
        <f>VLOOKUP(TableWRRanks32[[#This Row],[Player]],WR!B:O,5,FALSE)</f>
        <v>0</v>
      </c>
      <c r="AJ175" s="279">
        <f>VLOOKUP(TableWRRanks32[[#This Row],[Player]],WR!B:O,6,FALSE)</f>
        <v>8.4484336949041623</v>
      </c>
      <c r="AK175" s="279">
        <f>VLOOKUP(TableWRRanks32[[#This Row],[Player]],WR!B:O,7,FALSE)</f>
        <v>5.3301168181150365</v>
      </c>
      <c r="AL175" s="279">
        <f>VLOOKUP(TableWRRanks32[[#This Row],[Player]],WR!B:O,8,FALSE)</f>
        <v>67.934761627248008</v>
      </c>
      <c r="AM175" s="279">
        <f>VLOOKUP(TableWRRanks32[[#This Row],[Player]],WR!B:O,9,FALSE)</f>
        <v>0.30914677545067215</v>
      </c>
      <c r="AN175" s="272">
        <f>IFERROR(INDEX(TableWRCalcPts[Custom],MATCH(TableWRRanks32[[#This Row],[RK]],TableWRCalcPts[RK],0)),"")</f>
        <v>8.6483568154288335</v>
      </c>
      <c r="AO17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6" spans="16:41" x14ac:dyDescent="0.3">
      <c r="AD176" s="22">
        <v>175</v>
      </c>
      <c r="AE176" s="274" t="str">
        <f>IFERROR(INDEX(TableWRCalcPts[PLAYER],MATCH(TableWRRanks32[[#This Row],[RK]],TableWRCalcPts[RK],0)),"")</f>
        <v>Chris Moore</v>
      </c>
      <c r="AF176" s="22" t="str">
        <f>IFERROR(INDEX(TableWRCalcPts[TM],MATCH(TableWRRanks32[[#This Row],[Player]],TableWRCalcPts[PLAYER],0)),"")</f>
        <v>HOU</v>
      </c>
      <c r="AG176" s="22">
        <f>IFERROR(INDEX(TableWRCalcPts[BYE],MATCH(TableWRRanks32[[#This Row],[RK]],TableWRCalcPts[RK],0)),"")</f>
        <v>6</v>
      </c>
      <c r="AH176" s="279">
        <f>VLOOKUP(TableWRRanks32[[#This Row],[Player]],WR!B:O,4,FALSE)</f>
        <v>0</v>
      </c>
      <c r="AI176" s="279">
        <f>VLOOKUP(TableWRRanks32[[#This Row],[Player]],WR!B:O,5,FALSE)</f>
        <v>0</v>
      </c>
      <c r="AJ176" s="279">
        <f>VLOOKUP(TableWRRanks32[[#This Row],[Player]],WR!B:O,6,FALSE)</f>
        <v>8.3830036868312128</v>
      </c>
      <c r="AK176" s="279">
        <f>VLOOKUP(TableWRRanks32[[#This Row],[Player]],WR!B:O,7,FALSE)</f>
        <v>6.0173200464074448</v>
      </c>
      <c r="AL176" s="279">
        <f>VLOOKUP(TableWRRanks32[[#This Row],[Player]],WR!B:O,8,FALSE)</f>
        <v>62.46551286270585</v>
      </c>
      <c r="AM176" s="279">
        <f>VLOOKUP(TableWRRanks32[[#This Row],[Player]],WR!B:O,9,FALSE)</f>
        <v>0.39073506794853535</v>
      </c>
      <c r="AN176" s="272">
        <f>IFERROR(INDEX(TableWRCalcPts[Custom],MATCH(TableWRRanks32[[#This Row],[RK]],TableWRCalcPts[RK],0)),"")</f>
        <v>8.5909616939617983</v>
      </c>
      <c r="AO17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7" spans="30:41" x14ac:dyDescent="0.3">
      <c r="AD177" s="274">
        <v>176</v>
      </c>
      <c r="AE177" s="274" t="str">
        <f>IFERROR(INDEX(TableWRCalcPts[PLAYER],MATCH(TableWRRanks32[[#This Row],[RK]],TableWRCalcPts[RK],0)),"")</f>
        <v>Marquez Stevenson</v>
      </c>
      <c r="AF177" s="22" t="str">
        <f>IFERROR(INDEX(TableWRCalcPts[TM],MATCH(TableWRRanks32[[#This Row],[Player]],TableWRCalcPts[PLAYER],0)),"")</f>
        <v>BUF</v>
      </c>
      <c r="AG177" s="22">
        <f>IFERROR(INDEX(TableWRCalcPts[BYE],MATCH(TableWRRanks32[[#This Row],[RK]],TableWRCalcPts[RK],0)),"")</f>
        <v>7</v>
      </c>
      <c r="AH177" s="279">
        <f>VLOOKUP(TableWRRanks32[[#This Row],[Player]],WR!B:O,4,FALSE)</f>
        <v>0</v>
      </c>
      <c r="AI177" s="279">
        <f>VLOOKUP(TableWRRanks32[[#This Row],[Player]],WR!B:O,5,FALSE)</f>
        <v>0</v>
      </c>
      <c r="AJ177" s="279">
        <f>VLOOKUP(TableWRRanks32[[#This Row],[Player]],WR!B:O,6,FALSE)</f>
        <v>7.2434575999736426</v>
      </c>
      <c r="AK177" s="279">
        <f>VLOOKUP(TableWRRanks32[[#This Row],[Player]],WR!B:O,7,FALSE)</f>
        <v>4.828971733315762</v>
      </c>
      <c r="AL177" s="279">
        <f>VLOOKUP(TableWRRanks32[[#This Row],[Player]],WR!B:O,8,FALSE)</f>
        <v>62.486894229105957</v>
      </c>
      <c r="AM177" s="279">
        <f>VLOOKUP(TableWRRanks32[[#This Row],[Player]],WR!B:O,9,FALSE)</f>
        <v>0.38631773866526098</v>
      </c>
      <c r="AN177" s="272">
        <f>IFERROR(INDEX(TableWRCalcPts[Custom],MATCH(TableWRRanks32[[#This Row],[RK]],TableWRCalcPts[RK],0)),"")</f>
        <v>8.566595854902161</v>
      </c>
      <c r="AO177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8" spans="30:41" x14ac:dyDescent="0.3">
      <c r="AD178" s="22">
        <v>177</v>
      </c>
      <c r="AE178" s="22" t="str">
        <f>IFERROR(INDEX(TableWRCalcPts[PLAYER],MATCH(TableWRRanks32[[#This Row],[RK]],TableWRCalcPts[RK],0)),"")</f>
        <v>Stanley Morgan</v>
      </c>
      <c r="AF178" s="22" t="str">
        <f>IFERROR(INDEX(TableWRCalcPts[TM],MATCH(TableWRRanks32[[#This Row],[Player]],TableWRCalcPts[PLAYER],0)),"")</f>
        <v>CIN</v>
      </c>
      <c r="AG178" s="22">
        <f>IFERROR(INDEX(TableWRCalcPts[BYE],MATCH(TableWRRanks32[[#This Row],[RK]],TableWRCalcPts[RK],0)),"")</f>
        <v>10</v>
      </c>
      <c r="AH178" s="279">
        <f>VLOOKUP(TableWRRanks32[[#This Row],[Player]],WR!B:O,4,FALSE)</f>
        <v>0</v>
      </c>
      <c r="AI178" s="279">
        <f>VLOOKUP(TableWRRanks32[[#This Row],[Player]],WR!B:O,5,FALSE)</f>
        <v>0</v>
      </c>
      <c r="AJ178" s="279">
        <f>VLOOKUP(TableWRRanks32[[#This Row],[Player]],WR!B:O,6,FALSE)</f>
        <v>6.9975864285927072</v>
      </c>
      <c r="AK178" s="279">
        <f>VLOOKUP(TableWRRanks32[[#This Row],[Player]],WR!B:O,7,FALSE)</f>
        <v>4.4952495217279553</v>
      </c>
      <c r="AL178" s="279">
        <f>VLOOKUP(TableWRRanks32[[#This Row],[Player]],WR!B:O,8,FALSE)</f>
        <v>56.202852273385595</v>
      </c>
      <c r="AM178" s="279">
        <f>VLOOKUP(TableWRRanks32[[#This Row],[Player]],WR!B:O,9,FALSE)</f>
        <v>0.30118171795577303</v>
      </c>
      <c r="AN178" s="272">
        <f>IFERROR(INDEX(TableWRCalcPts[Custom],MATCH(TableWRRanks32[[#This Row],[RK]],TableWRCalcPts[RK],0)),"")</f>
        <v>7.4273755350731978</v>
      </c>
      <c r="AO178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79" spans="30:41" x14ac:dyDescent="0.3">
      <c r="AD179" s="22">
        <v>178</v>
      </c>
      <c r="AE179" s="22" t="str">
        <f>IFERROR(INDEX(TableWRCalcPts[PLAYER],MATCH(TableWRRanks32[[#This Row],[RK]],TableWRCalcPts[RK],0)),"")</f>
        <v>Dezmon Patmon</v>
      </c>
      <c r="AF179" s="22" t="str">
        <f>IFERROR(INDEX(TableWRCalcPts[TM],MATCH(TableWRRanks32[[#This Row],[Player]],TableWRCalcPts[PLAYER],0)),"")</f>
        <v>IND</v>
      </c>
      <c r="AG179" s="22">
        <f>IFERROR(INDEX(TableWRCalcPts[BYE],MATCH(TableWRRanks32[[#This Row],[RK]],TableWRCalcPts[RK],0)),"")</f>
        <v>14</v>
      </c>
      <c r="AH179" s="279">
        <f>VLOOKUP(TableWRRanks32[[#This Row],[Player]],WR!B:O,4,FALSE)</f>
        <v>0</v>
      </c>
      <c r="AI179" s="279">
        <f>VLOOKUP(TableWRRanks32[[#This Row],[Player]],WR!B:O,5,FALSE)</f>
        <v>0</v>
      </c>
      <c r="AJ179" s="279">
        <f>VLOOKUP(TableWRRanks32[[#This Row],[Player]],WR!B:O,6,FALSE)</f>
        <v>9.0903780496948841</v>
      </c>
      <c r="AK179" s="279">
        <f>VLOOKUP(TableWRRanks32[[#This Row],[Player]],WR!B:O,7,FALSE)</f>
        <v>5.4569539432318388</v>
      </c>
      <c r="AL179" s="279">
        <f>VLOOKUP(TableWRRanks32[[#This Row],[Player]],WR!B:O,8,FALSE)</f>
        <v>63.267938456338094</v>
      </c>
      <c r="AM179" s="279">
        <f>VLOOKUP(TableWRRanks32[[#This Row],[Player]],WR!B:O,9,FALSE)</f>
        <v>0.16042786838841214</v>
      </c>
      <c r="AN179" s="272">
        <f>IFERROR(INDEX(TableWRCalcPts[Custom],MATCH(TableWRRanks32[[#This Row],[RK]],TableWRCalcPts[RK],0)),"")</f>
        <v>7.2893610559642825</v>
      </c>
      <c r="AO179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0" spans="30:41" x14ac:dyDescent="0.3">
      <c r="AD180" s="274">
        <v>179</v>
      </c>
      <c r="AE180" s="274" t="str">
        <f>IFERROR(INDEX(TableWRCalcPts[PLAYER],MATCH(TableWRRanks32[[#This Row],[RK]],TableWRCalcPts[RK],0)),"")</f>
        <v>Jaelon Darden</v>
      </c>
      <c r="AF180" s="22" t="str">
        <f>IFERROR(INDEX(TableWRCalcPts[TM],MATCH(TableWRRanks32[[#This Row],[Player]],TableWRCalcPts[PLAYER],0)),"")</f>
        <v>TB</v>
      </c>
      <c r="AG180" s="22">
        <f>IFERROR(INDEX(TableWRCalcPts[BYE],MATCH(TableWRRanks32[[#This Row],[RK]],TableWRCalcPts[RK],0)),"")</f>
        <v>11</v>
      </c>
      <c r="AH180" s="279">
        <f>VLOOKUP(TableWRRanks32[[#This Row],[Player]],WR!B:O,4,FALSE)</f>
        <v>0</v>
      </c>
      <c r="AI180" s="279">
        <f>VLOOKUP(TableWRRanks32[[#This Row],[Player]],WR!B:O,5,FALSE)</f>
        <v>0</v>
      </c>
      <c r="AJ180" s="279">
        <f>VLOOKUP(TableWRRanks32[[#This Row],[Player]],WR!B:O,6,FALSE)</f>
        <v>7.7812949922600305</v>
      </c>
      <c r="AK180" s="279">
        <f>VLOOKUP(TableWRRanks32[[#This Row],[Player]],WR!B:O,7,FALSE)</f>
        <v>4.7076834703173187</v>
      </c>
      <c r="AL180" s="279">
        <f>VLOOKUP(TableWRRanks32[[#This Row],[Player]],WR!B:O,8,FALSE)</f>
        <v>55.255840328370965</v>
      </c>
      <c r="AM180" s="279">
        <f>VLOOKUP(TableWRRanks32[[#This Row],[Player]],WR!B:O,9,FALSE)</f>
        <v>0.28531414971620123</v>
      </c>
      <c r="AN180" s="272">
        <f>IFERROR(INDEX(TableWRCalcPts[Custom],MATCH(TableWRRanks32[[#This Row],[RK]],TableWRCalcPts[RK],0)),"")</f>
        <v>7.2374689311343037</v>
      </c>
      <c r="AO180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1" spans="30:41" x14ac:dyDescent="0.3">
      <c r="AD181" s="22">
        <v>180</v>
      </c>
      <c r="AE181" s="274" t="str">
        <f>IFERROR(INDEX(TableWRCalcPts[PLAYER],MATCH(TableWRRanks32[[#This Row],[RK]],TableWRCalcPts[RK],0)),"")</f>
        <v>Tylan Wallace</v>
      </c>
      <c r="AF181" s="22" t="str">
        <f>IFERROR(INDEX(TableWRCalcPts[TM],MATCH(TableWRRanks32[[#This Row],[Player]],TableWRCalcPts[PLAYER],0)),"")</f>
        <v>BAL</v>
      </c>
      <c r="AG181" s="22">
        <f>IFERROR(INDEX(TableWRCalcPts[BYE],MATCH(TableWRRanks32[[#This Row],[RK]],TableWRCalcPts[RK],0)),"")</f>
        <v>10</v>
      </c>
      <c r="AH181" s="279">
        <f>VLOOKUP(TableWRRanks32[[#This Row],[Player]],WR!B:O,4,FALSE)</f>
        <v>0</v>
      </c>
      <c r="AI181" s="279">
        <f>VLOOKUP(TableWRRanks32[[#This Row],[Player]],WR!B:O,5,FALSE)</f>
        <v>0</v>
      </c>
      <c r="AJ181" s="279">
        <f>VLOOKUP(TableWRRanks32[[#This Row],[Player]],WR!B:O,6,FALSE)</f>
        <v>6.6297550011979203</v>
      </c>
      <c r="AK181" s="279">
        <f>VLOOKUP(TableWRRanks32[[#This Row],[Player]],WR!B:O,7,FALSE)</f>
        <v>4.0189574817261793</v>
      </c>
      <c r="AL181" s="279">
        <f>VLOOKUP(TableWRRanks32[[#This Row],[Player]],WR!B:O,8,FALSE)</f>
        <v>54.391905767722726</v>
      </c>
      <c r="AM181" s="279">
        <f>VLOOKUP(TableWRRanks32[[#This Row],[Player]],WR!B:O,9,FALSE)</f>
        <v>0.28936493868428487</v>
      </c>
      <c r="AN181" s="272">
        <f>IFERROR(INDEX(TableWRCalcPts[Custom],MATCH(TableWRRanks32[[#This Row],[RK]],TableWRCalcPts[RK],0)),"")</f>
        <v>7.1753802088779821</v>
      </c>
      <c r="AO181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2" spans="30:41" x14ac:dyDescent="0.3">
      <c r="AD182" s="22">
        <v>181</v>
      </c>
      <c r="AE182" s="274" t="str">
        <f>IFERROR(INDEX(TableWRCalcPts[PLAYER],MATCH(TableWRRanks32[[#This Row],[RK]],TableWRCalcPts[RK],0)),"")</f>
        <v>Penny Hart</v>
      </c>
      <c r="AF182" s="22" t="str">
        <f>IFERROR(INDEX(TableWRCalcPts[TM],MATCH(TableWRRanks32[[#This Row],[Player]],TableWRCalcPts[PLAYER],0)),"")</f>
        <v>SEA</v>
      </c>
      <c r="AG182" s="22">
        <f>IFERROR(INDEX(TableWRCalcPts[BYE],MATCH(TableWRRanks32[[#This Row],[RK]],TableWRCalcPts[RK],0)),"")</f>
        <v>11</v>
      </c>
      <c r="AH182" s="279">
        <f>VLOOKUP(TableWRRanks32[[#This Row],[Player]],WR!B:O,4,FALSE)</f>
        <v>0</v>
      </c>
      <c r="AI182" s="279">
        <f>VLOOKUP(TableWRRanks32[[#This Row],[Player]],WR!B:O,5,FALSE)</f>
        <v>0</v>
      </c>
      <c r="AJ182" s="279">
        <f>VLOOKUP(TableWRRanks32[[#This Row],[Player]],WR!B:O,6,FALSE)</f>
        <v>8.0020883561703435</v>
      </c>
      <c r="AK182" s="279">
        <f>VLOOKUP(TableWRRanks32[[#This Row],[Player]],WR!B:O,7,FALSE)</f>
        <v>4.8564674233597813</v>
      </c>
      <c r="AL182" s="279">
        <f>VLOOKUP(TableWRRanks32[[#This Row],[Player]],WR!B:O,8,FALSE)</f>
        <v>57.741440511927699</v>
      </c>
      <c r="AM182" s="279">
        <f>VLOOKUP(TableWRRanks32[[#This Row],[Player]],WR!B:O,9,FALSE)</f>
        <v>0.22256912558790376</v>
      </c>
      <c r="AN182" s="272">
        <f>IFERROR(INDEX(TableWRCalcPts[Custom],MATCH(TableWRRanks32[[#This Row],[RK]],TableWRCalcPts[RK],0)),"")</f>
        <v>7.1095588047201934</v>
      </c>
      <c r="AO182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3" spans="30:41" x14ac:dyDescent="0.3">
      <c r="AD183" s="274">
        <v>182</v>
      </c>
      <c r="AE183" s="274" t="str">
        <f>IFERROR(INDEX(TableWRCalcPts[PLAYER],MATCH(TableWRRanks32[[#This Row],[RK]],TableWRCalcPts[RK],0)),"")</f>
        <v>Dax Milne</v>
      </c>
      <c r="AF183" s="22" t="str">
        <f>IFERROR(INDEX(TableWRCalcPts[TM],MATCH(TableWRRanks32[[#This Row],[Player]],TableWRCalcPts[PLAYER],0)),"")</f>
        <v>WSH</v>
      </c>
      <c r="AG183" s="22">
        <f>IFERROR(INDEX(TableWRCalcPts[BYE],MATCH(TableWRRanks32[[#This Row],[RK]],TableWRCalcPts[RK],0)),"")</f>
        <v>14</v>
      </c>
      <c r="AH183" s="279">
        <f>VLOOKUP(TableWRRanks32[[#This Row],[Player]],WR!B:O,4,FALSE)</f>
        <v>0</v>
      </c>
      <c r="AI183" s="279">
        <f>VLOOKUP(TableWRRanks32[[#This Row],[Player]],WR!B:O,5,FALSE)</f>
        <v>0</v>
      </c>
      <c r="AJ183" s="279">
        <f>VLOOKUP(TableWRRanks32[[#This Row],[Player]],WR!B:O,6,FALSE)</f>
        <v>8.633270594879157</v>
      </c>
      <c r="AK183" s="279">
        <f>VLOOKUP(TableWRRanks32[[#This Row],[Player]],WR!B:O,7,FALSE)</f>
        <v>5.1221194439418047</v>
      </c>
      <c r="AL183" s="279">
        <f>VLOOKUP(TableWRRanks32[[#This Row],[Player]],WR!B:O,8,FALSE)</f>
        <v>52.000647398278765</v>
      </c>
      <c r="AM183" s="279">
        <f>VLOOKUP(TableWRRanks32[[#This Row],[Player]],WR!B:O,9,FALSE)</f>
        <v>0.22270084538877416</v>
      </c>
      <c r="AN183" s="272">
        <f>IFERROR(INDEX(TableWRCalcPts[Custom],MATCH(TableWRRanks32[[#This Row],[RK]],TableWRCalcPts[RK],0)),"")</f>
        <v>6.5362698121605209</v>
      </c>
      <c r="AO183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4" spans="30:41" x14ac:dyDescent="0.3">
      <c r="AD184" s="22">
        <v>183</v>
      </c>
      <c r="AE184" s="22" t="str">
        <f>IFERROR(INDEX(TableWRCalcPts[PLAYER],MATCH(TableWRRanks32[[#This Row],[RK]],TableWRCalcPts[RK],0)),"")</f>
        <v>Montrell Washington</v>
      </c>
      <c r="AF184" s="22" t="str">
        <f>IFERROR(INDEX(TableWRCalcPts[TM],MATCH(TableWRRanks32[[#This Row],[Player]],TableWRCalcPts[PLAYER],0)),"")</f>
        <v>DEN</v>
      </c>
      <c r="AG184" s="22">
        <f>IFERROR(INDEX(TableWRCalcPts[BYE],MATCH(TableWRRanks32[[#This Row],[RK]],TableWRCalcPts[RK],0)),"")</f>
        <v>9</v>
      </c>
      <c r="AH184" s="279">
        <f>VLOOKUP(TableWRRanks32[[#This Row],[Player]],WR!B:O,4,FALSE)</f>
        <v>0</v>
      </c>
      <c r="AI184" s="279">
        <f>VLOOKUP(TableWRRanks32[[#This Row],[Player]],WR!B:O,5,FALSE)</f>
        <v>0</v>
      </c>
      <c r="AJ184" s="279">
        <f>VLOOKUP(TableWRRanks32[[#This Row],[Player]],WR!B:O,6,FALSE)</f>
        <v>4.9998293283993815</v>
      </c>
      <c r="AK184" s="279">
        <f>VLOOKUP(TableWRRanks32[[#This Row],[Player]],WR!B:O,7,FALSE)</f>
        <v>3.0288966071443455</v>
      </c>
      <c r="AL184" s="279">
        <f>VLOOKUP(TableWRRanks32[[#This Row],[Player]],WR!B:O,8,FALSE)</f>
        <v>33.998864204211088</v>
      </c>
      <c r="AM184" s="279">
        <f>VLOOKUP(TableWRRanks32[[#This Row],[Player]],WR!B:O,9,FALSE)</f>
        <v>0.22700050854109477</v>
      </c>
      <c r="AN184" s="272">
        <f>IFERROR(INDEX(TableWRCalcPts[Custom],MATCH(TableWRRanks32[[#This Row],[RK]],TableWRCalcPts[RK],0)),"")</f>
        <v>4.7618894716676774</v>
      </c>
      <c r="AO184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5" spans="30:41" x14ac:dyDescent="0.3">
      <c r="AD185" s="22">
        <v>184</v>
      </c>
      <c r="AE185" s="22" t="str">
        <f>IFERROR(INDEX(TableWRCalcPts[PLAYER],MATCH(TableWRRanks32[[#This Row],[RK]],TableWRCalcPts[RK],0)),"")</f>
        <v>Jeff Smith</v>
      </c>
      <c r="AF185" s="22" t="str">
        <f>IFERROR(INDEX(TableWRCalcPts[TM],MATCH(TableWRRanks32[[#This Row],[Player]],TableWRCalcPts[PLAYER],0)),"")</f>
        <v>NYJ</v>
      </c>
      <c r="AG185" s="22">
        <f>IFERROR(INDEX(TableWRCalcPts[BYE],MATCH(TableWRRanks32[[#This Row],[RK]],TableWRCalcPts[RK],0)),"")</f>
        <v>10</v>
      </c>
      <c r="AH185" s="279">
        <f>VLOOKUP(TableWRRanks32[[#This Row],[Player]],WR!B:O,4,FALSE)</f>
        <v>0</v>
      </c>
      <c r="AI185" s="279">
        <f>VLOOKUP(TableWRRanks32[[#This Row],[Player]],WR!B:O,5,FALSE)</f>
        <v>0</v>
      </c>
      <c r="AJ185" s="279">
        <f>VLOOKUP(TableWRRanks32[[#This Row],[Player]],WR!B:O,6,FALSE)</f>
        <v>4.0011632209207528</v>
      </c>
      <c r="AK185" s="279">
        <f>VLOOKUP(TableWRRanks32[[#This Row],[Player]],WR!B:O,7,FALSE)</f>
        <v>2.2926665255875913</v>
      </c>
      <c r="AL185" s="279">
        <f>VLOOKUP(TableWRRanks32[[#This Row],[Player]],WR!B:O,8,FALSE)</f>
        <v>31.226118078502992</v>
      </c>
      <c r="AM185" s="279">
        <f>VLOOKUP(TableWRRanks32[[#This Row],[Player]],WR!B:O,9,FALSE)</f>
        <v>0.1329746584840803</v>
      </c>
      <c r="AN185" s="272">
        <f>IFERROR(INDEX(TableWRCalcPts[Custom],MATCH(TableWRRanks32[[#This Row],[RK]],TableWRCalcPts[RK],0)),"")</f>
        <v>3.9204597587547814</v>
      </c>
      <c r="AO185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6" spans="30:41" x14ac:dyDescent="0.3">
      <c r="AD186" s="274">
        <v>185</v>
      </c>
      <c r="AE186" s="22" t="str">
        <f>IFERROR(INDEX(TableWRCalcPts[PLAYER],MATCH(TableWRRanks32[[#This Row],[RK]],TableWRCalcPts[RK],0)),"")</f>
        <v>Makai Polk</v>
      </c>
      <c r="AF186" s="22" t="str">
        <f>IFERROR(INDEX(TableWRCalcPts[TM],MATCH(TableWRRanks32[[#This Row],[Player]],TableWRCalcPts[PLAYER],0)),"")</f>
        <v>BAL</v>
      </c>
      <c r="AG186" s="22">
        <f>IFERROR(INDEX(TableWRCalcPts[BYE],MATCH(TableWRRanks32[[#This Row],[RK]],TableWRCalcPts[RK],0)),"")</f>
        <v>10</v>
      </c>
      <c r="AH186" s="279">
        <f>VLOOKUP(TableWRRanks32[[#This Row],[Player]],WR!B:O,4,FALSE)</f>
        <v>0</v>
      </c>
      <c r="AI186" s="279">
        <f>VLOOKUP(TableWRRanks32[[#This Row],[Player]],WR!B:O,5,FALSE)</f>
        <v>0</v>
      </c>
      <c r="AJ186" s="279">
        <f>VLOOKUP(TableWRRanks32[[#This Row],[Player]],WR!B:O,6,FALSE)</f>
        <v>1.6839823370600591</v>
      </c>
      <c r="AK186" s="279">
        <f>VLOOKUP(TableWRRanks32[[#This Row],[Player]],WR!B:O,7,FALSE)</f>
        <v>1.0065162428607972</v>
      </c>
      <c r="AL186" s="279">
        <f>VLOOKUP(TableWRRanks32[[#This Row],[Player]],WR!B:O,8,FALSE)</f>
        <v>12.444812359515288</v>
      </c>
      <c r="AM186" s="279">
        <f>VLOOKUP(TableWRRanks32[[#This Row],[Player]],WR!B:O,9,FALSE)</f>
        <v>7.0456137000255811E-2</v>
      </c>
      <c r="AN186" s="272">
        <f>IFERROR(INDEX(TableWRCalcPts[Custom],MATCH(TableWRRanks32[[#This Row],[RK]],TableWRCalcPts[RK],0)),"")</f>
        <v>1.6672180579530638</v>
      </c>
      <c r="AO186" s="273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0</v>
      </c>
    </row>
    <row r="187" spans="30:41" x14ac:dyDescent="0.3">
      <c r="AD187" s="22">
        <v>186</v>
      </c>
      <c r="AE187" s="274" t="str">
        <f>IFERROR(INDEX(TableWRCalcPts[PLAYER],MATCH(TableWRRanks32[[#This Row],[RK]],TableWRCalcPts[RK],0)),"")</f>
        <v/>
      </c>
      <c r="AF187" s="22" t="str">
        <f>IFERROR(INDEX(TableWRCalcPts[TM],MATCH(TableWRRanks32[[#This Row],[Player]],TableWRCalcPts[PLAYER],0)),"")</f>
        <v/>
      </c>
      <c r="AG187" s="22" t="str">
        <f>IFERROR(INDEX(TableWRCalcPts[BYE],MATCH(TableWRRanks32[[#This Row],[RK]],TableWRCalcPts[RK],0)),"")</f>
        <v/>
      </c>
      <c r="AH187" s="279" t="e">
        <f>VLOOKUP(TableWRRanks32[[#This Row],[Player]],WR!B:O,4,FALSE)</f>
        <v>#N/A</v>
      </c>
      <c r="AI187" s="279" t="e">
        <f>VLOOKUP(TableWRRanks32[[#This Row],[Player]],WR!B:O,5,FALSE)</f>
        <v>#N/A</v>
      </c>
      <c r="AJ187" s="279" t="e">
        <f>VLOOKUP(TableWRRanks32[[#This Row],[Player]],WR!B:O,6,FALSE)</f>
        <v>#N/A</v>
      </c>
      <c r="AK187" s="279" t="e">
        <f>VLOOKUP(TableWRRanks32[[#This Row],[Player]],WR!B:O,7,FALSE)</f>
        <v>#N/A</v>
      </c>
      <c r="AL187" s="279" t="e">
        <f>VLOOKUP(TableWRRanks32[[#This Row],[Player]],WR!B:O,8,FALSE)</f>
        <v>#N/A</v>
      </c>
      <c r="AM187" s="279" t="e">
        <f>VLOOKUP(TableWRRanks32[[#This Row],[Player]],WR!B:O,9,FALSE)</f>
        <v>#N/A</v>
      </c>
      <c r="AN187" s="272" t="str">
        <f>IFERROR(INDEX(TableWRCalcPts[Custom],MATCH(TableWRRanks32[[#This Row],[RK]],TableWRCalcPts[RK],0)),"")</f>
        <v/>
      </c>
      <c r="AO187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88" spans="30:41" x14ac:dyDescent="0.3">
      <c r="AD188" s="22">
        <v>187</v>
      </c>
      <c r="AE188" s="274" t="str">
        <f>IFERROR(INDEX(TableWRCalcPts[PLAYER],MATCH(TableWRRanks32[[#This Row],[RK]],TableWRCalcPts[RK],0)),"")</f>
        <v/>
      </c>
      <c r="AF188" s="22" t="str">
        <f>IFERROR(INDEX(TableWRCalcPts[TM],MATCH(TableWRRanks32[[#This Row],[Player]],TableWRCalcPts[PLAYER],0)),"")</f>
        <v/>
      </c>
      <c r="AG188" s="22" t="str">
        <f>IFERROR(INDEX(TableWRCalcPts[BYE],MATCH(TableWRRanks32[[#This Row],[RK]],TableWRCalcPts[RK],0)),"")</f>
        <v/>
      </c>
      <c r="AH188" s="279" t="e">
        <f>VLOOKUP(TableWRRanks32[[#This Row],[Player]],WR!B:O,4,FALSE)</f>
        <v>#N/A</v>
      </c>
      <c r="AI188" s="279" t="e">
        <f>VLOOKUP(TableWRRanks32[[#This Row],[Player]],WR!B:O,5,FALSE)</f>
        <v>#N/A</v>
      </c>
      <c r="AJ188" s="279" t="e">
        <f>VLOOKUP(TableWRRanks32[[#This Row],[Player]],WR!B:O,6,FALSE)</f>
        <v>#N/A</v>
      </c>
      <c r="AK188" s="279" t="e">
        <f>VLOOKUP(TableWRRanks32[[#This Row],[Player]],WR!B:O,7,FALSE)</f>
        <v>#N/A</v>
      </c>
      <c r="AL188" s="279" t="e">
        <f>VLOOKUP(TableWRRanks32[[#This Row],[Player]],WR!B:O,8,FALSE)</f>
        <v>#N/A</v>
      </c>
      <c r="AM188" s="279" t="e">
        <f>VLOOKUP(TableWRRanks32[[#This Row],[Player]],WR!B:O,9,FALSE)</f>
        <v>#N/A</v>
      </c>
      <c r="AN188" s="272" t="str">
        <f>IFERROR(INDEX(TableWRCalcPts[Custom],MATCH(TableWRRanks32[[#This Row],[RK]],TableWRCalcPts[RK],0)),"")</f>
        <v/>
      </c>
      <c r="AO188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89" spans="30:41" x14ac:dyDescent="0.3">
      <c r="AD189" s="274">
        <v>188</v>
      </c>
      <c r="AE189" s="274" t="str">
        <f>IFERROR(INDEX(TableWRCalcPts[PLAYER],MATCH(TableWRRanks32[[#This Row],[RK]],TableWRCalcPts[RK],0)),"")</f>
        <v/>
      </c>
      <c r="AF189" s="22" t="str">
        <f>IFERROR(INDEX(TableWRCalcPts[TM],MATCH(TableWRRanks32[[#This Row],[Player]],TableWRCalcPts[PLAYER],0)),"")</f>
        <v/>
      </c>
      <c r="AG189" s="22" t="str">
        <f>IFERROR(INDEX(TableWRCalcPts[BYE],MATCH(TableWRRanks32[[#This Row],[RK]],TableWRCalcPts[RK],0)),"")</f>
        <v/>
      </c>
      <c r="AH189" s="279" t="e">
        <f>VLOOKUP(TableWRRanks32[[#This Row],[Player]],WR!B:O,4,FALSE)</f>
        <v>#N/A</v>
      </c>
      <c r="AI189" s="279" t="e">
        <f>VLOOKUP(TableWRRanks32[[#This Row],[Player]],WR!B:O,5,FALSE)</f>
        <v>#N/A</v>
      </c>
      <c r="AJ189" s="279" t="e">
        <f>VLOOKUP(TableWRRanks32[[#This Row],[Player]],WR!B:O,6,FALSE)</f>
        <v>#N/A</v>
      </c>
      <c r="AK189" s="279" t="e">
        <f>VLOOKUP(TableWRRanks32[[#This Row],[Player]],WR!B:O,7,FALSE)</f>
        <v>#N/A</v>
      </c>
      <c r="AL189" s="279" t="e">
        <f>VLOOKUP(TableWRRanks32[[#This Row],[Player]],WR!B:O,8,FALSE)</f>
        <v>#N/A</v>
      </c>
      <c r="AM189" s="279" t="e">
        <f>VLOOKUP(TableWRRanks32[[#This Row],[Player]],WR!B:O,9,FALSE)</f>
        <v>#N/A</v>
      </c>
      <c r="AN189" s="272" t="str">
        <f>IFERROR(INDEX(TableWRCalcPts[Custom],MATCH(TableWRRanks32[[#This Row],[RK]],TableWRCalcPts[RK],0)),"")</f>
        <v/>
      </c>
      <c r="AO189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0" spans="30:41" x14ac:dyDescent="0.3">
      <c r="AD190" s="22">
        <v>189</v>
      </c>
      <c r="AE190" s="22" t="str">
        <f>IFERROR(INDEX(TableWRCalcPts[PLAYER],MATCH(TableWRRanks32[[#This Row],[RK]],TableWRCalcPts[RK],0)),"")</f>
        <v/>
      </c>
      <c r="AF190" s="22" t="str">
        <f>IFERROR(INDEX(TableWRCalcPts[TM],MATCH(TableWRRanks32[[#This Row],[Player]],TableWRCalcPts[PLAYER],0)),"")</f>
        <v/>
      </c>
      <c r="AG190" s="22" t="str">
        <f>IFERROR(INDEX(TableWRCalcPts[BYE],MATCH(TableWRRanks32[[#This Row],[RK]],TableWRCalcPts[RK],0)),"")</f>
        <v/>
      </c>
      <c r="AH190" s="279" t="e">
        <f>VLOOKUP(TableWRRanks32[[#This Row],[Player]],WR!B:O,4,FALSE)</f>
        <v>#N/A</v>
      </c>
      <c r="AI190" s="279" t="e">
        <f>VLOOKUP(TableWRRanks32[[#This Row],[Player]],WR!B:O,5,FALSE)</f>
        <v>#N/A</v>
      </c>
      <c r="AJ190" s="279" t="e">
        <f>VLOOKUP(TableWRRanks32[[#This Row],[Player]],WR!B:O,6,FALSE)</f>
        <v>#N/A</v>
      </c>
      <c r="AK190" s="279" t="e">
        <f>VLOOKUP(TableWRRanks32[[#This Row],[Player]],WR!B:O,7,FALSE)</f>
        <v>#N/A</v>
      </c>
      <c r="AL190" s="279" t="e">
        <f>VLOOKUP(TableWRRanks32[[#This Row],[Player]],WR!B:O,8,FALSE)</f>
        <v>#N/A</v>
      </c>
      <c r="AM190" s="279" t="e">
        <f>VLOOKUP(TableWRRanks32[[#This Row],[Player]],WR!B:O,9,FALSE)</f>
        <v>#N/A</v>
      </c>
      <c r="AN190" s="272" t="str">
        <f>IFERROR(INDEX(TableWRCalcPts[Custom],MATCH(TableWRRanks32[[#This Row],[RK]],TableWRCalcPts[RK],0)),"")</f>
        <v/>
      </c>
      <c r="AO190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1" spans="30:41" x14ac:dyDescent="0.3">
      <c r="AD191" s="22">
        <v>190</v>
      </c>
      <c r="AE191" s="274" t="str">
        <f>IFERROR(INDEX(TableWRCalcPts[PLAYER],MATCH(TableWRRanks32[[#This Row],[RK]],TableWRCalcPts[RK],0)),"")</f>
        <v/>
      </c>
      <c r="AF191" s="22" t="str">
        <f>IFERROR(INDEX(TableWRCalcPts[TM],MATCH(TableWRRanks32[[#This Row],[Player]],TableWRCalcPts[PLAYER],0)),"")</f>
        <v/>
      </c>
      <c r="AG191" s="22" t="str">
        <f>IFERROR(INDEX(TableWRCalcPts[BYE],MATCH(TableWRRanks32[[#This Row],[RK]],TableWRCalcPts[RK],0)),"")</f>
        <v/>
      </c>
      <c r="AH191" s="279" t="e">
        <f>VLOOKUP(TableWRRanks32[[#This Row],[Player]],WR!B:O,4,FALSE)</f>
        <v>#N/A</v>
      </c>
      <c r="AI191" s="279" t="e">
        <f>VLOOKUP(TableWRRanks32[[#This Row],[Player]],WR!B:O,5,FALSE)</f>
        <v>#N/A</v>
      </c>
      <c r="AJ191" s="279" t="e">
        <f>VLOOKUP(TableWRRanks32[[#This Row],[Player]],WR!B:O,6,FALSE)</f>
        <v>#N/A</v>
      </c>
      <c r="AK191" s="279" t="e">
        <f>VLOOKUP(TableWRRanks32[[#This Row],[Player]],WR!B:O,7,FALSE)</f>
        <v>#N/A</v>
      </c>
      <c r="AL191" s="279" t="e">
        <f>VLOOKUP(TableWRRanks32[[#This Row],[Player]],WR!B:O,8,FALSE)</f>
        <v>#N/A</v>
      </c>
      <c r="AM191" s="279" t="e">
        <f>VLOOKUP(TableWRRanks32[[#This Row],[Player]],WR!B:O,9,FALSE)</f>
        <v>#N/A</v>
      </c>
      <c r="AN191" s="272" t="str">
        <f>IFERROR(INDEX(TableWRCalcPts[Custom],MATCH(TableWRRanks32[[#This Row],[RK]],TableWRCalcPts[RK],0)),"")</f>
        <v/>
      </c>
      <c r="AO191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2" spans="30:41" x14ac:dyDescent="0.3">
      <c r="AD192" s="274">
        <v>191</v>
      </c>
      <c r="AE192" s="274" t="str">
        <f>IFERROR(INDEX(TableWRCalcPts[PLAYER],MATCH(TableWRRanks32[[#This Row],[RK]],TableWRCalcPts[RK],0)),"")</f>
        <v/>
      </c>
      <c r="AF192" s="22" t="str">
        <f>IFERROR(INDEX(TableWRCalcPts[TM],MATCH(TableWRRanks32[[#This Row],[Player]],TableWRCalcPts[PLAYER],0)),"")</f>
        <v/>
      </c>
      <c r="AG192" s="22" t="str">
        <f>IFERROR(INDEX(TableWRCalcPts[BYE],MATCH(TableWRRanks32[[#This Row],[RK]],TableWRCalcPts[RK],0)),"")</f>
        <v/>
      </c>
      <c r="AH192" s="279" t="e">
        <f>VLOOKUP(TableWRRanks32[[#This Row],[Player]],WR!B:O,4,FALSE)</f>
        <v>#N/A</v>
      </c>
      <c r="AI192" s="279" t="e">
        <f>VLOOKUP(TableWRRanks32[[#This Row],[Player]],WR!B:O,5,FALSE)</f>
        <v>#N/A</v>
      </c>
      <c r="AJ192" s="279" t="e">
        <f>VLOOKUP(TableWRRanks32[[#This Row],[Player]],WR!B:O,6,FALSE)</f>
        <v>#N/A</v>
      </c>
      <c r="AK192" s="279" t="e">
        <f>VLOOKUP(TableWRRanks32[[#This Row],[Player]],WR!B:O,7,FALSE)</f>
        <v>#N/A</v>
      </c>
      <c r="AL192" s="279" t="e">
        <f>VLOOKUP(TableWRRanks32[[#This Row],[Player]],WR!B:O,8,FALSE)</f>
        <v>#N/A</v>
      </c>
      <c r="AM192" s="279" t="e">
        <f>VLOOKUP(TableWRRanks32[[#This Row],[Player]],WR!B:O,9,FALSE)</f>
        <v>#N/A</v>
      </c>
      <c r="AN192" s="272" t="str">
        <f>IFERROR(INDEX(TableWRCalcPts[Custom],MATCH(TableWRRanks32[[#This Row],[RK]],TableWRCalcPts[RK],0)),"")</f>
        <v/>
      </c>
      <c r="AO192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3" spans="30:41" x14ac:dyDescent="0.3">
      <c r="AD193" s="22">
        <v>192</v>
      </c>
      <c r="AE193" s="22" t="str">
        <f>IFERROR(INDEX(TableWRCalcPts[PLAYER],MATCH(TableWRRanks32[[#This Row],[RK]],TableWRCalcPts[RK],0)),"")</f>
        <v/>
      </c>
      <c r="AF193" s="22" t="str">
        <f>IFERROR(INDEX(TableWRCalcPts[TM],MATCH(TableWRRanks32[[#This Row],[Player]],TableWRCalcPts[PLAYER],0)),"")</f>
        <v/>
      </c>
      <c r="AG193" s="22" t="str">
        <f>IFERROR(INDEX(TableWRCalcPts[BYE],MATCH(TableWRRanks32[[#This Row],[RK]],TableWRCalcPts[RK],0)),"")</f>
        <v/>
      </c>
      <c r="AH193" s="279" t="e">
        <f>VLOOKUP(TableWRRanks32[[#This Row],[Player]],WR!B:O,4,FALSE)</f>
        <v>#N/A</v>
      </c>
      <c r="AI193" s="279" t="e">
        <f>VLOOKUP(TableWRRanks32[[#This Row],[Player]],WR!B:O,5,FALSE)</f>
        <v>#N/A</v>
      </c>
      <c r="AJ193" s="279" t="e">
        <f>VLOOKUP(TableWRRanks32[[#This Row],[Player]],WR!B:O,6,FALSE)</f>
        <v>#N/A</v>
      </c>
      <c r="AK193" s="279" t="e">
        <f>VLOOKUP(TableWRRanks32[[#This Row],[Player]],WR!B:O,7,FALSE)</f>
        <v>#N/A</v>
      </c>
      <c r="AL193" s="279" t="e">
        <f>VLOOKUP(TableWRRanks32[[#This Row],[Player]],WR!B:O,8,FALSE)</f>
        <v>#N/A</v>
      </c>
      <c r="AM193" s="279" t="e">
        <f>VLOOKUP(TableWRRanks32[[#This Row],[Player]],WR!B:O,9,FALSE)</f>
        <v>#N/A</v>
      </c>
      <c r="AN193" s="272" t="str">
        <f>IFERROR(INDEX(TableWRCalcPts[Custom],MATCH(TableWRRanks32[[#This Row],[RK]],TableWRCalcPts[RK],0)),"")</f>
        <v/>
      </c>
      <c r="AO193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4" spans="30:41" x14ac:dyDescent="0.3">
      <c r="AD194" s="22">
        <v>193</v>
      </c>
      <c r="AE194" s="22" t="str">
        <f>IFERROR(INDEX(TableWRCalcPts[PLAYER],MATCH(TableWRRanks32[[#This Row],[RK]],TableWRCalcPts[RK],0)),"")</f>
        <v/>
      </c>
      <c r="AF194" s="22" t="str">
        <f>IFERROR(INDEX(TableWRCalcPts[TM],MATCH(TableWRRanks32[[#This Row],[Player]],TableWRCalcPts[PLAYER],0)),"")</f>
        <v/>
      </c>
      <c r="AG194" s="22" t="str">
        <f>IFERROR(INDEX(TableWRCalcPts[BYE],MATCH(TableWRRanks32[[#This Row],[RK]],TableWRCalcPts[RK],0)),"")</f>
        <v/>
      </c>
      <c r="AH194" s="279" t="e">
        <f>VLOOKUP(TableWRRanks32[[#This Row],[Player]],WR!B:O,4,FALSE)</f>
        <v>#N/A</v>
      </c>
      <c r="AI194" s="279" t="e">
        <f>VLOOKUP(TableWRRanks32[[#This Row],[Player]],WR!B:O,5,FALSE)</f>
        <v>#N/A</v>
      </c>
      <c r="AJ194" s="279" t="e">
        <f>VLOOKUP(TableWRRanks32[[#This Row],[Player]],WR!B:O,6,FALSE)</f>
        <v>#N/A</v>
      </c>
      <c r="AK194" s="279" t="e">
        <f>VLOOKUP(TableWRRanks32[[#This Row],[Player]],WR!B:O,7,FALSE)</f>
        <v>#N/A</v>
      </c>
      <c r="AL194" s="279" t="e">
        <f>VLOOKUP(TableWRRanks32[[#This Row],[Player]],WR!B:O,8,FALSE)</f>
        <v>#N/A</v>
      </c>
      <c r="AM194" s="279" t="e">
        <f>VLOOKUP(TableWRRanks32[[#This Row],[Player]],WR!B:O,9,FALSE)</f>
        <v>#N/A</v>
      </c>
      <c r="AN194" s="272" t="str">
        <f>IFERROR(INDEX(TableWRCalcPts[Custom],MATCH(TableWRRanks32[[#This Row],[RK]],TableWRCalcPts[RK],0)),"")</f>
        <v/>
      </c>
      <c r="AO194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5" spans="30:41" x14ac:dyDescent="0.3">
      <c r="AD195" s="274">
        <v>194</v>
      </c>
      <c r="AE195" s="274" t="str">
        <f>IFERROR(INDEX(TableWRCalcPts[PLAYER],MATCH(TableWRRanks32[[#This Row],[RK]],TableWRCalcPts[RK],0)),"")</f>
        <v/>
      </c>
      <c r="AF195" s="22" t="str">
        <f>IFERROR(INDEX(TableWRCalcPts[TM],MATCH(TableWRRanks32[[#This Row],[Player]],TableWRCalcPts[PLAYER],0)),"")</f>
        <v/>
      </c>
      <c r="AG195" s="22" t="str">
        <f>IFERROR(INDEX(TableWRCalcPts[BYE],MATCH(TableWRRanks32[[#This Row],[RK]],TableWRCalcPts[RK],0)),"")</f>
        <v/>
      </c>
      <c r="AH195" s="279" t="e">
        <f>VLOOKUP(TableWRRanks32[[#This Row],[Player]],WR!B:O,4,FALSE)</f>
        <v>#N/A</v>
      </c>
      <c r="AI195" s="279" t="e">
        <f>VLOOKUP(TableWRRanks32[[#This Row],[Player]],WR!B:O,5,FALSE)</f>
        <v>#N/A</v>
      </c>
      <c r="AJ195" s="279" t="e">
        <f>VLOOKUP(TableWRRanks32[[#This Row],[Player]],WR!B:O,6,FALSE)</f>
        <v>#N/A</v>
      </c>
      <c r="AK195" s="279" t="e">
        <f>VLOOKUP(TableWRRanks32[[#This Row],[Player]],WR!B:O,7,FALSE)</f>
        <v>#N/A</v>
      </c>
      <c r="AL195" s="279" t="e">
        <f>VLOOKUP(TableWRRanks32[[#This Row],[Player]],WR!B:O,8,FALSE)</f>
        <v>#N/A</v>
      </c>
      <c r="AM195" s="279" t="e">
        <f>VLOOKUP(TableWRRanks32[[#This Row],[Player]],WR!B:O,9,FALSE)</f>
        <v>#N/A</v>
      </c>
      <c r="AN195" s="272" t="str">
        <f>IFERROR(INDEX(TableWRCalcPts[Custom],MATCH(TableWRRanks32[[#This Row],[RK]],TableWRCalcPts[RK],0)),"")</f>
        <v/>
      </c>
      <c r="AO195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6" spans="30:41" x14ac:dyDescent="0.3">
      <c r="AD196" s="22">
        <v>195</v>
      </c>
      <c r="AE196" s="274" t="str">
        <f>IFERROR(INDEX(TableWRCalcPts[PLAYER],MATCH(TableWRRanks32[[#This Row],[RK]],TableWRCalcPts[RK],0)),"")</f>
        <v/>
      </c>
      <c r="AF196" s="22" t="str">
        <f>IFERROR(INDEX(TableWRCalcPts[TM],MATCH(TableWRRanks32[[#This Row],[Player]],TableWRCalcPts[PLAYER],0)),"")</f>
        <v/>
      </c>
      <c r="AG196" s="22" t="str">
        <f>IFERROR(INDEX(TableWRCalcPts[BYE],MATCH(TableWRRanks32[[#This Row],[RK]],TableWRCalcPts[RK],0)),"")</f>
        <v/>
      </c>
      <c r="AH196" s="279" t="e">
        <f>VLOOKUP(TableWRRanks32[[#This Row],[Player]],WR!B:O,4,FALSE)</f>
        <v>#N/A</v>
      </c>
      <c r="AI196" s="279" t="e">
        <f>VLOOKUP(TableWRRanks32[[#This Row],[Player]],WR!B:O,5,FALSE)</f>
        <v>#N/A</v>
      </c>
      <c r="AJ196" s="279" t="e">
        <f>VLOOKUP(TableWRRanks32[[#This Row],[Player]],WR!B:O,6,FALSE)</f>
        <v>#N/A</v>
      </c>
      <c r="AK196" s="279" t="e">
        <f>VLOOKUP(TableWRRanks32[[#This Row],[Player]],WR!B:O,7,FALSE)</f>
        <v>#N/A</v>
      </c>
      <c r="AL196" s="279" t="e">
        <f>VLOOKUP(TableWRRanks32[[#This Row],[Player]],WR!B:O,8,FALSE)</f>
        <v>#N/A</v>
      </c>
      <c r="AM196" s="279" t="e">
        <f>VLOOKUP(TableWRRanks32[[#This Row],[Player]],WR!B:O,9,FALSE)</f>
        <v>#N/A</v>
      </c>
      <c r="AN196" s="272" t="str">
        <f>IFERROR(INDEX(TableWRCalcPts[Custom],MATCH(TableWRRanks32[[#This Row],[RK]],TableWRCalcPts[RK],0)),"")</f>
        <v/>
      </c>
      <c r="AO196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7" spans="30:41" x14ac:dyDescent="0.3">
      <c r="AD197" s="22">
        <v>196</v>
      </c>
      <c r="AE197" s="274" t="str">
        <f>IFERROR(INDEX(TableWRCalcPts[PLAYER],MATCH(TableWRRanks32[[#This Row],[RK]],TableWRCalcPts[RK],0)),"")</f>
        <v/>
      </c>
      <c r="AF197" s="22" t="str">
        <f>IFERROR(INDEX(TableWRCalcPts[TM],MATCH(TableWRRanks32[[#This Row],[Player]],TableWRCalcPts[PLAYER],0)),"")</f>
        <v/>
      </c>
      <c r="AG197" s="22" t="str">
        <f>IFERROR(INDEX(TableWRCalcPts[BYE],MATCH(TableWRRanks32[[#This Row],[RK]],TableWRCalcPts[RK],0)),"")</f>
        <v/>
      </c>
      <c r="AH197" s="279" t="e">
        <f>VLOOKUP(TableWRRanks32[[#This Row],[Player]],WR!B:O,4,FALSE)</f>
        <v>#N/A</v>
      </c>
      <c r="AI197" s="279" t="e">
        <f>VLOOKUP(TableWRRanks32[[#This Row],[Player]],WR!B:O,5,FALSE)</f>
        <v>#N/A</v>
      </c>
      <c r="AJ197" s="279" t="e">
        <f>VLOOKUP(TableWRRanks32[[#This Row],[Player]],WR!B:O,6,FALSE)</f>
        <v>#N/A</v>
      </c>
      <c r="AK197" s="279" t="e">
        <f>VLOOKUP(TableWRRanks32[[#This Row],[Player]],WR!B:O,7,FALSE)</f>
        <v>#N/A</v>
      </c>
      <c r="AL197" s="279" t="e">
        <f>VLOOKUP(TableWRRanks32[[#This Row],[Player]],WR!B:O,8,FALSE)</f>
        <v>#N/A</v>
      </c>
      <c r="AM197" s="279" t="e">
        <f>VLOOKUP(TableWRRanks32[[#This Row],[Player]],WR!B:O,9,FALSE)</f>
        <v>#N/A</v>
      </c>
      <c r="AN197" s="272" t="str">
        <f>IFERROR(INDEX(TableWRCalcPts[Custom],MATCH(TableWRRanks32[[#This Row],[RK]],TableWRCalcPts[RK],0)),"")</f>
        <v/>
      </c>
      <c r="AO197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8" spans="30:41" x14ac:dyDescent="0.3">
      <c r="AD198" s="274">
        <v>197</v>
      </c>
      <c r="AE198" s="274" t="str">
        <f>IFERROR(INDEX(TableWRCalcPts[PLAYER],MATCH(TableWRRanks32[[#This Row],[RK]],TableWRCalcPts[RK],0)),"")</f>
        <v/>
      </c>
      <c r="AF198" s="22" t="str">
        <f>IFERROR(INDEX(TableWRCalcPts[TM],MATCH(TableWRRanks32[[#This Row],[Player]],TableWRCalcPts[PLAYER],0)),"")</f>
        <v/>
      </c>
      <c r="AG198" s="22" t="str">
        <f>IFERROR(INDEX(TableWRCalcPts[BYE],MATCH(TableWRRanks32[[#This Row],[RK]],TableWRCalcPts[RK],0)),"")</f>
        <v/>
      </c>
      <c r="AH198" s="279" t="e">
        <f>VLOOKUP(TableWRRanks32[[#This Row],[Player]],WR!B:O,4,FALSE)</f>
        <v>#N/A</v>
      </c>
      <c r="AI198" s="279" t="e">
        <f>VLOOKUP(TableWRRanks32[[#This Row],[Player]],WR!B:O,5,FALSE)</f>
        <v>#N/A</v>
      </c>
      <c r="AJ198" s="279" t="e">
        <f>VLOOKUP(TableWRRanks32[[#This Row],[Player]],WR!B:O,6,FALSE)</f>
        <v>#N/A</v>
      </c>
      <c r="AK198" s="279" t="e">
        <f>VLOOKUP(TableWRRanks32[[#This Row],[Player]],WR!B:O,7,FALSE)</f>
        <v>#N/A</v>
      </c>
      <c r="AL198" s="279" t="e">
        <f>VLOOKUP(TableWRRanks32[[#This Row],[Player]],WR!B:O,8,FALSE)</f>
        <v>#N/A</v>
      </c>
      <c r="AM198" s="279" t="e">
        <f>VLOOKUP(TableWRRanks32[[#This Row],[Player]],WR!B:O,9,FALSE)</f>
        <v>#N/A</v>
      </c>
      <c r="AN198" s="272" t="str">
        <f>IFERROR(INDEX(TableWRCalcPts[Custom],MATCH(TableWRRanks32[[#This Row],[RK]],TableWRCalcPts[RK],0)),"")</f>
        <v/>
      </c>
      <c r="AO198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199" spans="30:41" x14ac:dyDescent="0.3">
      <c r="AD199" s="22">
        <v>198</v>
      </c>
      <c r="AE199" s="274" t="str">
        <f>IFERROR(INDEX(TableWRCalcPts[PLAYER],MATCH(TableWRRanks32[[#This Row],[RK]],TableWRCalcPts[RK],0)),"")</f>
        <v/>
      </c>
      <c r="AF199" s="22" t="str">
        <f>IFERROR(INDEX(TableWRCalcPts[TM],MATCH(TableWRRanks32[[#This Row],[Player]],TableWRCalcPts[PLAYER],0)),"")</f>
        <v/>
      </c>
      <c r="AG199" s="22" t="str">
        <f>IFERROR(INDEX(TableWRCalcPts[BYE],MATCH(TableWRRanks32[[#This Row],[RK]],TableWRCalcPts[RK],0)),"")</f>
        <v/>
      </c>
      <c r="AH199" s="279" t="e">
        <f>VLOOKUP(TableWRRanks32[[#This Row],[Player]],WR!B:O,4,FALSE)</f>
        <v>#N/A</v>
      </c>
      <c r="AI199" s="279" t="e">
        <f>VLOOKUP(TableWRRanks32[[#This Row],[Player]],WR!B:O,5,FALSE)</f>
        <v>#N/A</v>
      </c>
      <c r="AJ199" s="279" t="e">
        <f>VLOOKUP(TableWRRanks32[[#This Row],[Player]],WR!B:O,6,FALSE)</f>
        <v>#N/A</v>
      </c>
      <c r="AK199" s="279" t="e">
        <f>VLOOKUP(TableWRRanks32[[#This Row],[Player]],WR!B:O,7,FALSE)</f>
        <v>#N/A</v>
      </c>
      <c r="AL199" s="279" t="e">
        <f>VLOOKUP(TableWRRanks32[[#This Row],[Player]],WR!B:O,8,FALSE)</f>
        <v>#N/A</v>
      </c>
      <c r="AM199" s="279" t="e">
        <f>VLOOKUP(TableWRRanks32[[#This Row],[Player]],WR!B:O,9,FALSE)</f>
        <v>#N/A</v>
      </c>
      <c r="AN199" s="272" t="str">
        <f>IFERROR(INDEX(TableWRCalcPts[Custom],MATCH(TableWRRanks32[[#This Row],[RK]],TableWRCalcPts[RK],0)),"")</f>
        <v/>
      </c>
      <c r="AO199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0" spans="30:41" x14ac:dyDescent="0.3">
      <c r="AD200" s="22">
        <v>199</v>
      </c>
      <c r="AE200" s="274" t="str">
        <f>IFERROR(INDEX(TableWRCalcPts[PLAYER],MATCH(TableWRRanks32[[#This Row],[RK]],TableWRCalcPts[RK],0)),"")</f>
        <v/>
      </c>
      <c r="AF200" s="22" t="str">
        <f>IFERROR(INDEX(TableWRCalcPts[TM],MATCH(TableWRRanks32[[#This Row],[Player]],TableWRCalcPts[PLAYER],0)),"")</f>
        <v/>
      </c>
      <c r="AG200" s="22" t="str">
        <f>IFERROR(INDEX(TableWRCalcPts[BYE],MATCH(TableWRRanks32[[#This Row],[RK]],TableWRCalcPts[RK],0)),"")</f>
        <v/>
      </c>
      <c r="AH200" s="279" t="e">
        <f>VLOOKUP(TableWRRanks32[[#This Row],[Player]],WR!B:O,4,FALSE)</f>
        <v>#N/A</v>
      </c>
      <c r="AI200" s="279" t="e">
        <f>VLOOKUP(TableWRRanks32[[#This Row],[Player]],WR!B:O,5,FALSE)</f>
        <v>#N/A</v>
      </c>
      <c r="AJ200" s="279" t="e">
        <f>VLOOKUP(TableWRRanks32[[#This Row],[Player]],WR!B:O,6,FALSE)</f>
        <v>#N/A</v>
      </c>
      <c r="AK200" s="279" t="e">
        <f>VLOOKUP(TableWRRanks32[[#This Row],[Player]],WR!B:O,7,FALSE)</f>
        <v>#N/A</v>
      </c>
      <c r="AL200" s="279" t="e">
        <f>VLOOKUP(TableWRRanks32[[#This Row],[Player]],WR!B:O,8,FALSE)</f>
        <v>#N/A</v>
      </c>
      <c r="AM200" s="279" t="e">
        <f>VLOOKUP(TableWRRanks32[[#This Row],[Player]],WR!B:O,9,FALSE)</f>
        <v>#N/A</v>
      </c>
      <c r="AN200" s="272" t="str">
        <f>IFERROR(INDEX(TableWRCalcPts[Custom],MATCH(TableWRRanks32[[#This Row],[RK]],TableWRCalcPts[RK],0)),"")</f>
        <v/>
      </c>
      <c r="AO200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1" spans="30:41" x14ac:dyDescent="0.3">
      <c r="AD201" s="274">
        <v>200</v>
      </c>
      <c r="AE201" s="22" t="str">
        <f>IFERROR(INDEX(TableWRCalcPts[PLAYER],MATCH(TableWRRanks32[[#This Row],[RK]],TableWRCalcPts[RK],0)),"")</f>
        <v/>
      </c>
      <c r="AF201" s="22" t="str">
        <f>IFERROR(INDEX(TableWRCalcPts[TM],MATCH(TableWRRanks32[[#This Row],[Player]],TableWRCalcPts[PLAYER],0)),"")</f>
        <v/>
      </c>
      <c r="AG201" s="22" t="str">
        <f>IFERROR(INDEX(TableWRCalcPts[BYE],MATCH(TableWRRanks32[[#This Row],[RK]],TableWRCalcPts[RK],0)),"")</f>
        <v/>
      </c>
      <c r="AH201" s="279" t="e">
        <f>VLOOKUP(TableWRRanks32[[#This Row],[Player]],WR!B:O,4,FALSE)</f>
        <v>#N/A</v>
      </c>
      <c r="AI201" s="279" t="e">
        <f>VLOOKUP(TableWRRanks32[[#This Row],[Player]],WR!B:O,5,FALSE)</f>
        <v>#N/A</v>
      </c>
      <c r="AJ201" s="279" t="e">
        <f>VLOOKUP(TableWRRanks32[[#This Row],[Player]],WR!B:O,6,FALSE)</f>
        <v>#N/A</v>
      </c>
      <c r="AK201" s="279" t="e">
        <f>VLOOKUP(TableWRRanks32[[#This Row],[Player]],WR!B:O,7,FALSE)</f>
        <v>#N/A</v>
      </c>
      <c r="AL201" s="279" t="e">
        <f>VLOOKUP(TableWRRanks32[[#This Row],[Player]],WR!B:O,8,FALSE)</f>
        <v>#N/A</v>
      </c>
      <c r="AM201" s="279" t="e">
        <f>VLOOKUP(TableWRRanks32[[#This Row],[Player]],WR!B:O,9,FALSE)</f>
        <v>#N/A</v>
      </c>
      <c r="AN201" s="272" t="str">
        <f>IFERROR(INDEX(TableWRCalcPts[Custom],MATCH(TableWRRanks32[[#This Row],[RK]],TableWRCalcPts[RK],0)),"")</f>
        <v/>
      </c>
      <c r="AO201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2" spans="30:41" x14ac:dyDescent="0.3">
      <c r="AD202" s="22">
        <v>201</v>
      </c>
      <c r="AE202" s="22" t="str">
        <f>IFERROR(INDEX(TableWRCalcPts[PLAYER],MATCH(TableWRRanks32[[#This Row],[RK]],TableWRCalcPts[RK],0)),"")</f>
        <v/>
      </c>
      <c r="AF202" s="22" t="str">
        <f>IFERROR(INDEX(TableWRCalcPts[TM],MATCH(TableWRRanks32[[#This Row],[Player]],TableWRCalcPts[PLAYER],0)),"")</f>
        <v/>
      </c>
      <c r="AG202" s="22" t="str">
        <f>IFERROR(INDEX(TableWRCalcPts[BYE],MATCH(TableWRRanks32[[#This Row],[RK]],TableWRCalcPts[RK],0)),"")</f>
        <v/>
      </c>
      <c r="AH202" s="279" t="e">
        <f>VLOOKUP(TableWRRanks32[[#This Row],[Player]],WR!B:O,4,FALSE)</f>
        <v>#N/A</v>
      </c>
      <c r="AI202" s="279" t="e">
        <f>VLOOKUP(TableWRRanks32[[#This Row],[Player]],WR!B:O,5,FALSE)</f>
        <v>#N/A</v>
      </c>
      <c r="AJ202" s="279" t="e">
        <f>VLOOKUP(TableWRRanks32[[#This Row],[Player]],WR!B:O,6,FALSE)</f>
        <v>#N/A</v>
      </c>
      <c r="AK202" s="279" t="e">
        <f>VLOOKUP(TableWRRanks32[[#This Row],[Player]],WR!B:O,7,FALSE)</f>
        <v>#N/A</v>
      </c>
      <c r="AL202" s="279" t="e">
        <f>VLOOKUP(TableWRRanks32[[#This Row],[Player]],WR!B:O,8,FALSE)</f>
        <v>#N/A</v>
      </c>
      <c r="AM202" s="279" t="e">
        <f>VLOOKUP(TableWRRanks32[[#This Row],[Player]],WR!B:O,9,FALSE)</f>
        <v>#N/A</v>
      </c>
      <c r="AN202" s="272" t="str">
        <f>IFERROR(INDEX(TableWRCalcPts[Custom],MATCH(TableWRRanks32[[#This Row],[RK]],TableWRCalcPts[RK],0)),"")</f>
        <v/>
      </c>
      <c r="AO202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3" spans="30:41" x14ac:dyDescent="0.3">
      <c r="AD203" s="22">
        <v>202</v>
      </c>
      <c r="AE203" s="22" t="str">
        <f>IFERROR(INDEX(TableWRCalcPts[PLAYER],MATCH(TableWRRanks32[[#This Row],[RK]],TableWRCalcPts[RK],0)),"")</f>
        <v/>
      </c>
      <c r="AF203" s="22" t="str">
        <f>IFERROR(INDEX(TableWRCalcPts[TM],MATCH(TableWRRanks32[[#This Row],[Player]],TableWRCalcPts[PLAYER],0)),"")</f>
        <v/>
      </c>
      <c r="AG203" s="22" t="str">
        <f>IFERROR(INDEX(TableWRCalcPts[BYE],MATCH(TableWRRanks32[[#This Row],[RK]],TableWRCalcPts[RK],0)),"")</f>
        <v/>
      </c>
      <c r="AH203" s="279" t="e">
        <f>VLOOKUP(TableWRRanks32[[#This Row],[Player]],WR!B:O,4,FALSE)</f>
        <v>#N/A</v>
      </c>
      <c r="AI203" s="279" t="e">
        <f>VLOOKUP(TableWRRanks32[[#This Row],[Player]],WR!B:O,5,FALSE)</f>
        <v>#N/A</v>
      </c>
      <c r="AJ203" s="279" t="e">
        <f>VLOOKUP(TableWRRanks32[[#This Row],[Player]],WR!B:O,6,FALSE)</f>
        <v>#N/A</v>
      </c>
      <c r="AK203" s="279" t="e">
        <f>VLOOKUP(TableWRRanks32[[#This Row],[Player]],WR!B:O,7,FALSE)</f>
        <v>#N/A</v>
      </c>
      <c r="AL203" s="279" t="e">
        <f>VLOOKUP(TableWRRanks32[[#This Row],[Player]],WR!B:O,8,FALSE)</f>
        <v>#N/A</v>
      </c>
      <c r="AM203" s="279" t="e">
        <f>VLOOKUP(TableWRRanks32[[#This Row],[Player]],WR!B:O,9,FALSE)</f>
        <v>#N/A</v>
      </c>
      <c r="AN203" s="272" t="str">
        <f>IFERROR(INDEX(TableWRCalcPts[Custom],MATCH(TableWRRanks32[[#This Row],[RK]],TableWRCalcPts[RK],0)),"")</f>
        <v/>
      </c>
      <c r="AO203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4" spans="30:41" x14ac:dyDescent="0.3">
      <c r="AD204" s="274">
        <v>203</v>
      </c>
      <c r="AE204" s="274" t="str">
        <f>IFERROR(INDEX(TableWRCalcPts[PLAYER],MATCH(TableWRRanks32[[#This Row],[RK]],TableWRCalcPts[RK],0)),"")</f>
        <v/>
      </c>
      <c r="AF204" s="274" t="str">
        <f>IFERROR(INDEX(TableWRCalcPts[TM],MATCH(TableWRRanks32[[#This Row],[Player]],TableWRCalcPts[PLAYER],0)),"")</f>
        <v/>
      </c>
      <c r="AG204" s="274" t="str">
        <f>IFERROR(INDEX(TableWRCalcPts[BYE],MATCH(TableWRRanks32[[#This Row],[RK]],TableWRCalcPts[RK],0)),"")</f>
        <v/>
      </c>
      <c r="AH204" s="279" t="e">
        <f>VLOOKUP(TableWRRanks32[[#This Row],[Player]],WR!B:O,4,FALSE)</f>
        <v>#N/A</v>
      </c>
      <c r="AI204" s="279" t="e">
        <f>VLOOKUP(TableWRRanks32[[#This Row],[Player]],WR!B:O,5,FALSE)</f>
        <v>#N/A</v>
      </c>
      <c r="AJ204" s="279" t="e">
        <f>VLOOKUP(TableWRRanks32[[#This Row],[Player]],WR!B:O,6,FALSE)</f>
        <v>#N/A</v>
      </c>
      <c r="AK204" s="279" t="e">
        <f>VLOOKUP(TableWRRanks32[[#This Row],[Player]],WR!B:O,7,FALSE)</f>
        <v>#N/A</v>
      </c>
      <c r="AL204" s="279" t="e">
        <f>VLOOKUP(TableWRRanks32[[#This Row],[Player]],WR!B:O,8,FALSE)</f>
        <v>#N/A</v>
      </c>
      <c r="AM204" s="279" t="e">
        <f>VLOOKUP(TableWRRanks32[[#This Row],[Player]],WR!B:O,9,FALSE)</f>
        <v>#N/A</v>
      </c>
      <c r="AN204" s="272" t="str">
        <f>IFERROR(INDEX(TableWRCalcPts[Custom],MATCH(TableWRRanks32[[#This Row],[RK]],TableWRCalcPts[RK],0)),"")</f>
        <v/>
      </c>
      <c r="AO204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5" spans="30:41" x14ac:dyDescent="0.3">
      <c r="AD205" s="22">
        <v>204</v>
      </c>
      <c r="AE205" s="274" t="str">
        <f>IFERROR(INDEX(TableWRCalcPts[PLAYER],MATCH(TableWRRanks32[[#This Row],[RK]],TableWRCalcPts[RK],0)),"")</f>
        <v/>
      </c>
      <c r="AF205" s="274" t="str">
        <f>IFERROR(INDEX(TableWRCalcPts[TM],MATCH(TableWRRanks32[[#This Row],[Player]],TableWRCalcPts[PLAYER],0)),"")</f>
        <v/>
      </c>
      <c r="AG205" s="274" t="str">
        <f>IFERROR(INDEX(TableWRCalcPts[BYE],MATCH(TableWRRanks32[[#This Row],[RK]],TableWRCalcPts[RK],0)),"")</f>
        <v/>
      </c>
      <c r="AH205" s="279" t="e">
        <f>VLOOKUP(TableWRRanks32[[#This Row],[Player]],WR!B:O,4,FALSE)</f>
        <v>#N/A</v>
      </c>
      <c r="AI205" s="279" t="e">
        <f>VLOOKUP(TableWRRanks32[[#This Row],[Player]],WR!B:O,5,FALSE)</f>
        <v>#N/A</v>
      </c>
      <c r="AJ205" s="279" t="e">
        <f>VLOOKUP(TableWRRanks32[[#This Row],[Player]],WR!B:O,6,FALSE)</f>
        <v>#N/A</v>
      </c>
      <c r="AK205" s="279" t="e">
        <f>VLOOKUP(TableWRRanks32[[#This Row],[Player]],WR!B:O,7,FALSE)</f>
        <v>#N/A</v>
      </c>
      <c r="AL205" s="279" t="e">
        <f>VLOOKUP(TableWRRanks32[[#This Row],[Player]],WR!B:O,8,FALSE)</f>
        <v>#N/A</v>
      </c>
      <c r="AM205" s="279" t="e">
        <f>VLOOKUP(TableWRRanks32[[#This Row],[Player]],WR!B:O,9,FALSE)</f>
        <v>#N/A</v>
      </c>
      <c r="AN205" s="272" t="str">
        <f>IFERROR(INDEX(TableWRCalcPts[Custom],MATCH(TableWRRanks32[[#This Row],[RK]],TableWRCalcPts[RK],0)),"")</f>
        <v/>
      </c>
      <c r="AO205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6" spans="30:41" x14ac:dyDescent="0.3">
      <c r="AD206" s="22">
        <v>205</v>
      </c>
      <c r="AE206" s="274" t="str">
        <f>IFERROR(INDEX(TableWRCalcPts[PLAYER],MATCH(TableWRRanks32[[#This Row],[RK]],TableWRCalcPts[RK],0)),"")</f>
        <v/>
      </c>
      <c r="AF206" s="274" t="str">
        <f>IFERROR(INDEX(TableWRCalcPts[TM],MATCH(TableWRRanks32[[#This Row],[Player]],TableWRCalcPts[PLAYER],0)),"")</f>
        <v/>
      </c>
      <c r="AG206" s="274" t="str">
        <f>IFERROR(INDEX(TableWRCalcPts[BYE],MATCH(TableWRRanks32[[#This Row],[RK]],TableWRCalcPts[RK],0)),"")</f>
        <v/>
      </c>
      <c r="AH206" s="279" t="e">
        <f>VLOOKUP(TableWRRanks32[[#This Row],[Player]],WR!B:O,4,FALSE)</f>
        <v>#N/A</v>
      </c>
      <c r="AI206" s="279" t="e">
        <f>VLOOKUP(TableWRRanks32[[#This Row],[Player]],WR!B:O,5,FALSE)</f>
        <v>#N/A</v>
      </c>
      <c r="AJ206" s="279" t="e">
        <f>VLOOKUP(TableWRRanks32[[#This Row],[Player]],WR!B:O,6,FALSE)</f>
        <v>#N/A</v>
      </c>
      <c r="AK206" s="279" t="e">
        <f>VLOOKUP(TableWRRanks32[[#This Row],[Player]],WR!B:O,7,FALSE)</f>
        <v>#N/A</v>
      </c>
      <c r="AL206" s="279" t="e">
        <f>VLOOKUP(TableWRRanks32[[#This Row],[Player]],WR!B:O,8,FALSE)</f>
        <v>#N/A</v>
      </c>
      <c r="AM206" s="279" t="e">
        <f>VLOOKUP(TableWRRanks32[[#This Row],[Player]],WR!B:O,9,FALSE)</f>
        <v>#N/A</v>
      </c>
      <c r="AN206" s="272" t="str">
        <f>IFERROR(INDEX(TableWRCalcPts[Custom],MATCH(TableWRRanks32[[#This Row],[RK]],TableWRCalcPts[RK],0)),"")</f>
        <v/>
      </c>
      <c r="AO206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7" spans="30:41" x14ac:dyDescent="0.3">
      <c r="AD207" s="274">
        <v>206</v>
      </c>
      <c r="AE207" s="274" t="str">
        <f>IFERROR(INDEX(TableWRCalcPts[PLAYER],MATCH(TableWRRanks32[[#This Row],[RK]],TableWRCalcPts[RK],0)),"")</f>
        <v/>
      </c>
      <c r="AF207" s="274" t="str">
        <f>IFERROR(INDEX(TableWRCalcPts[TM],MATCH(TableWRRanks32[[#This Row],[Player]],TableWRCalcPts[PLAYER],0)),"")</f>
        <v/>
      </c>
      <c r="AG207" s="274" t="str">
        <f>IFERROR(INDEX(TableWRCalcPts[BYE],MATCH(TableWRRanks32[[#This Row],[RK]],TableWRCalcPts[RK],0)),"")</f>
        <v/>
      </c>
      <c r="AH207" s="279" t="e">
        <f>VLOOKUP(TableWRRanks32[[#This Row],[Player]],WR!B:O,4,FALSE)</f>
        <v>#N/A</v>
      </c>
      <c r="AI207" s="279" t="e">
        <f>VLOOKUP(TableWRRanks32[[#This Row],[Player]],WR!B:O,5,FALSE)</f>
        <v>#N/A</v>
      </c>
      <c r="AJ207" s="279" t="e">
        <f>VLOOKUP(TableWRRanks32[[#This Row],[Player]],WR!B:O,6,FALSE)</f>
        <v>#N/A</v>
      </c>
      <c r="AK207" s="279" t="e">
        <f>VLOOKUP(TableWRRanks32[[#This Row],[Player]],WR!B:O,7,FALSE)</f>
        <v>#N/A</v>
      </c>
      <c r="AL207" s="279" t="e">
        <f>VLOOKUP(TableWRRanks32[[#This Row],[Player]],WR!B:O,8,FALSE)</f>
        <v>#N/A</v>
      </c>
      <c r="AM207" s="279" t="e">
        <f>VLOOKUP(TableWRRanks32[[#This Row],[Player]],WR!B:O,9,FALSE)</f>
        <v>#N/A</v>
      </c>
      <c r="AN207" s="272" t="str">
        <f>IFERROR(INDEX(TableWRCalcPts[Custom],MATCH(TableWRRanks32[[#This Row],[RK]],TableWRCalcPts[RK],0)),"")</f>
        <v/>
      </c>
      <c r="AO207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8" spans="30:41" x14ac:dyDescent="0.3">
      <c r="AD208" s="22">
        <v>207</v>
      </c>
      <c r="AE208" s="274" t="str">
        <f>IFERROR(INDEX(TableWRCalcPts[PLAYER],MATCH(TableWRRanks32[[#This Row],[RK]],TableWRCalcPts[RK],0)),"")</f>
        <v/>
      </c>
      <c r="AF208" s="274" t="str">
        <f>IFERROR(INDEX(TableWRCalcPts[TM],MATCH(TableWRRanks32[[#This Row],[Player]],TableWRCalcPts[PLAYER],0)),"")</f>
        <v/>
      </c>
      <c r="AG208" s="274" t="str">
        <f>IFERROR(INDEX(TableWRCalcPts[BYE],MATCH(TableWRRanks32[[#This Row],[RK]],TableWRCalcPts[RK],0)),"")</f>
        <v/>
      </c>
      <c r="AH208" s="279" t="e">
        <f>VLOOKUP(TableWRRanks32[[#This Row],[Player]],WR!B:O,4,FALSE)</f>
        <v>#N/A</v>
      </c>
      <c r="AI208" s="279" t="e">
        <f>VLOOKUP(TableWRRanks32[[#This Row],[Player]],WR!B:O,5,FALSE)</f>
        <v>#N/A</v>
      </c>
      <c r="AJ208" s="279" t="e">
        <f>VLOOKUP(TableWRRanks32[[#This Row],[Player]],WR!B:O,6,FALSE)</f>
        <v>#N/A</v>
      </c>
      <c r="AK208" s="279" t="e">
        <f>VLOOKUP(TableWRRanks32[[#This Row],[Player]],WR!B:O,7,FALSE)</f>
        <v>#N/A</v>
      </c>
      <c r="AL208" s="279" t="e">
        <f>VLOOKUP(TableWRRanks32[[#This Row],[Player]],WR!B:O,8,FALSE)</f>
        <v>#N/A</v>
      </c>
      <c r="AM208" s="279" t="e">
        <f>VLOOKUP(TableWRRanks32[[#This Row],[Player]],WR!B:O,9,FALSE)</f>
        <v>#N/A</v>
      </c>
      <c r="AN208" s="272" t="str">
        <f>IFERROR(INDEX(TableWRCalcPts[Custom],MATCH(TableWRRanks32[[#This Row],[RK]],TableWRCalcPts[RK],0)),"")</f>
        <v/>
      </c>
      <c r="AO208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09" spans="30:41" x14ac:dyDescent="0.3">
      <c r="AD209" s="22">
        <v>208</v>
      </c>
      <c r="AE209" s="274" t="str">
        <f>IFERROR(INDEX(TableWRCalcPts[PLAYER],MATCH(TableWRRanks32[[#This Row],[RK]],TableWRCalcPts[RK],0)),"")</f>
        <v/>
      </c>
      <c r="AF209" s="274" t="str">
        <f>IFERROR(INDEX(TableWRCalcPts[TM],MATCH(TableWRRanks32[[#This Row],[Player]],TableWRCalcPts[PLAYER],0)),"")</f>
        <v/>
      </c>
      <c r="AG209" s="274" t="str">
        <f>IFERROR(INDEX(TableWRCalcPts[BYE],MATCH(TableWRRanks32[[#This Row],[RK]],TableWRCalcPts[RK],0)),"")</f>
        <v/>
      </c>
      <c r="AH209" s="279" t="e">
        <f>VLOOKUP(TableWRRanks32[[#This Row],[Player]],WR!B:O,4,FALSE)</f>
        <v>#N/A</v>
      </c>
      <c r="AI209" s="279" t="e">
        <f>VLOOKUP(TableWRRanks32[[#This Row],[Player]],WR!B:O,5,FALSE)</f>
        <v>#N/A</v>
      </c>
      <c r="AJ209" s="279" t="e">
        <f>VLOOKUP(TableWRRanks32[[#This Row],[Player]],WR!B:O,6,FALSE)</f>
        <v>#N/A</v>
      </c>
      <c r="AK209" s="279" t="e">
        <f>VLOOKUP(TableWRRanks32[[#This Row],[Player]],WR!B:O,7,FALSE)</f>
        <v>#N/A</v>
      </c>
      <c r="AL209" s="279" t="e">
        <f>VLOOKUP(TableWRRanks32[[#This Row],[Player]],WR!B:O,8,FALSE)</f>
        <v>#N/A</v>
      </c>
      <c r="AM209" s="279" t="e">
        <f>VLOOKUP(TableWRRanks32[[#This Row],[Player]],WR!B:O,9,FALSE)</f>
        <v>#N/A</v>
      </c>
      <c r="AN209" s="272" t="str">
        <f>IFERROR(INDEX(TableWRCalcPts[Custom],MATCH(TableWRRanks32[[#This Row],[RK]],TableWRCalcPts[RK],0)),"")</f>
        <v/>
      </c>
      <c r="AO209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0" spans="30:41" x14ac:dyDescent="0.3">
      <c r="AD210" s="274">
        <v>209</v>
      </c>
      <c r="AE210" s="274" t="str">
        <f>IFERROR(INDEX(TableWRCalcPts[PLAYER],MATCH(TableWRRanks32[[#This Row],[RK]],TableWRCalcPts[RK],0)),"")</f>
        <v/>
      </c>
      <c r="AF210" s="274" t="str">
        <f>IFERROR(INDEX(TableWRCalcPts[TM],MATCH(TableWRRanks32[[#This Row],[Player]],TableWRCalcPts[PLAYER],0)),"")</f>
        <v/>
      </c>
      <c r="AG210" s="274" t="str">
        <f>IFERROR(INDEX(TableWRCalcPts[BYE],MATCH(TableWRRanks32[[#This Row],[RK]],TableWRCalcPts[RK],0)),"")</f>
        <v/>
      </c>
      <c r="AH210" s="279" t="e">
        <f>VLOOKUP(TableWRRanks32[[#This Row],[Player]],WR!B:O,4,FALSE)</f>
        <v>#N/A</v>
      </c>
      <c r="AI210" s="279" t="e">
        <f>VLOOKUP(TableWRRanks32[[#This Row],[Player]],WR!B:O,5,FALSE)</f>
        <v>#N/A</v>
      </c>
      <c r="AJ210" s="279" t="e">
        <f>VLOOKUP(TableWRRanks32[[#This Row],[Player]],WR!B:O,6,FALSE)</f>
        <v>#N/A</v>
      </c>
      <c r="AK210" s="279" t="e">
        <f>VLOOKUP(TableWRRanks32[[#This Row],[Player]],WR!B:O,7,FALSE)</f>
        <v>#N/A</v>
      </c>
      <c r="AL210" s="279" t="e">
        <f>VLOOKUP(TableWRRanks32[[#This Row],[Player]],WR!B:O,8,FALSE)</f>
        <v>#N/A</v>
      </c>
      <c r="AM210" s="279" t="e">
        <f>VLOOKUP(TableWRRanks32[[#This Row],[Player]],WR!B:O,9,FALSE)</f>
        <v>#N/A</v>
      </c>
      <c r="AN210" s="272" t="str">
        <f>IFERROR(INDEX(TableWRCalcPts[Custom],MATCH(TableWRRanks32[[#This Row],[RK]],TableWRCalcPts[RK],0)),"")</f>
        <v/>
      </c>
      <c r="AO210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1" spans="30:41" x14ac:dyDescent="0.3">
      <c r="AD211" s="22">
        <v>210</v>
      </c>
      <c r="AE211" s="274" t="str">
        <f>IFERROR(INDEX(TableWRCalcPts[PLAYER],MATCH(TableWRRanks32[[#This Row],[RK]],TableWRCalcPts[RK],0)),"")</f>
        <v/>
      </c>
      <c r="AF211" s="274" t="str">
        <f>IFERROR(INDEX(TableWRCalcPts[TM],MATCH(TableWRRanks32[[#This Row],[Player]],TableWRCalcPts[PLAYER],0)),"")</f>
        <v/>
      </c>
      <c r="AG211" s="274" t="str">
        <f>IFERROR(INDEX(TableWRCalcPts[BYE],MATCH(TableWRRanks32[[#This Row],[RK]],TableWRCalcPts[RK],0)),"")</f>
        <v/>
      </c>
      <c r="AH211" s="279" t="e">
        <f>VLOOKUP(TableWRRanks32[[#This Row],[Player]],WR!B:O,4,FALSE)</f>
        <v>#N/A</v>
      </c>
      <c r="AI211" s="279" t="e">
        <f>VLOOKUP(TableWRRanks32[[#This Row],[Player]],WR!B:O,5,FALSE)</f>
        <v>#N/A</v>
      </c>
      <c r="AJ211" s="279" t="e">
        <f>VLOOKUP(TableWRRanks32[[#This Row],[Player]],WR!B:O,6,FALSE)</f>
        <v>#N/A</v>
      </c>
      <c r="AK211" s="279" t="e">
        <f>VLOOKUP(TableWRRanks32[[#This Row],[Player]],WR!B:O,7,FALSE)</f>
        <v>#N/A</v>
      </c>
      <c r="AL211" s="279" t="e">
        <f>VLOOKUP(TableWRRanks32[[#This Row],[Player]],WR!B:O,8,FALSE)</f>
        <v>#N/A</v>
      </c>
      <c r="AM211" s="279" t="e">
        <f>VLOOKUP(TableWRRanks32[[#This Row],[Player]],WR!B:O,9,FALSE)</f>
        <v>#N/A</v>
      </c>
      <c r="AN211" s="272" t="str">
        <f>IFERROR(INDEX(TableWRCalcPts[Custom],MATCH(TableWRRanks32[[#This Row],[RK]],TableWRCalcPts[RK],0)),"")</f>
        <v/>
      </c>
      <c r="AO211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2" spans="30:41" x14ac:dyDescent="0.3">
      <c r="AD212" s="22">
        <v>211</v>
      </c>
      <c r="AE212" s="274" t="str">
        <f>IFERROR(INDEX(TableWRCalcPts[PLAYER],MATCH(TableWRRanks32[[#This Row],[RK]],TableWRCalcPts[RK],0)),"")</f>
        <v/>
      </c>
      <c r="AF212" s="274" t="str">
        <f>IFERROR(INDEX(TableWRCalcPts[TM],MATCH(TableWRRanks32[[#This Row],[Player]],TableWRCalcPts[PLAYER],0)),"")</f>
        <v/>
      </c>
      <c r="AG212" s="274" t="str">
        <f>IFERROR(INDEX(TableWRCalcPts[BYE],MATCH(TableWRRanks32[[#This Row],[RK]],TableWRCalcPts[RK],0)),"")</f>
        <v/>
      </c>
      <c r="AH212" s="279" t="e">
        <f>VLOOKUP(TableWRRanks32[[#This Row],[Player]],WR!B:O,4,FALSE)</f>
        <v>#N/A</v>
      </c>
      <c r="AI212" s="279" t="e">
        <f>VLOOKUP(TableWRRanks32[[#This Row],[Player]],WR!B:O,5,FALSE)</f>
        <v>#N/A</v>
      </c>
      <c r="AJ212" s="279" t="e">
        <f>VLOOKUP(TableWRRanks32[[#This Row],[Player]],WR!B:O,6,FALSE)</f>
        <v>#N/A</v>
      </c>
      <c r="AK212" s="279" t="e">
        <f>VLOOKUP(TableWRRanks32[[#This Row],[Player]],WR!B:O,7,FALSE)</f>
        <v>#N/A</v>
      </c>
      <c r="AL212" s="279" t="e">
        <f>VLOOKUP(TableWRRanks32[[#This Row],[Player]],WR!B:O,8,FALSE)</f>
        <v>#N/A</v>
      </c>
      <c r="AM212" s="279" t="e">
        <f>VLOOKUP(TableWRRanks32[[#This Row],[Player]],WR!B:O,9,FALSE)</f>
        <v>#N/A</v>
      </c>
      <c r="AN212" s="272" t="str">
        <f>IFERROR(INDEX(TableWRCalcPts[Custom],MATCH(TableWRRanks32[[#This Row],[RK]],TableWRCalcPts[RK],0)),"")</f>
        <v/>
      </c>
      <c r="AO212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3" spans="30:41" x14ac:dyDescent="0.3">
      <c r="AD213" s="274">
        <v>212</v>
      </c>
      <c r="AE213" s="274" t="str">
        <f>IFERROR(INDEX(TableWRCalcPts[PLAYER],MATCH(TableWRRanks32[[#This Row],[RK]],TableWRCalcPts[RK],0)),"")</f>
        <v/>
      </c>
      <c r="AF213" s="274" t="str">
        <f>IFERROR(INDEX(TableWRCalcPts[TM],MATCH(TableWRRanks32[[#This Row],[Player]],TableWRCalcPts[PLAYER],0)),"")</f>
        <v/>
      </c>
      <c r="AG213" s="274" t="str">
        <f>IFERROR(INDEX(TableWRCalcPts[BYE],MATCH(TableWRRanks32[[#This Row],[RK]],TableWRCalcPts[RK],0)),"")</f>
        <v/>
      </c>
      <c r="AH213" s="279" t="e">
        <f>VLOOKUP(TableWRRanks32[[#This Row],[Player]],WR!B:O,4,FALSE)</f>
        <v>#N/A</v>
      </c>
      <c r="AI213" s="279" t="e">
        <f>VLOOKUP(TableWRRanks32[[#This Row],[Player]],WR!B:O,5,FALSE)</f>
        <v>#N/A</v>
      </c>
      <c r="AJ213" s="279" t="e">
        <f>VLOOKUP(TableWRRanks32[[#This Row],[Player]],WR!B:O,6,FALSE)</f>
        <v>#N/A</v>
      </c>
      <c r="AK213" s="279" t="e">
        <f>VLOOKUP(TableWRRanks32[[#This Row],[Player]],WR!B:O,7,FALSE)</f>
        <v>#N/A</v>
      </c>
      <c r="AL213" s="279" t="e">
        <f>VLOOKUP(TableWRRanks32[[#This Row],[Player]],WR!B:O,8,FALSE)</f>
        <v>#N/A</v>
      </c>
      <c r="AM213" s="279" t="e">
        <f>VLOOKUP(TableWRRanks32[[#This Row],[Player]],WR!B:O,9,FALSE)</f>
        <v>#N/A</v>
      </c>
      <c r="AN213" s="272" t="str">
        <f>IFERROR(INDEX(TableWRCalcPts[Custom],MATCH(TableWRRanks32[[#This Row],[RK]],TableWRCalcPts[RK],0)),"")</f>
        <v/>
      </c>
      <c r="AO213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4" spans="30:41" x14ac:dyDescent="0.3">
      <c r="AD214" s="22">
        <v>213</v>
      </c>
      <c r="AE214" s="274" t="str">
        <f>IFERROR(INDEX(TableWRCalcPts[PLAYER],MATCH(TableWRRanks32[[#This Row],[RK]],TableWRCalcPts[RK],0)),"")</f>
        <v/>
      </c>
      <c r="AF214" s="274" t="str">
        <f>IFERROR(INDEX(TableWRCalcPts[TM],MATCH(TableWRRanks32[[#This Row],[Player]],TableWRCalcPts[PLAYER],0)),"")</f>
        <v/>
      </c>
      <c r="AG214" s="274" t="str">
        <f>IFERROR(INDEX(TableWRCalcPts[BYE],MATCH(TableWRRanks32[[#This Row],[RK]],TableWRCalcPts[RK],0)),"")</f>
        <v/>
      </c>
      <c r="AH214" s="279" t="e">
        <f>VLOOKUP(TableWRRanks32[[#This Row],[Player]],WR!B:O,4,FALSE)</f>
        <v>#N/A</v>
      </c>
      <c r="AI214" s="279" t="e">
        <f>VLOOKUP(TableWRRanks32[[#This Row],[Player]],WR!B:O,5,FALSE)</f>
        <v>#N/A</v>
      </c>
      <c r="AJ214" s="279" t="e">
        <f>VLOOKUP(TableWRRanks32[[#This Row],[Player]],WR!B:O,6,FALSE)</f>
        <v>#N/A</v>
      </c>
      <c r="AK214" s="279" t="e">
        <f>VLOOKUP(TableWRRanks32[[#This Row],[Player]],WR!B:O,7,FALSE)</f>
        <v>#N/A</v>
      </c>
      <c r="AL214" s="279" t="e">
        <f>VLOOKUP(TableWRRanks32[[#This Row],[Player]],WR!B:O,8,FALSE)</f>
        <v>#N/A</v>
      </c>
      <c r="AM214" s="279" t="e">
        <f>VLOOKUP(TableWRRanks32[[#This Row],[Player]],WR!B:O,9,FALSE)</f>
        <v>#N/A</v>
      </c>
      <c r="AN214" s="272" t="str">
        <f>IFERROR(INDEX(TableWRCalcPts[Custom],MATCH(TableWRRanks32[[#This Row],[RK]],TableWRCalcPts[RK],0)),"")</f>
        <v/>
      </c>
      <c r="AO214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5" spans="30:41" x14ac:dyDescent="0.3">
      <c r="AD215" s="22">
        <v>214</v>
      </c>
      <c r="AE215" s="274" t="str">
        <f>IFERROR(INDEX(TableWRCalcPts[PLAYER],MATCH(TableWRRanks32[[#This Row],[RK]],TableWRCalcPts[RK],0)),"")</f>
        <v/>
      </c>
      <c r="AF215" s="274" t="str">
        <f>IFERROR(INDEX(TableWRCalcPts[TM],MATCH(TableWRRanks32[[#This Row],[Player]],TableWRCalcPts[PLAYER],0)),"")</f>
        <v/>
      </c>
      <c r="AG215" s="274" t="str">
        <f>IFERROR(INDEX(TableWRCalcPts[BYE],MATCH(TableWRRanks32[[#This Row],[RK]],TableWRCalcPts[RK],0)),"")</f>
        <v/>
      </c>
      <c r="AH215" s="279" t="e">
        <f>VLOOKUP(TableWRRanks32[[#This Row],[Player]],WR!B:O,4,FALSE)</f>
        <v>#N/A</v>
      </c>
      <c r="AI215" s="279" t="e">
        <f>VLOOKUP(TableWRRanks32[[#This Row],[Player]],WR!B:O,5,FALSE)</f>
        <v>#N/A</v>
      </c>
      <c r="AJ215" s="279" t="e">
        <f>VLOOKUP(TableWRRanks32[[#This Row],[Player]],WR!B:O,6,FALSE)</f>
        <v>#N/A</v>
      </c>
      <c r="AK215" s="279" t="e">
        <f>VLOOKUP(TableWRRanks32[[#This Row],[Player]],WR!B:O,7,FALSE)</f>
        <v>#N/A</v>
      </c>
      <c r="AL215" s="279" t="e">
        <f>VLOOKUP(TableWRRanks32[[#This Row],[Player]],WR!B:O,8,FALSE)</f>
        <v>#N/A</v>
      </c>
      <c r="AM215" s="279" t="e">
        <f>VLOOKUP(TableWRRanks32[[#This Row],[Player]],WR!B:O,9,FALSE)</f>
        <v>#N/A</v>
      </c>
      <c r="AN215" s="272" t="str">
        <f>IFERROR(INDEX(TableWRCalcPts[Custom],MATCH(TableWRRanks32[[#This Row],[RK]],TableWRCalcPts[RK],0)),"")</f>
        <v/>
      </c>
      <c r="AO215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6" spans="30:41" x14ac:dyDescent="0.3">
      <c r="AD216" s="274">
        <v>215</v>
      </c>
      <c r="AE216" s="274" t="str">
        <f>IFERROR(INDEX(TableWRCalcPts[PLAYER],MATCH(TableWRRanks32[[#This Row],[RK]],TableWRCalcPts[RK],0)),"")</f>
        <v/>
      </c>
      <c r="AF216" s="274" t="str">
        <f>IFERROR(INDEX(TableWRCalcPts[TM],MATCH(TableWRRanks32[[#This Row],[Player]],TableWRCalcPts[PLAYER],0)),"")</f>
        <v/>
      </c>
      <c r="AG216" s="274" t="str">
        <f>IFERROR(INDEX(TableWRCalcPts[BYE],MATCH(TableWRRanks32[[#This Row],[RK]],TableWRCalcPts[RK],0)),"")</f>
        <v/>
      </c>
      <c r="AH216" s="279" t="e">
        <f>VLOOKUP(TableWRRanks32[[#This Row],[Player]],WR!B:O,4,FALSE)</f>
        <v>#N/A</v>
      </c>
      <c r="AI216" s="279" t="e">
        <f>VLOOKUP(TableWRRanks32[[#This Row],[Player]],WR!B:O,5,FALSE)</f>
        <v>#N/A</v>
      </c>
      <c r="AJ216" s="279" t="e">
        <f>VLOOKUP(TableWRRanks32[[#This Row],[Player]],WR!B:O,6,FALSE)</f>
        <v>#N/A</v>
      </c>
      <c r="AK216" s="279" t="e">
        <f>VLOOKUP(TableWRRanks32[[#This Row],[Player]],WR!B:O,7,FALSE)</f>
        <v>#N/A</v>
      </c>
      <c r="AL216" s="279" t="e">
        <f>VLOOKUP(TableWRRanks32[[#This Row],[Player]],WR!B:O,8,FALSE)</f>
        <v>#N/A</v>
      </c>
      <c r="AM216" s="279" t="e">
        <f>VLOOKUP(TableWRRanks32[[#This Row],[Player]],WR!B:O,9,FALSE)</f>
        <v>#N/A</v>
      </c>
      <c r="AN216" s="272" t="str">
        <f>IFERROR(INDEX(TableWRCalcPts[Custom],MATCH(TableWRRanks32[[#This Row],[RK]],TableWRCalcPts[RK],0)),"")</f>
        <v/>
      </c>
      <c r="AO216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7" spans="30:41" x14ac:dyDescent="0.3">
      <c r="AD217" s="22">
        <v>216</v>
      </c>
      <c r="AE217" s="274" t="str">
        <f>IFERROR(INDEX(TableWRCalcPts[PLAYER],MATCH(TableWRRanks32[[#This Row],[RK]],TableWRCalcPts[RK],0)),"")</f>
        <v/>
      </c>
      <c r="AF217" s="274" t="str">
        <f>IFERROR(INDEX(TableWRCalcPts[TM],MATCH(TableWRRanks32[[#This Row],[Player]],TableWRCalcPts[PLAYER],0)),"")</f>
        <v/>
      </c>
      <c r="AG217" s="274" t="str">
        <f>IFERROR(INDEX(TableWRCalcPts[BYE],MATCH(TableWRRanks32[[#This Row],[RK]],TableWRCalcPts[RK],0)),"")</f>
        <v/>
      </c>
      <c r="AH217" s="279" t="e">
        <f>VLOOKUP(TableWRRanks32[[#This Row],[Player]],WR!B:O,4,FALSE)</f>
        <v>#N/A</v>
      </c>
      <c r="AI217" s="279" t="e">
        <f>VLOOKUP(TableWRRanks32[[#This Row],[Player]],WR!B:O,5,FALSE)</f>
        <v>#N/A</v>
      </c>
      <c r="AJ217" s="279" t="e">
        <f>VLOOKUP(TableWRRanks32[[#This Row],[Player]],WR!B:O,6,FALSE)</f>
        <v>#N/A</v>
      </c>
      <c r="AK217" s="279" t="e">
        <f>VLOOKUP(TableWRRanks32[[#This Row],[Player]],WR!B:O,7,FALSE)</f>
        <v>#N/A</v>
      </c>
      <c r="AL217" s="279" t="e">
        <f>VLOOKUP(TableWRRanks32[[#This Row],[Player]],WR!B:O,8,FALSE)</f>
        <v>#N/A</v>
      </c>
      <c r="AM217" s="279" t="e">
        <f>VLOOKUP(TableWRRanks32[[#This Row],[Player]],WR!B:O,9,FALSE)</f>
        <v>#N/A</v>
      </c>
      <c r="AN217" s="272" t="str">
        <f>IFERROR(INDEX(TableWRCalcPts[Custom],MATCH(TableWRRanks32[[#This Row],[RK]],TableWRCalcPts[RK],0)),"")</f>
        <v/>
      </c>
      <c r="AO217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8" spans="30:41" x14ac:dyDescent="0.3">
      <c r="AD218" s="22">
        <v>217</v>
      </c>
      <c r="AE218" s="274" t="str">
        <f>IFERROR(INDEX(TableWRCalcPts[PLAYER],MATCH(TableWRRanks32[[#This Row],[RK]],TableWRCalcPts[RK],0)),"")</f>
        <v/>
      </c>
      <c r="AF218" s="274" t="str">
        <f>IFERROR(INDEX(TableWRCalcPts[TM],MATCH(TableWRRanks32[[#This Row],[Player]],TableWRCalcPts[PLAYER],0)),"")</f>
        <v/>
      </c>
      <c r="AG218" s="274" t="str">
        <f>IFERROR(INDEX(TableWRCalcPts[BYE],MATCH(TableWRRanks32[[#This Row],[RK]],TableWRCalcPts[RK],0)),"")</f>
        <v/>
      </c>
      <c r="AH218" s="279" t="e">
        <f>VLOOKUP(TableWRRanks32[[#This Row],[Player]],WR!B:O,4,FALSE)</f>
        <v>#N/A</v>
      </c>
      <c r="AI218" s="279" t="e">
        <f>VLOOKUP(TableWRRanks32[[#This Row],[Player]],WR!B:O,5,FALSE)</f>
        <v>#N/A</v>
      </c>
      <c r="AJ218" s="279" t="e">
        <f>VLOOKUP(TableWRRanks32[[#This Row],[Player]],WR!B:O,6,FALSE)</f>
        <v>#N/A</v>
      </c>
      <c r="AK218" s="279" t="e">
        <f>VLOOKUP(TableWRRanks32[[#This Row],[Player]],WR!B:O,7,FALSE)</f>
        <v>#N/A</v>
      </c>
      <c r="AL218" s="279" t="e">
        <f>VLOOKUP(TableWRRanks32[[#This Row],[Player]],WR!B:O,8,FALSE)</f>
        <v>#N/A</v>
      </c>
      <c r="AM218" s="279" t="e">
        <f>VLOOKUP(TableWRRanks32[[#This Row],[Player]],WR!B:O,9,FALSE)</f>
        <v>#N/A</v>
      </c>
      <c r="AN218" s="272" t="str">
        <f>IFERROR(INDEX(TableWRCalcPts[Custom],MATCH(TableWRRanks32[[#This Row],[RK]],TableWRCalcPts[RK],0)),"")</f>
        <v/>
      </c>
      <c r="AO218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19" spans="30:41" x14ac:dyDescent="0.3">
      <c r="AD219" s="274">
        <v>218</v>
      </c>
      <c r="AE219" s="274" t="str">
        <f>IFERROR(INDEX(TableWRCalcPts[PLAYER],MATCH(TableWRRanks32[[#This Row],[RK]],TableWRCalcPts[RK],0)),"")</f>
        <v/>
      </c>
      <c r="AF219" s="274" t="str">
        <f>IFERROR(INDEX(TableWRCalcPts[TM],MATCH(TableWRRanks32[[#This Row],[Player]],TableWRCalcPts[PLAYER],0)),"")</f>
        <v/>
      </c>
      <c r="AG219" s="274" t="str">
        <f>IFERROR(INDEX(TableWRCalcPts[BYE],MATCH(TableWRRanks32[[#This Row],[RK]],TableWRCalcPts[RK],0)),"")</f>
        <v/>
      </c>
      <c r="AH219" s="279" t="e">
        <f>VLOOKUP(TableWRRanks32[[#This Row],[Player]],WR!B:O,4,FALSE)</f>
        <v>#N/A</v>
      </c>
      <c r="AI219" s="279" t="e">
        <f>VLOOKUP(TableWRRanks32[[#This Row],[Player]],WR!B:O,5,FALSE)</f>
        <v>#N/A</v>
      </c>
      <c r="AJ219" s="279" t="e">
        <f>VLOOKUP(TableWRRanks32[[#This Row],[Player]],WR!B:O,6,FALSE)</f>
        <v>#N/A</v>
      </c>
      <c r="AK219" s="279" t="e">
        <f>VLOOKUP(TableWRRanks32[[#This Row],[Player]],WR!B:O,7,FALSE)</f>
        <v>#N/A</v>
      </c>
      <c r="AL219" s="279" t="e">
        <f>VLOOKUP(TableWRRanks32[[#This Row],[Player]],WR!B:O,8,FALSE)</f>
        <v>#N/A</v>
      </c>
      <c r="AM219" s="279" t="e">
        <f>VLOOKUP(TableWRRanks32[[#This Row],[Player]],WR!B:O,9,FALSE)</f>
        <v>#N/A</v>
      </c>
      <c r="AN219" s="272" t="str">
        <f>IFERROR(INDEX(TableWRCalcPts[Custom],MATCH(TableWRRanks32[[#This Row],[RK]],TableWRCalcPts[RK],0)),"")</f>
        <v/>
      </c>
      <c r="AO219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20" spans="30:41" x14ac:dyDescent="0.3">
      <c r="AD220" s="22">
        <v>219</v>
      </c>
      <c r="AE220" s="274" t="str">
        <f>IFERROR(INDEX(TableWRCalcPts[PLAYER],MATCH(TableWRRanks32[[#This Row],[RK]],TableWRCalcPts[RK],0)),"")</f>
        <v/>
      </c>
      <c r="AF220" s="274" t="str">
        <f>IFERROR(INDEX(TableWRCalcPts[TM],MATCH(TableWRRanks32[[#This Row],[Player]],TableWRCalcPts[PLAYER],0)),"")</f>
        <v/>
      </c>
      <c r="AG220" s="274" t="str">
        <f>IFERROR(INDEX(TableWRCalcPts[BYE],MATCH(TableWRRanks32[[#This Row],[RK]],TableWRCalcPts[RK],0)),"")</f>
        <v/>
      </c>
      <c r="AH220" s="279" t="e">
        <f>VLOOKUP(TableWRRanks32[[#This Row],[Player]],WR!B:O,4,FALSE)</f>
        <v>#N/A</v>
      </c>
      <c r="AI220" s="279" t="e">
        <f>VLOOKUP(TableWRRanks32[[#This Row],[Player]],WR!B:O,5,FALSE)</f>
        <v>#N/A</v>
      </c>
      <c r="AJ220" s="279" t="e">
        <f>VLOOKUP(TableWRRanks32[[#This Row],[Player]],WR!B:O,6,FALSE)</f>
        <v>#N/A</v>
      </c>
      <c r="AK220" s="279" t="e">
        <f>VLOOKUP(TableWRRanks32[[#This Row],[Player]],WR!B:O,7,FALSE)</f>
        <v>#N/A</v>
      </c>
      <c r="AL220" s="279" t="e">
        <f>VLOOKUP(TableWRRanks32[[#This Row],[Player]],WR!B:O,8,FALSE)</f>
        <v>#N/A</v>
      </c>
      <c r="AM220" s="279" t="e">
        <f>VLOOKUP(TableWRRanks32[[#This Row],[Player]],WR!B:O,9,FALSE)</f>
        <v>#N/A</v>
      </c>
      <c r="AN220" s="272" t="str">
        <f>IFERROR(INDEX(TableWRCalcPts[Custom],MATCH(TableWRRanks32[[#This Row],[RK]],TableWRCalcPts[RK],0)),"")</f>
        <v/>
      </c>
      <c r="AO220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  <row r="221" spans="30:41" x14ac:dyDescent="0.3">
      <c r="AD221" s="22">
        <v>220</v>
      </c>
      <c r="AE221" s="274" t="str">
        <f>IFERROR(INDEX(TableWRCalcPts[PLAYER],MATCH(TableWRRanks32[[#This Row],[RK]],TableWRCalcPts[RK],0)),"")</f>
        <v/>
      </c>
      <c r="AF221" s="274" t="str">
        <f>IFERROR(INDEX(TableWRCalcPts[TM],MATCH(TableWRRanks32[[#This Row],[Player]],TableWRCalcPts[PLAYER],0)),"")</f>
        <v/>
      </c>
      <c r="AG221" s="274" t="str">
        <f>IFERROR(INDEX(TableWRCalcPts[BYE],MATCH(TableWRRanks32[[#This Row],[RK]],TableWRCalcPts[RK],0)),"")</f>
        <v/>
      </c>
      <c r="AH221" s="279" t="e">
        <f>VLOOKUP(TableWRRanks32[[#This Row],[Player]],WR!B:O,4,FALSE)</f>
        <v>#N/A</v>
      </c>
      <c r="AI221" s="279" t="e">
        <f>VLOOKUP(TableWRRanks32[[#This Row],[Player]],WR!B:O,5,FALSE)</f>
        <v>#N/A</v>
      </c>
      <c r="AJ221" s="279" t="e">
        <f>VLOOKUP(TableWRRanks32[[#This Row],[Player]],WR!B:O,6,FALSE)</f>
        <v>#N/A</v>
      </c>
      <c r="AK221" s="279" t="e">
        <f>VLOOKUP(TableWRRanks32[[#This Row],[Player]],WR!B:O,7,FALSE)</f>
        <v>#N/A</v>
      </c>
      <c r="AL221" s="279" t="e">
        <f>VLOOKUP(TableWRRanks32[[#This Row],[Player]],WR!B:O,8,FALSE)</f>
        <v>#N/A</v>
      </c>
      <c r="AM221" s="279" t="e">
        <f>VLOOKUP(TableWRRanks32[[#This Row],[Player]],WR!B:O,9,FALSE)</f>
        <v>#N/A</v>
      </c>
      <c r="AN221" s="272" t="str">
        <f>IFERROR(INDEX(TableWRCalcPts[Custom],MATCH(TableWRRanks32[[#This Row],[RK]],TableWRCalcPts[RK],0)),"")</f>
        <v/>
      </c>
      <c r="AO221" s="273" t="e">
        <f>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</f>
        <v>#VALUE!</v>
      </c>
    </row>
  </sheetData>
  <sheetProtection sheet="1" objects="1" scenarios="1" sort="0" autoFilter="0"/>
  <protectedRanges>
    <protectedRange sqref="A1:AZ239" name="QBRanks"/>
  </protectedRanges>
  <phoneticPr fontId="16" type="noConversion"/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193"/>
  <sheetViews>
    <sheetView zoomScale="85" zoomScaleNormal="85" workbookViewId="0">
      <selection activeCell="A3" sqref="A3"/>
    </sheetView>
  </sheetViews>
  <sheetFormatPr defaultColWidth="3.6640625" defaultRowHeight="13.8" x14ac:dyDescent="0.3"/>
  <cols>
    <col min="1" max="1" width="22" style="227" bestFit="1" customWidth="1"/>
    <col min="2" max="2" width="5.33203125" style="227" bestFit="1" customWidth="1"/>
    <col min="3" max="4" width="5.6640625" style="228" bestFit="1" customWidth="1"/>
    <col min="5" max="5" width="6.6640625" style="228" bestFit="1" customWidth="1"/>
    <col min="6" max="7" width="4.6640625" style="228" bestFit="1" customWidth="1"/>
    <col min="8" max="8" width="5.6640625" style="228" bestFit="1" customWidth="1"/>
    <col min="9" max="9" width="4" style="228" bestFit="1" customWidth="1"/>
    <col min="10" max="10" width="3.6640625" style="228"/>
    <col min="11" max="11" width="6" style="227" bestFit="1" customWidth="1"/>
    <col min="12" max="12" width="5.6640625" style="227" bestFit="1" customWidth="1"/>
    <col min="13" max="13" width="6.88671875" style="227" bestFit="1" customWidth="1"/>
    <col min="14" max="15" width="7" style="227" bestFit="1" customWidth="1"/>
    <col min="16" max="16" width="3.6640625" style="227"/>
    <col min="17" max="17" width="6.6640625" style="239" bestFit="1" customWidth="1"/>
    <col min="18" max="18" width="7.44140625" style="239" bestFit="1" customWidth="1"/>
    <col min="19" max="16384" width="3.6640625" style="227"/>
  </cols>
  <sheetData>
    <row r="1" spans="1:18" s="231" customFormat="1" x14ac:dyDescent="0.3">
      <c r="A1" s="231" t="s">
        <v>507</v>
      </c>
      <c r="B1" s="231" t="s">
        <v>711</v>
      </c>
      <c r="C1" s="232" t="s">
        <v>3</v>
      </c>
      <c r="D1" s="232" t="s">
        <v>4</v>
      </c>
      <c r="E1" s="232" t="s">
        <v>445</v>
      </c>
      <c r="F1" s="232" t="s">
        <v>708</v>
      </c>
      <c r="G1" s="232" t="s">
        <v>709</v>
      </c>
      <c r="H1" s="232" t="s">
        <v>445</v>
      </c>
      <c r="I1" s="232" t="s">
        <v>708</v>
      </c>
      <c r="J1" s="232"/>
      <c r="K1" s="231" t="s">
        <v>754</v>
      </c>
      <c r="L1" s="231" t="s">
        <v>753</v>
      </c>
      <c r="M1" s="231" t="s">
        <v>752</v>
      </c>
      <c r="N1" s="231" t="s">
        <v>756</v>
      </c>
      <c r="O1" s="231" t="s">
        <v>755</v>
      </c>
      <c r="Q1" s="238" t="s">
        <v>832</v>
      </c>
      <c r="R1" s="238" t="s">
        <v>833</v>
      </c>
    </row>
    <row r="2" spans="1:18" x14ac:dyDescent="0.3">
      <c r="A2" s="227" t="s">
        <v>24</v>
      </c>
      <c r="B2" s="227" t="s">
        <v>137</v>
      </c>
      <c r="C2" s="228">
        <v>118.6</v>
      </c>
      <c r="D2" s="228">
        <v>79.807000000000002</v>
      </c>
      <c r="E2" s="228">
        <v>987.54660000000001</v>
      </c>
      <c r="F2" s="228">
        <v>6.0760000000000005</v>
      </c>
      <c r="G2" s="228">
        <v>0.375</v>
      </c>
      <c r="H2" s="228">
        <v>1.875</v>
      </c>
      <c r="I2" s="228">
        <v>0</v>
      </c>
      <c r="K2" s="233">
        <f t="shared" ref="K2:K35" si="0">D2/C2</f>
        <v>0.67290893760539638</v>
      </c>
      <c r="L2" s="230">
        <f t="shared" ref="L2:L35" si="1">E2/D2</f>
        <v>12.374185221847707</v>
      </c>
      <c r="M2" s="233">
        <f t="shared" ref="M2:M35" si="2">F2/D2</f>
        <v>7.6133672484869755E-2</v>
      </c>
      <c r="N2" s="230">
        <f t="shared" ref="N2:N35" si="3">H2/G2</f>
        <v>5</v>
      </c>
      <c r="O2" s="233">
        <f t="shared" ref="O2:O35" si="4">I2/G2</f>
        <v>0</v>
      </c>
      <c r="Q2" s="239">
        <f>G2/ARI!D$37</f>
        <v>7.6226430673296175E-4</v>
      </c>
      <c r="R2" s="239">
        <f>C2/ARI!D$34</f>
        <v>0.19018917175590408</v>
      </c>
    </row>
    <row r="3" spans="1:18" x14ac:dyDescent="0.3">
      <c r="A3" s="227" t="s">
        <v>244</v>
      </c>
      <c r="B3" s="227" t="s">
        <v>137</v>
      </c>
      <c r="C3" s="228">
        <v>89.6</v>
      </c>
      <c r="D3" s="228">
        <v>59.636000000000003</v>
      </c>
      <c r="E3" s="228">
        <v>725.38099999999997</v>
      </c>
      <c r="F3" s="228">
        <v>4.6080000000000005</v>
      </c>
      <c r="G3" s="228">
        <v>0</v>
      </c>
      <c r="H3" s="228">
        <v>0.5</v>
      </c>
      <c r="I3" s="228">
        <v>0</v>
      </c>
      <c r="K3" s="233">
        <f t="shared" si="0"/>
        <v>0.66558035714285724</v>
      </c>
      <c r="L3" s="230">
        <f t="shared" si="1"/>
        <v>12.163475082165133</v>
      </c>
      <c r="M3" s="233">
        <f t="shared" si="2"/>
        <v>7.7268763833925821E-2</v>
      </c>
      <c r="N3" s="230" t="e">
        <f t="shared" si="3"/>
        <v>#DIV/0!</v>
      </c>
      <c r="O3" s="233" t="e">
        <f t="shared" si="4"/>
        <v>#DIV/0!</v>
      </c>
      <c r="Q3" s="239">
        <f>G3/ARI!D$37</f>
        <v>0</v>
      </c>
      <c r="R3" s="239">
        <f>C3/ARI!D$34</f>
        <v>0.14368423093869315</v>
      </c>
    </row>
    <row r="4" spans="1:18" x14ac:dyDescent="0.3">
      <c r="A4" s="227" t="s">
        <v>321</v>
      </c>
      <c r="B4" s="227" t="s">
        <v>137</v>
      </c>
      <c r="C4" s="228">
        <v>79.650000000000006</v>
      </c>
      <c r="D4" s="228">
        <v>57.590200000000003</v>
      </c>
      <c r="E4" s="228">
        <v>611.6</v>
      </c>
      <c r="F4" s="228">
        <v>3.4</v>
      </c>
      <c r="G4" s="228">
        <v>18.691500000000001</v>
      </c>
      <c r="H4" s="228">
        <v>93.487499999999997</v>
      </c>
      <c r="I4" s="228">
        <v>0.46250000000000002</v>
      </c>
      <c r="K4" s="233">
        <f t="shared" si="0"/>
        <v>0.7230408035153798</v>
      </c>
      <c r="L4" s="230">
        <f t="shared" si="1"/>
        <v>10.619862407145661</v>
      </c>
      <c r="M4" s="233">
        <f t="shared" si="2"/>
        <v>5.9037822407284571E-2</v>
      </c>
      <c r="N4" s="230">
        <f t="shared" si="3"/>
        <v>5.0016050076237857</v>
      </c>
      <c r="O4" s="233">
        <f t="shared" si="4"/>
        <v>2.4743867533370784E-2</v>
      </c>
      <c r="Q4" s="239">
        <f>G4/ARI!D$37</f>
        <v>3.7994302104797747E-2</v>
      </c>
      <c r="R4" s="239">
        <f>C4/ARI!D$34</f>
        <v>0.12772822538244319</v>
      </c>
    </row>
    <row r="5" spans="1:18" x14ac:dyDescent="0.3">
      <c r="A5" s="227" t="s">
        <v>37</v>
      </c>
      <c r="B5" s="227" t="s">
        <v>137</v>
      </c>
      <c r="C5" s="228">
        <v>72.5</v>
      </c>
      <c r="D5" s="228">
        <v>35.1282</v>
      </c>
      <c r="E5" s="228">
        <v>520.53680000000008</v>
      </c>
      <c r="F5" s="228">
        <v>2.9815999999999998</v>
      </c>
      <c r="G5" s="228">
        <v>0</v>
      </c>
      <c r="H5" s="228">
        <v>0</v>
      </c>
      <c r="I5" s="228">
        <v>0</v>
      </c>
      <c r="K5" s="233">
        <f t="shared" si="0"/>
        <v>0.48452689655172415</v>
      </c>
      <c r="L5" s="230">
        <f t="shared" si="1"/>
        <v>14.818203039153731</v>
      </c>
      <c r="M5" s="233">
        <f t="shared" si="2"/>
        <v>8.4877676624478329E-2</v>
      </c>
      <c r="N5" s="230" t="e">
        <f t="shared" si="3"/>
        <v>#DIV/0!</v>
      </c>
      <c r="O5" s="233" t="e">
        <f t="shared" si="4"/>
        <v>#DIV/0!</v>
      </c>
      <c r="Q5" s="239">
        <f>G5/ARI!D$37</f>
        <v>0</v>
      </c>
      <c r="R5" s="239">
        <f>C5/ARI!D$34</f>
        <v>0.11626235204302737</v>
      </c>
    </row>
    <row r="6" spans="1:18" x14ac:dyDescent="0.3">
      <c r="A6" s="227" t="s">
        <v>583</v>
      </c>
      <c r="B6" s="227" t="s">
        <v>137</v>
      </c>
      <c r="C6" s="228">
        <v>17.149999999999999</v>
      </c>
      <c r="D6" s="228">
        <v>10.17825</v>
      </c>
      <c r="E6" s="228">
        <v>129.41399999999999</v>
      </c>
      <c r="F6" s="228">
        <v>0.92299999999999993</v>
      </c>
      <c r="G6" s="228">
        <v>0</v>
      </c>
      <c r="H6" s="228">
        <v>0</v>
      </c>
      <c r="I6" s="228">
        <v>0</v>
      </c>
      <c r="K6" s="233">
        <f t="shared" si="0"/>
        <v>0.59348396501457734</v>
      </c>
      <c r="L6" s="230">
        <f t="shared" si="1"/>
        <v>12.714759413455161</v>
      </c>
      <c r="M6" s="233">
        <f t="shared" si="2"/>
        <v>9.0683565445926359E-2</v>
      </c>
      <c r="N6" s="230" t="e">
        <f t="shared" si="3"/>
        <v>#DIV/0!</v>
      </c>
      <c r="O6" s="233" t="e">
        <f t="shared" si="4"/>
        <v>#DIV/0!</v>
      </c>
      <c r="Q6" s="239">
        <f>G6/ARI!D$37</f>
        <v>0</v>
      </c>
      <c r="R6" s="239">
        <f>C6/ARI!D$34</f>
        <v>2.7502059828109233E-2</v>
      </c>
    </row>
    <row r="7" spans="1:18" x14ac:dyDescent="0.3">
      <c r="A7" s="227" t="s">
        <v>133</v>
      </c>
      <c r="B7" s="227" t="s">
        <v>137</v>
      </c>
      <c r="C7" s="228">
        <v>15.05</v>
      </c>
      <c r="D7" s="228">
        <v>9.6000000000000014</v>
      </c>
      <c r="E7" s="228">
        <v>123.6</v>
      </c>
      <c r="F7" s="228">
        <v>0.19999999999999998</v>
      </c>
      <c r="G7" s="228">
        <v>0</v>
      </c>
      <c r="H7" s="228">
        <v>0</v>
      </c>
      <c r="I7" s="228">
        <v>0</v>
      </c>
      <c r="K7" s="233">
        <f t="shared" si="0"/>
        <v>0.63787375415282399</v>
      </c>
      <c r="L7" s="230">
        <f t="shared" si="1"/>
        <v>12.874999999999998</v>
      </c>
      <c r="M7" s="233">
        <f t="shared" si="2"/>
        <v>2.0833333333333329E-2</v>
      </c>
      <c r="N7" s="230" t="e">
        <f t="shared" si="3"/>
        <v>#DIV/0!</v>
      </c>
      <c r="O7" s="233" t="e">
        <f t="shared" si="4"/>
        <v>#DIV/0!</v>
      </c>
      <c r="Q7" s="239">
        <f>G7/ARI!D$37</f>
        <v>0</v>
      </c>
      <c r="R7" s="239">
        <f>C7/ARI!D$34</f>
        <v>2.4134460665483616E-2</v>
      </c>
    </row>
    <row r="8" spans="1:18" x14ac:dyDescent="0.3">
      <c r="A8" s="227" t="s">
        <v>584</v>
      </c>
      <c r="B8" s="227" t="s">
        <v>138</v>
      </c>
      <c r="C8" s="228">
        <v>119.35</v>
      </c>
      <c r="D8" s="228">
        <v>67.616000000000014</v>
      </c>
      <c r="E8" s="228">
        <v>933.78</v>
      </c>
      <c r="F8" s="228">
        <v>4.6623999999999999</v>
      </c>
      <c r="G8" s="228">
        <v>0.25</v>
      </c>
      <c r="H8" s="228">
        <v>1.125</v>
      </c>
      <c r="I8" s="228">
        <v>0</v>
      </c>
      <c r="K8" s="233">
        <f t="shared" si="0"/>
        <v>0.56653540008378733</v>
      </c>
      <c r="L8" s="230">
        <f t="shared" si="1"/>
        <v>13.810044959772831</v>
      </c>
      <c r="M8" s="233">
        <f t="shared" si="2"/>
        <v>6.8954093705631783E-2</v>
      </c>
      <c r="N8" s="230">
        <f t="shared" si="3"/>
        <v>4.5</v>
      </c>
      <c r="O8" s="233">
        <f t="shared" si="4"/>
        <v>0</v>
      </c>
      <c r="Q8" s="239">
        <f>G8/ATL!D$37</f>
        <v>6.1700713531731566E-4</v>
      </c>
      <c r="R8" s="239">
        <f>C8/ATL!D$34</f>
        <v>0.18439885278729642</v>
      </c>
    </row>
    <row r="9" spans="1:18" x14ac:dyDescent="0.3">
      <c r="A9" s="227" t="s">
        <v>215</v>
      </c>
      <c r="B9" s="227" t="s">
        <v>138</v>
      </c>
      <c r="C9" s="228">
        <v>45.650000000000006</v>
      </c>
      <c r="D9" s="228">
        <v>26.328499999999998</v>
      </c>
      <c r="E9" s="228">
        <v>415.01875000000001</v>
      </c>
      <c r="F9" s="228">
        <v>2.379</v>
      </c>
      <c r="G9" s="228">
        <v>0</v>
      </c>
      <c r="H9" s="228">
        <v>0</v>
      </c>
      <c r="I9" s="228">
        <v>0</v>
      </c>
      <c r="K9" s="233">
        <f t="shared" si="0"/>
        <v>0.57674698795180712</v>
      </c>
      <c r="L9" s="230">
        <f t="shared" si="1"/>
        <v>15.763098923220086</v>
      </c>
      <c r="M9" s="233">
        <f t="shared" si="2"/>
        <v>9.035835691361073E-2</v>
      </c>
      <c r="N9" s="230" t="e">
        <f t="shared" si="3"/>
        <v>#DIV/0!</v>
      </c>
      <c r="O9" s="233" t="e">
        <f t="shared" si="4"/>
        <v>#DIV/0!</v>
      </c>
      <c r="Q9" s="239">
        <f>G9/ATL!D$37</f>
        <v>0</v>
      </c>
      <c r="R9" s="239">
        <f>C9/ATL!D$34</f>
        <v>7.0530436780394501E-2</v>
      </c>
    </row>
    <row r="10" spans="1:18" x14ac:dyDescent="0.3">
      <c r="A10" s="227" t="s">
        <v>245</v>
      </c>
      <c r="B10" s="227" t="s">
        <v>138</v>
      </c>
      <c r="C10" s="228">
        <v>53.75</v>
      </c>
      <c r="D10" s="228">
        <v>32.145600000000002</v>
      </c>
      <c r="E10" s="228">
        <v>393.82759999999996</v>
      </c>
      <c r="F10" s="228">
        <v>2.2207999999999997</v>
      </c>
      <c r="G10" s="228">
        <v>0.125</v>
      </c>
      <c r="H10" s="228">
        <v>0.75</v>
      </c>
      <c r="I10" s="228">
        <v>0</v>
      </c>
      <c r="K10" s="233">
        <f t="shared" si="0"/>
        <v>0.59805767441860469</v>
      </c>
      <c r="L10" s="230">
        <f t="shared" si="1"/>
        <v>12.251368772087002</v>
      </c>
      <c r="M10" s="233">
        <f t="shared" si="2"/>
        <v>6.9085660245881225E-2</v>
      </c>
      <c r="N10" s="230">
        <f t="shared" si="3"/>
        <v>6</v>
      </c>
      <c r="O10" s="233">
        <f t="shared" si="4"/>
        <v>0</v>
      </c>
      <c r="Q10" s="239">
        <f>G10/ATL!D$37</f>
        <v>3.0850356765865783E-4</v>
      </c>
      <c r="R10" s="239">
        <f>C10/ATL!D$34</f>
        <v>8.3045147359172039E-2</v>
      </c>
    </row>
    <row r="11" spans="1:18" x14ac:dyDescent="0.3">
      <c r="A11" s="227" t="s">
        <v>253</v>
      </c>
      <c r="B11" s="227" t="s">
        <v>138</v>
      </c>
      <c r="C11" s="228">
        <v>34.450000000000003</v>
      </c>
      <c r="D11" s="228">
        <v>22.594999999999999</v>
      </c>
      <c r="E11" s="228">
        <v>251.85</v>
      </c>
      <c r="F11" s="228">
        <v>0.84699999999999998</v>
      </c>
      <c r="G11" s="228">
        <v>0</v>
      </c>
      <c r="H11" s="228">
        <v>0.33333333333333331</v>
      </c>
      <c r="I11" s="228">
        <v>0</v>
      </c>
      <c r="K11" s="233">
        <f t="shared" si="0"/>
        <v>0.65587808417997084</v>
      </c>
      <c r="L11" s="230">
        <f t="shared" si="1"/>
        <v>11.146271298959947</v>
      </c>
      <c r="M11" s="233">
        <f t="shared" si="2"/>
        <v>3.7486169506527993E-2</v>
      </c>
      <c r="N11" s="230" t="e">
        <f t="shared" si="3"/>
        <v>#DIV/0!</v>
      </c>
      <c r="O11" s="233" t="e">
        <f t="shared" si="4"/>
        <v>#DIV/0!</v>
      </c>
      <c r="Q11" s="239">
        <f>G11/ATL!D$37</f>
        <v>0</v>
      </c>
      <c r="R11" s="239">
        <f>C11/ATL!D$34</f>
        <v>5.3226145609739109E-2</v>
      </c>
    </row>
    <row r="12" spans="1:18" x14ac:dyDescent="0.3">
      <c r="A12" s="227" t="s">
        <v>585</v>
      </c>
      <c r="B12" s="227" t="s">
        <v>138</v>
      </c>
      <c r="C12" s="228">
        <v>28.599999999999998</v>
      </c>
      <c r="D12" s="228">
        <v>15.234500000000001</v>
      </c>
      <c r="E12" s="228">
        <v>194.33750000000001</v>
      </c>
      <c r="F12" s="228">
        <v>0.57299999999999995</v>
      </c>
      <c r="G12" s="228">
        <v>0</v>
      </c>
      <c r="H12" s="228">
        <v>0</v>
      </c>
      <c r="I12" s="228">
        <v>0</v>
      </c>
      <c r="K12" s="233">
        <f t="shared" si="0"/>
        <v>0.53267482517482523</v>
      </c>
      <c r="L12" s="230">
        <f t="shared" si="1"/>
        <v>12.756408152548492</v>
      </c>
      <c r="M12" s="233">
        <f t="shared" si="2"/>
        <v>3.7611999081033173E-2</v>
      </c>
      <c r="N12" s="230" t="e">
        <f t="shared" si="3"/>
        <v>#DIV/0!</v>
      </c>
      <c r="O12" s="233" t="e">
        <f t="shared" si="4"/>
        <v>#DIV/0!</v>
      </c>
      <c r="Q12" s="239">
        <f>G12/ATL!D$37</f>
        <v>0</v>
      </c>
      <c r="R12" s="239">
        <f>C12/ATL!D$34</f>
        <v>4.4187743525066422E-2</v>
      </c>
    </row>
    <row r="13" spans="1:18" x14ac:dyDescent="0.3">
      <c r="A13" s="227" t="s">
        <v>203</v>
      </c>
      <c r="B13" s="227" t="s">
        <v>138</v>
      </c>
      <c r="C13" s="228">
        <v>18.399999999999999</v>
      </c>
      <c r="D13" s="228">
        <v>9.9284999999999997</v>
      </c>
      <c r="E13" s="228">
        <v>117.06574999999999</v>
      </c>
      <c r="F13" s="228">
        <v>0.497</v>
      </c>
      <c r="G13" s="228">
        <v>0</v>
      </c>
      <c r="H13" s="228">
        <v>0</v>
      </c>
      <c r="I13" s="228">
        <v>0</v>
      </c>
      <c r="K13" s="233">
        <f t="shared" si="0"/>
        <v>0.53959239130434788</v>
      </c>
      <c r="L13" s="230">
        <f t="shared" si="1"/>
        <v>11.790879790502089</v>
      </c>
      <c r="M13" s="233">
        <f t="shared" si="2"/>
        <v>5.0057914085712849E-2</v>
      </c>
      <c r="N13" s="230" t="e">
        <f t="shared" si="3"/>
        <v>#DIV/0!</v>
      </c>
      <c r="O13" s="233" t="e">
        <f t="shared" si="4"/>
        <v>#DIV/0!</v>
      </c>
      <c r="Q13" s="239">
        <f>G13/ATL!D$37</f>
        <v>0</v>
      </c>
      <c r="R13" s="239">
        <f>C13/ATL!D$34</f>
        <v>2.8428478351790985E-2</v>
      </c>
    </row>
    <row r="14" spans="1:18" x14ac:dyDescent="0.3">
      <c r="A14" s="227" t="s">
        <v>322</v>
      </c>
      <c r="B14" s="227" t="s">
        <v>139</v>
      </c>
      <c r="C14" s="228">
        <v>123.95</v>
      </c>
      <c r="D14" s="228">
        <v>78.006200000000007</v>
      </c>
      <c r="E14" s="228">
        <v>940.84499999999991</v>
      </c>
      <c r="F14" s="228">
        <v>4.7744000000000009</v>
      </c>
      <c r="G14" s="228">
        <v>1.895</v>
      </c>
      <c r="H14" s="228">
        <v>13.2</v>
      </c>
      <c r="I14" s="228">
        <v>0</v>
      </c>
      <c r="K14" s="233">
        <f t="shared" si="0"/>
        <v>0.62933602258975396</v>
      </c>
      <c r="L14" s="230">
        <f t="shared" si="1"/>
        <v>12.061156677289752</v>
      </c>
      <c r="M14" s="233">
        <f t="shared" si="2"/>
        <v>6.12053913663273E-2</v>
      </c>
      <c r="N14" s="230">
        <f t="shared" si="3"/>
        <v>6.9656992084432714</v>
      </c>
      <c r="O14" s="233">
        <f t="shared" si="4"/>
        <v>0</v>
      </c>
      <c r="Q14" s="239">
        <f>G14/BAL!D$37</f>
        <v>3.2953656203808363E-3</v>
      </c>
      <c r="R14" s="239">
        <f>C14/BAL!D$34</f>
        <v>0.24306304539660753</v>
      </c>
    </row>
    <row r="15" spans="1:18" x14ac:dyDescent="0.3">
      <c r="A15" s="227" t="s">
        <v>198</v>
      </c>
      <c r="B15" s="227" t="s">
        <v>139</v>
      </c>
      <c r="C15" s="228">
        <v>71.699999999999989</v>
      </c>
      <c r="D15" s="228">
        <v>43.177499999999995</v>
      </c>
      <c r="E15" s="228">
        <v>459.43375000000003</v>
      </c>
      <c r="F15" s="228">
        <v>3.26</v>
      </c>
      <c r="G15" s="228">
        <v>9.7156666666666656</v>
      </c>
      <c r="H15" s="228">
        <v>68.933333333333337</v>
      </c>
      <c r="I15" s="228">
        <v>0.13333333333333333</v>
      </c>
      <c r="K15" s="233">
        <f t="shared" si="0"/>
        <v>0.60219665271966527</v>
      </c>
      <c r="L15" s="230">
        <f t="shared" si="1"/>
        <v>10.640582479300564</v>
      </c>
      <c r="M15" s="233">
        <f t="shared" si="2"/>
        <v>7.5502287070812343E-2</v>
      </c>
      <c r="N15" s="230">
        <f t="shared" si="3"/>
        <v>7.095069818506194</v>
      </c>
      <c r="O15" s="233">
        <f t="shared" si="4"/>
        <v>1.3723539300785674E-2</v>
      </c>
      <c r="Q15" s="239">
        <f>G15/BAL!D$37</f>
        <v>1.6895342433991243E-2</v>
      </c>
      <c r="R15" s="239">
        <f>C15/BAL!D$34</f>
        <v>0.14060201980586329</v>
      </c>
    </row>
    <row r="16" spans="1:18" x14ac:dyDescent="0.3">
      <c r="A16" s="227" t="s">
        <v>588</v>
      </c>
      <c r="B16" s="227" t="s">
        <v>139</v>
      </c>
      <c r="C16" s="228">
        <v>47.75</v>
      </c>
      <c r="D16" s="228">
        <v>29.9175</v>
      </c>
      <c r="E16" s="228">
        <v>363.84750000000003</v>
      </c>
      <c r="F16" s="228">
        <v>1.6539999999999999</v>
      </c>
      <c r="G16" s="228">
        <v>0</v>
      </c>
      <c r="H16" s="228">
        <v>0</v>
      </c>
      <c r="I16" s="228">
        <v>0</v>
      </c>
      <c r="K16" s="233">
        <f t="shared" si="0"/>
        <v>0.62654450261780104</v>
      </c>
      <c r="L16" s="230">
        <f t="shared" si="1"/>
        <v>12.161694660315868</v>
      </c>
      <c r="M16" s="233">
        <f t="shared" si="2"/>
        <v>5.528536809559622E-2</v>
      </c>
      <c r="N16" s="230" t="e">
        <f t="shared" si="3"/>
        <v>#DIV/0!</v>
      </c>
      <c r="O16" s="233" t="e">
        <f t="shared" si="4"/>
        <v>#DIV/0!</v>
      </c>
      <c r="Q16" s="239">
        <f>G16/BAL!D$37</f>
        <v>0</v>
      </c>
      <c r="R16" s="239">
        <f>C16/BAL!D$34</f>
        <v>9.3636631042259041E-2</v>
      </c>
    </row>
    <row r="17" spans="1:18" x14ac:dyDescent="0.3">
      <c r="A17" s="227" t="s">
        <v>323</v>
      </c>
      <c r="B17" s="227" t="s">
        <v>139</v>
      </c>
      <c r="C17" s="228">
        <v>20.5</v>
      </c>
      <c r="D17" s="228">
        <v>13.3</v>
      </c>
      <c r="E17" s="228">
        <v>155.69999999999999</v>
      </c>
      <c r="F17" s="228">
        <v>0.7</v>
      </c>
      <c r="G17" s="228">
        <v>0</v>
      </c>
      <c r="H17" s="228">
        <v>0</v>
      </c>
      <c r="I17" s="228">
        <v>0</v>
      </c>
      <c r="K17" s="233">
        <f t="shared" si="0"/>
        <v>0.64878048780487807</v>
      </c>
      <c r="L17" s="230">
        <f t="shared" si="1"/>
        <v>11.706766917293232</v>
      </c>
      <c r="M17" s="233">
        <f t="shared" si="2"/>
        <v>5.2631578947368418E-2</v>
      </c>
      <c r="N17" s="230" t="e">
        <f t="shared" si="3"/>
        <v>#DIV/0!</v>
      </c>
      <c r="O17" s="233" t="e">
        <f t="shared" si="4"/>
        <v>#DIV/0!</v>
      </c>
      <c r="Q17" s="239">
        <f>G17/BAL!D$37</f>
        <v>0</v>
      </c>
      <c r="R17" s="239">
        <f>C17/BAL!D$34</f>
        <v>4.0200019609765665E-2</v>
      </c>
    </row>
    <row r="18" spans="1:18" x14ac:dyDescent="0.3">
      <c r="A18" s="227" t="s">
        <v>818</v>
      </c>
      <c r="B18" s="227" t="s">
        <v>139</v>
      </c>
      <c r="C18" s="228">
        <v>6.1499999999999995</v>
      </c>
      <c r="D18" s="228">
        <v>3.99</v>
      </c>
      <c r="E18" s="228">
        <v>54</v>
      </c>
      <c r="F18" s="228">
        <v>0.26</v>
      </c>
      <c r="G18" s="228">
        <v>0</v>
      </c>
      <c r="H18" s="228">
        <v>0</v>
      </c>
      <c r="I18" s="228">
        <v>0</v>
      </c>
      <c r="K18" s="233">
        <f t="shared" ref="K18:K19" si="5">D18/C18</f>
        <v>0.64878048780487818</v>
      </c>
      <c r="L18" s="230">
        <f t="shared" ref="L18:L19" si="6">E18/D18</f>
        <v>13.533834586466165</v>
      </c>
      <c r="M18" s="233">
        <f t="shared" ref="M18:M19" si="7">F18/D18</f>
        <v>6.5162907268170422E-2</v>
      </c>
      <c r="N18" s="230" t="e">
        <f t="shared" ref="N18:N19" si="8">H18/G18</f>
        <v>#DIV/0!</v>
      </c>
      <c r="O18" s="233" t="e">
        <f t="shared" ref="O18:O19" si="9">I18/G18</f>
        <v>#DIV/0!</v>
      </c>
      <c r="Q18" s="239">
        <f>G18/BAL!D$37</f>
        <v>0</v>
      </c>
      <c r="R18" s="239">
        <f>C18/BAL!D$34</f>
        <v>1.2060005882929698E-2</v>
      </c>
    </row>
    <row r="19" spans="1:18" x14ac:dyDescent="0.3">
      <c r="A19" s="227" t="s">
        <v>819</v>
      </c>
      <c r="B19" s="227" t="s">
        <v>139</v>
      </c>
      <c r="C19" s="228">
        <v>1.8449999999999998</v>
      </c>
      <c r="D19" s="228">
        <v>1.1970000000000001</v>
      </c>
      <c r="E19" s="228">
        <v>14.8</v>
      </c>
      <c r="F19" s="228">
        <v>0.06</v>
      </c>
      <c r="G19" s="228">
        <v>0</v>
      </c>
      <c r="H19" s="228">
        <v>0</v>
      </c>
      <c r="I19" s="228">
        <v>0</v>
      </c>
      <c r="K19" s="233">
        <f t="shared" si="5"/>
        <v>0.64878048780487818</v>
      </c>
      <c r="L19" s="230">
        <f t="shared" si="6"/>
        <v>12.364243943191312</v>
      </c>
      <c r="M19" s="233">
        <f t="shared" si="7"/>
        <v>5.0125313283208017E-2</v>
      </c>
      <c r="N19" s="230" t="e">
        <f t="shared" si="8"/>
        <v>#DIV/0!</v>
      </c>
      <c r="O19" s="233" t="e">
        <f t="shared" si="9"/>
        <v>#DIV/0!</v>
      </c>
      <c r="Q19" s="239">
        <f>G19/BAL!D$37</f>
        <v>0</v>
      </c>
      <c r="R19" s="239">
        <f>C19/BAL!D$34</f>
        <v>3.6180017648789094E-3</v>
      </c>
    </row>
    <row r="20" spans="1:18" x14ac:dyDescent="0.3">
      <c r="A20" s="227" t="s">
        <v>131</v>
      </c>
      <c r="B20" s="227" t="s">
        <v>140</v>
      </c>
      <c r="C20" s="228">
        <v>150.6</v>
      </c>
      <c r="D20" s="228">
        <v>98.743599999999986</v>
      </c>
      <c r="E20" s="228">
        <v>1215.4443999999999</v>
      </c>
      <c r="F20" s="228">
        <v>8.81</v>
      </c>
      <c r="G20" s="228">
        <v>0.125</v>
      </c>
      <c r="H20" s="228">
        <v>1</v>
      </c>
      <c r="I20" s="228">
        <v>0</v>
      </c>
      <c r="K20" s="233">
        <f t="shared" si="0"/>
        <v>0.65566799468791492</v>
      </c>
      <c r="L20" s="230">
        <f t="shared" si="1"/>
        <v>12.309095475554871</v>
      </c>
      <c r="M20" s="233">
        <f t="shared" si="2"/>
        <v>8.9220972295926029E-2</v>
      </c>
      <c r="N20" s="230">
        <f t="shared" si="3"/>
        <v>8</v>
      </c>
      <c r="O20" s="233">
        <f t="shared" si="4"/>
        <v>0</v>
      </c>
      <c r="Q20" s="239">
        <f>G20/BUF!D$37</f>
        <v>2.8354097814174662E-4</v>
      </c>
      <c r="R20" s="239">
        <f>C20/BUF!D$34</f>
        <v>0.2286906149524803</v>
      </c>
    </row>
    <row r="21" spans="1:18" x14ac:dyDescent="0.3">
      <c r="A21" s="227" t="s">
        <v>246</v>
      </c>
      <c r="B21" s="227" t="s">
        <v>140</v>
      </c>
      <c r="C21" s="228">
        <v>103.85</v>
      </c>
      <c r="D21" s="228">
        <v>55.489400000000003</v>
      </c>
      <c r="E21" s="228">
        <v>848.17460000000005</v>
      </c>
      <c r="F21" s="228">
        <v>6.9</v>
      </c>
      <c r="G21" s="228">
        <v>0</v>
      </c>
      <c r="H21" s="228">
        <v>0</v>
      </c>
      <c r="I21" s="228">
        <v>0</v>
      </c>
      <c r="K21" s="233">
        <f t="shared" si="0"/>
        <v>0.53432258064516136</v>
      </c>
      <c r="L21" s="230">
        <f t="shared" si="1"/>
        <v>15.285344588335791</v>
      </c>
      <c r="M21" s="233">
        <f t="shared" si="2"/>
        <v>0.12434807368614546</v>
      </c>
      <c r="N21" s="230" t="e">
        <f t="shared" si="3"/>
        <v>#DIV/0!</v>
      </c>
      <c r="O21" s="233" t="e">
        <f t="shared" si="4"/>
        <v>#DIV/0!</v>
      </c>
      <c r="Q21" s="239">
        <f>G21/BUF!D$37</f>
        <v>0</v>
      </c>
      <c r="R21" s="239">
        <f>C21/BUF!D$34</f>
        <v>0.1576993383985065</v>
      </c>
    </row>
    <row r="22" spans="1:18" x14ac:dyDescent="0.3">
      <c r="A22" s="227" t="s">
        <v>112</v>
      </c>
      <c r="B22" s="227" t="s">
        <v>140</v>
      </c>
      <c r="C22" s="228">
        <v>81.95</v>
      </c>
      <c r="D22" s="228">
        <v>52.307600000000001</v>
      </c>
      <c r="E22" s="228">
        <v>523.12620000000004</v>
      </c>
      <c r="F22" s="228">
        <v>3.5878000000000001</v>
      </c>
      <c r="G22" s="228">
        <v>0.125</v>
      </c>
      <c r="H22" s="228">
        <v>0.625</v>
      </c>
      <c r="I22" s="228">
        <v>0</v>
      </c>
      <c r="K22" s="233">
        <f t="shared" si="0"/>
        <v>0.63828676021964614</v>
      </c>
      <c r="L22" s="230">
        <f t="shared" si="1"/>
        <v>10.000959707575955</v>
      </c>
      <c r="M22" s="233">
        <f t="shared" si="2"/>
        <v>6.8590415159556162E-2</v>
      </c>
      <c r="N22" s="230">
        <f t="shared" si="3"/>
        <v>5</v>
      </c>
      <c r="O22" s="233">
        <f t="shared" si="4"/>
        <v>0</v>
      </c>
      <c r="Q22" s="239">
        <f>G22/BUF!D$37</f>
        <v>2.8354097814174662E-4</v>
      </c>
      <c r="R22" s="239">
        <f>C22/BUF!D$34</f>
        <v>0.12444353184167173</v>
      </c>
    </row>
    <row r="23" spans="1:18" x14ac:dyDescent="0.3">
      <c r="A23" s="227" t="s">
        <v>247</v>
      </c>
      <c r="B23" s="227" t="s">
        <v>140</v>
      </c>
      <c r="C23" s="228">
        <v>40.700000000000003</v>
      </c>
      <c r="D23" s="228">
        <v>28.491399999999999</v>
      </c>
      <c r="E23" s="228">
        <v>317.041</v>
      </c>
      <c r="F23" s="228">
        <v>1.3804000000000001</v>
      </c>
      <c r="G23" s="228">
        <v>11.339</v>
      </c>
      <c r="H23" s="228">
        <v>62.170666666666669</v>
      </c>
      <c r="I23" s="228">
        <v>0.80466666666666653</v>
      </c>
      <c r="K23" s="233">
        <f t="shared" si="0"/>
        <v>0.70003439803439793</v>
      </c>
      <c r="L23" s="230">
        <f t="shared" si="1"/>
        <v>11.127603417171498</v>
      </c>
      <c r="M23" s="233">
        <f t="shared" si="2"/>
        <v>4.8449707631074646E-2</v>
      </c>
      <c r="N23" s="230">
        <f t="shared" si="3"/>
        <v>5.4829056060205188</v>
      </c>
      <c r="O23" s="233">
        <f t="shared" si="4"/>
        <v>7.0964517741129426E-2</v>
      </c>
      <c r="Q23" s="239">
        <f>G23/BUF!D$37</f>
        <v>2.5720569209194119E-2</v>
      </c>
      <c r="R23" s="239">
        <f>C23/BUF!D$34</f>
        <v>6.1804170176400726E-2</v>
      </c>
    </row>
    <row r="24" spans="1:18" x14ac:dyDescent="0.3">
      <c r="A24" s="227" t="s">
        <v>641</v>
      </c>
      <c r="B24" s="227" t="s">
        <v>140</v>
      </c>
      <c r="C24" s="228">
        <v>15.5</v>
      </c>
      <c r="D24" s="228">
        <v>11.4535</v>
      </c>
      <c r="E24" s="228">
        <v>113.55874999999999</v>
      </c>
      <c r="F24" s="228">
        <v>0.8</v>
      </c>
      <c r="G24" s="228">
        <v>1.3333333333333333</v>
      </c>
      <c r="H24" s="228">
        <v>8.0333333333333332</v>
      </c>
      <c r="I24" s="228">
        <v>3.3333333333333333E-2</v>
      </c>
      <c r="K24" s="233">
        <f t="shared" si="0"/>
        <v>0.73893548387096775</v>
      </c>
      <c r="L24" s="230">
        <f t="shared" si="1"/>
        <v>9.9147640459248247</v>
      </c>
      <c r="M24" s="233">
        <f t="shared" si="2"/>
        <v>6.9847644824726066E-2</v>
      </c>
      <c r="N24" s="230">
        <f t="shared" si="3"/>
        <v>6.0250000000000004</v>
      </c>
      <c r="O24" s="233">
        <f t="shared" si="4"/>
        <v>2.5000000000000001E-2</v>
      </c>
      <c r="Q24" s="239">
        <f>G24/BUF!D$37</f>
        <v>3.0244371001786302E-3</v>
      </c>
      <c r="R24" s="239">
        <f>C24/BUF!D$34</f>
        <v>2.3537214686344253E-2</v>
      </c>
    </row>
    <row r="25" spans="1:18" x14ac:dyDescent="0.3">
      <c r="A25" s="227" t="s">
        <v>777</v>
      </c>
      <c r="B25" s="227" t="s">
        <v>140</v>
      </c>
      <c r="C25" s="228">
        <v>5</v>
      </c>
      <c r="D25" s="228">
        <v>3.3333333333333335</v>
      </c>
      <c r="E25" s="228">
        <v>39.800000000000004</v>
      </c>
      <c r="F25" s="228">
        <v>0.26666666666666666</v>
      </c>
      <c r="G25" s="228">
        <v>0</v>
      </c>
      <c r="H25" s="228">
        <v>0</v>
      </c>
      <c r="I25" s="228">
        <v>0</v>
      </c>
      <c r="K25" s="233">
        <f t="shared" si="0"/>
        <v>0.66666666666666674</v>
      </c>
      <c r="L25" s="230">
        <f t="shared" si="1"/>
        <v>11.940000000000001</v>
      </c>
      <c r="M25" s="233">
        <f t="shared" si="2"/>
        <v>0.08</v>
      </c>
      <c r="N25" s="230" t="e">
        <f t="shared" si="3"/>
        <v>#DIV/0!</v>
      </c>
      <c r="O25" s="233" t="e">
        <f t="shared" si="4"/>
        <v>#DIV/0!</v>
      </c>
      <c r="Q25" s="239">
        <f>G25/BUF!D$37</f>
        <v>0</v>
      </c>
      <c r="R25" s="239">
        <f>C25/BUF!D$34</f>
        <v>7.592649898820727E-3</v>
      </c>
    </row>
    <row r="26" spans="1:18" x14ac:dyDescent="0.3">
      <c r="A26" s="227" t="s">
        <v>324</v>
      </c>
      <c r="B26" s="227" t="s">
        <v>141</v>
      </c>
      <c r="C26" s="228">
        <v>139.5</v>
      </c>
      <c r="D26" s="228">
        <v>87.301000000000002</v>
      </c>
      <c r="E26" s="228">
        <v>1156.2654</v>
      </c>
      <c r="F26" s="228">
        <v>4.5950000000000006</v>
      </c>
      <c r="G26" s="228">
        <v>7.85</v>
      </c>
      <c r="H26" s="228">
        <v>47.821249999999999</v>
      </c>
      <c r="I26" s="228">
        <v>2.5000000000000001E-2</v>
      </c>
      <c r="K26" s="233">
        <f t="shared" si="0"/>
        <v>0.62581362007168462</v>
      </c>
      <c r="L26" s="230">
        <f t="shared" si="1"/>
        <v>13.244583681744768</v>
      </c>
      <c r="M26" s="233">
        <f t="shared" si="2"/>
        <v>5.2633990446844831E-2</v>
      </c>
      <c r="N26" s="230">
        <f t="shared" si="3"/>
        <v>6.0918789808917202</v>
      </c>
      <c r="O26" s="233">
        <f t="shared" si="4"/>
        <v>3.1847133757961785E-3</v>
      </c>
      <c r="Q26" s="239">
        <f>G26/CAR!D$37</f>
        <v>1.801872338171177E-2</v>
      </c>
      <c r="R26" s="239">
        <f>C26/CAR!D$34</f>
        <v>0.22343700230959387</v>
      </c>
    </row>
    <row r="27" spans="1:18" x14ac:dyDescent="0.3">
      <c r="A27" s="227" t="s">
        <v>821</v>
      </c>
      <c r="B27" s="227" t="s">
        <v>141</v>
      </c>
      <c r="C27" s="228">
        <v>97.4</v>
      </c>
      <c r="D27" s="228">
        <v>50.647000000000006</v>
      </c>
      <c r="E27" s="228">
        <v>631.65100000000007</v>
      </c>
      <c r="F27" s="228">
        <v>4.0890000000000004</v>
      </c>
      <c r="G27" s="228">
        <v>4.2132500000000004</v>
      </c>
      <c r="H27" s="228">
        <v>27.867000000000001</v>
      </c>
      <c r="I27" s="228">
        <v>2.5000000000000001E-2</v>
      </c>
      <c r="K27" s="233">
        <f t="shared" si="0"/>
        <v>0.51998973305954832</v>
      </c>
      <c r="L27" s="230">
        <f t="shared" si="1"/>
        <v>12.47163701700002</v>
      </c>
      <c r="M27" s="233">
        <f t="shared" si="2"/>
        <v>8.0735285406835541E-2</v>
      </c>
      <c r="N27" s="230">
        <f t="shared" si="3"/>
        <v>6.6141339820803413</v>
      </c>
      <c r="O27" s="233">
        <f t="shared" si="4"/>
        <v>5.9336616626119981E-3</v>
      </c>
      <c r="Q27" s="239">
        <f>G27/CAR!D$37</f>
        <v>9.6710046226747923E-3</v>
      </c>
      <c r="R27" s="239">
        <f>C27/CAR!D$34</f>
        <v>0.15600547688139385</v>
      </c>
    </row>
    <row r="28" spans="1:18" x14ac:dyDescent="0.3">
      <c r="A28" s="227" t="s">
        <v>776</v>
      </c>
      <c r="B28" s="227" t="s">
        <v>141</v>
      </c>
      <c r="C28" s="228">
        <v>71.550000000000011</v>
      </c>
      <c r="D28" s="228">
        <v>37.741200000000006</v>
      </c>
      <c r="E28" s="228">
        <v>396.79379999999998</v>
      </c>
      <c r="F28" s="228">
        <v>1.4167999999999998</v>
      </c>
      <c r="G28" s="228">
        <v>0</v>
      </c>
      <c r="H28" s="228">
        <v>0</v>
      </c>
      <c r="I28" s="228">
        <v>0</v>
      </c>
      <c r="K28" s="233">
        <f t="shared" si="0"/>
        <v>0.52748008385744238</v>
      </c>
      <c r="L28" s="230">
        <f t="shared" si="1"/>
        <v>10.513544879336107</v>
      </c>
      <c r="M28" s="233">
        <f t="shared" si="2"/>
        <v>3.7539876845463303E-2</v>
      </c>
      <c r="N28" s="230" t="e">
        <f t="shared" si="3"/>
        <v>#DIV/0!</v>
      </c>
      <c r="O28" s="233" t="e">
        <f t="shared" si="4"/>
        <v>#DIV/0!</v>
      </c>
      <c r="Q28" s="239">
        <f>G28/CAR!D$37</f>
        <v>0</v>
      </c>
      <c r="R28" s="239">
        <f>C28/CAR!D$34</f>
        <v>0.11460155924911429</v>
      </c>
    </row>
    <row r="29" spans="1:18" x14ac:dyDescent="0.3">
      <c r="A29" s="227" t="s">
        <v>248</v>
      </c>
      <c r="B29" s="227" t="s">
        <v>141</v>
      </c>
      <c r="C29" s="228">
        <v>30.9</v>
      </c>
      <c r="D29" s="228">
        <v>21</v>
      </c>
      <c r="E29" s="228">
        <v>249.28399999999999</v>
      </c>
      <c r="F29" s="228">
        <v>0.5</v>
      </c>
      <c r="G29" s="228">
        <v>0</v>
      </c>
      <c r="H29" s="228">
        <v>0</v>
      </c>
      <c r="I29" s="228">
        <v>0</v>
      </c>
      <c r="K29" s="233">
        <f t="shared" si="0"/>
        <v>0.67961165048543692</v>
      </c>
      <c r="L29" s="230">
        <f t="shared" si="1"/>
        <v>11.870666666666667</v>
      </c>
      <c r="M29" s="233">
        <f t="shared" si="2"/>
        <v>2.3809523809523808E-2</v>
      </c>
      <c r="N29" s="230" t="e">
        <f t="shared" si="3"/>
        <v>#DIV/0!</v>
      </c>
      <c r="O29" s="233" t="e">
        <f t="shared" si="4"/>
        <v>#DIV/0!</v>
      </c>
      <c r="Q29" s="239">
        <f>G29/CAR!D$37</f>
        <v>0</v>
      </c>
      <c r="R29" s="239">
        <f>C29/CAR!D$34</f>
        <v>4.9492497285781006E-2</v>
      </c>
    </row>
    <row r="30" spans="1:18" x14ac:dyDescent="0.3">
      <c r="A30" s="227" t="s">
        <v>325</v>
      </c>
      <c r="B30" s="227" t="s">
        <v>141</v>
      </c>
      <c r="C30" s="228">
        <v>22.55</v>
      </c>
      <c r="D30" s="228">
        <v>14.166250000000002</v>
      </c>
      <c r="E30" s="228">
        <v>170.78800000000001</v>
      </c>
      <c r="F30" s="228">
        <v>0.77475000000000005</v>
      </c>
      <c r="G30" s="228">
        <v>0</v>
      </c>
      <c r="H30" s="228">
        <v>0</v>
      </c>
      <c r="I30" s="228">
        <v>0</v>
      </c>
      <c r="K30" s="233">
        <f t="shared" si="0"/>
        <v>0.62821507760532158</v>
      </c>
      <c r="L30" s="230">
        <f t="shared" si="1"/>
        <v>12.055978117003441</v>
      </c>
      <c r="M30" s="233">
        <f t="shared" si="2"/>
        <v>5.4689843818935852E-2</v>
      </c>
      <c r="N30" s="230" t="e">
        <f t="shared" si="3"/>
        <v>#DIV/0!</v>
      </c>
      <c r="O30" s="233" t="e">
        <f t="shared" si="4"/>
        <v>#DIV/0!</v>
      </c>
      <c r="Q30" s="239">
        <f>G30/CAR!D$37</f>
        <v>0</v>
      </c>
      <c r="R30" s="239">
        <f>C30/CAR!D$34</f>
        <v>3.6118311126031123E-2</v>
      </c>
    </row>
    <row r="31" spans="1:18" x14ac:dyDescent="0.3">
      <c r="A31" s="227" t="s">
        <v>775</v>
      </c>
      <c r="B31" s="227" t="s">
        <v>141</v>
      </c>
      <c r="C31" s="228">
        <v>6.0500000000000007</v>
      </c>
      <c r="D31" s="228">
        <v>4</v>
      </c>
      <c r="E31" s="228">
        <v>55.580199999999991</v>
      </c>
      <c r="F31" s="228">
        <v>0.32000000000000006</v>
      </c>
      <c r="G31" s="228">
        <v>0</v>
      </c>
      <c r="H31" s="228">
        <v>0</v>
      </c>
      <c r="I31" s="228">
        <v>0</v>
      </c>
      <c r="K31" s="233">
        <f t="shared" si="0"/>
        <v>0.66115702479338834</v>
      </c>
      <c r="L31" s="230">
        <f t="shared" si="1"/>
        <v>13.895049999999998</v>
      </c>
      <c r="M31" s="233">
        <f t="shared" si="2"/>
        <v>8.0000000000000016E-2</v>
      </c>
      <c r="N31" s="230" t="e">
        <f t="shared" si="3"/>
        <v>#DIV/0!</v>
      </c>
      <c r="O31" s="233" t="e">
        <f t="shared" si="4"/>
        <v>#DIV/0!</v>
      </c>
      <c r="Q31" s="239">
        <f>G31/CAR!D$37</f>
        <v>0</v>
      </c>
      <c r="R31" s="239">
        <f>C31/CAR!D$34</f>
        <v>9.6902785947888398E-3</v>
      </c>
    </row>
    <row r="32" spans="1:18" x14ac:dyDescent="0.3">
      <c r="A32" s="227" t="s">
        <v>326</v>
      </c>
      <c r="B32" s="227" t="s">
        <v>142</v>
      </c>
      <c r="C32" s="228">
        <v>127.6</v>
      </c>
      <c r="D32" s="228">
        <v>75.161000000000001</v>
      </c>
      <c r="E32" s="228">
        <v>1035.3751999999999</v>
      </c>
      <c r="F32" s="228">
        <v>4.4104000000000001</v>
      </c>
      <c r="G32" s="228">
        <v>4.9020000000000001</v>
      </c>
      <c r="H32" s="228">
        <v>27.295500000000001</v>
      </c>
      <c r="I32" s="228">
        <v>0.375</v>
      </c>
      <c r="K32" s="233">
        <f t="shared" si="0"/>
        <v>0.58903605015673988</v>
      </c>
      <c r="L32" s="230">
        <f t="shared" si="1"/>
        <v>13.775431407245778</v>
      </c>
      <c r="M32" s="233">
        <f t="shared" si="2"/>
        <v>5.8679368289405412E-2</v>
      </c>
      <c r="N32" s="230">
        <f t="shared" si="3"/>
        <v>5.568237454100367</v>
      </c>
      <c r="O32" s="233">
        <f t="shared" si="4"/>
        <v>7.649938800489596E-2</v>
      </c>
      <c r="Q32" s="239">
        <f>G32/CHI!D$37</f>
        <v>1.0117140262137954E-2</v>
      </c>
      <c r="R32" s="239">
        <f>C32/CHI!D$34</f>
        <v>0.21809515317193504</v>
      </c>
    </row>
    <row r="33" spans="1:18" x14ac:dyDescent="0.3">
      <c r="A33" s="227" t="s">
        <v>674</v>
      </c>
      <c r="B33" s="227" t="s">
        <v>142</v>
      </c>
      <c r="C33" s="228">
        <v>64.5</v>
      </c>
      <c r="D33" s="228">
        <v>41.603250000000003</v>
      </c>
      <c r="E33" s="228">
        <v>524.54</v>
      </c>
      <c r="F33" s="228">
        <v>2.8850000000000002</v>
      </c>
      <c r="G33" s="228">
        <v>1.3666666666666665</v>
      </c>
      <c r="H33" s="228">
        <v>8.4</v>
      </c>
      <c r="I33" s="228">
        <v>6.6666666666666666E-2</v>
      </c>
      <c r="K33" s="233">
        <f t="shared" si="0"/>
        <v>0.64501162790697675</v>
      </c>
      <c r="L33" s="230">
        <f t="shared" si="1"/>
        <v>12.608149603696825</v>
      </c>
      <c r="M33" s="233">
        <f t="shared" si="2"/>
        <v>6.9345543917842964E-2</v>
      </c>
      <c r="N33" s="230">
        <f t="shared" si="3"/>
        <v>6.1463414634146352</v>
      </c>
      <c r="O33" s="233">
        <f t="shared" si="4"/>
        <v>4.8780487804878057E-2</v>
      </c>
      <c r="Q33" s="239">
        <f>G33/CHI!D$37</f>
        <v>2.8206361399949411E-3</v>
      </c>
      <c r="R33" s="239">
        <f>C33/CHI!D$34</f>
        <v>0.11024402335101732</v>
      </c>
    </row>
    <row r="34" spans="1:18" x14ac:dyDescent="0.3">
      <c r="A34" s="227" t="s">
        <v>249</v>
      </c>
      <c r="B34" s="227" t="s">
        <v>142</v>
      </c>
      <c r="C34" s="228">
        <v>66.550000000000011</v>
      </c>
      <c r="D34" s="228">
        <v>36.033799999999999</v>
      </c>
      <c r="E34" s="228">
        <v>445.52760000000001</v>
      </c>
      <c r="F34" s="228">
        <v>2.7919999999999998</v>
      </c>
      <c r="G34" s="228">
        <v>0</v>
      </c>
      <c r="H34" s="228">
        <v>0</v>
      </c>
      <c r="I34" s="228">
        <v>0</v>
      </c>
      <c r="K34" s="233">
        <f t="shared" si="0"/>
        <v>0.5414545454545453</v>
      </c>
      <c r="L34" s="230">
        <f t="shared" si="1"/>
        <v>12.364158096009858</v>
      </c>
      <c r="M34" s="233">
        <f t="shared" si="2"/>
        <v>7.7482807808224502E-2</v>
      </c>
      <c r="N34" s="230" t="e">
        <f t="shared" si="3"/>
        <v>#DIV/0!</v>
      </c>
      <c r="O34" s="233" t="e">
        <f t="shared" si="4"/>
        <v>#DIV/0!</v>
      </c>
      <c r="Q34" s="239">
        <f>G34/CHI!D$37</f>
        <v>0</v>
      </c>
      <c r="R34" s="239">
        <f>C34/CHI!D$34</f>
        <v>0.1137479031629489</v>
      </c>
    </row>
    <row r="35" spans="1:18" x14ac:dyDescent="0.3">
      <c r="A35" s="227" t="s">
        <v>593</v>
      </c>
      <c r="B35" s="227" t="s">
        <v>142</v>
      </c>
      <c r="C35" s="228">
        <v>31.15</v>
      </c>
      <c r="D35" s="228">
        <v>19</v>
      </c>
      <c r="E35" s="228">
        <v>236</v>
      </c>
      <c r="F35" s="228">
        <v>1.03</v>
      </c>
      <c r="G35" s="228">
        <v>0</v>
      </c>
      <c r="H35" s="228">
        <v>0</v>
      </c>
      <c r="I35" s="228">
        <v>0</v>
      </c>
      <c r="K35" s="233">
        <f t="shared" si="0"/>
        <v>0.6099518459069021</v>
      </c>
      <c r="L35" s="230">
        <f t="shared" si="1"/>
        <v>12.421052631578947</v>
      </c>
      <c r="M35" s="233">
        <f t="shared" si="2"/>
        <v>5.4210526315789473E-2</v>
      </c>
      <c r="N35" s="230" t="e">
        <f t="shared" si="3"/>
        <v>#DIV/0!</v>
      </c>
      <c r="O35" s="233" t="e">
        <f t="shared" si="4"/>
        <v>#DIV/0!</v>
      </c>
      <c r="Q35" s="239">
        <f>G35/CHI!D$37</f>
        <v>0</v>
      </c>
      <c r="R35" s="239">
        <f>C35/CHI!D$34</f>
        <v>5.3241881044716118E-2</v>
      </c>
    </row>
    <row r="36" spans="1:18" x14ac:dyDescent="0.3">
      <c r="A36" s="227" t="s">
        <v>592</v>
      </c>
      <c r="B36" s="227" t="s">
        <v>142</v>
      </c>
      <c r="C36" s="228">
        <v>21.200000000000003</v>
      </c>
      <c r="D36" s="228">
        <v>14.6615</v>
      </c>
      <c r="E36" s="228">
        <v>183.44550000000001</v>
      </c>
      <c r="F36" s="228">
        <v>1.117</v>
      </c>
      <c r="G36" s="228">
        <v>0</v>
      </c>
      <c r="H36" s="228">
        <v>0</v>
      </c>
      <c r="I36" s="228">
        <v>0</v>
      </c>
      <c r="K36" s="233">
        <f t="shared" ref="K36:K67" si="10">D36/C36</f>
        <v>0.6915801886792452</v>
      </c>
      <c r="L36" s="230">
        <f t="shared" ref="L36:L67" si="11">E36/D36</f>
        <v>12.512055383146336</v>
      </c>
      <c r="M36" s="233">
        <f t="shared" ref="M36:M67" si="12">F36/D36</f>
        <v>7.6185929134126792E-2</v>
      </c>
      <c r="N36" s="230" t="e">
        <f t="shared" ref="N36:N67" si="13">H36/G36</f>
        <v>#DIV/0!</v>
      </c>
      <c r="O36" s="233" t="e">
        <f t="shared" ref="O36:O67" si="14">I36/G36</f>
        <v>#DIV/0!</v>
      </c>
      <c r="Q36" s="239">
        <f>G36/CHI!D$37</f>
        <v>0</v>
      </c>
      <c r="R36" s="239">
        <f>C36/CHI!D$34</f>
        <v>3.6235244884365386E-2</v>
      </c>
    </row>
    <row r="37" spans="1:18" x14ac:dyDescent="0.3">
      <c r="A37" s="227" t="s">
        <v>822</v>
      </c>
      <c r="B37" s="227" t="s">
        <v>142</v>
      </c>
      <c r="C37" s="228">
        <v>22</v>
      </c>
      <c r="D37" s="228">
        <v>9.1499999999999986</v>
      </c>
      <c r="E37" s="228">
        <v>103.35000000000001</v>
      </c>
      <c r="F37" s="228">
        <v>0.2</v>
      </c>
      <c r="G37" s="228">
        <v>0</v>
      </c>
      <c r="H37" s="228">
        <v>0</v>
      </c>
      <c r="I37" s="228">
        <v>0</v>
      </c>
      <c r="K37" s="233">
        <f t="shared" si="10"/>
        <v>0.41590909090909084</v>
      </c>
      <c r="L37" s="230">
        <f t="shared" si="11"/>
        <v>11.295081967213118</v>
      </c>
      <c r="M37" s="233">
        <f t="shared" si="12"/>
        <v>2.1857923497267763E-2</v>
      </c>
      <c r="N37" s="230" t="e">
        <f t="shared" si="13"/>
        <v>#DIV/0!</v>
      </c>
      <c r="O37" s="233" t="e">
        <f t="shared" si="14"/>
        <v>#DIV/0!</v>
      </c>
      <c r="Q37" s="239">
        <f>G37/CHI!D$37</f>
        <v>0</v>
      </c>
      <c r="R37" s="239">
        <f>C37/CHI!D$34</f>
        <v>3.7602612615850871E-2</v>
      </c>
    </row>
    <row r="38" spans="1:18" x14ac:dyDescent="0.3">
      <c r="A38" s="227" t="s">
        <v>327</v>
      </c>
      <c r="B38" s="227" t="s">
        <v>144</v>
      </c>
      <c r="C38" s="228">
        <v>137.6</v>
      </c>
      <c r="D38" s="228">
        <v>83.299800000000005</v>
      </c>
      <c r="E38" s="228">
        <v>1365.9803999999999</v>
      </c>
      <c r="F38" s="228">
        <v>10.657999999999999</v>
      </c>
      <c r="G38" s="228">
        <v>8.9499999999999993</v>
      </c>
      <c r="H38" s="228">
        <v>46.042249999999996</v>
      </c>
      <c r="I38" s="228">
        <v>0.35000000000000003</v>
      </c>
      <c r="K38" s="233">
        <f t="shared" si="10"/>
        <v>0.6053764534883721</v>
      </c>
      <c r="L38" s="230">
        <f t="shared" si="11"/>
        <v>16.398363501472989</v>
      </c>
      <c r="M38" s="233">
        <f t="shared" si="12"/>
        <v>0.1279474860683939</v>
      </c>
      <c r="N38" s="230">
        <f t="shared" si="13"/>
        <v>5.1443854748603348</v>
      </c>
      <c r="O38" s="233">
        <f t="shared" si="14"/>
        <v>3.9106145251396655E-2</v>
      </c>
      <c r="Q38" s="239">
        <f>G38/CIN!D$37</f>
        <v>2.0926245669260844E-2</v>
      </c>
      <c r="R38" s="239">
        <f>C38/CIN!D$34</f>
        <v>0.21990054550357557</v>
      </c>
    </row>
    <row r="39" spans="1:18" x14ac:dyDescent="0.3">
      <c r="A39" s="227" t="s">
        <v>202</v>
      </c>
      <c r="B39" s="227" t="s">
        <v>144</v>
      </c>
      <c r="C39" s="228">
        <v>127.19999999999999</v>
      </c>
      <c r="D39" s="228">
        <v>82.541399999999996</v>
      </c>
      <c r="E39" s="228">
        <v>1168.7447999999999</v>
      </c>
      <c r="F39" s="228">
        <v>7.3054000000000006</v>
      </c>
      <c r="G39" s="228">
        <v>0.125</v>
      </c>
      <c r="H39" s="228">
        <v>0.7</v>
      </c>
      <c r="I39" s="228">
        <v>0</v>
      </c>
      <c r="K39" s="233">
        <f t="shared" si="10"/>
        <v>0.64891037735849055</v>
      </c>
      <c r="L39" s="230">
        <f t="shared" si="11"/>
        <v>14.159498142750184</v>
      </c>
      <c r="M39" s="233">
        <f t="shared" si="12"/>
        <v>8.85058891659216E-2</v>
      </c>
      <c r="N39" s="230">
        <f t="shared" si="13"/>
        <v>5.6</v>
      </c>
      <c r="O39" s="233">
        <f t="shared" si="14"/>
        <v>0</v>
      </c>
      <c r="Q39" s="239">
        <f>G39/CIN!D$37</f>
        <v>2.9226600096733028E-4</v>
      </c>
      <c r="R39" s="239">
        <f>C39/CIN!D$34</f>
        <v>0.20328015543644487</v>
      </c>
    </row>
    <row r="40" spans="1:18" x14ac:dyDescent="0.3">
      <c r="A40" s="227" t="s">
        <v>38</v>
      </c>
      <c r="B40" s="227" t="s">
        <v>144</v>
      </c>
      <c r="C40" s="228">
        <v>88.7</v>
      </c>
      <c r="D40" s="228">
        <v>59.547399999999996</v>
      </c>
      <c r="E40" s="228">
        <v>667.16279999999995</v>
      </c>
      <c r="F40" s="228">
        <v>4.0657999999999994</v>
      </c>
      <c r="G40" s="228">
        <v>2.375</v>
      </c>
      <c r="H40" s="228">
        <v>15.792249999999999</v>
      </c>
      <c r="I40" s="228">
        <v>0</v>
      </c>
      <c r="K40" s="233">
        <f t="shared" si="10"/>
        <v>0.67133483652762116</v>
      </c>
      <c r="L40" s="230">
        <f t="shared" si="11"/>
        <v>11.203894712447562</v>
      </c>
      <c r="M40" s="233">
        <f t="shared" si="12"/>
        <v>6.8278379912473083E-2</v>
      </c>
      <c r="N40" s="230">
        <f t="shared" si="13"/>
        <v>6.6493684210526309</v>
      </c>
      <c r="O40" s="233">
        <f t="shared" si="14"/>
        <v>0</v>
      </c>
      <c r="Q40" s="239">
        <f>G40/CIN!D$37</f>
        <v>5.5530540183792746E-3</v>
      </c>
      <c r="R40" s="239">
        <f>C40/CIN!D$34</f>
        <v>0.14175274989947062</v>
      </c>
    </row>
    <row r="41" spans="1:18" x14ac:dyDescent="0.3">
      <c r="A41" s="227" t="s">
        <v>328</v>
      </c>
      <c r="B41" s="227" t="s">
        <v>144</v>
      </c>
      <c r="C41" s="228">
        <v>12.4</v>
      </c>
      <c r="D41" s="228">
        <v>8.2222499999999989</v>
      </c>
      <c r="E41" s="228">
        <v>98.257249999999999</v>
      </c>
      <c r="F41" s="228">
        <v>0.69974999999999998</v>
      </c>
      <c r="G41" s="228">
        <v>0</v>
      </c>
      <c r="H41" s="228">
        <v>0</v>
      </c>
      <c r="I41" s="228">
        <v>0</v>
      </c>
      <c r="K41" s="233">
        <f t="shared" si="10"/>
        <v>0.66308467741935473</v>
      </c>
      <c r="L41" s="230">
        <f t="shared" si="11"/>
        <v>11.950165708899634</v>
      </c>
      <c r="M41" s="233">
        <f t="shared" si="12"/>
        <v>8.5104442214722256E-2</v>
      </c>
      <c r="N41" s="230" t="e">
        <f t="shared" si="13"/>
        <v>#DIV/0!</v>
      </c>
      <c r="O41" s="233" t="e">
        <f t="shared" si="14"/>
        <v>#DIV/0!</v>
      </c>
      <c r="Q41" s="239">
        <f>G41/CIN!D$37</f>
        <v>0</v>
      </c>
      <c r="R41" s="239">
        <f>C41/CIN!D$34</f>
        <v>1.9816618926194313E-2</v>
      </c>
    </row>
    <row r="42" spans="1:18" x14ac:dyDescent="0.3">
      <c r="A42" s="227" t="s">
        <v>594</v>
      </c>
      <c r="B42" s="227" t="s">
        <v>144</v>
      </c>
      <c r="C42" s="228">
        <v>7</v>
      </c>
      <c r="D42" s="228">
        <v>4.7770000000000001</v>
      </c>
      <c r="E42" s="228">
        <v>59.725499999999997</v>
      </c>
      <c r="F42" s="228">
        <v>0.36649999999999999</v>
      </c>
      <c r="G42" s="228">
        <v>0</v>
      </c>
      <c r="H42" s="228">
        <v>0</v>
      </c>
      <c r="I42" s="228">
        <v>0</v>
      </c>
      <c r="K42" s="233">
        <f t="shared" si="10"/>
        <v>0.6824285714285715</v>
      </c>
      <c r="L42" s="230">
        <f t="shared" si="11"/>
        <v>12.502721373246807</v>
      </c>
      <c r="M42" s="233">
        <f t="shared" si="12"/>
        <v>7.6721791919614812E-2</v>
      </c>
      <c r="N42" s="230" t="e">
        <f t="shared" si="13"/>
        <v>#DIV/0!</v>
      </c>
      <c r="O42" s="233" t="e">
        <f t="shared" si="14"/>
        <v>#DIV/0!</v>
      </c>
      <c r="Q42" s="239">
        <f>G42/CIN!D$37</f>
        <v>0</v>
      </c>
      <c r="R42" s="239">
        <f>C42/CIN!D$34</f>
        <v>1.1186801006722596E-2</v>
      </c>
    </row>
    <row r="43" spans="1:18" x14ac:dyDescent="0.3">
      <c r="A43" s="227" t="s">
        <v>774</v>
      </c>
      <c r="B43" s="227" t="s">
        <v>144</v>
      </c>
      <c r="C43" s="228">
        <v>8.9499999999999993</v>
      </c>
      <c r="D43" s="228">
        <v>4.7885</v>
      </c>
      <c r="E43" s="228">
        <v>55.262749999999997</v>
      </c>
      <c r="F43" s="228">
        <v>0.28325</v>
      </c>
      <c r="G43" s="228">
        <v>0</v>
      </c>
      <c r="H43" s="228">
        <v>0</v>
      </c>
      <c r="I43" s="228">
        <v>0</v>
      </c>
      <c r="K43" s="233">
        <f t="shared" si="10"/>
        <v>0.5350279329608939</v>
      </c>
      <c r="L43" s="230">
        <f t="shared" si="11"/>
        <v>11.540722564477393</v>
      </c>
      <c r="M43" s="233">
        <f t="shared" si="12"/>
        <v>5.9152135324214261E-2</v>
      </c>
      <c r="N43" s="230" t="e">
        <f t="shared" si="13"/>
        <v>#DIV/0!</v>
      </c>
      <c r="O43" s="233" t="e">
        <f t="shared" si="14"/>
        <v>#DIV/0!</v>
      </c>
      <c r="Q43" s="239">
        <f>G43/CIN!D$37</f>
        <v>0</v>
      </c>
      <c r="R43" s="239">
        <f>C43/CIN!D$34</f>
        <v>1.4303124144309603E-2</v>
      </c>
    </row>
    <row r="44" spans="1:18" x14ac:dyDescent="0.3">
      <c r="A44" s="227" t="s">
        <v>45</v>
      </c>
      <c r="B44" s="227" t="s">
        <v>145</v>
      </c>
      <c r="C44" s="228">
        <v>124.14999999999999</v>
      </c>
      <c r="D44" s="228">
        <v>77.809799999999996</v>
      </c>
      <c r="E44" s="228">
        <v>1004.676</v>
      </c>
      <c r="F44" s="228">
        <v>7.4798</v>
      </c>
      <c r="G44" s="228">
        <v>0.125</v>
      </c>
      <c r="H44" s="228">
        <v>1</v>
      </c>
      <c r="I44" s="228">
        <v>0</v>
      </c>
      <c r="K44" s="233">
        <f t="shared" si="10"/>
        <v>0.62674023358840114</v>
      </c>
      <c r="L44" s="230">
        <f t="shared" si="11"/>
        <v>12.91194682417896</v>
      </c>
      <c r="M44" s="233">
        <f t="shared" si="12"/>
        <v>9.6129279345275279E-2</v>
      </c>
      <c r="N44" s="230">
        <f t="shared" si="13"/>
        <v>8</v>
      </c>
      <c r="O44" s="233">
        <f t="shared" si="14"/>
        <v>0</v>
      </c>
      <c r="Q44" s="239">
        <f>G44/CLE!D$37</f>
        <v>2.5260927190005173E-4</v>
      </c>
      <c r="R44" s="239">
        <f>C44/CLE!D$34</f>
        <v>0.22428182124570833</v>
      </c>
    </row>
    <row r="45" spans="1:18" x14ac:dyDescent="0.3">
      <c r="A45" s="227" t="s">
        <v>235</v>
      </c>
      <c r="B45" s="227" t="s">
        <v>145</v>
      </c>
      <c r="C45" s="228">
        <v>65.75</v>
      </c>
      <c r="D45" s="228">
        <v>33.681800000000003</v>
      </c>
      <c r="E45" s="228">
        <v>576.49779999999998</v>
      </c>
      <c r="F45" s="228">
        <v>2.9256000000000002</v>
      </c>
      <c r="G45" s="228">
        <v>0</v>
      </c>
      <c r="H45" s="228">
        <v>0</v>
      </c>
      <c r="I45" s="228">
        <v>0</v>
      </c>
      <c r="K45" s="233">
        <f t="shared" si="10"/>
        <v>0.51227072243346017</v>
      </c>
      <c r="L45" s="230">
        <f t="shared" si="11"/>
        <v>17.116003301486259</v>
      </c>
      <c r="M45" s="233">
        <f t="shared" si="12"/>
        <v>8.6859965916310886E-2</v>
      </c>
      <c r="N45" s="230" t="e">
        <f t="shared" si="13"/>
        <v>#DIV/0!</v>
      </c>
      <c r="O45" s="233" t="e">
        <f t="shared" si="14"/>
        <v>#DIV/0!</v>
      </c>
      <c r="Q45" s="239">
        <f>G45/CLE!D$37</f>
        <v>0</v>
      </c>
      <c r="R45" s="239">
        <f>C45/CLE!D$34</f>
        <v>0.11877994157797281</v>
      </c>
    </row>
    <row r="46" spans="1:18" x14ac:dyDescent="0.3">
      <c r="A46" s="227" t="s">
        <v>673</v>
      </c>
      <c r="B46" s="227" t="s">
        <v>145</v>
      </c>
      <c r="C46" s="228">
        <v>49.2</v>
      </c>
      <c r="D46" s="228">
        <v>34.508250000000004</v>
      </c>
      <c r="E46" s="228">
        <v>446.97225000000003</v>
      </c>
      <c r="F46" s="228">
        <v>2.6672500000000001</v>
      </c>
      <c r="G46" s="228">
        <v>0.33333333333333331</v>
      </c>
      <c r="H46" s="228">
        <v>2</v>
      </c>
      <c r="I46" s="228">
        <v>0</v>
      </c>
      <c r="K46" s="233">
        <f t="shared" si="10"/>
        <v>0.70138719512195125</v>
      </c>
      <c r="L46" s="230">
        <f t="shared" si="11"/>
        <v>12.952620025646041</v>
      </c>
      <c r="M46" s="233">
        <f t="shared" si="12"/>
        <v>7.7293111067643236E-2</v>
      </c>
      <c r="N46" s="230">
        <f t="shared" si="13"/>
        <v>6</v>
      </c>
      <c r="O46" s="233">
        <f t="shared" si="14"/>
        <v>0</v>
      </c>
      <c r="Q46" s="239">
        <f>G46/CLE!D$37</f>
        <v>6.7362472506680461E-4</v>
      </c>
      <c r="R46" s="239">
        <f>C46/CLE!D$34</f>
        <v>8.888172054199639E-2</v>
      </c>
    </row>
    <row r="47" spans="1:18" x14ac:dyDescent="0.3">
      <c r="A47" s="227" t="s">
        <v>329</v>
      </c>
      <c r="B47" s="227" t="s">
        <v>145</v>
      </c>
      <c r="C47" s="228">
        <v>57.2</v>
      </c>
      <c r="D47" s="228">
        <v>28.540499999999998</v>
      </c>
      <c r="E47" s="228">
        <v>369.25975</v>
      </c>
      <c r="F47" s="228">
        <v>2.419</v>
      </c>
      <c r="G47" s="228">
        <v>2.7333333333333329</v>
      </c>
      <c r="H47" s="228">
        <v>17.433333333333334</v>
      </c>
      <c r="I47" s="228">
        <v>6.6666666666666666E-2</v>
      </c>
      <c r="K47" s="233">
        <f t="shared" si="10"/>
        <v>0.49895979020979014</v>
      </c>
      <c r="L47" s="230">
        <f t="shared" si="11"/>
        <v>12.938096739720748</v>
      </c>
      <c r="M47" s="233">
        <f t="shared" si="12"/>
        <v>8.4756749180988425E-2</v>
      </c>
      <c r="N47" s="230">
        <f t="shared" si="13"/>
        <v>6.3780487804878057</v>
      </c>
      <c r="O47" s="233">
        <f t="shared" si="14"/>
        <v>2.4390243902439029E-2</v>
      </c>
      <c r="Q47" s="239">
        <f>G47/CLE!D$37</f>
        <v>5.5237227455477971E-3</v>
      </c>
      <c r="R47" s="239">
        <f>C47/CLE!D$34</f>
        <v>0.10333403282524783</v>
      </c>
    </row>
    <row r="48" spans="1:18" x14ac:dyDescent="0.3">
      <c r="A48" s="227" t="s">
        <v>595</v>
      </c>
      <c r="B48" s="227" t="s">
        <v>145</v>
      </c>
      <c r="C48" s="228">
        <v>13.95</v>
      </c>
      <c r="D48" s="228">
        <v>9.4232499999999995</v>
      </c>
      <c r="E48" s="228">
        <v>102.2865</v>
      </c>
      <c r="F48" s="228">
        <v>0.5</v>
      </c>
      <c r="G48" s="228">
        <v>1.3666666666666665</v>
      </c>
      <c r="H48" s="228">
        <v>8.5666666666666664</v>
      </c>
      <c r="I48" s="228">
        <v>3.3333333333333333E-2</v>
      </c>
      <c r="K48" s="233">
        <f t="shared" si="10"/>
        <v>0.6755017921146953</v>
      </c>
      <c r="L48" s="230">
        <f t="shared" si="11"/>
        <v>10.854694505611123</v>
      </c>
      <c r="M48" s="233">
        <f t="shared" si="12"/>
        <v>5.3060249913777099E-2</v>
      </c>
      <c r="N48" s="230">
        <f t="shared" si="13"/>
        <v>6.2682926829268304</v>
      </c>
      <c r="O48" s="233">
        <f t="shared" si="14"/>
        <v>2.4390243902439029E-2</v>
      </c>
      <c r="Q48" s="239">
        <f>G48/CLE!D$37</f>
        <v>2.7618613727738986E-3</v>
      </c>
      <c r="R48" s="239">
        <f>C48/CLE!D$34</f>
        <v>2.5201219543919705E-2</v>
      </c>
    </row>
    <row r="49" spans="1:18" x14ac:dyDescent="0.3">
      <c r="A49" s="227" t="s">
        <v>204</v>
      </c>
      <c r="B49" s="227" t="s">
        <v>146</v>
      </c>
      <c r="C49" s="228">
        <v>128.19999999999999</v>
      </c>
      <c r="D49" s="228">
        <v>87.854000000000013</v>
      </c>
      <c r="E49" s="228">
        <v>1180.2021999999999</v>
      </c>
      <c r="F49" s="228">
        <v>7.1346000000000007</v>
      </c>
      <c r="G49" s="228">
        <v>10.6165</v>
      </c>
      <c r="H49" s="228">
        <v>70.342749999999995</v>
      </c>
      <c r="I49" s="228">
        <v>0.05</v>
      </c>
      <c r="K49" s="233">
        <f t="shared" si="10"/>
        <v>0.68528861154446197</v>
      </c>
      <c r="L49" s="230">
        <f t="shared" si="11"/>
        <v>13.433676326632821</v>
      </c>
      <c r="M49" s="233">
        <f t="shared" si="12"/>
        <v>8.120973433195984E-2</v>
      </c>
      <c r="N49" s="230">
        <f t="shared" si="13"/>
        <v>6.6257947534498181</v>
      </c>
      <c r="O49" s="233">
        <f t="shared" si="14"/>
        <v>4.7096500729995761E-3</v>
      </c>
      <c r="Q49" s="239">
        <f>G49/DAL!D$37</f>
        <v>2.2542445578780185E-2</v>
      </c>
      <c r="R49" s="239">
        <f>C49/DAL!D$34</f>
        <v>0.19631142771390594</v>
      </c>
    </row>
    <row r="50" spans="1:18" x14ac:dyDescent="0.3">
      <c r="A50" s="227" t="s">
        <v>46</v>
      </c>
      <c r="B50" s="227" t="s">
        <v>146</v>
      </c>
      <c r="C50" s="228">
        <v>91.8</v>
      </c>
      <c r="D50" s="228">
        <v>52.661999999999999</v>
      </c>
      <c r="E50" s="228">
        <v>736.78279999999995</v>
      </c>
      <c r="F50" s="228">
        <v>4.9668000000000001</v>
      </c>
      <c r="G50" s="228">
        <v>0</v>
      </c>
      <c r="H50" s="228">
        <v>0</v>
      </c>
      <c r="I50" s="228">
        <v>0</v>
      </c>
      <c r="K50" s="233">
        <f t="shared" si="10"/>
        <v>0.57366013071895428</v>
      </c>
      <c r="L50" s="230">
        <f t="shared" si="11"/>
        <v>13.990786525388325</v>
      </c>
      <c r="M50" s="233">
        <f t="shared" si="12"/>
        <v>9.4314686111427598E-2</v>
      </c>
      <c r="N50" s="230" t="e">
        <f t="shared" si="13"/>
        <v>#DIV/0!</v>
      </c>
      <c r="O50" s="233" t="e">
        <f t="shared" si="14"/>
        <v>#DIV/0!</v>
      </c>
      <c r="Q50" s="239">
        <f>G50/DAL!D$37</f>
        <v>0</v>
      </c>
      <c r="R50" s="239">
        <f>C50/DAL!D$34</f>
        <v>0.14057245759856915</v>
      </c>
    </row>
    <row r="51" spans="1:18" x14ac:dyDescent="0.3">
      <c r="A51" s="227" t="s">
        <v>672</v>
      </c>
      <c r="B51" s="227" t="s">
        <v>146</v>
      </c>
      <c r="C51" s="228">
        <v>78</v>
      </c>
      <c r="D51" s="228">
        <v>48.097999999999999</v>
      </c>
      <c r="E51" s="228">
        <v>616.83839999999998</v>
      </c>
      <c r="F51" s="228">
        <v>4.3058000000000005</v>
      </c>
      <c r="G51" s="228">
        <v>0.25</v>
      </c>
      <c r="H51" s="228">
        <v>1.375</v>
      </c>
      <c r="I51" s="228">
        <v>0</v>
      </c>
      <c r="K51" s="233">
        <f t="shared" si="10"/>
        <v>0.61664102564102563</v>
      </c>
      <c r="L51" s="230">
        <f t="shared" si="11"/>
        <v>12.82461640816666</v>
      </c>
      <c r="M51" s="233">
        <f t="shared" si="12"/>
        <v>8.9521393820948911E-2</v>
      </c>
      <c r="N51" s="230">
        <f t="shared" si="13"/>
        <v>5.5</v>
      </c>
      <c r="O51" s="233">
        <f t="shared" si="14"/>
        <v>0</v>
      </c>
      <c r="Q51" s="239">
        <f>G51/DAL!D$37</f>
        <v>5.3083515232845531E-4</v>
      </c>
      <c r="R51" s="239">
        <f>C51/DAL!D$34</f>
        <v>0.11944065024715027</v>
      </c>
    </row>
    <row r="52" spans="1:18" x14ac:dyDescent="0.3">
      <c r="A52" s="227" t="s">
        <v>100</v>
      </c>
      <c r="B52" s="227" t="s">
        <v>146</v>
      </c>
      <c r="C52" s="228">
        <v>52.099999999999994</v>
      </c>
      <c r="D52" s="228">
        <v>36.444999999999993</v>
      </c>
      <c r="E52" s="228">
        <v>510.66324999999995</v>
      </c>
      <c r="F52" s="228">
        <v>2.8</v>
      </c>
      <c r="G52" s="228">
        <v>0.33333333333333331</v>
      </c>
      <c r="H52" s="228">
        <v>2</v>
      </c>
      <c r="I52" s="228">
        <v>0</v>
      </c>
      <c r="K52" s="233">
        <f t="shared" si="10"/>
        <v>0.69952015355086372</v>
      </c>
      <c r="L52" s="230">
        <f t="shared" si="11"/>
        <v>14.011887776100975</v>
      </c>
      <c r="M52" s="233">
        <f t="shared" si="12"/>
        <v>7.6828097132665668E-2</v>
      </c>
      <c r="N52" s="230">
        <f t="shared" si="13"/>
        <v>6</v>
      </c>
      <c r="O52" s="233">
        <f t="shared" si="14"/>
        <v>0</v>
      </c>
      <c r="Q52" s="239">
        <f>G52/DAL!D$37</f>
        <v>7.07780203104607E-4</v>
      </c>
      <c r="R52" s="239">
        <f>C52/DAL!D$34</f>
        <v>7.978022920354523E-2</v>
      </c>
    </row>
    <row r="53" spans="1:18" x14ac:dyDescent="0.3">
      <c r="A53" s="227" t="s">
        <v>596</v>
      </c>
      <c r="B53" s="227" t="s">
        <v>146</v>
      </c>
      <c r="C53" s="228">
        <v>26.1</v>
      </c>
      <c r="D53" s="228">
        <v>18.600000000000001</v>
      </c>
      <c r="E53" s="228">
        <v>213.78580000000002</v>
      </c>
      <c r="F53" s="228">
        <v>1.3416000000000001</v>
      </c>
      <c r="G53" s="228">
        <v>0</v>
      </c>
      <c r="H53" s="228">
        <v>0.16666666666666666</v>
      </c>
      <c r="I53" s="228">
        <v>0</v>
      </c>
      <c r="K53" s="233">
        <f t="shared" si="10"/>
        <v>0.71264367816091956</v>
      </c>
      <c r="L53" s="230">
        <f t="shared" si="11"/>
        <v>11.493860215053763</v>
      </c>
      <c r="M53" s="233">
        <f t="shared" si="12"/>
        <v>7.2129032258064524E-2</v>
      </c>
      <c r="N53" s="230" t="e">
        <f t="shared" si="13"/>
        <v>#DIV/0!</v>
      </c>
      <c r="O53" s="233" t="e">
        <f t="shared" si="14"/>
        <v>#DIV/0!</v>
      </c>
      <c r="Q53" s="239">
        <f>G53/DAL!D$37</f>
        <v>0</v>
      </c>
      <c r="R53" s="239">
        <f>C53/DAL!D$34</f>
        <v>3.9966679121161822E-2</v>
      </c>
    </row>
    <row r="54" spans="1:18" x14ac:dyDescent="0.3">
      <c r="A54" s="227" t="s">
        <v>331</v>
      </c>
      <c r="B54" s="227" t="s">
        <v>146</v>
      </c>
      <c r="C54" s="228">
        <v>12.3</v>
      </c>
      <c r="D54" s="228">
        <v>7.6950000000000003</v>
      </c>
      <c r="E54" s="228">
        <v>89.039000000000001</v>
      </c>
      <c r="F54" s="228">
        <v>0.7589999999999999</v>
      </c>
      <c r="G54" s="228">
        <v>0</v>
      </c>
      <c r="H54" s="228">
        <v>0</v>
      </c>
      <c r="I54" s="228">
        <v>0</v>
      </c>
      <c r="K54" s="233">
        <f t="shared" si="10"/>
        <v>0.62560975609756098</v>
      </c>
      <c r="L54" s="230">
        <f t="shared" si="11"/>
        <v>11.571020142949967</v>
      </c>
      <c r="M54" s="233">
        <f t="shared" si="12"/>
        <v>9.8635477582845993E-2</v>
      </c>
      <c r="N54" s="230" t="e">
        <f t="shared" si="13"/>
        <v>#DIV/0!</v>
      </c>
      <c r="O54" s="233" t="e">
        <f t="shared" si="14"/>
        <v>#DIV/0!</v>
      </c>
      <c r="Q54" s="239">
        <f>G54/DAL!D$37</f>
        <v>0</v>
      </c>
      <c r="R54" s="239">
        <f>C54/DAL!D$34</f>
        <v>1.8834871769742929E-2</v>
      </c>
    </row>
    <row r="55" spans="1:18" x14ac:dyDescent="0.3">
      <c r="A55" s="227" t="s">
        <v>206</v>
      </c>
      <c r="B55" s="227" t="s">
        <v>147</v>
      </c>
      <c r="C55" s="228">
        <v>116.75</v>
      </c>
      <c r="D55" s="228">
        <v>72.007200000000012</v>
      </c>
      <c r="E55" s="228">
        <v>1029.3119999999999</v>
      </c>
      <c r="F55" s="228">
        <v>5.1268000000000002</v>
      </c>
      <c r="G55" s="228">
        <v>2.4312499999999999</v>
      </c>
      <c r="H55" s="228">
        <v>12.12975</v>
      </c>
      <c r="I55" s="228">
        <v>2.5000000000000001E-2</v>
      </c>
      <c r="K55" s="233">
        <f t="shared" si="10"/>
        <v>0.61676402569593158</v>
      </c>
      <c r="L55" s="230">
        <f t="shared" si="11"/>
        <v>14.294570542945701</v>
      </c>
      <c r="M55" s="233">
        <f t="shared" si="12"/>
        <v>7.1198435711984351E-2</v>
      </c>
      <c r="N55" s="230">
        <f t="shared" si="13"/>
        <v>4.989100257069409</v>
      </c>
      <c r="O55" s="233">
        <f t="shared" si="14"/>
        <v>1.0282776349614397E-2</v>
      </c>
      <c r="Q55" s="239">
        <f>G55/DEN!D$37</f>
        <v>5.3693064757513167E-3</v>
      </c>
      <c r="R55" s="239">
        <f>C55/DEN!D$34</f>
        <v>0.19770550526262426</v>
      </c>
    </row>
    <row r="56" spans="1:18" x14ac:dyDescent="0.3">
      <c r="A56" s="227" t="s">
        <v>51</v>
      </c>
      <c r="B56" s="227" t="s">
        <v>147</v>
      </c>
      <c r="C56" s="228">
        <v>111.80000000000001</v>
      </c>
      <c r="D56" s="228">
        <v>67.896199999999993</v>
      </c>
      <c r="E56" s="228">
        <v>963.34979999999996</v>
      </c>
      <c r="F56" s="228">
        <v>5.6468000000000007</v>
      </c>
      <c r="G56" s="228">
        <v>0.125</v>
      </c>
      <c r="H56" s="228">
        <v>1</v>
      </c>
      <c r="I56" s="228">
        <v>0</v>
      </c>
      <c r="K56" s="233">
        <f t="shared" si="10"/>
        <v>0.60730053667262962</v>
      </c>
      <c r="L56" s="230">
        <f t="shared" si="11"/>
        <v>14.188567254132044</v>
      </c>
      <c r="M56" s="233">
        <f t="shared" si="12"/>
        <v>8.3168130175179183E-2</v>
      </c>
      <c r="N56" s="230">
        <f t="shared" si="13"/>
        <v>8</v>
      </c>
      <c r="O56" s="233">
        <f t="shared" si="14"/>
        <v>0</v>
      </c>
      <c r="Q56" s="239">
        <f>G56/DEN!D$37</f>
        <v>2.7605688821343531E-4</v>
      </c>
      <c r="R56" s="239">
        <f>C56/DEN!D$34</f>
        <v>0.18932313052129673</v>
      </c>
    </row>
    <row r="57" spans="1:18" x14ac:dyDescent="0.3">
      <c r="A57" s="227" t="s">
        <v>52</v>
      </c>
      <c r="B57" s="227" t="s">
        <v>147</v>
      </c>
      <c r="C57" s="228">
        <v>81.75</v>
      </c>
      <c r="D57" s="228">
        <v>48.281799999999997</v>
      </c>
      <c r="E57" s="228">
        <v>654.78899999999999</v>
      </c>
      <c r="F57" s="228">
        <v>5.1966000000000001</v>
      </c>
      <c r="G57" s="228">
        <v>0</v>
      </c>
      <c r="H57" s="228">
        <v>0</v>
      </c>
      <c r="I57" s="228">
        <v>0</v>
      </c>
      <c r="K57" s="233">
        <f t="shared" si="10"/>
        <v>0.59060305810397551</v>
      </c>
      <c r="L57" s="230">
        <f t="shared" si="11"/>
        <v>13.561818324917464</v>
      </c>
      <c r="M57" s="233">
        <f t="shared" si="12"/>
        <v>0.10763061857677221</v>
      </c>
      <c r="N57" s="230" t="e">
        <f t="shared" si="13"/>
        <v>#DIV/0!</v>
      </c>
      <c r="O57" s="233" t="e">
        <f t="shared" si="14"/>
        <v>#DIV/0!</v>
      </c>
      <c r="Q57" s="239">
        <f>G57/DEN!D$37</f>
        <v>0</v>
      </c>
      <c r="R57" s="239">
        <f>C57/DEN!D$34</f>
        <v>0.13843618890980328</v>
      </c>
    </row>
    <row r="58" spans="1:18" x14ac:dyDescent="0.3">
      <c r="A58" s="227" t="s">
        <v>599</v>
      </c>
      <c r="B58" s="227" t="s">
        <v>147</v>
      </c>
      <c r="C58" s="228">
        <v>43.849999999999994</v>
      </c>
      <c r="D58" s="228">
        <v>26.464199999999998</v>
      </c>
      <c r="E58" s="228">
        <v>356.62600000000003</v>
      </c>
      <c r="F58" s="228">
        <v>2.2631999999999999</v>
      </c>
      <c r="G58" s="228">
        <v>1.75</v>
      </c>
      <c r="H58" s="228">
        <v>9.75</v>
      </c>
      <c r="I58" s="228">
        <v>0</v>
      </c>
      <c r="K58" s="233">
        <f t="shared" si="10"/>
        <v>0.60351653363740021</v>
      </c>
      <c r="L58" s="230">
        <f t="shared" si="11"/>
        <v>13.475789935082114</v>
      </c>
      <c r="M58" s="233">
        <f t="shared" si="12"/>
        <v>8.551930532568526E-2</v>
      </c>
      <c r="N58" s="230">
        <f t="shared" si="13"/>
        <v>5.5714285714285712</v>
      </c>
      <c r="O58" s="233">
        <f t="shared" si="14"/>
        <v>0</v>
      </c>
      <c r="Q58" s="239">
        <f>G58/DEN!D$37</f>
        <v>3.8647964349880948E-3</v>
      </c>
      <c r="R58" s="239">
        <f>C58/DEN!D$34</f>
        <v>7.4255986344891417E-2</v>
      </c>
    </row>
    <row r="59" spans="1:18" x14ac:dyDescent="0.3">
      <c r="A59" s="227" t="s">
        <v>600</v>
      </c>
      <c r="B59" s="227" t="s">
        <v>147</v>
      </c>
      <c r="C59" s="228">
        <v>10.4</v>
      </c>
      <c r="D59" s="228">
        <v>7.9679999999999991</v>
      </c>
      <c r="E59" s="228">
        <v>90.645250000000004</v>
      </c>
      <c r="F59" s="228">
        <v>0.58925000000000005</v>
      </c>
      <c r="G59" s="228">
        <v>0</v>
      </c>
      <c r="H59" s="228">
        <v>0</v>
      </c>
      <c r="I59" s="228">
        <v>0</v>
      </c>
      <c r="K59" s="233">
        <f t="shared" si="10"/>
        <v>0.76615384615384607</v>
      </c>
      <c r="L59" s="230">
        <f t="shared" si="11"/>
        <v>11.376160893574299</v>
      </c>
      <c r="M59" s="233">
        <f t="shared" si="12"/>
        <v>7.3952058232931744E-2</v>
      </c>
      <c r="N59" s="230" t="e">
        <f t="shared" si="13"/>
        <v>#DIV/0!</v>
      </c>
      <c r="O59" s="233" t="e">
        <f t="shared" si="14"/>
        <v>#DIV/0!</v>
      </c>
      <c r="Q59" s="239">
        <f>G59/DEN!D$37</f>
        <v>0</v>
      </c>
      <c r="R59" s="239">
        <f>C59/DEN!D$34</f>
        <v>1.7611454001981091E-2</v>
      </c>
    </row>
    <row r="60" spans="1:18" x14ac:dyDescent="0.3">
      <c r="A60" s="227" t="s">
        <v>831</v>
      </c>
      <c r="B60" s="227" t="s">
        <v>147</v>
      </c>
      <c r="C60" s="228">
        <v>5</v>
      </c>
      <c r="D60" s="228">
        <v>3.1790000000000003</v>
      </c>
      <c r="E60" s="228">
        <v>35.683750000000003</v>
      </c>
      <c r="F60" s="228">
        <v>0.23825000000000002</v>
      </c>
      <c r="G60" s="228">
        <v>0</v>
      </c>
      <c r="H60" s="228">
        <v>0</v>
      </c>
      <c r="I60" s="228">
        <v>0</v>
      </c>
      <c r="K60" s="233">
        <f t="shared" si="10"/>
        <v>0.63580000000000003</v>
      </c>
      <c r="L60" s="230">
        <f t="shared" si="11"/>
        <v>11.224834853727588</v>
      </c>
      <c r="M60" s="233">
        <f t="shared" si="12"/>
        <v>7.494495124252909E-2</v>
      </c>
      <c r="N60" s="230" t="e">
        <f t="shared" si="13"/>
        <v>#DIV/0!</v>
      </c>
      <c r="O60" s="233" t="e">
        <f t="shared" si="14"/>
        <v>#DIV/0!</v>
      </c>
      <c r="Q60" s="239">
        <f>G60/DEN!D$37</f>
        <v>0</v>
      </c>
      <c r="R60" s="239">
        <f>C60/DEN!D$34</f>
        <v>8.46704519326014E-3</v>
      </c>
    </row>
    <row r="61" spans="1:18" x14ac:dyDescent="0.3">
      <c r="A61" s="227" t="s">
        <v>332</v>
      </c>
      <c r="B61" s="227" t="s">
        <v>148</v>
      </c>
      <c r="C61" s="228">
        <v>117.25</v>
      </c>
      <c r="D61" s="228">
        <v>80.269400000000005</v>
      </c>
      <c r="E61" s="228">
        <v>863.00040000000013</v>
      </c>
      <c r="F61" s="228">
        <v>5.1989999999999998</v>
      </c>
      <c r="G61" s="228">
        <v>10.023250000000001</v>
      </c>
      <c r="H61" s="228">
        <v>67.785750000000007</v>
      </c>
      <c r="I61" s="228">
        <v>0.67500000000000004</v>
      </c>
      <c r="K61" s="233">
        <f t="shared" si="10"/>
        <v>0.68460042643923247</v>
      </c>
      <c r="L61" s="230">
        <f t="shared" si="11"/>
        <v>10.751299997259231</v>
      </c>
      <c r="M61" s="233">
        <f t="shared" si="12"/>
        <v>6.4769389082265469E-2</v>
      </c>
      <c r="N61" s="230">
        <f t="shared" si="13"/>
        <v>6.7628513705634399</v>
      </c>
      <c r="O61" s="233">
        <f t="shared" si="14"/>
        <v>6.7343426533310047E-2</v>
      </c>
      <c r="Q61" s="239">
        <f>G61/DET!D$37</f>
        <v>2.4990078266384549E-2</v>
      </c>
      <c r="R61" s="239">
        <f>C61/DET!D$34</f>
        <v>0.18533276644426419</v>
      </c>
    </row>
    <row r="62" spans="1:18" x14ac:dyDescent="0.3">
      <c r="A62" s="227" t="s">
        <v>602</v>
      </c>
      <c r="B62" s="227" t="s">
        <v>148</v>
      </c>
      <c r="C62" s="228">
        <v>87.15</v>
      </c>
      <c r="D62" s="228">
        <v>50.059600000000003</v>
      </c>
      <c r="E62" s="228">
        <v>669.12599999999998</v>
      </c>
      <c r="F62" s="228">
        <v>3.9695999999999998</v>
      </c>
      <c r="G62" s="228">
        <v>0.25</v>
      </c>
      <c r="H62" s="228">
        <v>1.25</v>
      </c>
      <c r="I62" s="228">
        <v>0</v>
      </c>
      <c r="K62" s="233">
        <f t="shared" si="10"/>
        <v>0.57440734366035573</v>
      </c>
      <c r="L62" s="230">
        <f t="shared" si="11"/>
        <v>13.366587028262311</v>
      </c>
      <c r="M62" s="233">
        <f t="shared" si="12"/>
        <v>7.9297477406930925E-2</v>
      </c>
      <c r="N62" s="230">
        <f t="shared" si="13"/>
        <v>5</v>
      </c>
      <c r="O62" s="233">
        <f t="shared" si="14"/>
        <v>0</v>
      </c>
      <c r="Q62" s="239">
        <f>G62/DET!D$37</f>
        <v>6.2330277770145787E-4</v>
      </c>
      <c r="R62" s="239">
        <f>C62/DET!D$34</f>
        <v>0.13775480252125907</v>
      </c>
    </row>
    <row r="63" spans="1:18" x14ac:dyDescent="0.3">
      <c r="A63" s="227" t="s">
        <v>846</v>
      </c>
      <c r="B63" s="227" t="s">
        <v>148</v>
      </c>
      <c r="C63" s="228">
        <v>81.3</v>
      </c>
      <c r="D63" s="228">
        <v>39.468200000000003</v>
      </c>
      <c r="E63" s="228">
        <v>552.0501999999999</v>
      </c>
      <c r="F63" s="228">
        <v>3.8379999999999996</v>
      </c>
      <c r="G63" s="228">
        <v>0.125</v>
      </c>
      <c r="H63" s="228">
        <v>0.9</v>
      </c>
      <c r="I63" s="228">
        <v>0</v>
      </c>
      <c r="K63" s="233">
        <f t="shared" si="10"/>
        <v>0.48546371463714644</v>
      </c>
      <c r="L63" s="230">
        <f t="shared" si="11"/>
        <v>13.987215023740628</v>
      </c>
      <c r="M63" s="233">
        <f t="shared" si="12"/>
        <v>9.7242843605738274E-2</v>
      </c>
      <c r="N63" s="230">
        <f t="shared" si="13"/>
        <v>7.2</v>
      </c>
      <c r="O63" s="233">
        <f t="shared" si="14"/>
        <v>0</v>
      </c>
      <c r="Q63" s="239">
        <f>G63/DET!D$37</f>
        <v>3.1165138885072893E-4</v>
      </c>
      <c r="R63" s="239">
        <f>C63/DET!D$34</f>
        <v>0.12850792248971155</v>
      </c>
    </row>
    <row r="64" spans="1:18" x14ac:dyDescent="0.3">
      <c r="A64" s="227" t="s">
        <v>79</v>
      </c>
      <c r="B64" s="227" t="s">
        <v>148</v>
      </c>
      <c r="C64" s="228">
        <v>33.299999999999997</v>
      </c>
      <c r="D64" s="228">
        <v>17.256800000000002</v>
      </c>
      <c r="E64" s="228">
        <v>235.96060000000003</v>
      </c>
      <c r="F64" s="228">
        <v>1.1889999999999998</v>
      </c>
      <c r="G64" s="228">
        <v>0.25</v>
      </c>
      <c r="H64" s="228">
        <v>1.8</v>
      </c>
      <c r="I64" s="228">
        <v>0</v>
      </c>
      <c r="K64" s="233">
        <f t="shared" si="10"/>
        <v>0.51822222222222236</v>
      </c>
      <c r="L64" s="230">
        <f t="shared" si="11"/>
        <v>13.673485234805989</v>
      </c>
      <c r="M64" s="233">
        <f t="shared" si="12"/>
        <v>6.890037550414907E-2</v>
      </c>
      <c r="N64" s="230">
        <f t="shared" si="13"/>
        <v>7.2</v>
      </c>
      <c r="O64" s="233">
        <f t="shared" si="14"/>
        <v>0</v>
      </c>
      <c r="Q64" s="239">
        <f>G64/DET!D$37</f>
        <v>6.2330277770145787E-4</v>
      </c>
      <c r="R64" s="239">
        <f>C64/DET!D$34</f>
        <v>5.2636086333424287E-2</v>
      </c>
    </row>
    <row r="65" spans="1:18" x14ac:dyDescent="0.3">
      <c r="A65" s="227" t="s">
        <v>234</v>
      </c>
      <c r="B65" s="227" t="s">
        <v>148</v>
      </c>
      <c r="C65" s="228">
        <v>15.899999999999999</v>
      </c>
      <c r="D65" s="228">
        <v>11.098000000000001</v>
      </c>
      <c r="E65" s="228">
        <v>142.43099999999998</v>
      </c>
      <c r="F65" s="228">
        <v>1.05375</v>
      </c>
      <c r="G65" s="228">
        <v>0</v>
      </c>
      <c r="H65" s="228">
        <v>0</v>
      </c>
      <c r="I65" s="228">
        <v>0</v>
      </c>
      <c r="K65" s="233">
        <f t="shared" si="10"/>
        <v>0.69798742138364789</v>
      </c>
      <c r="L65" s="230">
        <f t="shared" si="11"/>
        <v>12.833934042169759</v>
      </c>
      <c r="M65" s="233">
        <f t="shared" si="12"/>
        <v>9.4949540457740123E-2</v>
      </c>
      <c r="N65" s="230" t="e">
        <f t="shared" si="13"/>
        <v>#DIV/0!</v>
      </c>
      <c r="O65" s="233" t="e">
        <f t="shared" si="14"/>
        <v>#DIV/0!</v>
      </c>
      <c r="Q65" s="239">
        <f>G65/DET!D$37</f>
        <v>0</v>
      </c>
      <c r="R65" s="239">
        <f>C65/DET!D$34</f>
        <v>2.5132545726770154E-2</v>
      </c>
    </row>
    <row r="66" spans="1:18" x14ac:dyDescent="0.3">
      <c r="A66" s="227" t="s">
        <v>564</v>
      </c>
      <c r="B66" s="227" t="s">
        <v>148</v>
      </c>
      <c r="C66" s="228">
        <v>19.399999999999999</v>
      </c>
      <c r="D66" s="228">
        <v>9.4595000000000002</v>
      </c>
      <c r="E66" s="228">
        <v>102.87149999999998</v>
      </c>
      <c r="F66" s="228">
        <v>0.66449999999999998</v>
      </c>
      <c r="G66" s="228">
        <v>2.6636666666666664</v>
      </c>
      <c r="H66" s="228">
        <v>17.977666666666668</v>
      </c>
      <c r="I66" s="228">
        <v>3.3333333333333333E-2</v>
      </c>
      <c r="K66" s="233">
        <f t="shared" si="10"/>
        <v>0.48760309278350522</v>
      </c>
      <c r="L66" s="230">
        <f t="shared" si="11"/>
        <v>10.874940535969129</v>
      </c>
      <c r="M66" s="233">
        <f t="shared" si="12"/>
        <v>7.0246841799249421E-2</v>
      </c>
      <c r="N66" s="230">
        <f t="shared" si="13"/>
        <v>6.7492178701038679</v>
      </c>
      <c r="O66" s="233">
        <f t="shared" si="14"/>
        <v>1.2514078338130398E-2</v>
      </c>
      <c r="Q66" s="239">
        <f>G66/DET!D$37</f>
        <v>6.6410833288164653E-3</v>
      </c>
      <c r="R66" s="239">
        <f>C66/DET!D$34</f>
        <v>3.06648671131661E-2</v>
      </c>
    </row>
    <row r="67" spans="1:18" x14ac:dyDescent="0.3">
      <c r="A67" s="227" t="s">
        <v>670</v>
      </c>
      <c r="B67" s="227" t="s">
        <v>149</v>
      </c>
      <c r="C67" s="228">
        <v>85.85</v>
      </c>
      <c r="D67" s="228">
        <v>49.749200000000002</v>
      </c>
      <c r="E67" s="228">
        <v>657.6</v>
      </c>
      <c r="F67" s="228">
        <v>4.9992000000000001</v>
      </c>
      <c r="G67" s="228">
        <v>1.75</v>
      </c>
      <c r="H67" s="228">
        <v>10.45</v>
      </c>
      <c r="I67" s="228">
        <v>2.5000000000000001E-2</v>
      </c>
      <c r="K67" s="233">
        <f t="shared" si="10"/>
        <v>0.57948980780430992</v>
      </c>
      <c r="L67" s="230">
        <f t="shared" si="11"/>
        <v>13.218303007887563</v>
      </c>
      <c r="M67" s="233">
        <f t="shared" si="12"/>
        <v>0.10048804804901385</v>
      </c>
      <c r="N67" s="230">
        <f t="shared" si="13"/>
        <v>5.9714285714285706</v>
      </c>
      <c r="O67" s="233">
        <f t="shared" si="14"/>
        <v>1.4285714285714287E-2</v>
      </c>
      <c r="Q67" s="239">
        <f>G67/GB!D$37</f>
        <v>3.8992469350972126E-3</v>
      </c>
      <c r="R67" s="239">
        <f>C67/GB!D$34</f>
        <v>0.1448931966677974</v>
      </c>
    </row>
    <row r="68" spans="1:18" x14ac:dyDescent="0.3">
      <c r="A68" s="227" t="s">
        <v>207</v>
      </c>
      <c r="B68" s="227" t="s">
        <v>149</v>
      </c>
      <c r="C68" s="228">
        <v>83.95</v>
      </c>
      <c r="D68" s="228">
        <v>51.1922</v>
      </c>
      <c r="E68" s="228">
        <v>646.5136</v>
      </c>
      <c r="F68" s="228">
        <v>6.734</v>
      </c>
      <c r="G68" s="228">
        <v>4.4637500000000001</v>
      </c>
      <c r="H68" s="228">
        <v>31.516500000000001</v>
      </c>
      <c r="I68" s="228">
        <v>2.5000000000000001E-2</v>
      </c>
      <c r="K68" s="233">
        <f t="shared" ref="K68:K100" si="15">D68/C68</f>
        <v>0.60979392495533058</v>
      </c>
      <c r="L68" s="230">
        <f t="shared" ref="L68:L100" si="16">E68/D68</f>
        <v>12.629142720961397</v>
      </c>
      <c r="M68" s="233">
        <f t="shared" ref="M68:M100" si="17">F68/D68</f>
        <v>0.13154347732662397</v>
      </c>
      <c r="N68" s="230">
        <f t="shared" ref="N68:N100" si="18">H68/G68</f>
        <v>7.0605432651918232</v>
      </c>
      <c r="O68" s="233">
        <f t="shared" ref="O68:O100" si="19">I68/G68</f>
        <v>5.600672080649678E-3</v>
      </c>
      <c r="Q68" s="239">
        <f>G68/GB!D$37</f>
        <v>9.9458648608801055E-3</v>
      </c>
      <c r="R68" s="239">
        <f>C68/GB!D$34</f>
        <v>0.14168647478464291</v>
      </c>
    </row>
    <row r="69" spans="1:18" x14ac:dyDescent="0.3">
      <c r="A69" s="227" t="s">
        <v>70</v>
      </c>
      <c r="B69" s="227" t="s">
        <v>149</v>
      </c>
      <c r="C69" s="228">
        <v>54.4</v>
      </c>
      <c r="D69" s="228">
        <v>36.423400000000001</v>
      </c>
      <c r="E69" s="228">
        <v>468.17200000000003</v>
      </c>
      <c r="F69" s="228">
        <v>2.4253999999999998</v>
      </c>
      <c r="G69" s="228">
        <v>0.875</v>
      </c>
      <c r="H69" s="228">
        <v>5.4749999999999996</v>
      </c>
      <c r="I69" s="228">
        <v>0</v>
      </c>
      <c r="K69" s="233">
        <f t="shared" si="15"/>
        <v>0.66954779411764709</v>
      </c>
      <c r="L69" s="230">
        <f t="shared" si="16"/>
        <v>12.85360510001812</v>
      </c>
      <c r="M69" s="233">
        <f t="shared" si="17"/>
        <v>6.6589060878446266E-2</v>
      </c>
      <c r="N69" s="230">
        <f t="shared" si="18"/>
        <v>6.2571428571428571</v>
      </c>
      <c r="O69" s="233">
        <f t="shared" si="19"/>
        <v>0</v>
      </c>
      <c r="Q69" s="239">
        <f>G69/GB!D$37</f>
        <v>1.9496234675486063E-3</v>
      </c>
      <c r="R69" s="239">
        <f>C69/GB!D$34</f>
        <v>9.1813510759792424E-2</v>
      </c>
    </row>
    <row r="70" spans="1:18" x14ac:dyDescent="0.3">
      <c r="A70" s="227" t="s">
        <v>47</v>
      </c>
      <c r="B70" s="227" t="s">
        <v>149</v>
      </c>
      <c r="C70" s="228">
        <v>61.900000000000006</v>
      </c>
      <c r="D70" s="228">
        <v>37.811250000000001</v>
      </c>
      <c r="E70" s="228">
        <v>449.40100000000007</v>
      </c>
      <c r="F70" s="228">
        <v>4.82925</v>
      </c>
      <c r="G70" s="228">
        <v>1.3333333333333333</v>
      </c>
      <c r="H70" s="228">
        <v>6.4666666666666659</v>
      </c>
      <c r="I70" s="228">
        <v>0</v>
      </c>
      <c r="K70" s="233">
        <f t="shared" si="15"/>
        <v>0.61084410339256867</v>
      </c>
      <c r="L70" s="230">
        <f t="shared" si="16"/>
        <v>11.885378029025754</v>
      </c>
      <c r="M70" s="233">
        <f t="shared" si="17"/>
        <v>0.12771992462560747</v>
      </c>
      <c r="N70" s="230">
        <f t="shared" si="18"/>
        <v>4.8499999999999996</v>
      </c>
      <c r="O70" s="233">
        <f t="shared" si="19"/>
        <v>0</v>
      </c>
      <c r="Q70" s="239">
        <f>G70/GB!D$37</f>
        <v>2.9708548076931144E-3</v>
      </c>
      <c r="R70" s="239">
        <f>C70/GB!D$34</f>
        <v>0.104471623456455</v>
      </c>
    </row>
    <row r="71" spans="1:18" x14ac:dyDescent="0.3">
      <c r="A71" s="227" t="s">
        <v>644</v>
      </c>
      <c r="B71" s="227" t="s">
        <v>149</v>
      </c>
      <c r="C71" s="228">
        <v>43.35</v>
      </c>
      <c r="D71" s="228">
        <v>28</v>
      </c>
      <c r="E71" s="228">
        <v>354</v>
      </c>
      <c r="F71" s="228">
        <v>1.5</v>
      </c>
      <c r="G71" s="228">
        <v>0</v>
      </c>
      <c r="H71" s="228">
        <v>0</v>
      </c>
      <c r="I71" s="228">
        <v>0</v>
      </c>
      <c r="K71" s="233">
        <f t="shared" si="15"/>
        <v>0.64590542099192616</v>
      </c>
      <c r="L71" s="230">
        <f t="shared" si="16"/>
        <v>12.642857142857142</v>
      </c>
      <c r="M71" s="233">
        <f t="shared" si="17"/>
        <v>5.3571428571428568E-2</v>
      </c>
      <c r="N71" s="230" t="e">
        <f t="shared" si="18"/>
        <v>#DIV/0!</v>
      </c>
      <c r="O71" s="233" t="e">
        <f t="shared" si="19"/>
        <v>#DIV/0!</v>
      </c>
      <c r="Q71" s="239">
        <f>G71/GB!D$37</f>
        <v>0</v>
      </c>
      <c r="R71" s="239">
        <f>C71/GB!D$34</f>
        <v>7.316389138670959E-2</v>
      </c>
    </row>
    <row r="72" spans="1:18" x14ac:dyDescent="0.3">
      <c r="A72" s="227" t="s">
        <v>333</v>
      </c>
      <c r="B72" s="227" t="s">
        <v>149</v>
      </c>
      <c r="C72" s="228">
        <v>46.35</v>
      </c>
      <c r="D72" s="228">
        <v>26.568250000000003</v>
      </c>
      <c r="E72" s="228">
        <v>331.584</v>
      </c>
      <c r="F72" s="228">
        <v>2.2225000000000001</v>
      </c>
      <c r="G72" s="228">
        <v>1.5886666666666667</v>
      </c>
      <c r="H72" s="228">
        <v>11.9</v>
      </c>
      <c r="I72" s="228">
        <v>0</v>
      </c>
      <c r="K72" s="233">
        <f t="shared" si="15"/>
        <v>0.57320927723840354</v>
      </c>
      <c r="L72" s="230">
        <f t="shared" si="16"/>
        <v>12.480460700271941</v>
      </c>
      <c r="M72" s="233">
        <f t="shared" si="17"/>
        <v>8.3652479933755519E-2</v>
      </c>
      <c r="N72" s="230">
        <f t="shared" si="18"/>
        <v>7.4905581200167859</v>
      </c>
      <c r="O72" s="233">
        <f t="shared" si="19"/>
        <v>0</v>
      </c>
      <c r="Q72" s="239">
        <f>G72/GB!D$37</f>
        <v>3.539773503366346E-3</v>
      </c>
      <c r="R72" s="239">
        <f>C72/GB!D$34</f>
        <v>7.8227136465374617E-2</v>
      </c>
    </row>
    <row r="73" spans="1:18" x14ac:dyDescent="0.3">
      <c r="A73" s="227" t="s">
        <v>604</v>
      </c>
      <c r="B73" s="227" t="s">
        <v>149</v>
      </c>
      <c r="C73" s="228">
        <v>11.5</v>
      </c>
      <c r="D73" s="228">
        <v>7.6537500000000005</v>
      </c>
      <c r="E73" s="228">
        <v>80.402999999999992</v>
      </c>
      <c r="F73" s="228">
        <v>0.68425000000000002</v>
      </c>
      <c r="G73" s="228">
        <v>0</v>
      </c>
      <c r="H73" s="228">
        <v>0</v>
      </c>
      <c r="I73" s="228">
        <v>0</v>
      </c>
      <c r="K73" s="233">
        <f t="shared" si="15"/>
        <v>0.66554347826086957</v>
      </c>
      <c r="L73" s="230">
        <f t="shared" si="16"/>
        <v>10.505046545810876</v>
      </c>
      <c r="M73" s="233">
        <f t="shared" si="17"/>
        <v>8.9400620610811693E-2</v>
      </c>
      <c r="N73" s="230" t="e">
        <f t="shared" si="18"/>
        <v>#DIV/0!</v>
      </c>
      <c r="O73" s="233" t="e">
        <f t="shared" si="19"/>
        <v>#DIV/0!</v>
      </c>
      <c r="Q73" s="239">
        <f>G73/GB!D$37</f>
        <v>0</v>
      </c>
      <c r="R73" s="239">
        <f>C73/GB!D$34</f>
        <v>1.940910613488259E-2</v>
      </c>
    </row>
    <row r="74" spans="1:18" x14ac:dyDescent="0.3">
      <c r="A74" s="227" t="s">
        <v>76</v>
      </c>
      <c r="B74" s="227" t="s">
        <v>150</v>
      </c>
      <c r="C74" s="228">
        <v>134.15</v>
      </c>
      <c r="D74" s="228">
        <v>90.639600000000002</v>
      </c>
      <c r="E74" s="228">
        <v>1070.1148000000001</v>
      </c>
      <c r="F74" s="228">
        <v>5.4337999999999997</v>
      </c>
      <c r="G74" s="228">
        <v>3.3025000000000002</v>
      </c>
      <c r="H74" s="228">
        <v>24.21725</v>
      </c>
      <c r="I74" s="228">
        <v>2.5000000000000001E-2</v>
      </c>
      <c r="K74" s="233">
        <f t="shared" si="15"/>
        <v>0.6756585911293328</v>
      </c>
      <c r="L74" s="230">
        <f t="shared" si="16"/>
        <v>11.806261280941223</v>
      </c>
      <c r="M74" s="233">
        <f t="shared" si="17"/>
        <v>5.9949514340310414E-2</v>
      </c>
      <c r="N74" s="230">
        <f t="shared" si="18"/>
        <v>7.3330052990158965</v>
      </c>
      <c r="O74" s="233">
        <f t="shared" si="19"/>
        <v>7.5700227100681302E-3</v>
      </c>
      <c r="Q74" s="239">
        <f>G74/HOU!D$37</f>
        <v>8.5552118791156987E-3</v>
      </c>
      <c r="R74" s="239">
        <f>C74/HOU!D$34</f>
        <v>0.22405833700778988</v>
      </c>
    </row>
    <row r="75" spans="1:18" x14ac:dyDescent="0.3">
      <c r="A75" s="227" t="s">
        <v>334</v>
      </c>
      <c r="B75" s="227" t="s">
        <v>150</v>
      </c>
      <c r="C75" s="228">
        <v>80.099999999999994</v>
      </c>
      <c r="D75" s="228">
        <v>45.487250000000003</v>
      </c>
      <c r="E75" s="228">
        <v>604.28625</v>
      </c>
      <c r="F75" s="228">
        <v>3.1262500000000002</v>
      </c>
      <c r="G75" s="228">
        <v>0</v>
      </c>
      <c r="H75" s="228">
        <v>0</v>
      </c>
      <c r="I75" s="228">
        <v>0</v>
      </c>
      <c r="K75" s="233">
        <f t="shared" si="15"/>
        <v>0.56788077403245951</v>
      </c>
      <c r="L75" s="230">
        <f t="shared" si="16"/>
        <v>13.284739130195824</v>
      </c>
      <c r="M75" s="233">
        <f t="shared" si="17"/>
        <v>6.8728050167904189E-2</v>
      </c>
      <c r="N75" s="230" t="e">
        <f t="shared" si="18"/>
        <v>#DIV/0!</v>
      </c>
      <c r="O75" s="233" t="e">
        <f t="shared" si="19"/>
        <v>#DIV/0!</v>
      </c>
      <c r="Q75" s="239">
        <f>G75/HOU!D$37</f>
        <v>0</v>
      </c>
      <c r="R75" s="239">
        <f>C75/HOU!D$34</f>
        <v>0.13378362127710747</v>
      </c>
    </row>
    <row r="76" spans="1:18" x14ac:dyDescent="0.3">
      <c r="A76" s="227" t="s">
        <v>669</v>
      </c>
      <c r="B76" s="227" t="s">
        <v>150</v>
      </c>
      <c r="C76" s="228">
        <v>87.95</v>
      </c>
      <c r="D76" s="228">
        <v>43.131199999999993</v>
      </c>
      <c r="E76" s="228">
        <v>508.72299999999996</v>
      </c>
      <c r="F76" s="228">
        <v>2.5670000000000002</v>
      </c>
      <c r="G76" s="228">
        <v>0</v>
      </c>
      <c r="H76" s="228">
        <v>0</v>
      </c>
      <c r="I76" s="228">
        <v>0</v>
      </c>
      <c r="K76" s="233">
        <f t="shared" si="15"/>
        <v>0.49040591245025572</v>
      </c>
      <c r="L76" s="230">
        <f t="shared" si="16"/>
        <v>11.794779649070744</v>
      </c>
      <c r="M76" s="233">
        <f t="shared" si="17"/>
        <v>5.9516081166301901E-2</v>
      </c>
      <c r="N76" s="230" t="e">
        <f t="shared" si="18"/>
        <v>#DIV/0!</v>
      </c>
      <c r="O76" s="233" t="e">
        <f t="shared" si="19"/>
        <v>#DIV/0!</v>
      </c>
      <c r="Q76" s="239">
        <f>G76/HOU!D$37</f>
        <v>0</v>
      </c>
      <c r="R76" s="239">
        <f>C76/HOU!D$34</f>
        <v>0.14689475020376533</v>
      </c>
    </row>
    <row r="77" spans="1:18" x14ac:dyDescent="0.3">
      <c r="A77" s="227" t="s">
        <v>66</v>
      </c>
      <c r="B77" s="227" t="s">
        <v>150</v>
      </c>
      <c r="C77" s="228">
        <v>44.95</v>
      </c>
      <c r="D77" s="228">
        <v>31.833500000000001</v>
      </c>
      <c r="E77" s="228">
        <v>418.88325000000003</v>
      </c>
      <c r="F77" s="228">
        <v>2.1175000000000002</v>
      </c>
      <c r="G77" s="228">
        <v>0</v>
      </c>
      <c r="H77" s="228">
        <v>0</v>
      </c>
      <c r="I77" s="228">
        <v>0</v>
      </c>
      <c r="K77" s="233">
        <f t="shared" si="15"/>
        <v>0.7081979977753059</v>
      </c>
      <c r="L77" s="230">
        <f t="shared" si="16"/>
        <v>13.15856723263229</v>
      </c>
      <c r="M77" s="233">
        <f t="shared" si="17"/>
        <v>6.651797634567358E-2</v>
      </c>
      <c r="N77" s="230" t="e">
        <f t="shared" si="18"/>
        <v>#DIV/0!</v>
      </c>
      <c r="O77" s="233" t="e">
        <f t="shared" si="19"/>
        <v>#DIV/0!</v>
      </c>
      <c r="Q77" s="239">
        <f>G77/HOU!D$37</f>
        <v>0</v>
      </c>
      <c r="R77" s="239">
        <f>C77/HOU!D$34</f>
        <v>7.5075827420798769E-2</v>
      </c>
    </row>
    <row r="78" spans="1:18" x14ac:dyDescent="0.3">
      <c r="A78" s="227" t="s">
        <v>773</v>
      </c>
      <c r="B78" s="227" t="s">
        <v>150</v>
      </c>
      <c r="C78" s="228">
        <v>23.25</v>
      </c>
      <c r="D78" s="228">
        <v>16.3416</v>
      </c>
      <c r="E78" s="228">
        <v>223.26700000000002</v>
      </c>
      <c r="F78" s="228">
        <v>1.1494</v>
      </c>
      <c r="G78" s="228">
        <v>0</v>
      </c>
      <c r="H78" s="228">
        <v>0</v>
      </c>
      <c r="I78" s="228">
        <v>0</v>
      </c>
      <c r="K78" s="233">
        <f t="shared" si="15"/>
        <v>0.70286451612903222</v>
      </c>
      <c r="L78" s="230">
        <f t="shared" si="16"/>
        <v>13.66249326871298</v>
      </c>
      <c r="M78" s="233">
        <f t="shared" si="17"/>
        <v>7.0335830028883342E-2</v>
      </c>
      <c r="N78" s="230" t="e">
        <f t="shared" si="18"/>
        <v>#DIV/0!</v>
      </c>
      <c r="O78" s="233" t="e">
        <f t="shared" si="19"/>
        <v>#DIV/0!</v>
      </c>
      <c r="Q78" s="239">
        <f>G78/HOU!D$37</f>
        <v>0</v>
      </c>
      <c r="R78" s="239">
        <f>C78/HOU!D$34</f>
        <v>3.8832324527999361E-2</v>
      </c>
    </row>
    <row r="79" spans="1:18" x14ac:dyDescent="0.3">
      <c r="A79" s="227" t="s">
        <v>606</v>
      </c>
      <c r="B79" s="227" t="s">
        <v>150</v>
      </c>
      <c r="C79" s="228">
        <v>9.9</v>
      </c>
      <c r="D79" s="228">
        <v>7.7</v>
      </c>
      <c r="E79" s="228">
        <v>79.933333333333323</v>
      </c>
      <c r="F79" s="228">
        <v>0.5</v>
      </c>
      <c r="G79" s="228">
        <v>0</v>
      </c>
      <c r="H79" s="228">
        <v>0</v>
      </c>
      <c r="I79" s="228">
        <v>0</v>
      </c>
      <c r="K79" s="233">
        <f t="shared" si="15"/>
        <v>0.77777777777777779</v>
      </c>
      <c r="L79" s="230">
        <f t="shared" si="16"/>
        <v>10.38095238095238</v>
      </c>
      <c r="M79" s="233">
        <f t="shared" si="17"/>
        <v>6.4935064935064929E-2</v>
      </c>
      <c r="N79" s="230" t="e">
        <f t="shared" si="18"/>
        <v>#DIV/0!</v>
      </c>
      <c r="O79" s="233" t="e">
        <f t="shared" si="19"/>
        <v>#DIV/0!</v>
      </c>
      <c r="Q79" s="239">
        <f>G79/HOU!D$37</f>
        <v>0</v>
      </c>
      <c r="R79" s="239">
        <f>C79/HOU!D$34</f>
        <v>1.6535054315148116E-2</v>
      </c>
    </row>
    <row r="80" spans="1:18" x14ac:dyDescent="0.3">
      <c r="A80" s="227" t="s">
        <v>772</v>
      </c>
      <c r="B80" s="227" t="s">
        <v>151</v>
      </c>
      <c r="C80" s="228">
        <v>127.14999999999999</v>
      </c>
      <c r="D80" s="228">
        <v>86.337599999999995</v>
      </c>
      <c r="E80" s="228">
        <v>1073.1345999999999</v>
      </c>
      <c r="F80" s="228">
        <v>5.8426</v>
      </c>
      <c r="G80" s="228">
        <v>5.1705000000000005</v>
      </c>
      <c r="H80" s="228">
        <v>35.867249999999999</v>
      </c>
      <c r="I80" s="228">
        <v>2.5000000000000001E-2</v>
      </c>
      <c r="K80" s="233">
        <f t="shared" si="15"/>
        <v>0.67902162799842702</v>
      </c>
      <c r="L80" s="230">
        <f t="shared" si="16"/>
        <v>12.429516224680787</v>
      </c>
      <c r="M80" s="233">
        <f t="shared" si="17"/>
        <v>6.7671559088971669E-2</v>
      </c>
      <c r="N80" s="230">
        <f t="shared" si="18"/>
        <v>6.9369016536118355</v>
      </c>
      <c r="O80" s="233">
        <f t="shared" si="19"/>
        <v>4.8351223285949133E-3</v>
      </c>
      <c r="Q80" s="239">
        <f>G80/IND!D$37</f>
        <v>1.0680353272746954E-2</v>
      </c>
      <c r="R80" s="239">
        <f>C80/IND!D$34</f>
        <v>0.22373478550670162</v>
      </c>
    </row>
    <row r="81" spans="1:18" x14ac:dyDescent="0.3">
      <c r="A81" s="227" t="s">
        <v>667</v>
      </c>
      <c r="B81" s="227" t="s">
        <v>151</v>
      </c>
      <c r="C81" s="228">
        <v>84.55</v>
      </c>
      <c r="D81" s="228">
        <v>54.997500000000002</v>
      </c>
      <c r="E81" s="228">
        <v>707.98075000000006</v>
      </c>
      <c r="F81" s="228">
        <v>4.0375000000000005</v>
      </c>
      <c r="G81" s="228">
        <v>0.58399999999999996</v>
      </c>
      <c r="H81" s="228">
        <v>3.874333333333333</v>
      </c>
      <c r="I81" s="228">
        <v>0</v>
      </c>
      <c r="K81" s="233">
        <f t="shared" si="15"/>
        <v>0.65047309284447075</v>
      </c>
      <c r="L81" s="230">
        <f t="shared" si="16"/>
        <v>12.872962407382154</v>
      </c>
      <c r="M81" s="233">
        <f t="shared" si="17"/>
        <v>7.3412427837628996E-2</v>
      </c>
      <c r="N81" s="230">
        <f t="shared" si="18"/>
        <v>6.6341324200913236</v>
      </c>
      <c r="O81" s="233">
        <f t="shared" si="19"/>
        <v>0</v>
      </c>
      <c r="Q81" s="239">
        <f>G81/IND!D$37</f>
        <v>1.2063294287369152E-3</v>
      </c>
      <c r="R81" s="239">
        <f>C81/IND!D$34</f>
        <v>0.14877527420048464</v>
      </c>
    </row>
    <row r="82" spans="1:18" x14ac:dyDescent="0.3">
      <c r="A82" s="227" t="s">
        <v>64</v>
      </c>
      <c r="B82" s="227" t="s">
        <v>151</v>
      </c>
      <c r="C82" s="228">
        <v>52.5</v>
      </c>
      <c r="D82" s="228">
        <v>28.172599999999999</v>
      </c>
      <c r="E82" s="228">
        <v>381.54300000000001</v>
      </c>
      <c r="F82" s="228">
        <v>2.1076000000000001</v>
      </c>
      <c r="G82" s="228">
        <v>0</v>
      </c>
      <c r="H82" s="228">
        <v>0</v>
      </c>
      <c r="I82" s="228">
        <v>0</v>
      </c>
      <c r="K82" s="233">
        <f t="shared" si="15"/>
        <v>0.53662095238095242</v>
      </c>
      <c r="L82" s="230">
        <f t="shared" si="16"/>
        <v>13.543052469420644</v>
      </c>
      <c r="M82" s="233">
        <f t="shared" si="17"/>
        <v>7.4810276651782234E-2</v>
      </c>
      <c r="N82" s="230" t="e">
        <f t="shared" si="18"/>
        <v>#DIV/0!</v>
      </c>
      <c r="O82" s="233" t="e">
        <f t="shared" si="19"/>
        <v>#DIV/0!</v>
      </c>
      <c r="Q82" s="239">
        <f>G82/IND!D$37</f>
        <v>0</v>
      </c>
      <c r="R82" s="239">
        <f>C82/IND!D$34</f>
        <v>9.2379679426675868E-2</v>
      </c>
    </row>
    <row r="83" spans="1:18" x14ac:dyDescent="0.3">
      <c r="A83" s="227" t="s">
        <v>336</v>
      </c>
      <c r="B83" s="227" t="s">
        <v>151</v>
      </c>
      <c r="C83" s="228">
        <v>23.8</v>
      </c>
      <c r="D83" s="228">
        <v>13.470249999999998</v>
      </c>
      <c r="E83" s="228">
        <v>161.54000000000002</v>
      </c>
      <c r="F83" s="228">
        <v>1.16875</v>
      </c>
      <c r="G83" s="228">
        <v>4.077</v>
      </c>
      <c r="H83" s="228">
        <v>27.882000000000001</v>
      </c>
      <c r="I83" s="228">
        <v>6.6666666666666666E-2</v>
      </c>
      <c r="K83" s="233">
        <f t="shared" si="15"/>
        <v>0.56597689075630242</v>
      </c>
      <c r="L83" s="230">
        <f t="shared" si="16"/>
        <v>11.992353519793623</v>
      </c>
      <c r="M83" s="233">
        <f t="shared" si="17"/>
        <v>8.6765279040849283E-2</v>
      </c>
      <c r="N83" s="230">
        <f t="shared" si="18"/>
        <v>6.8388520971302436</v>
      </c>
      <c r="O83" s="233">
        <f t="shared" si="19"/>
        <v>1.6351892731583682E-2</v>
      </c>
      <c r="Q83" s="239">
        <f>G83/IND!D$37</f>
        <v>8.4215840427404164E-3</v>
      </c>
      <c r="R83" s="239">
        <f>C83/IND!D$34</f>
        <v>4.1878788006759725E-2</v>
      </c>
    </row>
    <row r="84" spans="1:18" x14ac:dyDescent="0.3">
      <c r="A84" s="227" t="s">
        <v>609</v>
      </c>
      <c r="B84" s="227" t="s">
        <v>151</v>
      </c>
      <c r="C84" s="228">
        <v>10</v>
      </c>
      <c r="D84" s="228">
        <v>6.8029999999999999</v>
      </c>
      <c r="E84" s="228">
        <v>78.873999999999995</v>
      </c>
      <c r="F84" s="228">
        <v>0.2</v>
      </c>
      <c r="G84" s="228">
        <v>0</v>
      </c>
      <c r="H84" s="228">
        <v>0</v>
      </c>
      <c r="I84" s="228">
        <v>0</v>
      </c>
      <c r="K84" s="233">
        <f t="shared" si="15"/>
        <v>0.68030000000000002</v>
      </c>
      <c r="L84" s="230">
        <f t="shared" si="16"/>
        <v>11.594002645891518</v>
      </c>
      <c r="M84" s="233">
        <f t="shared" si="17"/>
        <v>2.9398794649419375E-2</v>
      </c>
      <c r="N84" s="230" t="e">
        <f t="shared" si="18"/>
        <v>#DIV/0!</v>
      </c>
      <c r="O84" s="233" t="e">
        <f t="shared" si="19"/>
        <v>#DIV/0!</v>
      </c>
      <c r="Q84" s="239">
        <f>G84/IND!D$37</f>
        <v>0</v>
      </c>
      <c r="R84" s="239">
        <f>C84/IND!D$34</f>
        <v>1.7596129414604925E-2</v>
      </c>
    </row>
    <row r="85" spans="1:18" x14ac:dyDescent="0.3">
      <c r="A85" s="227" t="s">
        <v>335</v>
      </c>
      <c r="B85" s="227" t="s">
        <v>151</v>
      </c>
      <c r="C85" s="228">
        <v>10.95</v>
      </c>
      <c r="D85" s="228">
        <v>6.0602499999999999</v>
      </c>
      <c r="E85" s="228">
        <v>67.007499999999993</v>
      </c>
      <c r="F85" s="228">
        <v>0.25950000000000001</v>
      </c>
      <c r="G85" s="228">
        <v>0</v>
      </c>
      <c r="H85" s="228">
        <v>0</v>
      </c>
      <c r="I85" s="228">
        <v>0</v>
      </c>
      <c r="K85" s="233">
        <f t="shared" si="15"/>
        <v>0.5534474885844749</v>
      </c>
      <c r="L85" s="230">
        <f t="shared" si="16"/>
        <v>11.056887092116661</v>
      </c>
      <c r="M85" s="233">
        <f t="shared" si="17"/>
        <v>4.2820015675920961E-2</v>
      </c>
      <c r="N85" s="230" t="e">
        <f t="shared" si="18"/>
        <v>#DIV/0!</v>
      </c>
      <c r="O85" s="233" t="e">
        <f t="shared" si="19"/>
        <v>#DIV/0!</v>
      </c>
      <c r="Q85" s="239">
        <f>G85/IND!D$37</f>
        <v>0</v>
      </c>
      <c r="R85" s="239">
        <f>C85/IND!D$34</f>
        <v>1.9267761708992394E-2</v>
      </c>
    </row>
    <row r="86" spans="1:18" x14ac:dyDescent="0.3">
      <c r="A86" s="227" t="s">
        <v>132</v>
      </c>
      <c r="B86" s="227" t="s">
        <v>698</v>
      </c>
      <c r="C86" s="228">
        <v>106</v>
      </c>
      <c r="D86" s="228">
        <v>69.266999999999996</v>
      </c>
      <c r="E86" s="228">
        <v>820.18740000000003</v>
      </c>
      <c r="F86" s="228">
        <v>4.0372000000000003</v>
      </c>
      <c r="G86" s="228">
        <v>0.75</v>
      </c>
      <c r="H86" s="228">
        <v>4.375</v>
      </c>
      <c r="I86" s="228">
        <v>0</v>
      </c>
      <c r="K86" s="233">
        <f t="shared" si="15"/>
        <v>0.65346226415094333</v>
      </c>
      <c r="L86" s="230">
        <f t="shared" si="16"/>
        <v>11.840954567109881</v>
      </c>
      <c r="M86" s="233">
        <f t="shared" si="17"/>
        <v>5.8284608832488781E-2</v>
      </c>
      <c r="N86" s="230">
        <f t="shared" si="18"/>
        <v>5.833333333333333</v>
      </c>
      <c r="O86" s="233">
        <f t="shared" si="19"/>
        <v>0</v>
      </c>
      <c r="Q86" s="239">
        <f>G86/JAX!D$37</f>
        <v>2.0372407611131483E-3</v>
      </c>
      <c r="R86" s="239">
        <f>C86/JAX!D$34</f>
        <v>0.16196064050849529</v>
      </c>
    </row>
    <row r="87" spans="1:18" x14ac:dyDescent="0.3">
      <c r="A87" s="227" t="s">
        <v>771</v>
      </c>
      <c r="B87" s="227" t="s">
        <v>698</v>
      </c>
      <c r="C87" s="228">
        <v>87.6</v>
      </c>
      <c r="D87" s="228">
        <v>53.698599999999999</v>
      </c>
      <c r="E87" s="228">
        <v>635.63139999999999</v>
      </c>
      <c r="F87" s="228">
        <v>5.0778000000000008</v>
      </c>
      <c r="G87" s="228">
        <v>0</v>
      </c>
      <c r="H87" s="228">
        <v>0</v>
      </c>
      <c r="I87" s="228">
        <v>0</v>
      </c>
      <c r="K87" s="233">
        <f t="shared" si="15"/>
        <v>0.61299771689497717</v>
      </c>
      <c r="L87" s="230">
        <f t="shared" si="16"/>
        <v>11.837019959552018</v>
      </c>
      <c r="M87" s="233">
        <f t="shared" si="17"/>
        <v>9.456112449859029E-2</v>
      </c>
      <c r="N87" s="230" t="e">
        <f t="shared" si="18"/>
        <v>#DIV/0!</v>
      </c>
      <c r="O87" s="233" t="e">
        <f t="shared" si="19"/>
        <v>#DIV/0!</v>
      </c>
      <c r="Q87" s="239">
        <f>G87/JAX!D$37</f>
        <v>0</v>
      </c>
      <c r="R87" s="239">
        <f>C87/JAX!D$34</f>
        <v>0.13384671800513384</v>
      </c>
    </row>
    <row r="88" spans="1:18" x14ac:dyDescent="0.3">
      <c r="A88" s="227" t="s">
        <v>257</v>
      </c>
      <c r="B88" s="227" t="s">
        <v>698</v>
      </c>
      <c r="C88" s="228">
        <v>64.45</v>
      </c>
      <c r="D88" s="228">
        <v>37.204499999999996</v>
      </c>
      <c r="E88" s="228">
        <v>431.15174999999999</v>
      </c>
      <c r="F88" s="228">
        <v>2.2155</v>
      </c>
      <c r="G88" s="228">
        <v>0.33333333333333331</v>
      </c>
      <c r="H88" s="228">
        <v>1.9</v>
      </c>
      <c r="I88" s="228">
        <v>0</v>
      </c>
      <c r="K88" s="233">
        <f t="shared" si="15"/>
        <v>0.57726144297905346</v>
      </c>
      <c r="L88" s="230">
        <f t="shared" si="16"/>
        <v>11.58869894770794</v>
      </c>
      <c r="M88" s="233">
        <f t="shared" si="17"/>
        <v>5.9549248074829662E-2</v>
      </c>
      <c r="N88" s="230">
        <f t="shared" si="18"/>
        <v>5.7</v>
      </c>
      <c r="O88" s="233">
        <f t="shared" si="19"/>
        <v>0</v>
      </c>
      <c r="Q88" s="239">
        <f>G88/JAX!D$37</f>
        <v>9.0544033827251035E-4</v>
      </c>
      <c r="R88" s="239">
        <f>C88/JAX!D$34</f>
        <v>9.8475125290306817E-2</v>
      </c>
    </row>
    <row r="89" spans="1:18" x14ac:dyDescent="0.3">
      <c r="A89" s="227" t="s">
        <v>770</v>
      </c>
      <c r="B89" s="227" t="s">
        <v>698</v>
      </c>
      <c r="C89" s="228">
        <v>44.65</v>
      </c>
      <c r="D89" s="228">
        <v>31.721600000000002</v>
      </c>
      <c r="E89" s="228">
        <v>336.29219999999998</v>
      </c>
      <c r="F89" s="228">
        <v>1.3486</v>
      </c>
      <c r="G89" s="228">
        <v>8.2302499999999998</v>
      </c>
      <c r="H89" s="228">
        <v>38.531499999999994</v>
      </c>
      <c r="I89" s="228">
        <v>2.5000000000000001E-2</v>
      </c>
      <c r="K89" s="233">
        <f t="shared" si="15"/>
        <v>0.71045016797312432</v>
      </c>
      <c r="L89" s="230">
        <f t="shared" si="16"/>
        <v>10.601363109048723</v>
      </c>
      <c r="M89" s="233">
        <f t="shared" si="17"/>
        <v>4.2513618480782805E-2</v>
      </c>
      <c r="N89" s="230">
        <f t="shared" si="18"/>
        <v>4.6816925366787148</v>
      </c>
      <c r="O89" s="233">
        <f t="shared" si="19"/>
        <v>3.0375748002794572E-3</v>
      </c>
      <c r="Q89" s="239">
        <f>G89/JAX!D$37</f>
        <v>2.2356001032201988E-2</v>
      </c>
      <c r="R89" s="239">
        <f>C89/JAX!D$34</f>
        <v>6.8222099987776549E-2</v>
      </c>
    </row>
    <row r="90" spans="1:18" x14ac:dyDescent="0.3">
      <c r="A90" s="227" t="s">
        <v>612</v>
      </c>
      <c r="B90" s="227" t="s">
        <v>698</v>
      </c>
      <c r="C90" s="228">
        <v>34.75</v>
      </c>
      <c r="D90" s="228">
        <v>23</v>
      </c>
      <c r="E90" s="228">
        <v>308</v>
      </c>
      <c r="F90" s="228">
        <v>1.1372500000000001</v>
      </c>
      <c r="G90" s="228">
        <v>0</v>
      </c>
      <c r="H90" s="228">
        <v>0</v>
      </c>
      <c r="I90" s="228">
        <v>0</v>
      </c>
      <c r="K90" s="233">
        <f t="shared" si="15"/>
        <v>0.66187050359712229</v>
      </c>
      <c r="L90" s="230">
        <f t="shared" si="16"/>
        <v>13.391304347826088</v>
      </c>
      <c r="M90" s="233">
        <f t="shared" si="17"/>
        <v>4.944565217391305E-2</v>
      </c>
      <c r="N90" s="230" t="e">
        <f t="shared" si="18"/>
        <v>#DIV/0!</v>
      </c>
      <c r="O90" s="233" t="e">
        <f t="shared" si="19"/>
        <v>#DIV/0!</v>
      </c>
      <c r="Q90" s="239">
        <f>G90/JAX!D$37</f>
        <v>0</v>
      </c>
      <c r="R90" s="239">
        <f>C90/JAX!D$34</f>
        <v>5.3095587336511429E-2</v>
      </c>
    </row>
    <row r="91" spans="1:18" x14ac:dyDescent="0.3">
      <c r="A91" s="227" t="s">
        <v>337</v>
      </c>
      <c r="B91" s="227" t="s">
        <v>698</v>
      </c>
      <c r="C91" s="228">
        <v>18.899999999999999</v>
      </c>
      <c r="D91" s="228">
        <v>9.6107499999999995</v>
      </c>
      <c r="E91" s="228">
        <v>108.67025</v>
      </c>
      <c r="F91" s="228">
        <v>0.72224999999999995</v>
      </c>
      <c r="G91" s="228">
        <v>3.2570000000000001</v>
      </c>
      <c r="H91" s="228">
        <v>24.2</v>
      </c>
      <c r="I91" s="228">
        <v>6.6666666666666666E-2</v>
      </c>
      <c r="K91" s="233">
        <f t="shared" si="15"/>
        <v>0.50850529100529096</v>
      </c>
      <c r="L91" s="230">
        <f t="shared" si="16"/>
        <v>11.307156049215722</v>
      </c>
      <c r="M91" s="233">
        <f t="shared" si="17"/>
        <v>7.5150222407200276E-2</v>
      </c>
      <c r="N91" s="230">
        <f t="shared" si="18"/>
        <v>7.4301504451949638</v>
      </c>
      <c r="O91" s="233">
        <f t="shared" si="19"/>
        <v>2.0468734008801556E-2</v>
      </c>
      <c r="Q91" s="239">
        <f>G91/JAX!D$37</f>
        <v>8.8470575452606996E-3</v>
      </c>
      <c r="R91" s="239">
        <f>C91/JAX!D$34</f>
        <v>2.8877887788778873E-2</v>
      </c>
    </row>
    <row r="92" spans="1:18" x14ac:dyDescent="0.3">
      <c r="A92" s="227" t="s">
        <v>99</v>
      </c>
      <c r="B92" s="227" t="s">
        <v>153</v>
      </c>
      <c r="C92" s="228">
        <v>112.95</v>
      </c>
      <c r="D92" s="228">
        <v>75.813200000000009</v>
      </c>
      <c r="E92" s="228">
        <v>791.90740000000005</v>
      </c>
      <c r="F92" s="228">
        <v>6.2492000000000001</v>
      </c>
      <c r="G92" s="228">
        <v>0.625</v>
      </c>
      <c r="H92" s="228">
        <v>4</v>
      </c>
      <c r="I92" s="228">
        <v>0.05</v>
      </c>
      <c r="K92" s="233">
        <f t="shared" si="15"/>
        <v>0.67121027003098721</v>
      </c>
      <c r="L92" s="230">
        <f t="shared" si="16"/>
        <v>10.445508170081199</v>
      </c>
      <c r="M92" s="233">
        <f t="shared" si="17"/>
        <v>8.242891739169432E-2</v>
      </c>
      <c r="N92" s="230">
        <f t="shared" si="18"/>
        <v>6.4</v>
      </c>
      <c r="O92" s="233">
        <f t="shared" si="19"/>
        <v>0.08</v>
      </c>
      <c r="Q92" s="239">
        <f>G92/KC!D$37</f>
        <v>1.4825907492908086E-3</v>
      </c>
      <c r="R92" s="239">
        <f>C92/KC!D$34</f>
        <v>0.16491563470227644</v>
      </c>
    </row>
    <row r="93" spans="1:18" x14ac:dyDescent="0.3">
      <c r="A93" s="227" t="s">
        <v>60</v>
      </c>
      <c r="B93" s="227" t="s">
        <v>153</v>
      </c>
      <c r="C93" s="228">
        <v>78.05</v>
      </c>
      <c r="D93" s="228">
        <v>42.576000000000001</v>
      </c>
      <c r="E93" s="228">
        <v>742.12300000000005</v>
      </c>
      <c r="F93" s="228">
        <v>5.0289999999999999</v>
      </c>
      <c r="G93" s="228">
        <v>0.85</v>
      </c>
      <c r="H93" s="228">
        <v>4.5999999999999996</v>
      </c>
      <c r="I93" s="228">
        <v>0</v>
      </c>
      <c r="K93" s="233">
        <f t="shared" si="15"/>
        <v>0.54549647661755285</v>
      </c>
      <c r="L93" s="230">
        <f t="shared" si="16"/>
        <v>17.430547726418641</v>
      </c>
      <c r="M93" s="233">
        <f t="shared" si="17"/>
        <v>0.11811818865088312</v>
      </c>
      <c r="N93" s="230">
        <f t="shared" si="18"/>
        <v>5.4117647058823524</v>
      </c>
      <c r="O93" s="233">
        <f t="shared" si="19"/>
        <v>0</v>
      </c>
      <c r="Q93" s="239">
        <f>G93/KC!D$37</f>
        <v>2.0163234190354999E-3</v>
      </c>
      <c r="R93" s="239">
        <f>C93/KC!D$34</f>
        <v>0.11395896669776606</v>
      </c>
    </row>
    <row r="94" spans="1:18" x14ac:dyDescent="0.3">
      <c r="A94" s="227" t="s">
        <v>666</v>
      </c>
      <c r="B94" s="227" t="s">
        <v>153</v>
      </c>
      <c r="C94" s="228">
        <v>90.95</v>
      </c>
      <c r="D94" s="228">
        <v>52.375199999999992</v>
      </c>
      <c r="E94" s="228">
        <v>678.61060000000009</v>
      </c>
      <c r="F94" s="228">
        <v>5.1348000000000003</v>
      </c>
      <c r="G94" s="228">
        <v>0.25</v>
      </c>
      <c r="H94" s="228">
        <v>1.375</v>
      </c>
      <c r="I94" s="228">
        <v>0</v>
      </c>
      <c r="K94" s="233">
        <f t="shared" si="15"/>
        <v>0.57586805937328189</v>
      </c>
      <c r="L94" s="230">
        <f t="shared" si="16"/>
        <v>12.956716155737833</v>
      </c>
      <c r="M94" s="233">
        <f t="shared" si="17"/>
        <v>9.8038766439078051E-2</v>
      </c>
      <c r="N94" s="230">
        <f t="shared" si="18"/>
        <v>5.5</v>
      </c>
      <c r="O94" s="233">
        <f t="shared" si="19"/>
        <v>0</v>
      </c>
      <c r="Q94" s="239">
        <f>G94/KC!D$37</f>
        <v>5.930362997163235E-4</v>
      </c>
      <c r="R94" s="239">
        <f>C94/KC!D$34</f>
        <v>0.13279395286562234</v>
      </c>
    </row>
    <row r="95" spans="1:18" x14ac:dyDescent="0.3">
      <c r="A95" s="227" t="s">
        <v>71</v>
      </c>
      <c r="B95" s="227" t="s">
        <v>153</v>
      </c>
      <c r="C95" s="228">
        <v>75</v>
      </c>
      <c r="D95" s="228">
        <v>52.795000000000002</v>
      </c>
      <c r="E95" s="228">
        <v>640.42259999999999</v>
      </c>
      <c r="F95" s="228">
        <v>3.1374</v>
      </c>
      <c r="G95" s="228">
        <v>9.1772500000000008</v>
      </c>
      <c r="H95" s="228">
        <v>56.796999999999997</v>
      </c>
      <c r="I95" s="228">
        <v>0.45</v>
      </c>
      <c r="K95" s="233">
        <f t="shared" si="15"/>
        <v>0.70393333333333341</v>
      </c>
      <c r="L95" s="230">
        <f t="shared" si="16"/>
        <v>12.13036461786154</v>
      </c>
      <c r="M95" s="233">
        <f t="shared" si="17"/>
        <v>5.9426082015342357E-2</v>
      </c>
      <c r="N95" s="230">
        <f t="shared" si="18"/>
        <v>6.1888910076547976</v>
      </c>
      <c r="O95" s="233">
        <f t="shared" si="19"/>
        <v>4.9034296766460539E-2</v>
      </c>
      <c r="Q95" s="239">
        <f>G95/KC!D$37</f>
        <v>2.1769769526286519E-2</v>
      </c>
      <c r="R95" s="239">
        <f>C95/KC!D$34</f>
        <v>0.10950573353404811</v>
      </c>
    </row>
    <row r="96" spans="1:18" x14ac:dyDescent="0.3">
      <c r="A96" s="227" t="s">
        <v>615</v>
      </c>
      <c r="B96" s="227" t="s">
        <v>153</v>
      </c>
      <c r="C96" s="228">
        <v>11</v>
      </c>
      <c r="D96" s="228">
        <v>6.8235000000000001</v>
      </c>
      <c r="E96" s="228">
        <v>88.2</v>
      </c>
      <c r="F96" s="228">
        <v>0.44650000000000001</v>
      </c>
      <c r="G96" s="228">
        <v>0</v>
      </c>
      <c r="H96" s="228">
        <v>0</v>
      </c>
      <c r="I96" s="228">
        <v>0</v>
      </c>
      <c r="K96" s="233">
        <f t="shared" si="15"/>
        <v>0.62031818181818188</v>
      </c>
      <c r="L96" s="230">
        <f t="shared" si="16"/>
        <v>12.92591778412838</v>
      </c>
      <c r="M96" s="233">
        <f t="shared" si="17"/>
        <v>6.5435626877702061E-2</v>
      </c>
      <c r="N96" s="230" t="e">
        <f t="shared" si="18"/>
        <v>#DIV/0!</v>
      </c>
      <c r="O96" s="233" t="e">
        <f t="shared" si="19"/>
        <v>#DIV/0!</v>
      </c>
      <c r="Q96" s="239">
        <f>G96/KC!D$37</f>
        <v>0</v>
      </c>
      <c r="R96" s="239">
        <f>C96/KC!D$34</f>
        <v>1.6060840918327057E-2</v>
      </c>
    </row>
    <row r="97" spans="1:18" x14ac:dyDescent="0.3">
      <c r="A97" s="227" t="s">
        <v>825</v>
      </c>
      <c r="B97" s="227" t="s">
        <v>153</v>
      </c>
      <c r="C97" s="228">
        <v>11</v>
      </c>
      <c r="D97" s="228">
        <v>7.1</v>
      </c>
      <c r="E97" s="228">
        <v>93.7</v>
      </c>
      <c r="F97" s="228">
        <v>0.3</v>
      </c>
      <c r="G97" s="228">
        <v>0</v>
      </c>
      <c r="H97" s="228">
        <v>0</v>
      </c>
      <c r="I97" s="228">
        <v>0</v>
      </c>
      <c r="K97" s="233">
        <f t="shared" ref="K97" si="20">D97/C97</f>
        <v>0.64545454545454539</v>
      </c>
      <c r="L97" s="230">
        <f t="shared" ref="L97" si="21">E97/D97</f>
        <v>13.19718309859155</v>
      </c>
      <c r="M97" s="233">
        <f t="shared" ref="M97" si="22">F97/D97</f>
        <v>4.2253521126760563E-2</v>
      </c>
      <c r="N97" s="230" t="e">
        <f t="shared" ref="N97" si="23">H97/G97</f>
        <v>#DIV/0!</v>
      </c>
      <c r="O97" s="233" t="e">
        <f t="shared" ref="O97" si="24">I97/G97</f>
        <v>#DIV/0!</v>
      </c>
      <c r="Q97" s="239">
        <f>G97/KC!D$37</f>
        <v>0</v>
      </c>
      <c r="R97" s="239">
        <f>C97/KC!D$34</f>
        <v>1.6060840918327057E-2</v>
      </c>
    </row>
    <row r="98" spans="1:18" x14ac:dyDescent="0.3">
      <c r="A98" s="227" t="s">
        <v>17</v>
      </c>
      <c r="B98" s="227" t="s">
        <v>154</v>
      </c>
      <c r="C98" s="228">
        <v>142.35</v>
      </c>
      <c r="D98" s="228">
        <v>99.399599999999992</v>
      </c>
      <c r="E98" s="228">
        <v>1079.3751999999999</v>
      </c>
      <c r="F98" s="228">
        <v>6.5843999999999996</v>
      </c>
      <c r="G98" s="228">
        <v>0.125</v>
      </c>
      <c r="H98" s="228">
        <v>0.8</v>
      </c>
      <c r="I98" s="228">
        <v>0</v>
      </c>
      <c r="K98" s="233">
        <f t="shared" si="15"/>
        <v>0.6982760800842992</v>
      </c>
      <c r="L98" s="230">
        <f t="shared" si="16"/>
        <v>10.858949130580003</v>
      </c>
      <c r="M98" s="233">
        <f t="shared" si="17"/>
        <v>6.6241715258411507E-2</v>
      </c>
      <c r="N98" s="230">
        <f t="shared" si="18"/>
        <v>6.4</v>
      </c>
      <c r="O98" s="233">
        <f t="shared" si="19"/>
        <v>0</v>
      </c>
      <c r="Q98" s="239">
        <f>G98/LAC!D$37</f>
        <v>2.7859663519899094E-4</v>
      </c>
      <c r="R98" s="239">
        <f>C98/LAC!D$34</f>
        <v>0.20627515540735428</v>
      </c>
    </row>
    <row r="99" spans="1:18" x14ac:dyDescent="0.3">
      <c r="A99" s="227" t="s">
        <v>18</v>
      </c>
      <c r="B99" s="227" t="s">
        <v>154</v>
      </c>
      <c r="C99" s="228">
        <v>110.69999999999999</v>
      </c>
      <c r="D99" s="228">
        <v>69.381600000000006</v>
      </c>
      <c r="E99" s="228">
        <v>1043.8424</v>
      </c>
      <c r="F99" s="228">
        <v>7.8811999999999998</v>
      </c>
      <c r="G99" s="228">
        <v>0</v>
      </c>
      <c r="H99" s="228">
        <v>0</v>
      </c>
      <c r="I99" s="228">
        <v>0</v>
      </c>
      <c r="K99" s="233">
        <f t="shared" si="15"/>
        <v>0.62675338753387544</v>
      </c>
      <c r="L99" s="230">
        <f t="shared" si="16"/>
        <v>15.044945634000944</v>
      </c>
      <c r="M99" s="233">
        <f t="shared" si="17"/>
        <v>0.11359207628535518</v>
      </c>
      <c r="N99" s="230" t="e">
        <f t="shared" si="18"/>
        <v>#DIV/0!</v>
      </c>
      <c r="O99" s="233" t="e">
        <f t="shared" si="19"/>
        <v>#DIV/0!</v>
      </c>
      <c r="Q99" s="239">
        <f>G99/LAC!D$37</f>
        <v>0</v>
      </c>
      <c r="R99" s="239">
        <f>C99/LAC!D$34</f>
        <v>0.16041208081204159</v>
      </c>
    </row>
    <row r="100" spans="1:18" x14ac:dyDescent="0.3">
      <c r="A100" s="227" t="s">
        <v>338</v>
      </c>
      <c r="B100" s="227" t="s">
        <v>154</v>
      </c>
      <c r="C100" s="228">
        <v>77.300000000000011</v>
      </c>
      <c r="D100" s="228">
        <v>41.321800000000003</v>
      </c>
      <c r="E100" s="228">
        <v>472.51920000000001</v>
      </c>
      <c r="F100" s="228">
        <v>4.2122000000000002</v>
      </c>
      <c r="G100" s="228">
        <v>0.60299999999999998</v>
      </c>
      <c r="H100" s="228">
        <v>4.1087500000000006</v>
      </c>
      <c r="I100" s="228">
        <v>0</v>
      </c>
      <c r="K100" s="233">
        <f t="shared" si="15"/>
        <v>0.5345640362225097</v>
      </c>
      <c r="L100" s="230">
        <f t="shared" si="16"/>
        <v>11.435106892729745</v>
      </c>
      <c r="M100" s="233">
        <f t="shared" si="17"/>
        <v>0.10193650809016064</v>
      </c>
      <c r="N100" s="230">
        <f t="shared" si="18"/>
        <v>6.8138474295190727</v>
      </c>
      <c r="O100" s="233">
        <f t="shared" si="19"/>
        <v>0</v>
      </c>
      <c r="Q100" s="239">
        <f>G100/LAC!D$37</f>
        <v>1.3439501681999323E-3</v>
      </c>
      <c r="R100" s="239">
        <f>C100/LAC!D$34</f>
        <v>0.11201313321382851</v>
      </c>
    </row>
    <row r="101" spans="1:18" x14ac:dyDescent="0.3">
      <c r="A101" s="227" t="s">
        <v>258</v>
      </c>
      <c r="B101" s="227" t="s">
        <v>154</v>
      </c>
      <c r="C101" s="228">
        <v>34.35</v>
      </c>
      <c r="D101" s="228">
        <v>23.332000000000001</v>
      </c>
      <c r="E101" s="228">
        <v>335.89400000000001</v>
      </c>
      <c r="F101" s="228">
        <v>2.0402499999999999</v>
      </c>
      <c r="G101" s="228">
        <v>7.9259999999999993</v>
      </c>
      <c r="H101" s="228">
        <v>42.379333333333328</v>
      </c>
      <c r="I101" s="228">
        <v>6.6666666666666666E-2</v>
      </c>
      <c r="K101" s="233">
        <f t="shared" ref="K101:K132" si="25">D101/C101</f>
        <v>0.67924308588064042</v>
      </c>
      <c r="L101" s="230">
        <f t="shared" ref="L101:L132" si="26">E101/D101</f>
        <v>14.396279787416423</v>
      </c>
      <c r="M101" s="233">
        <f t="shared" ref="M101:M132" si="27">F101/D101</f>
        <v>8.7444282530430309E-2</v>
      </c>
      <c r="N101" s="230">
        <f t="shared" ref="N101:N132" si="28">H101/G101</f>
        <v>5.3468752628480107</v>
      </c>
      <c r="O101" s="233">
        <f t="shared" ref="O101:O132" si="29">I101/G101</f>
        <v>8.4111363445201447E-3</v>
      </c>
      <c r="Q101" s="239">
        <f>G101/LAC!D$37</f>
        <v>1.7665255444697617E-2</v>
      </c>
      <c r="R101" s="239">
        <f>C101/LAC!D$34</f>
        <v>4.9775564371216156E-2</v>
      </c>
    </row>
    <row r="102" spans="1:18" x14ac:dyDescent="0.3">
      <c r="A102" s="227" t="s">
        <v>769</v>
      </c>
      <c r="B102" s="227" t="s">
        <v>154</v>
      </c>
      <c r="C102" s="228">
        <v>13</v>
      </c>
      <c r="D102" s="228">
        <v>8.1177500000000009</v>
      </c>
      <c r="E102" s="228">
        <v>99.415000000000006</v>
      </c>
      <c r="F102" s="228">
        <v>0.5</v>
      </c>
      <c r="G102" s="228">
        <v>0</v>
      </c>
      <c r="H102" s="228">
        <v>0</v>
      </c>
      <c r="I102" s="228">
        <v>0</v>
      </c>
      <c r="K102" s="233">
        <f t="shared" si="25"/>
        <v>0.6244423076923078</v>
      </c>
      <c r="L102" s="230">
        <f t="shared" si="26"/>
        <v>12.246620060977486</v>
      </c>
      <c r="M102" s="233">
        <f t="shared" si="27"/>
        <v>6.1593421822549344E-2</v>
      </c>
      <c r="N102" s="230" t="e">
        <f t="shared" si="28"/>
        <v>#DIV/0!</v>
      </c>
      <c r="O102" s="233" t="e">
        <f t="shared" si="29"/>
        <v>#DIV/0!</v>
      </c>
      <c r="Q102" s="239">
        <f>G102/LAC!D$37</f>
        <v>0</v>
      </c>
      <c r="R102" s="239">
        <f>C102/LAC!D$34</f>
        <v>1.8837913735831442E-2</v>
      </c>
    </row>
    <row r="103" spans="1:18" x14ac:dyDescent="0.3">
      <c r="A103" s="227" t="s">
        <v>571</v>
      </c>
      <c r="B103" s="227" t="s">
        <v>154</v>
      </c>
      <c r="C103" s="228">
        <v>11.45</v>
      </c>
      <c r="D103" s="228">
        <v>7.298750000000001</v>
      </c>
      <c r="E103" s="228">
        <v>91.854000000000013</v>
      </c>
      <c r="F103" s="228">
        <v>0.5</v>
      </c>
      <c r="G103" s="228">
        <v>0</v>
      </c>
      <c r="H103" s="228">
        <v>0</v>
      </c>
      <c r="I103" s="228">
        <v>0</v>
      </c>
      <c r="K103" s="233">
        <f t="shared" si="25"/>
        <v>0.63744541484716166</v>
      </c>
      <c r="L103" s="230">
        <f t="shared" si="26"/>
        <v>12.584894673745504</v>
      </c>
      <c r="M103" s="233">
        <f t="shared" si="27"/>
        <v>6.85048809727693E-2</v>
      </c>
      <c r="N103" s="230" t="e">
        <f t="shared" si="28"/>
        <v>#DIV/0!</v>
      </c>
      <c r="O103" s="233" t="e">
        <f t="shared" si="29"/>
        <v>#DIV/0!</v>
      </c>
      <c r="Q103" s="239">
        <f>G103/LAC!D$37</f>
        <v>0</v>
      </c>
      <c r="R103" s="239">
        <f>C103/LAC!D$34</f>
        <v>1.6591854790405383E-2</v>
      </c>
    </row>
    <row r="104" spans="1:18" x14ac:dyDescent="0.3">
      <c r="A104" s="227" t="s">
        <v>78</v>
      </c>
      <c r="B104" s="227" t="s">
        <v>155</v>
      </c>
      <c r="C104" s="228">
        <v>150.94999999999999</v>
      </c>
      <c r="D104" s="228">
        <v>121.64940000000001</v>
      </c>
      <c r="E104" s="228">
        <v>1572.4936000000002</v>
      </c>
      <c r="F104" s="228">
        <v>11.557399999999999</v>
      </c>
      <c r="G104" s="228">
        <v>2.7749999999999999</v>
      </c>
      <c r="H104" s="228">
        <v>15.525</v>
      </c>
      <c r="I104" s="228">
        <v>2.5000000000000001E-2</v>
      </c>
      <c r="K104" s="233">
        <f t="shared" si="25"/>
        <v>0.80589201722424664</v>
      </c>
      <c r="L104" s="230">
        <f t="shared" si="26"/>
        <v>12.926439423457905</v>
      </c>
      <c r="M104" s="233">
        <f t="shared" si="27"/>
        <v>9.5005811783699698E-2</v>
      </c>
      <c r="N104" s="230">
        <f t="shared" si="28"/>
        <v>5.5945945945945947</v>
      </c>
      <c r="O104" s="233">
        <f t="shared" si="29"/>
        <v>9.0090090090090089E-3</v>
      </c>
      <c r="Q104" s="239">
        <f>G104/LAR!D$37</f>
        <v>6.1552905953725333E-3</v>
      </c>
      <c r="R104" s="239">
        <f>C104/LAR!D$34</f>
        <v>0.23850592619680203</v>
      </c>
    </row>
    <row r="105" spans="1:18" x14ac:dyDescent="0.3">
      <c r="A105" s="227" t="s">
        <v>618</v>
      </c>
      <c r="B105" s="227" t="s">
        <v>155</v>
      </c>
      <c r="C105" s="228">
        <v>111.5</v>
      </c>
      <c r="D105" s="228">
        <v>75.8</v>
      </c>
      <c r="E105" s="228">
        <v>947.9</v>
      </c>
      <c r="F105" s="228">
        <v>6.8</v>
      </c>
      <c r="G105" s="228">
        <v>0</v>
      </c>
      <c r="H105" s="228">
        <v>0</v>
      </c>
      <c r="I105" s="228">
        <v>0</v>
      </c>
      <c r="K105" s="233">
        <f t="shared" si="25"/>
        <v>0.67982062780269059</v>
      </c>
      <c r="L105" s="230">
        <f t="shared" si="26"/>
        <v>12.505277044854882</v>
      </c>
      <c r="M105" s="233">
        <f t="shared" si="27"/>
        <v>8.9709762532981532E-2</v>
      </c>
      <c r="N105" s="230" t="e">
        <f t="shared" si="28"/>
        <v>#DIV/0!</v>
      </c>
      <c r="O105" s="233" t="e">
        <f t="shared" si="29"/>
        <v>#DIV/0!</v>
      </c>
      <c r="Q105" s="239">
        <f>G105/LAR!D$37</f>
        <v>0</v>
      </c>
      <c r="R105" s="239">
        <f>C105/LAR!D$34</f>
        <v>0.17617363876080441</v>
      </c>
    </row>
    <row r="106" spans="1:18" x14ac:dyDescent="0.3">
      <c r="A106" s="227" t="s">
        <v>214</v>
      </c>
      <c r="B106" s="227" t="s">
        <v>155</v>
      </c>
      <c r="C106" s="228">
        <v>78.3</v>
      </c>
      <c r="D106" s="228">
        <v>42.241399999999999</v>
      </c>
      <c r="E106" s="228">
        <v>637.37760000000003</v>
      </c>
      <c r="F106" s="228">
        <v>4.3894000000000002</v>
      </c>
      <c r="G106" s="228">
        <v>2.2749999999999999</v>
      </c>
      <c r="H106" s="228">
        <v>16.024999999999999</v>
      </c>
      <c r="I106" s="228">
        <v>2.5000000000000001E-2</v>
      </c>
      <c r="K106" s="233">
        <f t="shared" si="25"/>
        <v>0.53948148148148145</v>
      </c>
      <c r="L106" s="230">
        <f t="shared" si="26"/>
        <v>15.088931711543653</v>
      </c>
      <c r="M106" s="233">
        <f t="shared" si="27"/>
        <v>0.10391227563480378</v>
      </c>
      <c r="N106" s="230">
        <f t="shared" si="28"/>
        <v>7.0439560439560438</v>
      </c>
      <c r="O106" s="233">
        <f t="shared" si="29"/>
        <v>1.098901098901099E-2</v>
      </c>
      <c r="Q106" s="239">
        <f>G106/LAR!D$37</f>
        <v>5.0462292268369418E-3</v>
      </c>
      <c r="R106" s="239">
        <f>C106/LAR!D$34</f>
        <v>0.1237165552912196</v>
      </c>
    </row>
    <row r="107" spans="1:18" x14ac:dyDescent="0.3">
      <c r="A107" s="227" t="s">
        <v>339</v>
      </c>
      <c r="B107" s="227" t="s">
        <v>155</v>
      </c>
      <c r="C107" s="228">
        <v>48</v>
      </c>
      <c r="D107" s="228">
        <v>23.952750000000002</v>
      </c>
      <c r="E107" s="228">
        <v>295.65800000000002</v>
      </c>
      <c r="F107" s="228">
        <v>2.2142499999999998</v>
      </c>
      <c r="G107" s="228">
        <v>0</v>
      </c>
      <c r="H107" s="228">
        <v>0</v>
      </c>
      <c r="I107" s="228">
        <v>0</v>
      </c>
      <c r="K107" s="233">
        <f t="shared" si="25"/>
        <v>0.49901562500000002</v>
      </c>
      <c r="L107" s="230">
        <f t="shared" si="26"/>
        <v>12.343384371314357</v>
      </c>
      <c r="M107" s="233">
        <f t="shared" si="27"/>
        <v>9.2442412666604024E-2</v>
      </c>
      <c r="N107" s="230" t="e">
        <f t="shared" si="28"/>
        <v>#DIV/0!</v>
      </c>
      <c r="O107" s="233" t="e">
        <f t="shared" si="29"/>
        <v>#DIV/0!</v>
      </c>
      <c r="Q107" s="239">
        <f>G107/LAR!D$37</f>
        <v>0</v>
      </c>
      <c r="R107" s="239">
        <f>C107/LAR!D$34</f>
        <v>7.5841566462050328E-2</v>
      </c>
    </row>
    <row r="108" spans="1:18" x14ac:dyDescent="0.3">
      <c r="A108" s="227" t="s">
        <v>340</v>
      </c>
      <c r="B108" s="227" t="s">
        <v>155</v>
      </c>
      <c r="C108" s="228">
        <v>20</v>
      </c>
      <c r="D108" s="228">
        <v>13.839749999999999</v>
      </c>
      <c r="E108" s="228">
        <v>166.80200000000002</v>
      </c>
      <c r="F108" s="228">
        <v>1.2582500000000001</v>
      </c>
      <c r="G108" s="228">
        <v>0</v>
      </c>
      <c r="H108" s="228">
        <v>0</v>
      </c>
      <c r="I108" s="228">
        <v>0</v>
      </c>
      <c r="K108" s="233">
        <f t="shared" si="25"/>
        <v>0.69198749999999998</v>
      </c>
      <c r="L108" s="230">
        <f t="shared" si="26"/>
        <v>12.052385339330554</v>
      </c>
      <c r="M108" s="233">
        <f t="shared" si="27"/>
        <v>9.0915659603677826E-2</v>
      </c>
      <c r="N108" s="230" t="e">
        <f t="shared" si="28"/>
        <v>#DIV/0!</v>
      </c>
      <c r="O108" s="233" t="e">
        <f t="shared" si="29"/>
        <v>#DIV/0!</v>
      </c>
      <c r="Q108" s="239">
        <f>G108/LAR!D$37</f>
        <v>0</v>
      </c>
      <c r="R108" s="239">
        <f>C108/LAR!D$34</f>
        <v>3.1600652692520971E-2</v>
      </c>
    </row>
    <row r="109" spans="1:18" x14ac:dyDescent="0.3">
      <c r="A109" s="227" t="s">
        <v>768</v>
      </c>
      <c r="B109" s="227" t="s">
        <v>155</v>
      </c>
      <c r="C109" s="228">
        <v>5.5</v>
      </c>
      <c r="D109" s="228">
        <v>3.5342500000000001</v>
      </c>
      <c r="E109" s="228">
        <v>40.036000000000001</v>
      </c>
      <c r="F109" s="228">
        <v>0.20474999999999999</v>
      </c>
      <c r="G109" s="228">
        <v>0</v>
      </c>
      <c r="H109" s="228">
        <v>0</v>
      </c>
      <c r="I109" s="228">
        <v>0</v>
      </c>
      <c r="K109" s="233">
        <f t="shared" si="25"/>
        <v>0.6425909090909091</v>
      </c>
      <c r="L109" s="230">
        <f t="shared" si="26"/>
        <v>11.328004527127396</v>
      </c>
      <c r="M109" s="233">
        <f t="shared" si="27"/>
        <v>5.7933083398174996E-2</v>
      </c>
      <c r="N109" s="230" t="e">
        <f t="shared" si="28"/>
        <v>#DIV/0!</v>
      </c>
      <c r="O109" s="233" t="e">
        <f t="shared" si="29"/>
        <v>#DIV/0!</v>
      </c>
      <c r="Q109" s="239">
        <f>G109/LAR!D$37</f>
        <v>0</v>
      </c>
      <c r="R109" s="239">
        <f>C109/LAR!D$34</f>
        <v>8.6901794904432669E-3</v>
      </c>
    </row>
    <row r="110" spans="1:18" x14ac:dyDescent="0.3">
      <c r="A110" s="227" t="s">
        <v>59</v>
      </c>
      <c r="B110" s="227" t="s">
        <v>239</v>
      </c>
      <c r="C110" s="228">
        <v>142.69999999999999</v>
      </c>
      <c r="D110" s="228">
        <v>104.6114</v>
      </c>
      <c r="E110" s="228">
        <v>1287.0488</v>
      </c>
      <c r="F110" s="228">
        <v>7.8285999999999998</v>
      </c>
      <c r="G110" s="228">
        <v>0</v>
      </c>
      <c r="H110" s="228">
        <v>0</v>
      </c>
      <c r="I110" s="228">
        <v>0</v>
      </c>
      <c r="K110" s="233">
        <f t="shared" si="25"/>
        <v>0.73308619481429582</v>
      </c>
      <c r="L110" s="230">
        <f t="shared" si="26"/>
        <v>12.303140957868836</v>
      </c>
      <c r="M110" s="233">
        <f t="shared" si="27"/>
        <v>7.4835056217582407E-2</v>
      </c>
      <c r="N110" s="230" t="e">
        <f t="shared" si="28"/>
        <v>#DIV/0!</v>
      </c>
      <c r="O110" s="233" t="e">
        <f t="shared" si="29"/>
        <v>#DIV/0!</v>
      </c>
      <c r="Q110" s="239">
        <f>G110/LV!D$37</f>
        <v>0</v>
      </c>
      <c r="R110" s="239">
        <f>C110/LV!D$34</f>
        <v>0.22651206765659904</v>
      </c>
    </row>
    <row r="111" spans="1:18" x14ac:dyDescent="0.3">
      <c r="A111" s="227" t="s">
        <v>162</v>
      </c>
      <c r="B111" s="227" t="s">
        <v>239</v>
      </c>
      <c r="C111" s="228">
        <v>111.1</v>
      </c>
      <c r="D111" s="228">
        <v>76.251799999999989</v>
      </c>
      <c r="E111" s="228">
        <v>784.87760000000003</v>
      </c>
      <c r="F111" s="228">
        <v>6.5322000000000005</v>
      </c>
      <c r="G111" s="228">
        <v>1.75</v>
      </c>
      <c r="H111" s="228">
        <v>9.7249999999999996</v>
      </c>
      <c r="I111" s="228">
        <v>2.5000000000000001E-2</v>
      </c>
      <c r="K111" s="233">
        <f t="shared" si="25"/>
        <v>0.68633483348334823</v>
      </c>
      <c r="L111" s="230">
        <f t="shared" si="26"/>
        <v>10.293233733498752</v>
      </c>
      <c r="M111" s="233">
        <f t="shared" si="27"/>
        <v>8.5666174437849352E-2</v>
      </c>
      <c r="N111" s="230">
        <f t="shared" si="28"/>
        <v>5.5571428571428569</v>
      </c>
      <c r="O111" s="233">
        <f t="shared" si="29"/>
        <v>1.4285714285714287E-2</v>
      </c>
      <c r="Q111" s="239">
        <f>G111/LV!D$37</f>
        <v>3.9808782267776203E-3</v>
      </c>
      <c r="R111" s="239">
        <f>C111/LV!D$34</f>
        <v>0.17635242268148671</v>
      </c>
    </row>
    <row r="112" spans="1:18" x14ac:dyDescent="0.3">
      <c r="A112" s="227" t="s">
        <v>767</v>
      </c>
      <c r="B112" s="227" t="s">
        <v>239</v>
      </c>
      <c r="C112" s="228">
        <v>40</v>
      </c>
      <c r="D112" s="228">
        <v>23.15433333333333</v>
      </c>
      <c r="E112" s="228">
        <v>330.49866666666668</v>
      </c>
      <c r="F112" s="228">
        <v>1.9630000000000001</v>
      </c>
      <c r="G112" s="228">
        <v>0</v>
      </c>
      <c r="H112" s="228">
        <v>0.25</v>
      </c>
      <c r="I112" s="228">
        <v>0</v>
      </c>
      <c r="K112" s="233">
        <f t="shared" si="25"/>
        <v>0.57885833333333325</v>
      </c>
      <c r="L112" s="230">
        <f t="shared" si="26"/>
        <v>14.273728459755556</v>
      </c>
      <c r="M112" s="233">
        <f t="shared" si="27"/>
        <v>8.4778947065344154E-2</v>
      </c>
      <c r="N112" s="230" t="e">
        <f t="shared" si="28"/>
        <v>#DIV/0!</v>
      </c>
      <c r="O112" s="233" t="e">
        <f t="shared" si="29"/>
        <v>#DIV/0!</v>
      </c>
      <c r="Q112" s="239">
        <f>G112/LV!D$37</f>
        <v>0</v>
      </c>
      <c r="R112" s="239">
        <f>C112/LV!D$34</f>
        <v>6.3493221487483958E-2</v>
      </c>
    </row>
    <row r="113" spans="1:18" x14ac:dyDescent="0.3">
      <c r="A113" s="227" t="s">
        <v>72</v>
      </c>
      <c r="B113" s="227" t="s">
        <v>239</v>
      </c>
      <c r="C113" s="228">
        <v>36</v>
      </c>
      <c r="D113" s="228">
        <v>19.263999999999999</v>
      </c>
      <c r="E113" s="228">
        <v>244.19899999999998</v>
      </c>
      <c r="F113" s="228">
        <v>1.7757499999999999</v>
      </c>
      <c r="G113" s="228">
        <v>0</v>
      </c>
      <c r="H113" s="228">
        <v>0</v>
      </c>
      <c r="I113" s="228">
        <v>0</v>
      </c>
      <c r="K113" s="233">
        <f t="shared" si="25"/>
        <v>0.53511111111111109</v>
      </c>
      <c r="L113" s="230">
        <f t="shared" si="26"/>
        <v>12.676443106312291</v>
      </c>
      <c r="M113" s="233">
        <f t="shared" si="27"/>
        <v>9.2179713455149498E-2</v>
      </c>
      <c r="N113" s="230" t="e">
        <f t="shared" si="28"/>
        <v>#DIV/0!</v>
      </c>
      <c r="O113" s="233" t="e">
        <f t="shared" si="29"/>
        <v>#DIV/0!</v>
      </c>
      <c r="Q113" s="239">
        <f>G113/LV!D$37</f>
        <v>0</v>
      </c>
      <c r="R113" s="239">
        <f>C113/LV!D$34</f>
        <v>5.7143899338735565E-2</v>
      </c>
    </row>
    <row r="114" spans="1:18" x14ac:dyDescent="0.3">
      <c r="A114" s="227" t="s">
        <v>766</v>
      </c>
      <c r="B114" s="227" t="s">
        <v>239</v>
      </c>
      <c r="C114" s="228">
        <v>25</v>
      </c>
      <c r="D114" s="228">
        <v>12.952</v>
      </c>
      <c r="E114" s="228">
        <v>160</v>
      </c>
      <c r="F114" s="228">
        <v>0.58933333333333338</v>
      </c>
      <c r="G114" s="228">
        <v>0</v>
      </c>
      <c r="H114" s="228">
        <v>0</v>
      </c>
      <c r="I114" s="228">
        <v>0</v>
      </c>
      <c r="K114" s="233">
        <f t="shared" si="25"/>
        <v>0.51807999999999998</v>
      </c>
      <c r="L114" s="230">
        <f t="shared" si="26"/>
        <v>12.353304508956146</v>
      </c>
      <c r="M114" s="233">
        <f t="shared" si="27"/>
        <v>4.5501338274655141E-2</v>
      </c>
      <c r="N114" s="230" t="e">
        <f t="shared" si="28"/>
        <v>#DIV/0!</v>
      </c>
      <c r="O114" s="233" t="e">
        <f t="shared" si="29"/>
        <v>#DIV/0!</v>
      </c>
      <c r="Q114" s="239">
        <f>G114/LV!D$37</f>
        <v>0</v>
      </c>
      <c r="R114" s="239">
        <f>C114/LV!D$34</f>
        <v>3.9683263429677477E-2</v>
      </c>
    </row>
    <row r="115" spans="1:18" x14ac:dyDescent="0.3">
      <c r="A115" s="227" t="s">
        <v>578</v>
      </c>
      <c r="B115" s="227" t="s">
        <v>239</v>
      </c>
      <c r="C115" s="228">
        <v>8.5</v>
      </c>
      <c r="D115" s="228">
        <v>6.00875</v>
      </c>
      <c r="E115" s="228">
        <v>80.403999999999996</v>
      </c>
      <c r="F115" s="228">
        <v>0.58024999999999993</v>
      </c>
      <c r="G115" s="228">
        <v>0</v>
      </c>
      <c r="H115" s="228">
        <v>0</v>
      </c>
      <c r="I115" s="228">
        <v>0</v>
      </c>
      <c r="K115" s="233">
        <f t="shared" si="25"/>
        <v>0.70691176470588235</v>
      </c>
      <c r="L115" s="230">
        <f t="shared" si="26"/>
        <v>13.381152485957978</v>
      </c>
      <c r="M115" s="233">
        <f t="shared" si="27"/>
        <v>9.6567505720823787E-2</v>
      </c>
      <c r="N115" s="230" t="e">
        <f t="shared" si="28"/>
        <v>#DIV/0!</v>
      </c>
      <c r="O115" s="233" t="e">
        <f t="shared" si="29"/>
        <v>#DIV/0!</v>
      </c>
      <c r="Q115" s="239">
        <f>G115/LV!D$37</f>
        <v>0</v>
      </c>
      <c r="R115" s="239">
        <f>C115/LV!D$34</f>
        <v>1.3492309566090342E-2</v>
      </c>
    </row>
    <row r="116" spans="1:18" x14ac:dyDescent="0.3">
      <c r="A116" s="227" t="s">
        <v>69</v>
      </c>
      <c r="B116" s="227" t="s">
        <v>156</v>
      </c>
      <c r="C116" s="228">
        <v>132.14999999999998</v>
      </c>
      <c r="D116" s="228">
        <v>91.7834</v>
      </c>
      <c r="E116" s="228">
        <v>1085.6443999999999</v>
      </c>
      <c r="F116" s="228">
        <v>7.8280000000000003</v>
      </c>
      <c r="G116" s="228">
        <v>13.312250000000001</v>
      </c>
      <c r="H116" s="228">
        <v>85.484999999999999</v>
      </c>
      <c r="I116" s="228">
        <v>0.47750000000000004</v>
      </c>
      <c r="K116" s="233">
        <f t="shared" si="25"/>
        <v>0.69453953840332971</v>
      </c>
      <c r="L116" s="230">
        <f t="shared" si="26"/>
        <v>11.828330613160984</v>
      </c>
      <c r="M116" s="233">
        <f t="shared" si="27"/>
        <v>8.5287753558922416E-2</v>
      </c>
      <c r="N116" s="230">
        <f t="shared" si="28"/>
        <v>6.4215290427989258</v>
      </c>
      <c r="O116" s="233">
        <f t="shared" si="29"/>
        <v>3.5869218201280778E-2</v>
      </c>
      <c r="Q116" s="239">
        <f>G116/MIA!D$37</f>
        <v>3.0282540671097362E-2</v>
      </c>
      <c r="R116" s="239">
        <f>C116/MIA!D$34</f>
        <v>0.2097657304892751</v>
      </c>
    </row>
    <row r="117" spans="1:18" x14ac:dyDescent="0.3">
      <c r="A117" s="227" t="s">
        <v>341</v>
      </c>
      <c r="B117" s="227" t="s">
        <v>156</v>
      </c>
      <c r="C117" s="228">
        <v>128.69999999999999</v>
      </c>
      <c r="D117" s="228">
        <v>92.149599999999992</v>
      </c>
      <c r="E117" s="228">
        <v>979.41399999999999</v>
      </c>
      <c r="F117" s="228">
        <v>6.5933999999999999</v>
      </c>
      <c r="G117" s="228">
        <v>6.6649999999999991</v>
      </c>
      <c r="H117" s="228">
        <v>38.1</v>
      </c>
      <c r="I117" s="228">
        <v>0.59499999999999997</v>
      </c>
      <c r="K117" s="233">
        <f t="shared" si="25"/>
        <v>0.71600310800310796</v>
      </c>
      <c r="L117" s="230">
        <f t="shared" si="26"/>
        <v>10.628521447732817</v>
      </c>
      <c r="M117" s="233">
        <f t="shared" si="27"/>
        <v>7.1551043086459418E-2</v>
      </c>
      <c r="N117" s="230">
        <f t="shared" si="28"/>
        <v>5.7164291072768201</v>
      </c>
      <c r="O117" s="233">
        <f t="shared" si="29"/>
        <v>8.9272318079519894E-2</v>
      </c>
      <c r="Q117" s="239">
        <f>G117/MIA!D$37</f>
        <v>1.5161459075127337E-2</v>
      </c>
      <c r="R117" s="239">
        <f>C117/MIA!D$34</f>
        <v>0.20428944013597963</v>
      </c>
    </row>
    <row r="118" spans="1:18" x14ac:dyDescent="0.3">
      <c r="A118" s="227" t="s">
        <v>330</v>
      </c>
      <c r="B118" s="227" t="s">
        <v>156</v>
      </c>
      <c r="C118" s="228">
        <v>74.2</v>
      </c>
      <c r="D118" s="228">
        <v>42.179249999999996</v>
      </c>
      <c r="E118" s="228">
        <v>511.35399999999998</v>
      </c>
      <c r="F118" s="228">
        <v>3.9492500000000001</v>
      </c>
      <c r="G118" s="228">
        <v>0.5</v>
      </c>
      <c r="H118" s="228">
        <v>3.1</v>
      </c>
      <c r="I118" s="228">
        <v>0</v>
      </c>
      <c r="K118" s="233">
        <f t="shared" si="25"/>
        <v>0.56845350404312656</v>
      </c>
      <c r="L118" s="230">
        <f t="shared" si="26"/>
        <v>12.123354493026785</v>
      </c>
      <c r="M118" s="233">
        <f t="shared" si="27"/>
        <v>9.3630161750149668E-2</v>
      </c>
      <c r="N118" s="230">
        <f t="shared" si="28"/>
        <v>6.2</v>
      </c>
      <c r="O118" s="233">
        <f t="shared" si="29"/>
        <v>0</v>
      </c>
      <c r="Q118" s="239">
        <f>G118/MIA!D$37</f>
        <v>1.1373937790793202E-3</v>
      </c>
      <c r="R118" s="239">
        <f>C118/MIA!D$34</f>
        <v>0.11777992585928276</v>
      </c>
    </row>
    <row r="119" spans="1:18" x14ac:dyDescent="0.3">
      <c r="A119" s="227" t="s">
        <v>83</v>
      </c>
      <c r="B119" s="227" t="s">
        <v>156</v>
      </c>
      <c r="C119" s="228">
        <v>14.399999999999999</v>
      </c>
      <c r="D119" s="228">
        <v>9.6639999999999997</v>
      </c>
      <c r="E119" s="228">
        <v>126.22800000000001</v>
      </c>
      <c r="F119" s="228">
        <v>0.40849999999999997</v>
      </c>
      <c r="G119" s="228">
        <v>0</v>
      </c>
      <c r="H119" s="228">
        <v>0</v>
      </c>
      <c r="I119" s="228">
        <v>0</v>
      </c>
      <c r="K119" s="233">
        <f t="shared" si="25"/>
        <v>0.6711111111111111</v>
      </c>
      <c r="L119" s="230">
        <f t="shared" si="26"/>
        <v>13.061672185430465</v>
      </c>
      <c r="M119" s="233">
        <f t="shared" si="27"/>
        <v>4.2270281456953641E-2</v>
      </c>
      <c r="N119" s="230" t="e">
        <f t="shared" si="28"/>
        <v>#DIV/0!</v>
      </c>
      <c r="O119" s="233" t="e">
        <f t="shared" si="29"/>
        <v>#DIV/0!</v>
      </c>
      <c r="Q119" s="239">
        <f>G119/MIA!D$37</f>
        <v>0</v>
      </c>
      <c r="R119" s="239">
        <f>C119/MIA!D$34</f>
        <v>2.2857559735494224E-2</v>
      </c>
    </row>
    <row r="120" spans="1:18" x14ac:dyDescent="0.3">
      <c r="A120" s="227" t="s">
        <v>356</v>
      </c>
      <c r="B120" s="227" t="s">
        <v>156</v>
      </c>
      <c r="C120" s="228">
        <v>17.2</v>
      </c>
      <c r="D120" s="228">
        <v>9.6654999999999998</v>
      </c>
      <c r="E120" s="228">
        <v>111.176</v>
      </c>
      <c r="F120" s="228">
        <v>0.86399999999999999</v>
      </c>
      <c r="G120" s="228">
        <v>0</v>
      </c>
      <c r="H120" s="228">
        <v>0</v>
      </c>
      <c r="I120" s="228">
        <v>0</v>
      </c>
      <c r="K120" s="233">
        <f t="shared" si="25"/>
        <v>0.56194767441860471</v>
      </c>
      <c r="L120" s="230">
        <f t="shared" si="26"/>
        <v>11.502353732347007</v>
      </c>
      <c r="M120" s="233">
        <f t="shared" si="27"/>
        <v>8.9390098805028198E-2</v>
      </c>
      <c r="N120" s="230" t="e">
        <f t="shared" si="28"/>
        <v>#DIV/0!</v>
      </c>
      <c r="O120" s="233" t="e">
        <f t="shared" si="29"/>
        <v>#DIV/0!</v>
      </c>
      <c r="Q120" s="239">
        <f>G120/MIA!D$37</f>
        <v>0</v>
      </c>
      <c r="R120" s="239">
        <f>C120/MIA!D$34</f>
        <v>2.7302085239618103E-2</v>
      </c>
    </row>
    <row r="121" spans="1:18" x14ac:dyDescent="0.3">
      <c r="A121" s="227" t="s">
        <v>649</v>
      </c>
      <c r="B121" s="227" t="s">
        <v>156</v>
      </c>
      <c r="C121" s="228">
        <v>13.85</v>
      </c>
      <c r="D121" s="228">
        <v>9.0333333333333332</v>
      </c>
      <c r="E121" s="228">
        <v>99.633333333333326</v>
      </c>
      <c r="F121" s="228">
        <v>0.73333333333333339</v>
      </c>
      <c r="G121" s="228">
        <v>0</v>
      </c>
      <c r="H121" s="228">
        <v>0</v>
      </c>
      <c r="I121" s="228">
        <v>0</v>
      </c>
      <c r="K121" s="233">
        <f t="shared" si="25"/>
        <v>0.65222623345367026</v>
      </c>
      <c r="L121" s="230">
        <f t="shared" si="26"/>
        <v>11.029520295202952</v>
      </c>
      <c r="M121" s="233">
        <f t="shared" si="27"/>
        <v>8.1180811808118092E-2</v>
      </c>
      <c r="N121" s="230" t="e">
        <f t="shared" si="28"/>
        <v>#DIV/0!</v>
      </c>
      <c r="O121" s="233" t="e">
        <f t="shared" si="29"/>
        <v>#DIV/0!</v>
      </c>
      <c r="Q121" s="239">
        <f>G121/MIA!D$37</f>
        <v>0</v>
      </c>
      <c r="R121" s="239">
        <f>C121/MIA!D$34</f>
        <v>2.1984527940041323E-2</v>
      </c>
    </row>
    <row r="122" spans="1:18" x14ac:dyDescent="0.3">
      <c r="A122" s="227" t="s">
        <v>218</v>
      </c>
      <c r="B122" s="227" t="s">
        <v>157</v>
      </c>
      <c r="C122" s="228">
        <v>153.1</v>
      </c>
      <c r="D122" s="228">
        <v>99.828000000000003</v>
      </c>
      <c r="E122" s="228">
        <v>1477.2176000000002</v>
      </c>
      <c r="F122" s="228">
        <v>8.4407999999999994</v>
      </c>
      <c r="G122" s="228">
        <v>3.8722500000000002</v>
      </c>
      <c r="H122" s="228">
        <v>18.399750000000001</v>
      </c>
      <c r="I122" s="228">
        <v>2.5000000000000001E-2</v>
      </c>
      <c r="K122" s="233">
        <f t="shared" si="25"/>
        <v>0.65204441541476166</v>
      </c>
      <c r="L122" s="230">
        <f t="shared" si="26"/>
        <v>14.797627920022441</v>
      </c>
      <c r="M122" s="233">
        <f t="shared" si="27"/>
        <v>8.4553431902872928E-2</v>
      </c>
      <c r="N122" s="230">
        <f t="shared" si="28"/>
        <v>4.7516947511136935</v>
      </c>
      <c r="O122" s="233">
        <f t="shared" si="29"/>
        <v>6.4561947188327201E-3</v>
      </c>
      <c r="Q122" s="239">
        <f>G122/MIN!D$37</f>
        <v>8.3699793498359567E-3</v>
      </c>
      <c r="R122" s="239">
        <f>C122/MIN!D$34</f>
        <v>0.25478684318019584</v>
      </c>
    </row>
    <row r="123" spans="1:18" x14ac:dyDescent="0.3">
      <c r="A123" s="227" t="s">
        <v>130</v>
      </c>
      <c r="B123" s="227" t="s">
        <v>157</v>
      </c>
      <c r="C123" s="228">
        <v>103.5</v>
      </c>
      <c r="D123" s="228">
        <v>69.231999999999999</v>
      </c>
      <c r="E123" s="228">
        <v>760.58240000000001</v>
      </c>
      <c r="F123" s="228">
        <v>7.8816000000000006</v>
      </c>
      <c r="G123" s="228">
        <v>0.25</v>
      </c>
      <c r="H123" s="228">
        <v>1.25</v>
      </c>
      <c r="I123" s="228">
        <v>0</v>
      </c>
      <c r="K123" s="233">
        <f t="shared" si="25"/>
        <v>0.66890821256038646</v>
      </c>
      <c r="L123" s="230">
        <f t="shared" si="26"/>
        <v>10.985994915645945</v>
      </c>
      <c r="M123" s="233">
        <f t="shared" si="27"/>
        <v>0.11384330945227641</v>
      </c>
      <c r="N123" s="230">
        <f t="shared" si="28"/>
        <v>5</v>
      </c>
      <c r="O123" s="233">
        <f t="shared" si="29"/>
        <v>0</v>
      </c>
      <c r="Q123" s="239">
        <f>G123/MIN!D$37</f>
        <v>5.403821647514982E-4</v>
      </c>
      <c r="R123" s="239">
        <f>C123/MIN!D$34</f>
        <v>0.17224322840725192</v>
      </c>
    </row>
    <row r="124" spans="1:18" x14ac:dyDescent="0.3">
      <c r="A124" s="227" t="s">
        <v>576</v>
      </c>
      <c r="B124" s="227" t="s">
        <v>157</v>
      </c>
      <c r="C124" s="228">
        <v>74.75</v>
      </c>
      <c r="D124" s="228">
        <v>43.507999999999996</v>
      </c>
      <c r="E124" s="228">
        <v>569.29680000000008</v>
      </c>
      <c r="F124" s="228">
        <v>4.0999999999999996</v>
      </c>
      <c r="G124" s="228">
        <v>0.375</v>
      </c>
      <c r="H124" s="228">
        <v>2.625</v>
      </c>
      <c r="I124" s="228">
        <v>0</v>
      </c>
      <c r="K124" s="233">
        <f t="shared" si="25"/>
        <v>0.58204682274247488</v>
      </c>
      <c r="L124" s="230">
        <f t="shared" si="26"/>
        <v>13.08487634458031</v>
      </c>
      <c r="M124" s="233">
        <f t="shared" si="27"/>
        <v>9.4235542888664162E-2</v>
      </c>
      <c r="N124" s="230">
        <f t="shared" si="28"/>
        <v>7</v>
      </c>
      <c r="O124" s="233">
        <f t="shared" si="29"/>
        <v>0</v>
      </c>
      <c r="Q124" s="239">
        <f>G124/MIN!D$37</f>
        <v>8.1057324712724736E-4</v>
      </c>
      <c r="R124" s="239">
        <f>C124/MIN!D$34</f>
        <v>0.12439788718301528</v>
      </c>
    </row>
    <row r="125" spans="1:18" x14ac:dyDescent="0.3">
      <c r="A125" s="227" t="s">
        <v>765</v>
      </c>
      <c r="B125" s="227" t="s">
        <v>157</v>
      </c>
      <c r="C125" s="228">
        <v>21.8</v>
      </c>
      <c r="D125" s="228">
        <v>14.388</v>
      </c>
      <c r="E125" s="228">
        <v>151.32239999999999</v>
      </c>
      <c r="F125" s="228">
        <v>0.99440000000000017</v>
      </c>
      <c r="G125" s="228">
        <v>0</v>
      </c>
      <c r="H125" s="228">
        <v>0</v>
      </c>
      <c r="I125" s="228">
        <v>0</v>
      </c>
      <c r="K125" s="233">
        <f t="shared" si="25"/>
        <v>0.65999999999999992</v>
      </c>
      <c r="L125" s="230">
        <f t="shared" si="26"/>
        <v>10.517264386989156</v>
      </c>
      <c r="M125" s="233">
        <f t="shared" si="27"/>
        <v>6.911314984709481E-2</v>
      </c>
      <c r="N125" s="230" t="e">
        <f t="shared" si="28"/>
        <v>#DIV/0!</v>
      </c>
      <c r="O125" s="233" t="e">
        <f t="shared" si="29"/>
        <v>#DIV/0!</v>
      </c>
      <c r="Q125" s="239">
        <f>G125/MIN!D$37</f>
        <v>0</v>
      </c>
      <c r="R125" s="239">
        <f>C125/MIN!D$34</f>
        <v>3.627925004133422E-2</v>
      </c>
    </row>
    <row r="126" spans="1:18" x14ac:dyDescent="0.3">
      <c r="A126" s="227" t="s">
        <v>342</v>
      </c>
      <c r="B126" s="227" t="s">
        <v>157</v>
      </c>
      <c r="C126" s="228">
        <v>13.5</v>
      </c>
      <c r="D126" s="228">
        <v>8.0750000000000011</v>
      </c>
      <c r="E126" s="228">
        <v>107.611</v>
      </c>
      <c r="F126" s="228">
        <v>0.6</v>
      </c>
      <c r="G126" s="228">
        <v>0</v>
      </c>
      <c r="H126" s="228">
        <v>0</v>
      </c>
      <c r="I126" s="228">
        <v>0</v>
      </c>
      <c r="K126" s="233">
        <f t="shared" si="25"/>
        <v>0.59814814814814821</v>
      </c>
      <c r="L126" s="230">
        <f t="shared" si="26"/>
        <v>13.326439628482971</v>
      </c>
      <c r="M126" s="233">
        <f t="shared" si="27"/>
        <v>7.4303405572755402E-2</v>
      </c>
      <c r="N126" s="230" t="e">
        <f t="shared" si="28"/>
        <v>#DIV/0!</v>
      </c>
      <c r="O126" s="233" t="e">
        <f t="shared" si="29"/>
        <v>#DIV/0!</v>
      </c>
      <c r="Q126" s="239">
        <f>G126/MIN!D$37</f>
        <v>0</v>
      </c>
      <c r="R126" s="239">
        <f>C126/MIN!D$34</f>
        <v>2.2466508053119817E-2</v>
      </c>
    </row>
    <row r="127" spans="1:18" x14ac:dyDescent="0.3">
      <c r="A127" s="227" t="s">
        <v>764</v>
      </c>
      <c r="B127" s="227" t="s">
        <v>157</v>
      </c>
      <c r="C127" s="228">
        <v>8.4499999999999993</v>
      </c>
      <c r="D127" s="228">
        <v>5.5</v>
      </c>
      <c r="E127" s="228">
        <v>70.099999999999994</v>
      </c>
      <c r="F127" s="228">
        <v>0.19999999999999998</v>
      </c>
      <c r="G127" s="228">
        <v>0</v>
      </c>
      <c r="H127" s="228">
        <v>0</v>
      </c>
      <c r="I127" s="228">
        <v>0</v>
      </c>
      <c r="K127" s="233">
        <f t="shared" si="25"/>
        <v>0.65088757396449715</v>
      </c>
      <c r="L127" s="230">
        <f t="shared" si="26"/>
        <v>12.745454545454544</v>
      </c>
      <c r="M127" s="233">
        <f t="shared" si="27"/>
        <v>3.6363636363636362E-2</v>
      </c>
      <c r="N127" s="230" t="e">
        <f t="shared" si="28"/>
        <v>#DIV/0!</v>
      </c>
      <c r="O127" s="233" t="e">
        <f t="shared" si="29"/>
        <v>#DIV/0!</v>
      </c>
      <c r="Q127" s="239">
        <f>G127/MIN!D$37</f>
        <v>0</v>
      </c>
      <c r="R127" s="239">
        <f>C127/MIN!D$34</f>
        <v>1.4062369855471291E-2</v>
      </c>
    </row>
    <row r="128" spans="1:18" x14ac:dyDescent="0.3">
      <c r="A128" s="227" t="s">
        <v>185</v>
      </c>
      <c r="B128" s="227" t="s">
        <v>158</v>
      </c>
      <c r="C128" s="228">
        <v>102.1</v>
      </c>
      <c r="D128" s="228">
        <v>69.139800000000008</v>
      </c>
      <c r="E128" s="228">
        <v>732.43600000000004</v>
      </c>
      <c r="F128" s="228">
        <v>2.9058000000000002</v>
      </c>
      <c r="G128" s="228">
        <v>0.375</v>
      </c>
      <c r="H128" s="228">
        <v>2.5</v>
      </c>
      <c r="I128" s="228">
        <v>0</v>
      </c>
      <c r="K128" s="233">
        <f t="shared" si="25"/>
        <v>0.67717727717923615</v>
      </c>
      <c r="L128" s="230">
        <f t="shared" si="26"/>
        <v>10.593551037173956</v>
      </c>
      <c r="M128" s="233">
        <f t="shared" si="27"/>
        <v>4.20278913158557E-2</v>
      </c>
      <c r="N128" s="230">
        <f t="shared" si="28"/>
        <v>6.666666666666667</v>
      </c>
      <c r="O128" s="233">
        <f t="shared" si="29"/>
        <v>0</v>
      </c>
      <c r="Q128" s="239">
        <f>G128/NE!D$37</f>
        <v>7.4922134923616581E-4</v>
      </c>
      <c r="R128" s="239">
        <f>C128/NE!D$34</f>
        <v>0.19442606188240685</v>
      </c>
    </row>
    <row r="129" spans="1:18" x14ac:dyDescent="0.3">
      <c r="A129" s="227" t="s">
        <v>82</v>
      </c>
      <c r="B129" s="227" t="s">
        <v>158</v>
      </c>
      <c r="C129" s="228">
        <v>87.3</v>
      </c>
      <c r="D129" s="228">
        <v>54.783000000000001</v>
      </c>
      <c r="E129" s="228">
        <v>729.26239999999996</v>
      </c>
      <c r="F129" s="228">
        <v>4.0848000000000004</v>
      </c>
      <c r="G129" s="228">
        <v>0</v>
      </c>
      <c r="H129" s="228">
        <v>0</v>
      </c>
      <c r="I129" s="228">
        <v>0</v>
      </c>
      <c r="K129" s="233">
        <f t="shared" si="25"/>
        <v>0.62752577319587632</v>
      </c>
      <c r="L129" s="230">
        <f t="shared" si="26"/>
        <v>13.311837613858312</v>
      </c>
      <c r="M129" s="233">
        <f t="shared" si="27"/>
        <v>7.4563276928974326E-2</v>
      </c>
      <c r="N129" s="230" t="e">
        <f t="shared" si="28"/>
        <v>#DIV/0!</v>
      </c>
      <c r="O129" s="233" t="e">
        <f t="shared" si="29"/>
        <v>#DIV/0!</v>
      </c>
      <c r="Q129" s="239">
        <f>G129/NE!D$37</f>
        <v>0</v>
      </c>
      <c r="R129" s="239">
        <f>C129/NE!D$34</f>
        <v>0.16624285212863973</v>
      </c>
    </row>
    <row r="130" spans="1:18" x14ac:dyDescent="0.3">
      <c r="A130" s="227" t="s">
        <v>187</v>
      </c>
      <c r="B130" s="227" t="s">
        <v>158</v>
      </c>
      <c r="C130" s="228">
        <v>52.45</v>
      </c>
      <c r="D130" s="228">
        <v>39.637999999999998</v>
      </c>
      <c r="E130" s="228">
        <v>507.14399999999995</v>
      </c>
      <c r="F130" s="228">
        <v>3.4390000000000001</v>
      </c>
      <c r="G130" s="228">
        <v>8.0666666666666664</v>
      </c>
      <c r="H130" s="228">
        <v>62</v>
      </c>
      <c r="I130" s="228">
        <v>0.43333333333333335</v>
      </c>
      <c r="K130" s="233">
        <f t="shared" si="25"/>
        <v>0.75572926596758805</v>
      </c>
      <c r="L130" s="230">
        <f t="shared" si="26"/>
        <v>12.794389222463293</v>
      </c>
      <c r="M130" s="233">
        <f t="shared" si="27"/>
        <v>8.6760179625611791E-2</v>
      </c>
      <c r="N130" s="230">
        <f t="shared" si="28"/>
        <v>7.6859504132231411</v>
      </c>
      <c r="O130" s="233">
        <f t="shared" si="29"/>
        <v>5.3719008264462811E-2</v>
      </c>
      <c r="Q130" s="239">
        <f>G130/NE!D$37</f>
        <v>1.6116583690235744E-2</v>
      </c>
      <c r="R130" s="239">
        <f>C130/NE!D$34</f>
        <v>9.9879010242235458E-2</v>
      </c>
    </row>
    <row r="131" spans="1:18" x14ac:dyDescent="0.3">
      <c r="A131" s="227" t="s">
        <v>104</v>
      </c>
      <c r="B131" s="227" t="s">
        <v>158</v>
      </c>
      <c r="C131" s="228">
        <v>39.5</v>
      </c>
      <c r="D131" s="228">
        <v>29.047250000000002</v>
      </c>
      <c r="E131" s="228">
        <v>384.10700000000003</v>
      </c>
      <c r="F131" s="228">
        <v>2.52325</v>
      </c>
      <c r="G131" s="228">
        <v>2.5666666666666669</v>
      </c>
      <c r="H131" s="228">
        <v>15.200000000000001</v>
      </c>
      <c r="I131" s="228">
        <v>3.3333333333333333E-2</v>
      </c>
      <c r="K131" s="233">
        <f t="shared" si="25"/>
        <v>0.73537341772151898</v>
      </c>
      <c r="L131" s="230">
        <f t="shared" si="26"/>
        <v>13.223523741490158</v>
      </c>
      <c r="M131" s="233">
        <f t="shared" si="27"/>
        <v>8.6867087245780572E-2</v>
      </c>
      <c r="N131" s="230">
        <f t="shared" si="28"/>
        <v>5.9220779220779223</v>
      </c>
      <c r="O131" s="233">
        <f t="shared" si="29"/>
        <v>1.2987012987012986E-2</v>
      </c>
      <c r="Q131" s="239">
        <f>G131/NE!D$37</f>
        <v>5.1280039014386467E-3</v>
      </c>
      <c r="R131" s="239">
        <f>C131/NE!D$34</f>
        <v>7.5218701707689239E-2</v>
      </c>
    </row>
    <row r="132" spans="1:18" x14ac:dyDescent="0.3">
      <c r="A132" s="227" t="s">
        <v>763</v>
      </c>
      <c r="B132" s="227" t="s">
        <v>158</v>
      </c>
      <c r="C132" s="228">
        <v>37.200000000000003</v>
      </c>
      <c r="D132" s="228">
        <v>24</v>
      </c>
      <c r="E132" s="228">
        <v>331</v>
      </c>
      <c r="F132" s="228">
        <v>1.1745000000000001</v>
      </c>
      <c r="G132" s="228">
        <v>0</v>
      </c>
      <c r="H132" s="228">
        <v>0</v>
      </c>
      <c r="I132" s="228">
        <v>0</v>
      </c>
      <c r="K132" s="233">
        <f t="shared" si="25"/>
        <v>0.64516129032258063</v>
      </c>
      <c r="L132" s="230">
        <f t="shared" si="26"/>
        <v>13.791666666666666</v>
      </c>
      <c r="M132" s="233">
        <f t="shared" si="27"/>
        <v>4.8937500000000002E-2</v>
      </c>
      <c r="N132" s="230" t="e">
        <f t="shared" si="28"/>
        <v>#DIV/0!</v>
      </c>
      <c r="O132" s="233" t="e">
        <f t="shared" si="29"/>
        <v>#DIV/0!</v>
      </c>
      <c r="Q132" s="239">
        <f>G132/NE!D$37</f>
        <v>0</v>
      </c>
      <c r="R132" s="239">
        <f>C132/NE!D$34</f>
        <v>7.0838878570279484E-2</v>
      </c>
    </row>
    <row r="133" spans="1:18" x14ac:dyDescent="0.3">
      <c r="A133" s="227" t="s">
        <v>123</v>
      </c>
      <c r="B133" s="227" t="s">
        <v>158</v>
      </c>
      <c r="C133" s="228">
        <v>2.9</v>
      </c>
      <c r="D133" s="228">
        <v>1.7999999999999998</v>
      </c>
      <c r="E133" s="228">
        <v>22.6</v>
      </c>
      <c r="F133" s="228">
        <v>0.1</v>
      </c>
      <c r="G133" s="228">
        <v>0</v>
      </c>
      <c r="H133" s="228">
        <v>0</v>
      </c>
      <c r="I133" s="228">
        <v>0</v>
      </c>
      <c r="K133" s="233">
        <f t="shared" ref="K133:K164" si="30">D133/C133</f>
        <v>0.6206896551724137</v>
      </c>
      <c r="L133" s="230">
        <f t="shared" ref="L133:L164" si="31">E133/D133</f>
        <v>12.555555555555557</v>
      </c>
      <c r="M133" s="233">
        <f t="shared" ref="M133:M164" si="32">F133/D133</f>
        <v>5.5555555555555566E-2</v>
      </c>
      <c r="N133" s="230" t="e">
        <f t="shared" ref="N133:N164" si="33">H133/G133</f>
        <v>#DIV/0!</v>
      </c>
      <c r="O133" s="233" t="e">
        <f t="shared" ref="O133:O164" si="34">I133/G133</f>
        <v>#DIV/0!</v>
      </c>
      <c r="Q133" s="239">
        <f>G133/NE!D$37</f>
        <v>0</v>
      </c>
      <c r="R133" s="239">
        <f>C133/NE!D$34</f>
        <v>5.5223856949949057E-3</v>
      </c>
    </row>
    <row r="134" spans="1:18" x14ac:dyDescent="0.3">
      <c r="A134" s="227" t="s">
        <v>120</v>
      </c>
      <c r="B134" s="227" t="s">
        <v>159</v>
      </c>
      <c r="C134" s="228">
        <v>114.9</v>
      </c>
      <c r="D134" s="228">
        <v>80.068599999999989</v>
      </c>
      <c r="E134" s="228">
        <v>972.48719999999992</v>
      </c>
      <c r="F134" s="228">
        <v>5.3141999999999996</v>
      </c>
      <c r="G134" s="228">
        <v>0.125</v>
      </c>
      <c r="H134" s="228">
        <v>0.3</v>
      </c>
      <c r="I134" s="228">
        <v>0</v>
      </c>
      <c r="K134" s="233">
        <f t="shared" si="30"/>
        <v>0.69685465622280229</v>
      </c>
      <c r="L134" s="230">
        <f t="shared" si="31"/>
        <v>12.145675083615799</v>
      </c>
      <c r="M134" s="233">
        <f t="shared" si="32"/>
        <v>6.6370587221457597E-2</v>
      </c>
      <c r="N134" s="230">
        <f t="shared" si="33"/>
        <v>2.4</v>
      </c>
      <c r="O134" s="233">
        <f t="shared" si="34"/>
        <v>0</v>
      </c>
      <c r="Q134" s="239">
        <f>G134/NO!D$37</f>
        <v>2.4654252704749033E-4</v>
      </c>
      <c r="R134" s="239">
        <f>C134/NO!D$34</f>
        <v>0.2083529476447667</v>
      </c>
    </row>
    <row r="135" spans="1:18" x14ac:dyDescent="0.3">
      <c r="A135" s="227" t="s">
        <v>635</v>
      </c>
      <c r="B135" s="227" t="s">
        <v>159</v>
      </c>
      <c r="C135" s="228">
        <v>96.95</v>
      </c>
      <c r="D135" s="228">
        <v>53.135599999999997</v>
      </c>
      <c r="E135" s="228">
        <v>771.9226000000001</v>
      </c>
      <c r="F135" s="228">
        <v>5.2496000000000009</v>
      </c>
      <c r="G135" s="228">
        <v>0.375</v>
      </c>
      <c r="H135" s="228">
        <v>2.2999999999999998</v>
      </c>
      <c r="I135" s="228">
        <v>0</v>
      </c>
      <c r="K135" s="233">
        <f t="shared" si="30"/>
        <v>0.54807220216606489</v>
      </c>
      <c r="L135" s="230">
        <f t="shared" si="31"/>
        <v>14.527409119309844</v>
      </c>
      <c r="M135" s="233">
        <f t="shared" si="32"/>
        <v>9.8796287234923508E-2</v>
      </c>
      <c r="N135" s="230">
        <f t="shared" si="33"/>
        <v>6.1333333333333329</v>
      </c>
      <c r="O135" s="233">
        <f t="shared" si="34"/>
        <v>0</v>
      </c>
      <c r="Q135" s="239">
        <f>G135/NO!D$37</f>
        <v>7.3962758114247103E-4</v>
      </c>
      <c r="R135" s="239">
        <f>C135/NO!D$34</f>
        <v>0.17580346626771218</v>
      </c>
    </row>
    <row r="136" spans="1:18" x14ac:dyDescent="0.3">
      <c r="A136" s="227" t="s">
        <v>762</v>
      </c>
      <c r="B136" s="227" t="s">
        <v>159</v>
      </c>
      <c r="C136" s="228">
        <v>70.3</v>
      </c>
      <c r="D136" s="228">
        <v>56.152500000000003</v>
      </c>
      <c r="E136" s="228">
        <v>679.15049999999997</v>
      </c>
      <c r="F136" s="228">
        <v>2.94625</v>
      </c>
      <c r="G136" s="228">
        <v>3.5333333333333332</v>
      </c>
      <c r="H136" s="228">
        <v>18.633333333333333</v>
      </c>
      <c r="I136" s="228">
        <v>0.3</v>
      </c>
      <c r="K136" s="233">
        <f t="shared" si="30"/>
        <v>0.79875533428165013</v>
      </c>
      <c r="L136" s="230">
        <f t="shared" si="31"/>
        <v>12.094750901562707</v>
      </c>
      <c r="M136" s="233">
        <f t="shared" si="32"/>
        <v>5.2468723565290948E-2</v>
      </c>
      <c r="N136" s="230">
        <f t="shared" si="33"/>
        <v>5.2735849056603774</v>
      </c>
      <c r="O136" s="233">
        <f t="shared" si="34"/>
        <v>8.4905660377358486E-2</v>
      </c>
      <c r="Q136" s="239">
        <f>G136/NO!D$37</f>
        <v>6.9689354312090597E-3</v>
      </c>
      <c r="R136" s="239">
        <f>C136/NO!D$34</f>
        <v>0.1274779131368764</v>
      </c>
    </row>
    <row r="137" spans="1:18" x14ac:dyDescent="0.3">
      <c r="A137" s="227" t="s">
        <v>343</v>
      </c>
      <c r="B137" s="227" t="s">
        <v>159</v>
      </c>
      <c r="C137" s="228">
        <v>34.299999999999997</v>
      </c>
      <c r="D137" s="228">
        <v>23.364599999999999</v>
      </c>
      <c r="E137" s="228">
        <v>346.14359999999999</v>
      </c>
      <c r="F137" s="228">
        <v>2.6718000000000002</v>
      </c>
      <c r="G137" s="228">
        <v>1.1000000000000001</v>
      </c>
      <c r="H137" s="228">
        <v>6.7249999999999996</v>
      </c>
      <c r="I137" s="228">
        <v>0.05</v>
      </c>
      <c r="K137" s="233">
        <f t="shared" si="30"/>
        <v>0.6811836734693878</v>
      </c>
      <c r="L137" s="230">
        <f t="shared" si="31"/>
        <v>14.814873783415937</v>
      </c>
      <c r="M137" s="233">
        <f t="shared" si="32"/>
        <v>0.11435248195988805</v>
      </c>
      <c r="N137" s="230">
        <f t="shared" si="33"/>
        <v>6.1136363636363624</v>
      </c>
      <c r="O137" s="233">
        <f t="shared" si="34"/>
        <v>4.5454545454545456E-2</v>
      </c>
      <c r="Q137" s="239">
        <f>G137/NO!D$37</f>
        <v>2.1695742380179153E-3</v>
      </c>
      <c r="R137" s="239">
        <f>C137/NO!D$34</f>
        <v>6.2197616224677947E-2</v>
      </c>
    </row>
    <row r="138" spans="1:18" x14ac:dyDescent="0.3">
      <c r="A138" s="227" t="s">
        <v>121</v>
      </c>
      <c r="B138" s="227" t="s">
        <v>159</v>
      </c>
      <c r="C138" s="228">
        <v>18.5</v>
      </c>
      <c r="D138" s="228">
        <v>14.646600000000001</v>
      </c>
      <c r="E138" s="228">
        <v>178.2312</v>
      </c>
      <c r="F138" s="228">
        <v>1.4212</v>
      </c>
      <c r="G138" s="228">
        <v>2.25</v>
      </c>
      <c r="H138" s="228">
        <v>13.175000000000001</v>
      </c>
      <c r="I138" s="228">
        <v>0</v>
      </c>
      <c r="K138" s="233">
        <f t="shared" si="30"/>
        <v>0.79170810810810821</v>
      </c>
      <c r="L138" s="230">
        <f t="shared" si="31"/>
        <v>12.168776371308017</v>
      </c>
      <c r="M138" s="233">
        <f t="shared" si="32"/>
        <v>9.7032758455887366E-2</v>
      </c>
      <c r="N138" s="230">
        <f t="shared" si="33"/>
        <v>5.8555555555555561</v>
      </c>
      <c r="O138" s="233">
        <f t="shared" si="34"/>
        <v>0</v>
      </c>
      <c r="Q138" s="239">
        <f>G138/NO!D$37</f>
        <v>4.4377654868548262E-3</v>
      </c>
      <c r="R138" s="239">
        <f>C138/NO!D$34</f>
        <v>3.3546819246546421E-2</v>
      </c>
    </row>
    <row r="139" spans="1:18" x14ac:dyDescent="0.3">
      <c r="A139" s="227" t="s">
        <v>636</v>
      </c>
      <c r="B139" s="227" t="s">
        <v>159</v>
      </c>
      <c r="C139" s="228">
        <v>15.8</v>
      </c>
      <c r="D139" s="228">
        <v>10</v>
      </c>
      <c r="E139" s="228">
        <v>131</v>
      </c>
      <c r="F139" s="228">
        <v>0.5</v>
      </c>
      <c r="G139" s="228">
        <v>1.8523333333333334</v>
      </c>
      <c r="H139" s="228">
        <v>14</v>
      </c>
      <c r="I139" s="228">
        <v>0</v>
      </c>
      <c r="K139" s="233">
        <f t="shared" si="30"/>
        <v>0.63291139240506322</v>
      </c>
      <c r="L139" s="230">
        <f t="shared" si="31"/>
        <v>13.1</v>
      </c>
      <c r="M139" s="233">
        <f t="shared" si="32"/>
        <v>0.05</v>
      </c>
      <c r="N139" s="230">
        <f t="shared" si="33"/>
        <v>7.5580349109231602</v>
      </c>
      <c r="O139" s="233">
        <f t="shared" si="34"/>
        <v>0</v>
      </c>
      <c r="Q139" s="239">
        <f>G139/NO!D$37</f>
        <v>3.65343152747441E-3</v>
      </c>
      <c r="R139" s="239">
        <f>C139/NO!D$34</f>
        <v>2.8650796978131537E-2</v>
      </c>
    </row>
    <row r="140" spans="1:18" x14ac:dyDescent="0.3">
      <c r="A140" s="227" t="s">
        <v>344</v>
      </c>
      <c r="B140" s="227" t="s">
        <v>160</v>
      </c>
      <c r="C140" s="228">
        <v>100.55000000000001</v>
      </c>
      <c r="D140" s="228">
        <v>66.410600000000002</v>
      </c>
      <c r="E140" s="228">
        <v>774.83839999999998</v>
      </c>
      <c r="F140" s="228">
        <v>3.5552000000000001</v>
      </c>
      <c r="G140" s="228">
        <v>6.6814999999999998</v>
      </c>
      <c r="H140" s="228">
        <v>34.211500000000001</v>
      </c>
      <c r="I140" s="228">
        <v>2.5000000000000001E-2</v>
      </c>
      <c r="K140" s="233">
        <f t="shared" si="30"/>
        <v>0.6604733963202386</v>
      </c>
      <c r="L140" s="230">
        <f t="shared" si="31"/>
        <v>11.667390446705797</v>
      </c>
      <c r="M140" s="233">
        <f t="shared" si="32"/>
        <v>5.3533622644577825E-2</v>
      </c>
      <c r="N140" s="230">
        <f t="shared" si="33"/>
        <v>5.1203322607198984</v>
      </c>
      <c r="O140" s="233">
        <f t="shared" si="34"/>
        <v>3.7416747736286767E-3</v>
      </c>
      <c r="Q140" s="239">
        <f>G140/NYG!D$37</f>
        <v>1.6164639863001075E-2</v>
      </c>
      <c r="R140" s="239">
        <f>C140/NYG!D$34</f>
        <v>0.16626993387169409</v>
      </c>
    </row>
    <row r="141" spans="1:18" x14ac:dyDescent="0.3">
      <c r="A141" s="227" t="s">
        <v>55</v>
      </c>
      <c r="B141" s="227" t="s">
        <v>160</v>
      </c>
      <c r="C141" s="228">
        <v>94.45</v>
      </c>
      <c r="D141" s="228">
        <v>51.507600000000004</v>
      </c>
      <c r="E141" s="228">
        <v>758.31799999999998</v>
      </c>
      <c r="F141" s="228">
        <v>3.7135999999999996</v>
      </c>
      <c r="G141" s="228">
        <v>0</v>
      </c>
      <c r="H141" s="228">
        <v>0</v>
      </c>
      <c r="I141" s="228">
        <v>0</v>
      </c>
      <c r="K141" s="233">
        <f t="shared" si="30"/>
        <v>0.54534250926416095</v>
      </c>
      <c r="L141" s="230">
        <f t="shared" si="31"/>
        <v>14.722448726013248</v>
      </c>
      <c r="M141" s="233">
        <f t="shared" si="32"/>
        <v>7.2098098144739789E-2</v>
      </c>
      <c r="N141" s="230" t="e">
        <f t="shared" si="33"/>
        <v>#DIV/0!</v>
      </c>
      <c r="O141" s="233" t="e">
        <f t="shared" si="34"/>
        <v>#DIV/0!</v>
      </c>
      <c r="Q141" s="239">
        <f>G141/NYG!D$37</f>
        <v>0</v>
      </c>
      <c r="R141" s="239">
        <f>C141/NYG!D$34</f>
        <v>0.15618294633696175</v>
      </c>
    </row>
    <row r="142" spans="1:18" x14ac:dyDescent="0.3">
      <c r="A142" s="227" t="s">
        <v>114</v>
      </c>
      <c r="B142" s="227" t="s">
        <v>160</v>
      </c>
      <c r="C142" s="228">
        <v>69.25</v>
      </c>
      <c r="D142" s="228">
        <v>49.387599999999999</v>
      </c>
      <c r="E142" s="228">
        <v>491.87000000000006</v>
      </c>
      <c r="F142" s="228">
        <v>2.4</v>
      </c>
      <c r="G142" s="228">
        <v>2.375</v>
      </c>
      <c r="H142" s="228">
        <v>12.25</v>
      </c>
      <c r="I142" s="228">
        <v>0.2</v>
      </c>
      <c r="K142" s="233">
        <f t="shared" si="30"/>
        <v>0.71317833935018049</v>
      </c>
      <c r="L142" s="230">
        <f t="shared" si="31"/>
        <v>9.9593825170690629</v>
      </c>
      <c r="M142" s="233">
        <f t="shared" si="32"/>
        <v>4.8595193935319796E-2</v>
      </c>
      <c r="N142" s="230">
        <f t="shared" si="33"/>
        <v>5.1578947368421053</v>
      </c>
      <c r="O142" s="233">
        <f t="shared" si="34"/>
        <v>8.4210526315789472E-2</v>
      </c>
      <c r="Q142" s="239">
        <f>G142/NYG!D$37</f>
        <v>5.745868394017444E-3</v>
      </c>
      <c r="R142" s="239">
        <f>C142/NYG!D$34</f>
        <v>0.11451211258692007</v>
      </c>
    </row>
    <row r="143" spans="1:18" x14ac:dyDescent="0.3">
      <c r="A143" s="227" t="s">
        <v>115</v>
      </c>
      <c r="B143" s="227" t="s">
        <v>160</v>
      </c>
      <c r="C143" s="228">
        <v>54</v>
      </c>
      <c r="D143" s="228">
        <v>34.774999999999999</v>
      </c>
      <c r="E143" s="228">
        <v>475.36360000000002</v>
      </c>
      <c r="F143" s="228">
        <v>2.8479999999999999</v>
      </c>
      <c r="G143" s="228">
        <v>0.125</v>
      </c>
      <c r="H143" s="228">
        <v>0.8</v>
      </c>
      <c r="I143" s="228">
        <v>0</v>
      </c>
      <c r="K143" s="233">
        <f t="shared" si="30"/>
        <v>0.64398148148148149</v>
      </c>
      <c r="L143" s="230">
        <f t="shared" si="31"/>
        <v>13.66969374550683</v>
      </c>
      <c r="M143" s="233">
        <f t="shared" si="32"/>
        <v>8.1897915168943208E-2</v>
      </c>
      <c r="N143" s="230">
        <f t="shared" si="33"/>
        <v>6.4</v>
      </c>
      <c r="O143" s="233">
        <f t="shared" si="34"/>
        <v>0</v>
      </c>
      <c r="Q143" s="239">
        <f>G143/NYG!D$37</f>
        <v>3.0241412600091812E-4</v>
      </c>
      <c r="R143" s="239">
        <f>C143/NYG!D$34</f>
        <v>8.9294643750089303E-2</v>
      </c>
    </row>
    <row r="144" spans="1:18" x14ac:dyDescent="0.3">
      <c r="A144" s="227" t="s">
        <v>679</v>
      </c>
      <c r="B144" s="227" t="s">
        <v>160</v>
      </c>
      <c r="C144" s="228">
        <v>50.05</v>
      </c>
      <c r="D144" s="228">
        <v>32.54175</v>
      </c>
      <c r="E144" s="228">
        <v>351.60300000000001</v>
      </c>
      <c r="F144" s="228">
        <v>1.9859999999999998</v>
      </c>
      <c r="G144" s="228">
        <v>5.3</v>
      </c>
      <c r="H144" s="228">
        <v>32.266666666666666</v>
      </c>
      <c r="I144" s="228">
        <v>0.13333333333333333</v>
      </c>
      <c r="K144" s="233">
        <f t="shared" si="30"/>
        <v>0.65018481518481519</v>
      </c>
      <c r="L144" s="230">
        <f t="shared" si="31"/>
        <v>10.8046739957132</v>
      </c>
      <c r="M144" s="233">
        <f t="shared" si="32"/>
        <v>6.1029293138813979E-2</v>
      </c>
      <c r="N144" s="230">
        <f t="shared" si="33"/>
        <v>6.0880503144654092</v>
      </c>
      <c r="O144" s="233">
        <f t="shared" si="34"/>
        <v>2.5157232704402517E-2</v>
      </c>
      <c r="Q144" s="239">
        <f>G144/NYG!D$37</f>
        <v>1.2822358942438928E-2</v>
      </c>
      <c r="R144" s="239">
        <f>C144/NYG!D$34</f>
        <v>8.2762905920221647E-2</v>
      </c>
    </row>
    <row r="145" spans="1:18" x14ac:dyDescent="0.3">
      <c r="A145" s="227" t="s">
        <v>829</v>
      </c>
      <c r="B145" s="227" t="s">
        <v>160</v>
      </c>
      <c r="C145" s="228">
        <v>19.5</v>
      </c>
      <c r="D145" s="228">
        <v>13</v>
      </c>
      <c r="E145" s="228">
        <v>164</v>
      </c>
      <c r="F145" s="228">
        <v>0.6333333333333333</v>
      </c>
      <c r="G145" s="228">
        <v>0</v>
      </c>
      <c r="H145" s="228">
        <v>0</v>
      </c>
      <c r="I145" s="228">
        <v>0</v>
      </c>
      <c r="K145" s="233">
        <f t="shared" si="30"/>
        <v>0.66666666666666663</v>
      </c>
      <c r="L145" s="230">
        <f t="shared" si="31"/>
        <v>12.615384615384615</v>
      </c>
      <c r="M145" s="233">
        <f t="shared" si="32"/>
        <v>4.8717948717948718E-2</v>
      </c>
      <c r="N145" s="230" t="e">
        <f t="shared" si="33"/>
        <v>#DIV/0!</v>
      </c>
      <c r="O145" s="233" t="e">
        <f t="shared" si="34"/>
        <v>#DIV/0!</v>
      </c>
      <c r="Q145" s="239">
        <f>G145/NYG!D$37</f>
        <v>0</v>
      </c>
      <c r="R145" s="239">
        <f>C145/NYG!D$34</f>
        <v>3.2245288020865577E-2</v>
      </c>
    </row>
    <row r="146" spans="1:18" x14ac:dyDescent="0.3">
      <c r="A146" s="227" t="s">
        <v>345</v>
      </c>
      <c r="B146" s="227" t="s">
        <v>161</v>
      </c>
      <c r="C146" s="228">
        <v>118.3</v>
      </c>
      <c r="D146" s="228">
        <v>63.645600000000002</v>
      </c>
      <c r="E146" s="228">
        <v>856.86739999999986</v>
      </c>
      <c r="F146" s="228">
        <v>6.1871999999999998</v>
      </c>
      <c r="G146" s="228">
        <v>7</v>
      </c>
      <c r="H146" s="228">
        <v>48.400000000000006</v>
      </c>
      <c r="I146" s="228">
        <v>0.6</v>
      </c>
      <c r="K146" s="233">
        <f t="shared" si="30"/>
        <v>0.53800169061707526</v>
      </c>
      <c r="L146" s="230">
        <f t="shared" si="31"/>
        <v>13.463105069321365</v>
      </c>
      <c r="M146" s="233">
        <f t="shared" si="32"/>
        <v>9.7213318752592481E-2</v>
      </c>
      <c r="N146" s="230">
        <f t="shared" si="33"/>
        <v>6.9142857142857155</v>
      </c>
      <c r="O146" s="233">
        <f t="shared" si="34"/>
        <v>8.5714285714285715E-2</v>
      </c>
      <c r="Q146" s="239">
        <f>G146/NYJ!D$37</f>
        <v>1.7642893321590223E-2</v>
      </c>
      <c r="R146" s="239">
        <f>C146/NYJ!D$34</f>
        <v>0.19548559481028213</v>
      </c>
    </row>
    <row r="147" spans="1:18" x14ac:dyDescent="0.3">
      <c r="A147" s="227" t="s">
        <v>632</v>
      </c>
      <c r="B147" s="227" t="s">
        <v>161</v>
      </c>
      <c r="C147" s="228">
        <v>103.95</v>
      </c>
      <c r="D147" s="228">
        <v>57.811</v>
      </c>
      <c r="E147" s="228">
        <v>796.26460000000009</v>
      </c>
      <c r="F147" s="228">
        <v>4.6577999999999999</v>
      </c>
      <c r="G147" s="228">
        <v>1</v>
      </c>
      <c r="H147" s="228">
        <v>6.0250000000000004</v>
      </c>
      <c r="I147" s="228">
        <v>0</v>
      </c>
      <c r="K147" s="233">
        <f t="shared" si="30"/>
        <v>0.55614237614237616</v>
      </c>
      <c r="L147" s="230">
        <f t="shared" si="31"/>
        <v>13.773582882150457</v>
      </c>
      <c r="M147" s="233">
        <f t="shared" si="32"/>
        <v>8.0569441801733227E-2</v>
      </c>
      <c r="N147" s="230">
        <f t="shared" si="33"/>
        <v>6.0250000000000004</v>
      </c>
      <c r="O147" s="233">
        <f t="shared" si="34"/>
        <v>0</v>
      </c>
      <c r="Q147" s="239">
        <f>G147/NYJ!D$37</f>
        <v>2.5204133316557463E-3</v>
      </c>
      <c r="R147" s="239">
        <f>C147/NYJ!D$34</f>
        <v>0.17177284514394614</v>
      </c>
    </row>
    <row r="148" spans="1:18" x14ac:dyDescent="0.3">
      <c r="A148" s="227" t="s">
        <v>87</v>
      </c>
      <c r="B148" s="227" t="s">
        <v>161</v>
      </c>
      <c r="C148" s="228">
        <v>74.650000000000006</v>
      </c>
      <c r="D148" s="228">
        <v>44.184399999999997</v>
      </c>
      <c r="E148" s="228">
        <v>613.08479999999997</v>
      </c>
      <c r="F148" s="228">
        <v>3.7240000000000002</v>
      </c>
      <c r="G148" s="228">
        <v>0</v>
      </c>
      <c r="H148" s="228">
        <v>0</v>
      </c>
      <c r="I148" s="228">
        <v>0</v>
      </c>
      <c r="K148" s="233">
        <f t="shared" si="30"/>
        <v>0.59188747488278626</v>
      </c>
      <c r="L148" s="230">
        <f t="shared" si="31"/>
        <v>13.875594101085451</v>
      </c>
      <c r="M148" s="233">
        <f t="shared" si="32"/>
        <v>8.4283140655978139E-2</v>
      </c>
      <c r="N148" s="230" t="e">
        <f t="shared" si="33"/>
        <v>#DIV/0!</v>
      </c>
      <c r="O148" s="233" t="e">
        <f t="shared" si="34"/>
        <v>#DIV/0!</v>
      </c>
      <c r="Q148" s="239">
        <f>G148/NYJ!D$37</f>
        <v>0</v>
      </c>
      <c r="R148" s="239">
        <f>C148/NYJ!D$34</f>
        <v>0.12335587195762944</v>
      </c>
    </row>
    <row r="149" spans="1:18" x14ac:dyDescent="0.3">
      <c r="A149" s="227" t="s">
        <v>262</v>
      </c>
      <c r="B149" s="227" t="s">
        <v>161</v>
      </c>
      <c r="C149" s="228">
        <v>61.1</v>
      </c>
      <c r="D149" s="228">
        <v>38.575749999999999</v>
      </c>
      <c r="E149" s="228">
        <v>393.30650000000003</v>
      </c>
      <c r="F149" s="228">
        <v>2.0815000000000001</v>
      </c>
      <c r="G149" s="228">
        <v>8.6686666666666667</v>
      </c>
      <c r="H149" s="228">
        <v>54.92433333333333</v>
      </c>
      <c r="I149" s="228">
        <v>0.7</v>
      </c>
      <c r="K149" s="233">
        <f t="shared" si="30"/>
        <v>0.63135433715220945</v>
      </c>
      <c r="L149" s="230">
        <f t="shared" si="31"/>
        <v>10.195692889963254</v>
      </c>
      <c r="M149" s="233">
        <f t="shared" si="32"/>
        <v>5.3958769434165249E-2</v>
      </c>
      <c r="N149" s="230">
        <f t="shared" si="33"/>
        <v>6.3359609320925934</v>
      </c>
      <c r="O149" s="233">
        <f t="shared" si="34"/>
        <v>8.0750596016303924E-2</v>
      </c>
      <c r="Q149" s="239">
        <f>G149/NYJ!D$37</f>
        <v>2.1848623034346447E-2</v>
      </c>
      <c r="R149" s="239">
        <f>C149/NYJ!D$34</f>
        <v>0.10096508742948639</v>
      </c>
    </row>
    <row r="150" spans="1:18" x14ac:dyDescent="0.3">
      <c r="A150" s="227" t="s">
        <v>221</v>
      </c>
      <c r="B150" s="227" t="s">
        <v>161</v>
      </c>
      <c r="C150" s="228">
        <v>24.3</v>
      </c>
      <c r="D150" s="228">
        <v>14.9595</v>
      </c>
      <c r="E150" s="228">
        <v>229.5565</v>
      </c>
      <c r="F150" s="228">
        <v>0.49075000000000002</v>
      </c>
      <c r="G150" s="228">
        <v>0</v>
      </c>
      <c r="H150" s="228">
        <v>0</v>
      </c>
      <c r="I150" s="228">
        <v>0</v>
      </c>
      <c r="K150" s="233">
        <f t="shared" si="30"/>
        <v>0.61561728395061732</v>
      </c>
      <c r="L150" s="230">
        <f t="shared" si="31"/>
        <v>15.345198703165213</v>
      </c>
      <c r="M150" s="233">
        <f t="shared" si="32"/>
        <v>3.2805240816872222E-2</v>
      </c>
      <c r="N150" s="230" t="e">
        <f t="shared" si="33"/>
        <v>#DIV/0!</v>
      </c>
      <c r="O150" s="233" t="e">
        <f t="shared" si="34"/>
        <v>#DIV/0!</v>
      </c>
      <c r="Q150" s="239">
        <f>G150/NYJ!D$37</f>
        <v>0</v>
      </c>
      <c r="R150" s="239">
        <f>C150/NYJ!D$34</f>
        <v>4.0154691072610792E-2</v>
      </c>
    </row>
    <row r="151" spans="1:18" x14ac:dyDescent="0.3">
      <c r="A151" s="227" t="s">
        <v>633</v>
      </c>
      <c r="B151" s="227" t="s">
        <v>161</v>
      </c>
      <c r="C151" s="228">
        <v>4</v>
      </c>
      <c r="D151" s="228">
        <v>2.6399999999999997</v>
      </c>
      <c r="E151" s="228">
        <v>39.132000000000005</v>
      </c>
      <c r="F151" s="228">
        <v>0.1855</v>
      </c>
      <c r="G151" s="228">
        <v>0</v>
      </c>
      <c r="H151" s="228">
        <v>0</v>
      </c>
      <c r="I151" s="228">
        <v>0</v>
      </c>
      <c r="K151" s="233">
        <f t="shared" si="30"/>
        <v>0.65999999999999992</v>
      </c>
      <c r="L151" s="230">
        <f t="shared" si="31"/>
        <v>14.822727272727276</v>
      </c>
      <c r="M151" s="233">
        <f t="shared" si="32"/>
        <v>7.0265151515151517E-2</v>
      </c>
      <c r="N151" s="230" t="e">
        <f t="shared" si="33"/>
        <v>#DIV/0!</v>
      </c>
      <c r="O151" s="233" t="e">
        <f t="shared" si="34"/>
        <v>#DIV/0!</v>
      </c>
      <c r="Q151" s="239">
        <f>G151/NYJ!D$37</f>
        <v>0</v>
      </c>
      <c r="R151" s="239">
        <f>C151/NYJ!D$34</f>
        <v>6.6098256909647383E-3</v>
      </c>
    </row>
    <row r="152" spans="1:18" x14ac:dyDescent="0.3">
      <c r="A152" s="227" t="s">
        <v>88</v>
      </c>
      <c r="B152" s="227" t="s">
        <v>163</v>
      </c>
      <c r="C152" s="228">
        <v>127.7</v>
      </c>
      <c r="D152" s="228">
        <v>78.217999999999989</v>
      </c>
      <c r="E152" s="228">
        <v>1140.5182</v>
      </c>
      <c r="F152" s="228">
        <v>7.2986000000000004</v>
      </c>
      <c r="G152" s="228">
        <v>1</v>
      </c>
      <c r="H152" s="228">
        <v>6.125</v>
      </c>
      <c r="I152" s="228">
        <v>0</v>
      </c>
      <c r="K152" s="233">
        <f t="shared" si="30"/>
        <v>0.61251370399373517</v>
      </c>
      <c r="L152" s="230">
        <f t="shared" si="31"/>
        <v>14.581275409752232</v>
      </c>
      <c r="M152" s="233">
        <f t="shared" si="32"/>
        <v>9.3311002582525782E-2</v>
      </c>
      <c r="N152" s="230">
        <f t="shared" si="33"/>
        <v>6.125</v>
      </c>
      <c r="O152" s="233">
        <f t="shared" si="34"/>
        <v>0</v>
      </c>
      <c r="Q152" s="239">
        <f>G152/PHI!D$37</f>
        <v>2.0877968036728694E-3</v>
      </c>
      <c r="R152" s="239">
        <f>C152/PHI!D$34</f>
        <v>0.21204481465037386</v>
      </c>
    </row>
    <row r="153" spans="1:18" x14ac:dyDescent="0.3">
      <c r="A153" s="227" t="s">
        <v>346</v>
      </c>
      <c r="B153" s="227" t="s">
        <v>163</v>
      </c>
      <c r="C153" s="228">
        <v>111.35</v>
      </c>
      <c r="D153" s="228">
        <v>63.493600000000001</v>
      </c>
      <c r="E153" s="228">
        <v>890.6866</v>
      </c>
      <c r="F153" s="228">
        <v>5.899</v>
      </c>
      <c r="G153" s="228">
        <v>0</v>
      </c>
      <c r="H153" s="228">
        <v>0</v>
      </c>
      <c r="I153" s="228">
        <v>0</v>
      </c>
      <c r="K153" s="233">
        <f t="shared" si="30"/>
        <v>0.57021643466546923</v>
      </c>
      <c r="L153" s="230">
        <f t="shared" si="31"/>
        <v>14.027974473017753</v>
      </c>
      <c r="M153" s="233">
        <f t="shared" si="32"/>
        <v>9.2907001650560053E-2</v>
      </c>
      <c r="N153" s="230" t="e">
        <f t="shared" si="33"/>
        <v>#DIV/0!</v>
      </c>
      <c r="O153" s="233" t="e">
        <f t="shared" si="34"/>
        <v>#DIV/0!</v>
      </c>
      <c r="Q153" s="239">
        <f>G153/PHI!D$37</f>
        <v>0</v>
      </c>
      <c r="R153" s="239">
        <f>C153/PHI!D$34</f>
        <v>0.18489577221079975</v>
      </c>
    </row>
    <row r="154" spans="1:18" x14ac:dyDescent="0.3">
      <c r="A154" s="227" t="s">
        <v>347</v>
      </c>
      <c r="B154" s="227" t="s">
        <v>163</v>
      </c>
      <c r="C154" s="228">
        <v>28.25</v>
      </c>
      <c r="D154" s="228">
        <v>17.8995</v>
      </c>
      <c r="E154" s="228">
        <v>242.95699999999999</v>
      </c>
      <c r="F154" s="228">
        <v>1.0024999999999999</v>
      </c>
      <c r="G154" s="228">
        <v>2.0176666666666665</v>
      </c>
      <c r="H154" s="228">
        <v>11</v>
      </c>
      <c r="I154" s="228">
        <v>0</v>
      </c>
      <c r="K154" s="233">
        <f t="shared" si="30"/>
        <v>0.63361061946902653</v>
      </c>
      <c r="L154" s="230">
        <f t="shared" si="31"/>
        <v>13.573395904913545</v>
      </c>
      <c r="M154" s="233">
        <f t="shared" si="32"/>
        <v>5.6007151037738484E-2</v>
      </c>
      <c r="N154" s="230">
        <f t="shared" si="33"/>
        <v>5.451842061787544</v>
      </c>
      <c r="O154" s="233">
        <f t="shared" si="34"/>
        <v>0</v>
      </c>
      <c r="Q154" s="239">
        <f>G154/PHI!D$37</f>
        <v>4.2124780175439589E-3</v>
      </c>
      <c r="R154" s="239">
        <f>C154/PHI!D$34</f>
        <v>4.6908895958285519E-2</v>
      </c>
    </row>
    <row r="155" spans="1:18" x14ac:dyDescent="0.3">
      <c r="A155" s="227" t="s">
        <v>761</v>
      </c>
      <c r="B155" s="227" t="s">
        <v>163</v>
      </c>
      <c r="C155" s="228">
        <v>36.1</v>
      </c>
      <c r="D155" s="228">
        <v>19.4175</v>
      </c>
      <c r="E155" s="228">
        <v>222.14250000000001</v>
      </c>
      <c r="F155" s="228">
        <v>1.7</v>
      </c>
      <c r="G155" s="228">
        <v>0</v>
      </c>
      <c r="H155" s="228">
        <v>0</v>
      </c>
      <c r="I155" s="228">
        <v>0</v>
      </c>
      <c r="K155" s="233">
        <f t="shared" si="30"/>
        <v>0.53788088642659282</v>
      </c>
      <c r="L155" s="230">
        <f t="shared" si="31"/>
        <v>11.440324449594439</v>
      </c>
      <c r="M155" s="233">
        <f t="shared" si="32"/>
        <v>8.754989056263679E-2</v>
      </c>
      <c r="N155" s="230" t="e">
        <f t="shared" si="33"/>
        <v>#DIV/0!</v>
      </c>
      <c r="O155" s="233" t="e">
        <f t="shared" si="34"/>
        <v>#DIV/0!</v>
      </c>
      <c r="Q155" s="239">
        <f>G155/PHI!D$37</f>
        <v>0</v>
      </c>
      <c r="R155" s="239">
        <f>C155/PHI!D$34</f>
        <v>5.9943757313065747E-2</v>
      </c>
    </row>
    <row r="156" spans="1:18" x14ac:dyDescent="0.3">
      <c r="A156" s="227" t="s">
        <v>224</v>
      </c>
      <c r="B156" s="227" t="s">
        <v>163</v>
      </c>
      <c r="C156" s="228">
        <v>21.2</v>
      </c>
      <c r="D156" s="228">
        <v>13</v>
      </c>
      <c r="E156" s="228">
        <v>163</v>
      </c>
      <c r="F156" s="228">
        <v>0.74150000000000005</v>
      </c>
      <c r="G156" s="228">
        <v>6.1333333333333329</v>
      </c>
      <c r="H156" s="228">
        <v>33.733333333333334</v>
      </c>
      <c r="I156" s="228">
        <v>9.9999999999999992E-2</v>
      </c>
      <c r="K156" s="233">
        <f t="shared" si="30"/>
        <v>0.6132075471698113</v>
      </c>
      <c r="L156" s="230">
        <f t="shared" si="31"/>
        <v>12.538461538461538</v>
      </c>
      <c r="M156" s="233">
        <f t="shared" si="32"/>
        <v>5.7038461538461545E-2</v>
      </c>
      <c r="N156" s="230">
        <f t="shared" si="33"/>
        <v>5.5000000000000009</v>
      </c>
      <c r="O156" s="233">
        <f t="shared" si="34"/>
        <v>1.6304347826086956E-2</v>
      </c>
      <c r="Q156" s="239">
        <f>G156/PHI!D$37</f>
        <v>1.2805153729193598E-2</v>
      </c>
      <c r="R156" s="239">
        <f>C156/PHI!D$34</f>
        <v>3.5202428117368248E-2</v>
      </c>
    </row>
    <row r="157" spans="1:18" x14ac:dyDescent="0.3">
      <c r="A157" s="227" t="s">
        <v>254</v>
      </c>
      <c r="B157" s="227" t="s">
        <v>163</v>
      </c>
      <c r="C157" s="228">
        <v>13.05</v>
      </c>
      <c r="D157" s="228">
        <v>10.4</v>
      </c>
      <c r="E157" s="228">
        <v>109.5</v>
      </c>
      <c r="F157" s="228">
        <v>0.19999999999999998</v>
      </c>
      <c r="G157" s="228">
        <v>0</v>
      </c>
      <c r="H157" s="228">
        <v>0</v>
      </c>
      <c r="I157" s="228">
        <v>0</v>
      </c>
      <c r="K157" s="233">
        <f t="shared" si="30"/>
        <v>0.79693486590038309</v>
      </c>
      <c r="L157" s="230">
        <f t="shared" si="31"/>
        <v>10.528846153846153</v>
      </c>
      <c r="M157" s="233">
        <f t="shared" si="32"/>
        <v>1.9230769230769228E-2</v>
      </c>
      <c r="N157" s="230" t="e">
        <f t="shared" si="33"/>
        <v>#DIV/0!</v>
      </c>
      <c r="O157" s="233" t="e">
        <f t="shared" si="34"/>
        <v>#DIV/0!</v>
      </c>
      <c r="Q157" s="239">
        <f>G157/PHI!D$37</f>
        <v>0</v>
      </c>
      <c r="R157" s="239">
        <f>C157/PHI!D$34</f>
        <v>2.1669419194889419E-2</v>
      </c>
    </row>
    <row r="158" spans="1:18" x14ac:dyDescent="0.3">
      <c r="A158" s="227" t="s">
        <v>186</v>
      </c>
      <c r="B158" s="227" t="s">
        <v>164</v>
      </c>
      <c r="C158" s="228">
        <v>145.44999999999999</v>
      </c>
      <c r="D158" s="228">
        <v>93.402000000000001</v>
      </c>
      <c r="E158" s="228">
        <v>1071.78</v>
      </c>
      <c r="F158" s="228">
        <v>6.1295999999999999</v>
      </c>
      <c r="G158" s="228">
        <v>5.6944999999999997</v>
      </c>
      <c r="H158" s="228">
        <v>42.508000000000003</v>
      </c>
      <c r="I158" s="228">
        <v>9.4E-2</v>
      </c>
      <c r="K158" s="233">
        <f t="shared" si="30"/>
        <v>0.64215881746304582</v>
      </c>
      <c r="L158" s="230">
        <f t="shared" si="31"/>
        <v>11.474914884049591</v>
      </c>
      <c r="M158" s="233">
        <f t="shared" si="32"/>
        <v>6.5626003725830287E-2</v>
      </c>
      <c r="N158" s="230">
        <f t="shared" si="33"/>
        <v>7.4647466853981923</v>
      </c>
      <c r="O158" s="233">
        <f t="shared" si="34"/>
        <v>1.6507156027746071E-2</v>
      </c>
      <c r="Q158" s="239">
        <f>G158/PIT!D$37</f>
        <v>1.3274532674442207E-2</v>
      </c>
      <c r="R158" s="239">
        <f>C158/PIT!D$34</f>
        <v>0.2204453623782261</v>
      </c>
    </row>
    <row r="159" spans="1:18" x14ac:dyDescent="0.3">
      <c r="A159" s="227" t="s">
        <v>225</v>
      </c>
      <c r="B159" s="227" t="s">
        <v>164</v>
      </c>
      <c r="C159" s="228">
        <v>104.9</v>
      </c>
      <c r="D159" s="228">
        <v>58.660000000000004</v>
      </c>
      <c r="E159" s="228">
        <v>857.54</v>
      </c>
      <c r="F159" s="228">
        <v>3.4143999999999997</v>
      </c>
      <c r="G159" s="228">
        <v>14.469749999999999</v>
      </c>
      <c r="H159" s="228">
        <v>90.066000000000003</v>
      </c>
      <c r="I159" s="228">
        <v>0.42849999999999999</v>
      </c>
      <c r="K159" s="233">
        <f t="shared" si="30"/>
        <v>0.55919923736892274</v>
      </c>
      <c r="L159" s="230">
        <f t="shared" si="31"/>
        <v>14.618820320490963</v>
      </c>
      <c r="M159" s="233">
        <f t="shared" si="32"/>
        <v>5.820661438799863E-2</v>
      </c>
      <c r="N159" s="230">
        <f t="shared" si="33"/>
        <v>6.2244337324418186</v>
      </c>
      <c r="O159" s="233">
        <f t="shared" si="34"/>
        <v>2.9613504034278409E-2</v>
      </c>
      <c r="Q159" s="239">
        <f>G159/PIT!D$37</f>
        <v>3.3730646969182564E-2</v>
      </c>
      <c r="R159" s="239">
        <f>C159/PIT!D$34</f>
        <v>0.15898740813665124</v>
      </c>
    </row>
    <row r="160" spans="1:18" x14ac:dyDescent="0.3">
      <c r="A160" s="227" t="s">
        <v>653</v>
      </c>
      <c r="B160" s="227" t="s">
        <v>164</v>
      </c>
      <c r="C160" s="228">
        <v>82</v>
      </c>
      <c r="D160" s="228">
        <v>48.548000000000002</v>
      </c>
      <c r="E160" s="228">
        <v>643.92000000000007</v>
      </c>
      <c r="F160" s="228">
        <v>3.0751999999999997</v>
      </c>
      <c r="G160" s="228">
        <v>0</v>
      </c>
      <c r="H160" s="228">
        <v>0</v>
      </c>
      <c r="I160" s="228">
        <v>0</v>
      </c>
      <c r="K160" s="233">
        <f t="shared" si="30"/>
        <v>0.59204878048780485</v>
      </c>
      <c r="L160" s="230">
        <f t="shared" si="31"/>
        <v>13.26357419461152</v>
      </c>
      <c r="M160" s="233">
        <f t="shared" si="32"/>
        <v>6.3343495097635316E-2</v>
      </c>
      <c r="N160" s="230" t="e">
        <f t="shared" si="33"/>
        <v>#DIV/0!</v>
      </c>
      <c r="O160" s="233" t="e">
        <f t="shared" si="34"/>
        <v>#DIV/0!</v>
      </c>
      <c r="Q160" s="239">
        <f>G160/PIT!D$37</f>
        <v>0</v>
      </c>
      <c r="R160" s="239">
        <f>C160/PIT!D$34</f>
        <v>0.12427995678937465</v>
      </c>
    </row>
    <row r="161" spans="1:18" x14ac:dyDescent="0.3">
      <c r="A161" s="227" t="s">
        <v>654</v>
      </c>
      <c r="B161" s="227" t="s">
        <v>164</v>
      </c>
      <c r="C161" s="228">
        <v>35</v>
      </c>
      <c r="D161" s="228">
        <v>24.175000000000001</v>
      </c>
      <c r="E161" s="228">
        <v>257.52499999999998</v>
      </c>
      <c r="F161" s="228">
        <v>1.2770000000000001</v>
      </c>
      <c r="G161" s="228">
        <v>0</v>
      </c>
      <c r="H161" s="228">
        <v>0</v>
      </c>
      <c r="I161" s="228">
        <v>0</v>
      </c>
      <c r="K161" s="233">
        <f t="shared" si="30"/>
        <v>0.69071428571428573</v>
      </c>
      <c r="L161" s="230">
        <f t="shared" si="31"/>
        <v>10.65253360910031</v>
      </c>
      <c r="M161" s="233">
        <f t="shared" si="32"/>
        <v>5.2823164426059985E-2</v>
      </c>
      <c r="N161" s="230" t="e">
        <f t="shared" si="33"/>
        <v>#DIV/0!</v>
      </c>
      <c r="O161" s="233" t="e">
        <f t="shared" si="34"/>
        <v>#DIV/0!</v>
      </c>
      <c r="Q161" s="239">
        <f>G161/PIT!D$37</f>
        <v>0</v>
      </c>
      <c r="R161" s="239">
        <f>C161/PIT!D$34</f>
        <v>5.3046323019855034E-2</v>
      </c>
    </row>
    <row r="162" spans="1:18" x14ac:dyDescent="0.3">
      <c r="A162" s="227" t="s">
        <v>25</v>
      </c>
      <c r="B162" s="227" t="s">
        <v>164</v>
      </c>
      <c r="C162" s="228">
        <v>12.4</v>
      </c>
      <c r="D162" s="228">
        <v>8</v>
      </c>
      <c r="E162" s="228">
        <v>100.7</v>
      </c>
      <c r="F162" s="228">
        <v>0.3</v>
      </c>
      <c r="G162" s="228">
        <v>0</v>
      </c>
      <c r="H162" s="228">
        <v>0</v>
      </c>
      <c r="I162" s="228">
        <v>0</v>
      </c>
      <c r="K162" s="233">
        <f t="shared" si="30"/>
        <v>0.64516129032258063</v>
      </c>
      <c r="L162" s="230">
        <f t="shared" si="31"/>
        <v>12.5875</v>
      </c>
      <c r="M162" s="233">
        <f t="shared" si="32"/>
        <v>3.7499999999999999E-2</v>
      </c>
      <c r="N162" s="230" t="e">
        <f t="shared" si="33"/>
        <v>#DIV/0!</v>
      </c>
      <c r="O162" s="233" t="e">
        <f t="shared" si="34"/>
        <v>#DIV/0!</v>
      </c>
      <c r="Q162" s="239">
        <f>G162/PIT!D$37</f>
        <v>0</v>
      </c>
      <c r="R162" s="239">
        <f>C162/PIT!D$34</f>
        <v>1.8793554441320068E-2</v>
      </c>
    </row>
    <row r="163" spans="1:18" x14ac:dyDescent="0.3">
      <c r="A163" s="227" t="s">
        <v>255</v>
      </c>
      <c r="B163" s="227" t="s">
        <v>165</v>
      </c>
      <c r="C163" s="228">
        <v>135.75</v>
      </c>
      <c r="D163" s="228">
        <v>75.147999999999996</v>
      </c>
      <c r="E163" s="228">
        <v>1055.7562</v>
      </c>
      <c r="F163" s="228">
        <v>7.178399999999999</v>
      </c>
      <c r="G163" s="228">
        <v>0.375</v>
      </c>
      <c r="H163" s="228">
        <v>2.125</v>
      </c>
      <c r="I163" s="228">
        <v>0</v>
      </c>
      <c r="K163" s="233">
        <f t="shared" si="30"/>
        <v>0.55357642725598522</v>
      </c>
      <c r="L163" s="230">
        <f t="shared" si="31"/>
        <v>14.049025922180233</v>
      </c>
      <c r="M163" s="233">
        <f t="shared" si="32"/>
        <v>9.5523500292755623E-2</v>
      </c>
      <c r="N163" s="230">
        <f t="shared" si="33"/>
        <v>5.666666666666667</v>
      </c>
      <c r="O163" s="233">
        <f t="shared" si="34"/>
        <v>0</v>
      </c>
      <c r="Q163" s="239">
        <f>G163/SEA!D$37</f>
        <v>9.0119110067299498E-4</v>
      </c>
      <c r="R163" s="239">
        <f>C163/SEA!D$34</f>
        <v>0.23334202643394739</v>
      </c>
    </row>
    <row r="164" spans="1:18" x14ac:dyDescent="0.3">
      <c r="A164" s="227" t="s">
        <v>97</v>
      </c>
      <c r="B164" s="227" t="s">
        <v>165</v>
      </c>
      <c r="C164" s="228">
        <v>123.25</v>
      </c>
      <c r="D164" s="228">
        <v>74.816000000000003</v>
      </c>
      <c r="E164" s="228">
        <v>978.95</v>
      </c>
      <c r="F164" s="228">
        <v>4.6905999999999999</v>
      </c>
      <c r="G164" s="228">
        <v>1.25</v>
      </c>
      <c r="H164" s="228">
        <v>6.55</v>
      </c>
      <c r="I164" s="228">
        <v>0</v>
      </c>
      <c r="K164" s="233">
        <f t="shared" si="30"/>
        <v>0.60702636916835706</v>
      </c>
      <c r="L164" s="230">
        <f t="shared" si="31"/>
        <v>13.084767964071856</v>
      </c>
      <c r="M164" s="233">
        <f t="shared" si="32"/>
        <v>6.2695145423438833E-2</v>
      </c>
      <c r="N164" s="230">
        <f t="shared" si="33"/>
        <v>5.24</v>
      </c>
      <c r="O164" s="233">
        <f t="shared" si="34"/>
        <v>0</v>
      </c>
      <c r="Q164" s="239">
        <f>G164/SEA!D$37</f>
        <v>3.0039703355766501E-3</v>
      </c>
      <c r="R164" s="239">
        <f>C164/SEA!D$34</f>
        <v>0.21185565199251577</v>
      </c>
    </row>
    <row r="165" spans="1:18" x14ac:dyDescent="0.3">
      <c r="A165" s="227" t="s">
        <v>628</v>
      </c>
      <c r="B165" s="227" t="s">
        <v>165</v>
      </c>
      <c r="C165" s="228">
        <v>56.1</v>
      </c>
      <c r="D165" s="228">
        <v>31.305000000000003</v>
      </c>
      <c r="E165" s="228">
        <v>379.11799999999999</v>
      </c>
      <c r="F165" s="228">
        <v>2.2335000000000003</v>
      </c>
      <c r="G165" s="228">
        <v>5.333333333333333</v>
      </c>
      <c r="H165" s="228">
        <v>35</v>
      </c>
      <c r="I165" s="228">
        <v>9.9999999999999992E-2</v>
      </c>
      <c r="K165" s="233">
        <f t="shared" ref="K165:K193" si="35">D165/C165</f>
        <v>0.55802139037433163</v>
      </c>
      <c r="L165" s="230">
        <f t="shared" ref="L165:L193" si="36">E165/D165</f>
        <v>12.110461587605812</v>
      </c>
      <c r="M165" s="233">
        <f t="shared" ref="M165:M193" si="37">F165/D165</f>
        <v>7.1346430282702447E-2</v>
      </c>
      <c r="N165" s="230">
        <f t="shared" ref="N165:N193" si="38">H165/G165</f>
        <v>6.5625</v>
      </c>
      <c r="O165" s="233">
        <f t="shared" ref="O165:O193" si="39">I165/G165</f>
        <v>1.8749999999999999E-2</v>
      </c>
      <c r="Q165" s="239">
        <f>G165/SEA!D$37</f>
        <v>1.2816940098460372E-2</v>
      </c>
      <c r="R165" s="239">
        <f>C165/SEA!D$34</f>
        <v>9.6430848493145108E-2</v>
      </c>
    </row>
    <row r="166" spans="1:18" x14ac:dyDescent="0.3">
      <c r="A166" s="227" t="s">
        <v>349</v>
      </c>
      <c r="B166" s="227" t="s">
        <v>165</v>
      </c>
      <c r="C166" s="228">
        <v>24.5</v>
      </c>
      <c r="D166" s="228">
        <v>15.175000000000001</v>
      </c>
      <c r="E166" s="228">
        <v>206.48950000000002</v>
      </c>
      <c r="F166" s="228">
        <v>1.20025</v>
      </c>
      <c r="G166" s="228">
        <v>1.3333333333333333</v>
      </c>
      <c r="H166" s="228">
        <v>8.0666666666666664</v>
      </c>
      <c r="I166" s="228">
        <v>3.3333333333333333E-2</v>
      </c>
      <c r="K166" s="233">
        <f t="shared" si="35"/>
        <v>0.6193877551020408</v>
      </c>
      <c r="L166" s="230">
        <f t="shared" si="36"/>
        <v>13.607215815485997</v>
      </c>
      <c r="M166" s="233">
        <f t="shared" si="37"/>
        <v>7.9093904448105434E-2</v>
      </c>
      <c r="N166" s="230">
        <f t="shared" si="38"/>
        <v>6.05</v>
      </c>
      <c r="O166" s="233">
        <f t="shared" si="39"/>
        <v>2.5000000000000001E-2</v>
      </c>
      <c r="Q166" s="239">
        <f>G166/SEA!D$37</f>
        <v>3.2042350246150931E-3</v>
      </c>
      <c r="R166" s="239">
        <f>C166/SEA!D$34</f>
        <v>4.2113293905205976E-2</v>
      </c>
    </row>
    <row r="167" spans="1:18" x14ac:dyDescent="0.3">
      <c r="A167" s="227" t="s">
        <v>760</v>
      </c>
      <c r="B167" s="227" t="s">
        <v>165</v>
      </c>
      <c r="C167" s="228">
        <v>21.9</v>
      </c>
      <c r="D167" s="228">
        <v>10.950000000000001</v>
      </c>
      <c r="E167" s="228">
        <v>128.10000000000002</v>
      </c>
      <c r="F167" s="228">
        <v>0.3</v>
      </c>
      <c r="G167" s="228">
        <v>0</v>
      </c>
      <c r="H167" s="228">
        <v>0</v>
      </c>
      <c r="I167" s="228">
        <v>0</v>
      </c>
      <c r="K167" s="233">
        <f t="shared" si="35"/>
        <v>0.50000000000000011</v>
      </c>
      <c r="L167" s="230">
        <f t="shared" si="36"/>
        <v>11.698630136986303</v>
      </c>
      <c r="M167" s="233">
        <f t="shared" si="37"/>
        <v>2.7397260273972598E-2</v>
      </c>
      <c r="N167" s="230" t="e">
        <f t="shared" si="38"/>
        <v>#DIV/0!</v>
      </c>
      <c r="O167" s="233" t="e">
        <f t="shared" si="39"/>
        <v>#DIV/0!</v>
      </c>
      <c r="Q167" s="239">
        <f>G167/SEA!D$37</f>
        <v>0</v>
      </c>
      <c r="R167" s="239">
        <f>C167/SEA!D$34</f>
        <v>3.7644128021388196E-2</v>
      </c>
    </row>
    <row r="168" spans="1:18" x14ac:dyDescent="0.3">
      <c r="A168" s="227" t="s">
        <v>629</v>
      </c>
      <c r="B168" s="227" t="s">
        <v>165</v>
      </c>
      <c r="C168" s="228">
        <v>8</v>
      </c>
      <c r="D168" s="228">
        <v>5.335</v>
      </c>
      <c r="E168" s="228">
        <v>63.430999999999997</v>
      </c>
      <c r="F168" s="228">
        <v>0.2445</v>
      </c>
      <c r="G168" s="228">
        <v>0</v>
      </c>
      <c r="H168" s="228">
        <v>0</v>
      </c>
      <c r="I168" s="228">
        <v>0</v>
      </c>
      <c r="K168" s="233">
        <f t="shared" si="35"/>
        <v>0.666875</v>
      </c>
      <c r="L168" s="230">
        <f t="shared" si="36"/>
        <v>11.889597000937206</v>
      </c>
      <c r="M168" s="233">
        <f t="shared" si="37"/>
        <v>4.5829428303655106E-2</v>
      </c>
      <c r="N168" s="230" t="e">
        <f t="shared" si="38"/>
        <v>#DIV/0!</v>
      </c>
      <c r="O168" s="233" t="e">
        <f t="shared" si="39"/>
        <v>#DIV/0!</v>
      </c>
      <c r="Q168" s="239">
        <f>G168/SEA!D$37</f>
        <v>0</v>
      </c>
      <c r="R168" s="239">
        <f>C168/SEA!D$34</f>
        <v>1.3751279642516236E-2</v>
      </c>
    </row>
    <row r="169" spans="1:18" x14ac:dyDescent="0.3">
      <c r="A169" s="227" t="s">
        <v>14</v>
      </c>
      <c r="B169" s="227" t="s">
        <v>166</v>
      </c>
      <c r="C169" s="228">
        <v>101.55000000000001</v>
      </c>
      <c r="D169" s="228">
        <v>65.003999999999991</v>
      </c>
      <c r="E169" s="228">
        <v>1045.1093999999998</v>
      </c>
      <c r="F169" s="228">
        <v>4.5720000000000001</v>
      </c>
      <c r="G169" s="228">
        <v>67.873000000000005</v>
      </c>
      <c r="H169" s="228">
        <v>401.81399999999996</v>
      </c>
      <c r="I169" s="228">
        <v>6</v>
      </c>
      <c r="K169" s="233">
        <f t="shared" si="35"/>
        <v>0.6401181683899555</v>
      </c>
      <c r="L169" s="230">
        <f t="shared" si="36"/>
        <v>16.077616762045412</v>
      </c>
      <c r="M169" s="233">
        <f t="shared" si="37"/>
        <v>7.0334133284105607E-2</v>
      </c>
      <c r="N169" s="230">
        <f t="shared" si="38"/>
        <v>5.9200860430509916</v>
      </c>
      <c r="O169" s="233">
        <f t="shared" si="39"/>
        <v>8.8400394855097014E-2</v>
      </c>
      <c r="Q169" s="239">
        <f>G169/SF!D$37</f>
        <v>0.13356691981533433</v>
      </c>
      <c r="R169" s="239">
        <f>C169/SF!D$34</f>
        <v>0.18520790175150317</v>
      </c>
    </row>
    <row r="170" spans="1:18" x14ac:dyDescent="0.3">
      <c r="A170" s="227" t="s">
        <v>226</v>
      </c>
      <c r="B170" s="227" t="s">
        <v>166</v>
      </c>
      <c r="C170" s="228">
        <v>95.550000000000011</v>
      </c>
      <c r="D170" s="228">
        <v>58.029800000000002</v>
      </c>
      <c r="E170" s="228">
        <v>798.45619999999997</v>
      </c>
      <c r="F170" s="228">
        <v>5.0552000000000001</v>
      </c>
      <c r="G170" s="228">
        <v>2.1749999999999998</v>
      </c>
      <c r="H170" s="228">
        <v>12.574999999999999</v>
      </c>
      <c r="I170" s="228">
        <v>2.5000000000000001E-2</v>
      </c>
      <c r="K170" s="233">
        <f t="shared" si="35"/>
        <v>0.60732391418105702</v>
      </c>
      <c r="L170" s="230">
        <f t="shared" si="36"/>
        <v>13.759416713481693</v>
      </c>
      <c r="M170" s="233">
        <f t="shared" si="37"/>
        <v>8.7113862188048216E-2</v>
      </c>
      <c r="N170" s="230">
        <f t="shared" si="38"/>
        <v>5.7816091954022992</v>
      </c>
      <c r="O170" s="233">
        <f t="shared" si="39"/>
        <v>1.149425287356322E-2</v>
      </c>
      <c r="Q170" s="239">
        <f>G170/SF!D$37</f>
        <v>4.2801710635798056E-3</v>
      </c>
      <c r="R170" s="239">
        <f>C170/SF!D$34</f>
        <v>0.17426504197298009</v>
      </c>
    </row>
    <row r="171" spans="1:18" x14ac:dyDescent="0.3">
      <c r="A171" s="227" t="s">
        <v>572</v>
      </c>
      <c r="B171" s="227" t="s">
        <v>166</v>
      </c>
      <c r="C171" s="228">
        <v>59.2</v>
      </c>
      <c r="D171" s="228">
        <v>32.591999999999999</v>
      </c>
      <c r="E171" s="228">
        <v>375.66450000000003</v>
      </c>
      <c r="F171" s="228">
        <v>3.17</v>
      </c>
      <c r="G171" s="228">
        <v>0</v>
      </c>
      <c r="H171" s="228">
        <v>0</v>
      </c>
      <c r="I171" s="228">
        <v>0</v>
      </c>
      <c r="K171" s="233">
        <f t="shared" si="35"/>
        <v>0.55054054054054047</v>
      </c>
      <c r="L171" s="230">
        <f t="shared" si="36"/>
        <v>11.526279455081003</v>
      </c>
      <c r="M171" s="233">
        <f t="shared" si="37"/>
        <v>9.7263132056946491E-2</v>
      </c>
      <c r="N171" s="230" t="e">
        <f t="shared" si="38"/>
        <v>#DIV/0!</v>
      </c>
      <c r="O171" s="233" t="e">
        <f t="shared" si="39"/>
        <v>#DIV/0!</v>
      </c>
      <c r="Q171" s="239">
        <f>G171/SF!D$37</f>
        <v>0</v>
      </c>
      <c r="R171" s="239">
        <f>C171/SF!D$34</f>
        <v>0.10796954981476108</v>
      </c>
    </row>
    <row r="172" spans="1:18" x14ac:dyDescent="0.3">
      <c r="A172" s="227" t="s">
        <v>348</v>
      </c>
      <c r="B172" s="227" t="s">
        <v>166</v>
      </c>
      <c r="C172" s="228">
        <v>25.849999999999998</v>
      </c>
      <c r="D172" s="228">
        <v>17</v>
      </c>
      <c r="E172" s="228">
        <v>219</v>
      </c>
      <c r="F172" s="228">
        <v>0.63700000000000001</v>
      </c>
      <c r="G172" s="228">
        <v>0</v>
      </c>
      <c r="H172" s="228">
        <v>0</v>
      </c>
      <c r="I172" s="228">
        <v>0</v>
      </c>
      <c r="K172" s="233">
        <f t="shared" si="35"/>
        <v>0.65764023210831724</v>
      </c>
      <c r="L172" s="230">
        <f t="shared" si="36"/>
        <v>12.882352941176471</v>
      </c>
      <c r="M172" s="233">
        <f t="shared" si="37"/>
        <v>3.7470588235294117E-2</v>
      </c>
      <c r="N172" s="230" t="e">
        <f t="shared" si="38"/>
        <v>#DIV/0!</v>
      </c>
      <c r="O172" s="233" t="e">
        <f t="shared" si="39"/>
        <v>#DIV/0!</v>
      </c>
      <c r="Q172" s="239">
        <f>G172/SF!D$37</f>
        <v>0</v>
      </c>
      <c r="R172" s="239">
        <f>C172/SF!D$34</f>
        <v>4.714548754580361E-2</v>
      </c>
    </row>
    <row r="173" spans="1:18" x14ac:dyDescent="0.3">
      <c r="A173" s="227" t="s">
        <v>759</v>
      </c>
      <c r="B173" s="227" t="s">
        <v>166</v>
      </c>
      <c r="C173" s="228">
        <v>18.5</v>
      </c>
      <c r="D173" s="228">
        <v>12</v>
      </c>
      <c r="E173" s="228">
        <v>163.5</v>
      </c>
      <c r="F173" s="228">
        <v>0.75</v>
      </c>
      <c r="G173" s="228">
        <v>0</v>
      </c>
      <c r="H173" s="228">
        <v>0</v>
      </c>
      <c r="I173" s="228">
        <v>0</v>
      </c>
      <c r="K173" s="233">
        <f t="shared" si="35"/>
        <v>0.64864864864864868</v>
      </c>
      <c r="L173" s="230">
        <f t="shared" si="36"/>
        <v>13.625</v>
      </c>
      <c r="M173" s="233">
        <f t="shared" si="37"/>
        <v>6.25E-2</v>
      </c>
      <c r="N173" s="230" t="e">
        <f t="shared" si="38"/>
        <v>#DIV/0!</v>
      </c>
      <c r="O173" s="233" t="e">
        <f t="shared" si="39"/>
        <v>#DIV/0!</v>
      </c>
      <c r="Q173" s="239">
        <f>G173/SF!D$37</f>
        <v>0</v>
      </c>
      <c r="R173" s="239">
        <f>C173/SF!D$34</f>
        <v>3.3740484317112837E-2</v>
      </c>
    </row>
    <row r="174" spans="1:18" x14ac:dyDescent="0.3">
      <c r="A174" s="227" t="s">
        <v>663</v>
      </c>
      <c r="B174" s="227" t="s">
        <v>166</v>
      </c>
      <c r="C174" s="228">
        <v>18</v>
      </c>
      <c r="D174" s="228">
        <v>12.838749999999999</v>
      </c>
      <c r="E174" s="228">
        <v>150.22624999999999</v>
      </c>
      <c r="F174" s="228">
        <v>1.01</v>
      </c>
      <c r="G174" s="228">
        <v>0</v>
      </c>
      <c r="H174" s="228">
        <v>0</v>
      </c>
      <c r="I174" s="228">
        <v>0</v>
      </c>
      <c r="K174" s="233">
        <f t="shared" si="35"/>
        <v>0.71326388888888881</v>
      </c>
      <c r="L174" s="230">
        <f t="shared" si="36"/>
        <v>11.701002823483595</v>
      </c>
      <c r="M174" s="233">
        <f t="shared" si="37"/>
        <v>7.8668094635381172E-2</v>
      </c>
      <c r="N174" s="230" t="e">
        <f t="shared" si="38"/>
        <v>#DIV/0!</v>
      </c>
      <c r="O174" s="233" t="e">
        <f t="shared" si="39"/>
        <v>#DIV/0!</v>
      </c>
      <c r="Q174" s="239">
        <f>G174/SF!D$37</f>
        <v>0</v>
      </c>
      <c r="R174" s="239">
        <f>C174/SF!D$34</f>
        <v>3.282857933556925E-2</v>
      </c>
    </row>
    <row r="175" spans="1:18" x14ac:dyDescent="0.3">
      <c r="A175" s="227" t="s">
        <v>92</v>
      </c>
      <c r="B175" s="227" t="s">
        <v>167</v>
      </c>
      <c r="C175" s="228">
        <v>120.6</v>
      </c>
      <c r="D175" s="228">
        <v>75.978999999999999</v>
      </c>
      <c r="E175" s="228">
        <v>1059.4680000000001</v>
      </c>
      <c r="F175" s="228">
        <v>10.758399999999998</v>
      </c>
      <c r="G175" s="228">
        <v>0.625</v>
      </c>
      <c r="H175" s="228">
        <v>3.375</v>
      </c>
      <c r="I175" s="228">
        <v>0</v>
      </c>
      <c r="K175" s="233">
        <f t="shared" si="35"/>
        <v>0.63000829187396357</v>
      </c>
      <c r="L175" s="230">
        <f t="shared" si="36"/>
        <v>13.94422142960555</v>
      </c>
      <c r="M175" s="233">
        <f t="shared" si="37"/>
        <v>0.14159702022927387</v>
      </c>
      <c r="N175" s="230">
        <f t="shared" si="38"/>
        <v>5.4</v>
      </c>
      <c r="O175" s="233">
        <f t="shared" si="39"/>
        <v>0</v>
      </c>
      <c r="Q175" s="239">
        <f>G175/TB!D$37</f>
        <v>1.6401057015322524E-3</v>
      </c>
      <c r="R175" s="239">
        <f>C175/TB!D$34</f>
        <v>0.17040950562874183</v>
      </c>
    </row>
    <row r="176" spans="1:18" x14ac:dyDescent="0.3">
      <c r="A176" s="227" t="s">
        <v>93</v>
      </c>
      <c r="B176" s="227" t="s">
        <v>167</v>
      </c>
      <c r="C176" s="228">
        <v>107.75</v>
      </c>
      <c r="D176" s="228">
        <v>80.645799999999994</v>
      </c>
      <c r="E176" s="228">
        <v>936.81600000000003</v>
      </c>
      <c r="F176" s="228">
        <v>4.9695999999999998</v>
      </c>
      <c r="G176" s="228">
        <v>3.8784999999999998</v>
      </c>
      <c r="H176" s="228">
        <v>20.84975</v>
      </c>
      <c r="I176" s="228">
        <v>0.3</v>
      </c>
      <c r="K176" s="233">
        <f t="shared" si="35"/>
        <v>0.74845290023201849</v>
      </c>
      <c r="L176" s="230">
        <f t="shared" si="36"/>
        <v>11.616426397902929</v>
      </c>
      <c r="M176" s="233">
        <f t="shared" si="37"/>
        <v>6.1622551949388565E-2</v>
      </c>
      <c r="N176" s="230">
        <f t="shared" si="38"/>
        <v>5.375725151476086</v>
      </c>
      <c r="O176" s="233">
        <f t="shared" si="39"/>
        <v>7.7349490782519015E-2</v>
      </c>
      <c r="Q176" s="239">
        <f>G176/TB!D$37</f>
        <v>1.0177839941428546E-2</v>
      </c>
      <c r="R176" s="239">
        <f>C176/TB!D$34</f>
        <v>0.15225227389300941</v>
      </c>
    </row>
    <row r="177" spans="1:18" x14ac:dyDescent="0.3">
      <c r="A177" s="227" t="s">
        <v>195</v>
      </c>
      <c r="B177" s="227" t="s">
        <v>167</v>
      </c>
      <c r="C177" s="228">
        <v>96.85</v>
      </c>
      <c r="D177" s="228">
        <v>66.03240000000001</v>
      </c>
      <c r="E177" s="228">
        <v>759.2</v>
      </c>
      <c r="F177" s="228">
        <v>5.0056000000000003</v>
      </c>
      <c r="G177" s="228">
        <v>0.125</v>
      </c>
      <c r="H177" s="228">
        <v>0.8</v>
      </c>
      <c r="I177" s="228">
        <v>0</v>
      </c>
      <c r="K177" s="233">
        <f t="shared" si="35"/>
        <v>0.68180072276716586</v>
      </c>
      <c r="L177" s="230">
        <f t="shared" si="36"/>
        <v>11.49738613165658</v>
      </c>
      <c r="M177" s="233">
        <f t="shared" si="37"/>
        <v>7.5805210775316351E-2</v>
      </c>
      <c r="N177" s="230">
        <f t="shared" si="38"/>
        <v>6.4</v>
      </c>
      <c r="O177" s="233">
        <f t="shared" si="39"/>
        <v>0</v>
      </c>
      <c r="Q177" s="239">
        <f>G177/TB!D$37</f>
        <v>3.2802114030645049E-4</v>
      </c>
      <c r="R177" s="239">
        <f>C177/TB!D$34</f>
        <v>0.13685041973585113</v>
      </c>
    </row>
    <row r="178" spans="1:18" x14ac:dyDescent="0.3">
      <c r="A178" s="227" t="s">
        <v>233</v>
      </c>
      <c r="B178" s="227" t="s">
        <v>167</v>
      </c>
      <c r="C178" s="228">
        <v>29.45</v>
      </c>
      <c r="D178" s="228">
        <v>21.332750000000001</v>
      </c>
      <c r="E178" s="228">
        <v>254.23500000000001</v>
      </c>
      <c r="F178" s="228">
        <v>1.8315000000000001</v>
      </c>
      <c r="G178" s="228">
        <v>0</v>
      </c>
      <c r="H178" s="228">
        <v>0</v>
      </c>
      <c r="I178" s="228">
        <v>0</v>
      </c>
      <c r="K178" s="233">
        <f t="shared" si="35"/>
        <v>0.72437181663837014</v>
      </c>
      <c r="L178" s="230">
        <f t="shared" si="36"/>
        <v>11.917591496642487</v>
      </c>
      <c r="M178" s="233">
        <f t="shared" si="37"/>
        <v>8.5853910067853423E-2</v>
      </c>
      <c r="N178" s="230" t="e">
        <f t="shared" si="38"/>
        <v>#DIV/0!</v>
      </c>
      <c r="O178" s="233" t="e">
        <f t="shared" si="39"/>
        <v>#DIV/0!</v>
      </c>
      <c r="Q178" s="239">
        <f>G178/TB!D$37</f>
        <v>0</v>
      </c>
      <c r="R178" s="239">
        <f>C178/TB!D$34</f>
        <v>4.1613266507184471E-2</v>
      </c>
    </row>
    <row r="179" spans="1:18" x14ac:dyDescent="0.3">
      <c r="A179" s="227" t="s">
        <v>581</v>
      </c>
      <c r="B179" s="227" t="s">
        <v>167</v>
      </c>
      <c r="C179" s="228">
        <v>18.75</v>
      </c>
      <c r="D179" s="228">
        <v>13.653</v>
      </c>
      <c r="E179" s="228">
        <v>218.51999999999998</v>
      </c>
      <c r="F179" s="228">
        <v>1.2000000000000002</v>
      </c>
      <c r="G179" s="228">
        <v>0.33333333333333331</v>
      </c>
      <c r="H179" s="228">
        <v>2</v>
      </c>
      <c r="I179" s="228">
        <v>0</v>
      </c>
      <c r="K179" s="233">
        <f t="shared" si="35"/>
        <v>0.72816000000000003</v>
      </c>
      <c r="L179" s="230">
        <f t="shared" si="36"/>
        <v>16.005273566249173</v>
      </c>
      <c r="M179" s="233">
        <f t="shared" si="37"/>
        <v>8.7892770819600091E-2</v>
      </c>
      <c r="N179" s="230">
        <f t="shared" si="38"/>
        <v>6</v>
      </c>
      <c r="O179" s="233">
        <f t="shared" si="39"/>
        <v>0</v>
      </c>
      <c r="Q179" s="239">
        <f>G179/TB!D$37</f>
        <v>8.7472304081720128E-4</v>
      </c>
      <c r="R179" s="239">
        <f>C179/TB!D$34</f>
        <v>2.6494015178597924E-2</v>
      </c>
    </row>
    <row r="180" spans="1:18" x14ac:dyDescent="0.3">
      <c r="A180" s="227" t="s">
        <v>758</v>
      </c>
      <c r="B180" s="227" t="s">
        <v>167</v>
      </c>
      <c r="C180" s="228">
        <v>9.9</v>
      </c>
      <c r="D180" s="228">
        <v>7.0264000000000015</v>
      </c>
      <c r="E180" s="228">
        <v>94.920000000000016</v>
      </c>
      <c r="F180" s="228">
        <v>0.54039999999999999</v>
      </c>
      <c r="G180" s="228">
        <v>1.3663333333333334</v>
      </c>
      <c r="H180" s="228">
        <v>10.3</v>
      </c>
      <c r="I180" s="228">
        <v>0</v>
      </c>
      <c r="K180" s="233">
        <f t="shared" si="35"/>
        <v>0.70973737373737389</v>
      </c>
      <c r="L180" s="230">
        <f t="shared" si="36"/>
        <v>13.50905157690994</v>
      </c>
      <c r="M180" s="233">
        <f t="shared" si="37"/>
        <v>7.6909939656153919E-2</v>
      </c>
      <c r="N180" s="230">
        <f t="shared" si="38"/>
        <v>7.5384240058550871</v>
      </c>
      <c r="O180" s="233">
        <f t="shared" si="39"/>
        <v>0</v>
      </c>
      <c r="Q180" s="239">
        <f>G180/TB!D$37</f>
        <v>3.5854897443097083E-3</v>
      </c>
      <c r="R180" s="239">
        <f>C180/TB!D$34</f>
        <v>1.3988840014299704E-2</v>
      </c>
    </row>
    <row r="181" spans="1:18" x14ac:dyDescent="0.3">
      <c r="A181" s="227" t="s">
        <v>350</v>
      </c>
      <c r="B181" s="227" t="s">
        <v>167</v>
      </c>
      <c r="C181" s="228">
        <v>5</v>
      </c>
      <c r="D181" s="228">
        <v>3.2999999999999994</v>
      </c>
      <c r="E181" s="228">
        <v>38.733333333333334</v>
      </c>
      <c r="F181" s="228">
        <v>0.20000000000000004</v>
      </c>
      <c r="G181" s="228">
        <v>0</v>
      </c>
      <c r="H181" s="228">
        <v>0</v>
      </c>
      <c r="I181" s="228">
        <v>0</v>
      </c>
      <c r="K181" s="233">
        <f t="shared" si="35"/>
        <v>0.65999999999999992</v>
      </c>
      <c r="L181" s="230">
        <f t="shared" si="36"/>
        <v>11.737373737373741</v>
      </c>
      <c r="M181" s="233">
        <f t="shared" si="37"/>
        <v>6.0606060606060629E-2</v>
      </c>
      <c r="N181" s="230" t="e">
        <f t="shared" si="38"/>
        <v>#DIV/0!</v>
      </c>
      <c r="O181" s="233" t="e">
        <f t="shared" si="39"/>
        <v>#DIV/0!</v>
      </c>
      <c r="Q181" s="239">
        <f>G181/TB!D$37</f>
        <v>0</v>
      </c>
      <c r="R181" s="239">
        <f>C181/TB!D$34</f>
        <v>7.0650707142927791E-3</v>
      </c>
    </row>
    <row r="182" spans="1:18" x14ac:dyDescent="0.3">
      <c r="A182" s="227" t="s">
        <v>625</v>
      </c>
      <c r="B182" s="227" t="s">
        <v>168</v>
      </c>
      <c r="C182" s="228">
        <v>101.8</v>
      </c>
      <c r="D182" s="228">
        <v>61.755600000000001</v>
      </c>
      <c r="E182" s="228">
        <v>834.33999999999992</v>
      </c>
      <c r="F182" s="228">
        <v>5.2159999999999993</v>
      </c>
      <c r="G182" s="228">
        <v>3.0249999999999999</v>
      </c>
      <c r="H182" s="228">
        <v>18.2</v>
      </c>
      <c r="I182" s="228">
        <v>2.5000000000000001E-2</v>
      </c>
      <c r="K182" s="233">
        <f t="shared" si="35"/>
        <v>0.60663654223968566</v>
      </c>
      <c r="L182" s="230">
        <f t="shared" si="36"/>
        <v>13.510353716909881</v>
      </c>
      <c r="M182" s="233">
        <f t="shared" si="37"/>
        <v>8.4461975917973414E-2</v>
      </c>
      <c r="N182" s="230">
        <f t="shared" si="38"/>
        <v>6.0165289256198342</v>
      </c>
      <c r="O182" s="233">
        <f t="shared" si="39"/>
        <v>8.2644628099173556E-3</v>
      </c>
      <c r="Q182" s="239">
        <f>G182/TEN!D$37</f>
        <v>5.592056433000047E-3</v>
      </c>
      <c r="R182" s="239">
        <f>C182/TEN!D$34</f>
        <v>0.18446236197712484</v>
      </c>
    </row>
    <row r="183" spans="1:18" x14ac:dyDescent="0.3">
      <c r="A183" s="227" t="s">
        <v>77</v>
      </c>
      <c r="B183" s="227" t="s">
        <v>168</v>
      </c>
      <c r="C183" s="228">
        <v>93.45</v>
      </c>
      <c r="D183" s="228">
        <v>64.331199999999995</v>
      </c>
      <c r="E183" s="228">
        <v>732.50300000000004</v>
      </c>
      <c r="F183" s="228">
        <v>3.9816000000000003</v>
      </c>
      <c r="G183" s="228">
        <v>13.97175</v>
      </c>
      <c r="H183" s="228">
        <v>81.81</v>
      </c>
      <c r="I183" s="228">
        <v>0.57499999999999996</v>
      </c>
      <c r="K183" s="233">
        <f t="shared" si="35"/>
        <v>0.68840235420010698</v>
      </c>
      <c r="L183" s="230">
        <f t="shared" si="36"/>
        <v>11.386434576068845</v>
      </c>
      <c r="M183" s="233">
        <f t="shared" si="37"/>
        <v>6.1892207824508182E-2</v>
      </c>
      <c r="N183" s="230">
        <f t="shared" si="38"/>
        <v>5.8553867625744811</v>
      </c>
      <c r="O183" s="233">
        <f t="shared" si="39"/>
        <v>4.1154472417556855E-2</v>
      </c>
      <c r="Q183" s="239">
        <f>G183/TEN!D$37</f>
        <v>2.5828368419096998E-2</v>
      </c>
      <c r="R183" s="239">
        <f>C183/TEN!D$34</f>
        <v>0.16933209947703654</v>
      </c>
    </row>
    <row r="184" spans="1:18" x14ac:dyDescent="0.3">
      <c r="A184" s="227" t="s">
        <v>351</v>
      </c>
      <c r="B184" s="227" t="s">
        <v>168</v>
      </c>
      <c r="C184" s="228">
        <v>71.599999999999994</v>
      </c>
      <c r="D184" s="228">
        <v>40.336666666666666</v>
      </c>
      <c r="E184" s="228">
        <v>517.29100000000005</v>
      </c>
      <c r="F184" s="228">
        <v>3.5866666666666673</v>
      </c>
      <c r="G184" s="228">
        <v>0</v>
      </c>
      <c r="H184" s="228">
        <v>0</v>
      </c>
      <c r="I184" s="228">
        <v>0</v>
      </c>
      <c r="K184" s="233">
        <f t="shared" si="35"/>
        <v>0.56336126629422723</v>
      </c>
      <c r="L184" s="230">
        <f t="shared" si="36"/>
        <v>12.824336831666805</v>
      </c>
      <c r="M184" s="233">
        <f t="shared" si="37"/>
        <v>8.8918271217254791E-2</v>
      </c>
      <c r="N184" s="230" t="e">
        <f t="shared" si="38"/>
        <v>#DIV/0!</v>
      </c>
      <c r="O184" s="233" t="e">
        <f t="shared" si="39"/>
        <v>#DIV/0!</v>
      </c>
      <c r="Q184" s="239">
        <f>G184/TEN!D$37</f>
        <v>0</v>
      </c>
      <c r="R184" s="239">
        <f>C184/TEN!D$34</f>
        <v>0.12973973592890117</v>
      </c>
    </row>
    <row r="185" spans="1:18" x14ac:dyDescent="0.3">
      <c r="A185" s="227" t="s">
        <v>658</v>
      </c>
      <c r="B185" s="227" t="s">
        <v>168</v>
      </c>
      <c r="C185" s="228">
        <v>17.850000000000001</v>
      </c>
      <c r="D185" s="228">
        <v>10.133333333333335</v>
      </c>
      <c r="E185" s="228">
        <v>113.53333333333332</v>
      </c>
      <c r="F185" s="228">
        <v>0.73333333333333339</v>
      </c>
      <c r="G185" s="228">
        <v>0</v>
      </c>
      <c r="H185" s="228">
        <v>0</v>
      </c>
      <c r="I185" s="228">
        <v>0</v>
      </c>
      <c r="K185" s="233">
        <f t="shared" si="35"/>
        <v>0.56769374416433238</v>
      </c>
      <c r="L185" s="230">
        <f t="shared" si="36"/>
        <v>11.20394736842105</v>
      </c>
      <c r="M185" s="233">
        <f t="shared" si="37"/>
        <v>7.2368421052631582E-2</v>
      </c>
      <c r="N185" s="230" t="e">
        <f t="shared" si="38"/>
        <v>#DIV/0!</v>
      </c>
      <c r="O185" s="233" t="e">
        <f t="shared" si="39"/>
        <v>#DIV/0!</v>
      </c>
      <c r="Q185" s="239">
        <f>G185/TEN!D$37</f>
        <v>0</v>
      </c>
      <c r="R185" s="239">
        <f>C185/TEN!D$34</f>
        <v>3.2344333607973272E-2</v>
      </c>
    </row>
    <row r="186" spans="1:18" x14ac:dyDescent="0.3">
      <c r="A186" s="227" t="s">
        <v>352</v>
      </c>
      <c r="B186" s="227" t="s">
        <v>168</v>
      </c>
      <c r="C186" s="228">
        <v>10.15</v>
      </c>
      <c r="D186" s="228">
        <v>7.2</v>
      </c>
      <c r="E186" s="228">
        <v>93.423000000000002</v>
      </c>
      <c r="F186" s="228">
        <v>0.5</v>
      </c>
      <c r="G186" s="228">
        <v>0</v>
      </c>
      <c r="H186" s="228">
        <v>0</v>
      </c>
      <c r="I186" s="228">
        <v>0</v>
      </c>
      <c r="K186" s="233">
        <f t="shared" si="35"/>
        <v>0.70935960591133007</v>
      </c>
      <c r="L186" s="230">
        <f t="shared" si="36"/>
        <v>12.975416666666666</v>
      </c>
      <c r="M186" s="233">
        <f t="shared" si="37"/>
        <v>6.9444444444444448E-2</v>
      </c>
      <c r="N186" s="230" t="e">
        <f t="shared" si="38"/>
        <v>#DIV/0!</v>
      </c>
      <c r="O186" s="233" t="e">
        <f t="shared" si="39"/>
        <v>#DIV/0!</v>
      </c>
      <c r="Q186" s="239">
        <f>G186/TEN!D$37</f>
        <v>0</v>
      </c>
      <c r="R186" s="239">
        <f>C186/TEN!D$34</f>
        <v>1.8391875973161272E-2</v>
      </c>
    </row>
    <row r="187" spans="1:18" x14ac:dyDescent="0.3">
      <c r="A187" s="227" t="s">
        <v>626</v>
      </c>
      <c r="B187" s="227" t="s">
        <v>168</v>
      </c>
      <c r="C187" s="228">
        <v>11</v>
      </c>
      <c r="D187" s="228">
        <v>7.4782500000000001</v>
      </c>
      <c r="E187" s="228">
        <v>88</v>
      </c>
      <c r="F187" s="228">
        <v>0.5</v>
      </c>
      <c r="G187" s="228">
        <v>0</v>
      </c>
      <c r="H187" s="228">
        <v>0</v>
      </c>
      <c r="I187" s="228">
        <v>0</v>
      </c>
      <c r="K187" s="233">
        <f t="shared" si="35"/>
        <v>0.67984090909090911</v>
      </c>
      <c r="L187" s="230">
        <f t="shared" si="36"/>
        <v>11.76745896432989</v>
      </c>
      <c r="M187" s="233">
        <f t="shared" si="37"/>
        <v>6.6860562297328924E-2</v>
      </c>
      <c r="N187" s="230" t="e">
        <f t="shared" si="38"/>
        <v>#DIV/0!</v>
      </c>
      <c r="O187" s="233" t="e">
        <f t="shared" si="39"/>
        <v>#DIV/0!</v>
      </c>
      <c r="Q187" s="239">
        <f>G187/TEN!D$37</f>
        <v>0</v>
      </c>
      <c r="R187" s="239">
        <f>C187/TEN!D$34</f>
        <v>1.993208233544571E-2</v>
      </c>
    </row>
    <row r="188" spans="1:18" x14ac:dyDescent="0.3">
      <c r="A188" s="227" t="s">
        <v>85</v>
      </c>
      <c r="B188" s="227" t="s">
        <v>691</v>
      </c>
      <c r="C188" s="228">
        <v>130.05000000000001</v>
      </c>
      <c r="D188" s="228">
        <v>78.144800000000004</v>
      </c>
      <c r="E188" s="228">
        <v>1082.0744</v>
      </c>
      <c r="F188" s="228">
        <v>5.7027999999999999</v>
      </c>
      <c r="G188" s="228">
        <v>1.11825</v>
      </c>
      <c r="H188" s="228">
        <v>8.5</v>
      </c>
      <c r="I188" s="228">
        <v>0</v>
      </c>
      <c r="K188" s="233">
        <f t="shared" si="35"/>
        <v>0.60088273740868892</v>
      </c>
      <c r="L188" s="230">
        <f t="shared" si="36"/>
        <v>13.847042925440975</v>
      </c>
      <c r="M188" s="233">
        <f t="shared" si="37"/>
        <v>7.2977344621779044E-2</v>
      </c>
      <c r="N188" s="230">
        <f t="shared" si="38"/>
        <v>7.6011625307399955</v>
      </c>
      <c r="O188" s="233">
        <f t="shared" si="39"/>
        <v>0</v>
      </c>
      <c r="Q188" s="239">
        <f>G188/WSH!D$37</f>
        <v>2.5278820644512607E-3</v>
      </c>
      <c r="R188" s="239">
        <f>C188/WSH!D$34</f>
        <v>0.20684270499776114</v>
      </c>
    </row>
    <row r="189" spans="1:18" x14ac:dyDescent="0.3">
      <c r="A189" s="227" t="s">
        <v>623</v>
      </c>
      <c r="B189" s="227" t="s">
        <v>691</v>
      </c>
      <c r="C189" s="228">
        <v>83.949999999999989</v>
      </c>
      <c r="D189" s="228">
        <v>50.761600000000001</v>
      </c>
      <c r="E189" s="228">
        <v>629.24720000000002</v>
      </c>
      <c r="F189" s="228">
        <v>3.9467999999999996</v>
      </c>
      <c r="G189" s="228">
        <v>0.25</v>
      </c>
      <c r="H189" s="228">
        <v>1.25</v>
      </c>
      <c r="I189" s="228">
        <v>0</v>
      </c>
      <c r="K189" s="233">
        <f t="shared" si="35"/>
        <v>0.60466468135795126</v>
      </c>
      <c r="L189" s="230">
        <f t="shared" si="36"/>
        <v>12.396126205635756</v>
      </c>
      <c r="M189" s="233">
        <f t="shared" si="37"/>
        <v>7.7751686314064164E-2</v>
      </c>
      <c r="N189" s="230">
        <f t="shared" si="38"/>
        <v>5</v>
      </c>
      <c r="O189" s="233">
        <f t="shared" si="39"/>
        <v>0</v>
      </c>
      <c r="Q189" s="239">
        <f>G189/WSH!D$37</f>
        <v>5.6514242442460552E-4</v>
      </c>
      <c r="R189" s="239">
        <f>C189/WSH!D$34</f>
        <v>0.13352130015041941</v>
      </c>
    </row>
    <row r="190" spans="1:18" x14ac:dyDescent="0.3">
      <c r="A190" s="227" t="s">
        <v>6</v>
      </c>
      <c r="B190" s="227" t="s">
        <v>691</v>
      </c>
      <c r="C190" s="228">
        <v>69.449999999999989</v>
      </c>
      <c r="D190" s="228">
        <v>45.614400000000003</v>
      </c>
      <c r="E190" s="228">
        <v>488.97239999999999</v>
      </c>
      <c r="F190" s="228">
        <v>2.9499999999999997</v>
      </c>
      <c r="G190" s="228">
        <v>14.64475</v>
      </c>
      <c r="H190" s="228">
        <v>79.288499999999999</v>
      </c>
      <c r="I190" s="228">
        <v>0.77500000000000002</v>
      </c>
      <c r="K190" s="233">
        <f t="shared" si="35"/>
        <v>0.65679481641468695</v>
      </c>
      <c r="L190" s="230">
        <f t="shared" si="36"/>
        <v>10.719693780911291</v>
      </c>
      <c r="M190" s="233">
        <f t="shared" si="37"/>
        <v>6.4672559542600566E-2</v>
      </c>
      <c r="N190" s="230">
        <f t="shared" si="38"/>
        <v>5.4141245156113964</v>
      </c>
      <c r="O190" s="233">
        <f t="shared" si="39"/>
        <v>5.2919988391744485E-2</v>
      </c>
      <c r="Q190" s="239">
        <f>G190/WSH!D$37</f>
        <v>3.3105478080368969E-2</v>
      </c>
      <c r="R190" s="239">
        <f>C190/WSH!D$34</f>
        <v>0.11045925307262214</v>
      </c>
    </row>
    <row r="191" spans="1:18" x14ac:dyDescent="0.3">
      <c r="A191" s="227" t="s">
        <v>353</v>
      </c>
      <c r="B191" s="227" t="s">
        <v>691</v>
      </c>
      <c r="C191" s="228">
        <v>22.25</v>
      </c>
      <c r="D191" s="228">
        <v>15.5</v>
      </c>
      <c r="E191" s="228">
        <v>209.61749999999998</v>
      </c>
      <c r="F191" s="228">
        <v>0.66050000000000009</v>
      </c>
      <c r="G191" s="228">
        <v>0</v>
      </c>
      <c r="H191" s="228">
        <v>0</v>
      </c>
      <c r="I191" s="228">
        <v>0</v>
      </c>
      <c r="K191" s="233">
        <f t="shared" si="35"/>
        <v>0.6966292134831461</v>
      </c>
      <c r="L191" s="230">
        <f t="shared" si="36"/>
        <v>13.523709677419353</v>
      </c>
      <c r="M191" s="233">
        <f t="shared" si="37"/>
        <v>4.2612903225806457E-2</v>
      </c>
      <c r="N191" s="230" t="e">
        <f t="shared" si="38"/>
        <v>#DIV/0!</v>
      </c>
      <c r="O191" s="233" t="e">
        <f t="shared" si="39"/>
        <v>#DIV/0!</v>
      </c>
      <c r="Q191" s="239">
        <f>G191/WSH!D$37</f>
        <v>0</v>
      </c>
      <c r="R191" s="239">
        <f>C191/WSH!D$34</f>
        <v>3.5388313619378588E-2</v>
      </c>
    </row>
    <row r="192" spans="1:18" x14ac:dyDescent="0.3">
      <c r="A192" s="227" t="s">
        <v>354</v>
      </c>
      <c r="B192" s="227" t="s">
        <v>691</v>
      </c>
      <c r="C192" s="228">
        <v>13.4</v>
      </c>
      <c r="D192" s="228">
        <v>8.952</v>
      </c>
      <c r="E192" s="228">
        <v>115.774</v>
      </c>
      <c r="F192" s="228">
        <v>0.25700000000000001</v>
      </c>
      <c r="G192" s="228">
        <v>0</v>
      </c>
      <c r="H192" s="228">
        <v>0</v>
      </c>
      <c r="I192" s="228">
        <v>0</v>
      </c>
      <c r="K192" s="233">
        <f t="shared" si="35"/>
        <v>0.66805970149253724</v>
      </c>
      <c r="L192" s="230">
        <f t="shared" si="36"/>
        <v>12.932752457551386</v>
      </c>
      <c r="M192" s="233">
        <f t="shared" si="37"/>
        <v>2.8708668453976766E-2</v>
      </c>
      <c r="N192" s="230" t="e">
        <f t="shared" si="38"/>
        <v>#DIV/0!</v>
      </c>
      <c r="O192" s="233" t="e">
        <f t="shared" si="39"/>
        <v>#DIV/0!</v>
      </c>
      <c r="Q192" s="239">
        <f>G192/WSH!D$37</f>
        <v>0</v>
      </c>
      <c r="R192" s="239">
        <f>C192/WSH!D$34</f>
        <v>2.1312512471895421E-2</v>
      </c>
    </row>
    <row r="193" spans="1:18" x14ac:dyDescent="0.3">
      <c r="A193" s="227" t="s">
        <v>757</v>
      </c>
      <c r="B193" s="227" t="s">
        <v>691</v>
      </c>
      <c r="C193" s="228">
        <v>2.5</v>
      </c>
      <c r="D193" s="228">
        <v>1.5333333333333332</v>
      </c>
      <c r="E193" s="228">
        <v>15.566666666666668</v>
      </c>
      <c r="F193" s="228">
        <v>6.6666666666666666E-2</v>
      </c>
      <c r="G193" s="228">
        <v>0</v>
      </c>
      <c r="H193" s="228">
        <v>0</v>
      </c>
      <c r="I193" s="228">
        <v>0</v>
      </c>
      <c r="K193" s="233">
        <f t="shared" si="35"/>
        <v>0.61333333333333329</v>
      </c>
      <c r="L193" s="230">
        <f t="shared" si="36"/>
        <v>10.15217391304348</v>
      </c>
      <c r="M193" s="233">
        <f t="shared" si="37"/>
        <v>4.3478260869565223E-2</v>
      </c>
      <c r="N193" s="230" t="e">
        <f t="shared" si="38"/>
        <v>#DIV/0!</v>
      </c>
      <c r="O193" s="233" t="e">
        <f t="shared" si="39"/>
        <v>#DIV/0!</v>
      </c>
      <c r="Q193" s="239">
        <f>G193/WSH!D$37</f>
        <v>0</v>
      </c>
      <c r="R193" s="239">
        <f>C193/WSH!D$34</f>
        <v>3.9762150134133242E-3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127"/>
  <sheetViews>
    <sheetView zoomScale="85" zoomScaleNormal="85" workbookViewId="0">
      <selection activeCell="K122" sqref="K122"/>
    </sheetView>
  </sheetViews>
  <sheetFormatPr defaultColWidth="3.6640625" defaultRowHeight="13.8" x14ac:dyDescent="0.3"/>
  <cols>
    <col min="1" max="1" width="18.5546875" style="227" bestFit="1" customWidth="1"/>
    <col min="2" max="2" width="5.33203125" style="227" bestFit="1" customWidth="1"/>
    <col min="3" max="3" width="5.6640625" style="228" bestFit="1" customWidth="1"/>
    <col min="4" max="4" width="4.6640625" style="228" bestFit="1" customWidth="1"/>
    <col min="5" max="5" width="6.6640625" style="228" bestFit="1" customWidth="1"/>
    <col min="6" max="6" width="4" style="228" bestFit="1" customWidth="1"/>
    <col min="7" max="7" width="3.6640625" style="228"/>
    <col min="8" max="8" width="6" style="227" bestFit="1" customWidth="1"/>
    <col min="9" max="9" width="5.6640625" style="227" bestFit="1" customWidth="1"/>
    <col min="10" max="10" width="6.88671875" style="227" bestFit="1" customWidth="1"/>
    <col min="11" max="11" width="3.6640625" style="227"/>
    <col min="12" max="12" width="7.44140625" style="227" bestFit="1" customWidth="1"/>
    <col min="13" max="16384" width="3.6640625" style="227"/>
  </cols>
  <sheetData>
    <row r="1" spans="1:12" s="231" customFormat="1" x14ac:dyDescent="0.3">
      <c r="A1" s="231" t="s">
        <v>507</v>
      </c>
      <c r="B1" s="231" t="s">
        <v>711</v>
      </c>
      <c r="C1" s="232" t="s">
        <v>3</v>
      </c>
      <c r="D1" s="232" t="s">
        <v>4</v>
      </c>
      <c r="E1" s="232" t="s">
        <v>445</v>
      </c>
      <c r="F1" s="232" t="s">
        <v>708</v>
      </c>
      <c r="G1" s="232"/>
      <c r="H1" s="231" t="s">
        <v>754</v>
      </c>
      <c r="I1" s="231" t="s">
        <v>753</v>
      </c>
      <c r="J1" s="231" t="s">
        <v>752</v>
      </c>
      <c r="L1" s="238" t="s">
        <v>833</v>
      </c>
    </row>
    <row r="2" spans="1:12" x14ac:dyDescent="0.3">
      <c r="A2" s="227" t="s">
        <v>105</v>
      </c>
      <c r="B2" s="227" t="s">
        <v>137</v>
      </c>
      <c r="C2" s="228">
        <v>98.65</v>
      </c>
      <c r="D2" s="228">
        <v>64.561400000000006</v>
      </c>
      <c r="E2" s="228">
        <v>672.63359999999989</v>
      </c>
      <c r="F2" s="228">
        <v>4.6776</v>
      </c>
      <c r="H2" s="233">
        <f t="shared" ref="H2:H33" si="0">D2/C2</f>
        <v>0.65444906234161182</v>
      </c>
      <c r="I2" s="230">
        <f t="shared" ref="I2:I33" si="1">E2/D2</f>
        <v>10.418510131440765</v>
      </c>
      <c r="J2" s="233">
        <f t="shared" ref="J2:J33" si="2">F2/D2</f>
        <v>7.2451960459345668E-2</v>
      </c>
      <c r="L2" s="239">
        <f>C2/ARI!D$34</f>
        <v>0.15819697971096072</v>
      </c>
    </row>
    <row r="3" spans="1:12" x14ac:dyDescent="0.3">
      <c r="A3" s="227" t="s">
        <v>190</v>
      </c>
      <c r="B3" s="227" t="s">
        <v>137</v>
      </c>
      <c r="C3" s="228">
        <v>27.29447852760736</v>
      </c>
      <c r="D3" s="228">
        <v>17.795999999999999</v>
      </c>
      <c r="E3" s="228">
        <v>204.04124999999999</v>
      </c>
      <c r="F3" s="228">
        <v>1.21</v>
      </c>
      <c r="H3" s="233">
        <f t="shared" si="0"/>
        <v>0.65200000000000002</v>
      </c>
      <c r="I3" s="230">
        <f t="shared" si="1"/>
        <v>11.465568105192178</v>
      </c>
      <c r="J3" s="233">
        <f t="shared" si="2"/>
        <v>6.7992807372443245E-2</v>
      </c>
      <c r="L3" s="239">
        <f>C3/ARI!D$34</f>
        <v>4.3769934778035015E-2</v>
      </c>
    </row>
    <row r="4" spans="1:12" x14ac:dyDescent="0.3">
      <c r="A4" s="227" t="s">
        <v>816</v>
      </c>
      <c r="B4" s="227" t="s">
        <v>137</v>
      </c>
      <c r="C4" s="228">
        <v>31.299999999999997</v>
      </c>
      <c r="D4" s="228">
        <v>19.86375</v>
      </c>
      <c r="E4" s="228">
        <v>191.6345</v>
      </c>
      <c r="F4" s="228">
        <v>1.3220000000000001</v>
      </c>
      <c r="H4" s="233">
        <f t="shared" si="0"/>
        <v>0.63462460063897763</v>
      </c>
      <c r="I4" s="230">
        <f t="shared" si="1"/>
        <v>9.6474482411427864</v>
      </c>
      <c r="J4" s="233">
        <f t="shared" si="2"/>
        <v>6.655339500346108E-2</v>
      </c>
      <c r="L4" s="239">
        <f>C4/ARI!D$34</f>
        <v>5.0193263709610435E-2</v>
      </c>
    </row>
    <row r="5" spans="1:12" x14ac:dyDescent="0.3">
      <c r="A5" s="227" t="s">
        <v>570</v>
      </c>
      <c r="B5" s="227" t="s">
        <v>137</v>
      </c>
      <c r="C5" s="228">
        <v>19.767441860465116</v>
      </c>
      <c r="D5" s="228">
        <v>11.9</v>
      </c>
      <c r="E5" s="228">
        <v>123.25</v>
      </c>
      <c r="F5" s="228">
        <v>1</v>
      </c>
      <c r="H5" s="233">
        <f t="shared" si="0"/>
        <v>0.60199999999999998</v>
      </c>
      <c r="I5" s="230">
        <f t="shared" si="1"/>
        <v>10.357142857142858</v>
      </c>
      <c r="J5" s="233">
        <f t="shared" si="2"/>
        <v>8.4033613445378144E-2</v>
      </c>
      <c r="L5" s="239">
        <f>C5/ARI!D$34</f>
        <v>3.1699438407882363E-2</v>
      </c>
    </row>
    <row r="6" spans="1:12" x14ac:dyDescent="0.3">
      <c r="A6" s="227" t="s">
        <v>280</v>
      </c>
      <c r="B6" s="227" t="s">
        <v>138</v>
      </c>
      <c r="C6" s="228">
        <v>109.28932038834952</v>
      </c>
      <c r="D6" s="228">
        <v>67.540800000000004</v>
      </c>
      <c r="E6" s="228">
        <v>988.94759999999985</v>
      </c>
      <c r="F6" s="228">
        <v>4.5999999999999996</v>
      </c>
      <c r="H6" s="233">
        <f t="shared" si="0"/>
        <v>0.61799999999999999</v>
      </c>
      <c r="I6" s="230">
        <f t="shared" si="1"/>
        <v>14.642225143913009</v>
      </c>
      <c r="J6" s="233">
        <f t="shared" si="2"/>
        <v>6.810698126169662E-2</v>
      </c>
      <c r="L6" s="239">
        <f>C6/ATL!D$34</f>
        <v>0.16885484123598607</v>
      </c>
    </row>
    <row r="7" spans="1:12" x14ac:dyDescent="0.3">
      <c r="A7" s="227" t="s">
        <v>188</v>
      </c>
      <c r="B7" s="227" t="s">
        <v>138</v>
      </c>
      <c r="C7" s="228">
        <v>32.770400593471813</v>
      </c>
      <c r="D7" s="228">
        <v>22.087250000000001</v>
      </c>
      <c r="E7" s="228">
        <v>193.25</v>
      </c>
      <c r="F7" s="228">
        <v>1.1629999999999998</v>
      </c>
      <c r="H7" s="233">
        <f t="shared" si="0"/>
        <v>0.67399999999999993</v>
      </c>
      <c r="I7" s="230">
        <f t="shared" si="1"/>
        <v>8.7493916173357924</v>
      </c>
      <c r="J7" s="233">
        <f t="shared" si="2"/>
        <v>5.2654812165389524E-2</v>
      </c>
      <c r="L7" s="239">
        <f>C7/ATL!D$34</f>
        <v>5.0631120861469127E-2</v>
      </c>
    </row>
    <row r="8" spans="1:12" x14ac:dyDescent="0.3">
      <c r="A8" s="227" t="s">
        <v>815</v>
      </c>
      <c r="B8" s="227" t="s">
        <v>138</v>
      </c>
      <c r="C8" s="228">
        <v>10.45390365448505</v>
      </c>
      <c r="D8" s="228">
        <v>6.2932499999999996</v>
      </c>
      <c r="E8" s="228">
        <v>64.362499999999997</v>
      </c>
      <c r="F8" s="228">
        <v>0.29500000000000004</v>
      </c>
      <c r="H8" s="233">
        <f t="shared" si="0"/>
        <v>0.60199999999999998</v>
      </c>
      <c r="I8" s="230">
        <f t="shared" si="1"/>
        <v>10.227227585111033</v>
      </c>
      <c r="J8" s="233">
        <f t="shared" si="2"/>
        <v>4.6875620704723321E-2</v>
      </c>
      <c r="L8" s="239">
        <f>C8/ATL!D$34</f>
        <v>1.6151552920284615E-2</v>
      </c>
    </row>
    <row r="9" spans="1:12" x14ac:dyDescent="0.3">
      <c r="A9" s="227" t="s">
        <v>814</v>
      </c>
      <c r="B9" s="227" t="s">
        <v>138</v>
      </c>
      <c r="C9" s="228">
        <v>7.5664621676891599</v>
      </c>
      <c r="D9" s="228">
        <v>4.9333333333333327</v>
      </c>
      <c r="E9" s="228">
        <v>45.066666666666663</v>
      </c>
      <c r="F9" s="228">
        <v>0.3</v>
      </c>
      <c r="H9" s="233">
        <f t="shared" si="0"/>
        <v>0.65200000000000002</v>
      </c>
      <c r="I9" s="230">
        <f t="shared" si="1"/>
        <v>9.1351351351351351</v>
      </c>
      <c r="J9" s="233">
        <f t="shared" si="2"/>
        <v>6.0810810810810814E-2</v>
      </c>
      <c r="L9" s="239">
        <f>C9/ATL!D$34</f>
        <v>1.1690380757271565E-2</v>
      </c>
    </row>
    <row r="10" spans="1:12" x14ac:dyDescent="0.3">
      <c r="A10" s="227" t="s">
        <v>26</v>
      </c>
      <c r="B10" s="227" t="s">
        <v>139</v>
      </c>
      <c r="C10" s="228">
        <v>129.55000000000001</v>
      </c>
      <c r="D10" s="228">
        <v>85.87660000000001</v>
      </c>
      <c r="E10" s="228">
        <v>1095.2369999999999</v>
      </c>
      <c r="F10" s="228">
        <v>8.595600000000001</v>
      </c>
      <c r="H10" s="233">
        <f t="shared" si="0"/>
        <v>0.66288382863759165</v>
      </c>
      <c r="I10" s="230">
        <f t="shared" si="1"/>
        <v>12.753613906465786</v>
      </c>
      <c r="J10" s="233">
        <f t="shared" si="2"/>
        <v>0.1000924582482306</v>
      </c>
      <c r="L10" s="239">
        <f>C10/BAL!D$34</f>
        <v>0.25404451416805574</v>
      </c>
    </row>
    <row r="11" spans="1:12" x14ac:dyDescent="0.3">
      <c r="A11" s="227" t="s">
        <v>28</v>
      </c>
      <c r="B11" s="227" t="s">
        <v>139</v>
      </c>
      <c r="C11" s="228">
        <v>22.367331288343557</v>
      </c>
      <c r="D11" s="228">
        <v>14.583500000000001</v>
      </c>
      <c r="E11" s="228">
        <v>125.62875</v>
      </c>
      <c r="F11" s="228">
        <v>1.3</v>
      </c>
      <c r="H11" s="233">
        <f t="shared" si="0"/>
        <v>0.65200000000000002</v>
      </c>
      <c r="I11" s="230">
        <f t="shared" si="1"/>
        <v>8.6144444063496408</v>
      </c>
      <c r="J11" s="233">
        <f t="shared" si="2"/>
        <v>8.9141838378989952E-2</v>
      </c>
      <c r="L11" s="239">
        <f>C11/BAL!D$34</f>
        <v>4.3861812507782247E-2</v>
      </c>
    </row>
    <row r="12" spans="1:12" x14ac:dyDescent="0.3">
      <c r="A12" s="227" t="s">
        <v>639</v>
      </c>
      <c r="B12" s="227" t="s">
        <v>139</v>
      </c>
      <c r="C12" s="228">
        <v>13.754045307443366</v>
      </c>
      <c r="D12" s="228">
        <v>8.5</v>
      </c>
      <c r="E12" s="228">
        <v>90.8</v>
      </c>
      <c r="F12" s="228">
        <v>0.56666666666666676</v>
      </c>
      <c r="H12" s="233">
        <f t="shared" si="0"/>
        <v>0.61799999999999999</v>
      </c>
      <c r="I12" s="230">
        <f t="shared" si="1"/>
        <v>10.68235294117647</v>
      </c>
      <c r="J12" s="233">
        <f t="shared" si="2"/>
        <v>6.666666666666668E-2</v>
      </c>
      <c r="L12" s="239">
        <f>C12/BAL!D$34</f>
        <v>2.6971360540137986E-2</v>
      </c>
    </row>
    <row r="13" spans="1:12" x14ac:dyDescent="0.3">
      <c r="A13" s="227" t="s">
        <v>640</v>
      </c>
      <c r="B13" s="227" t="s">
        <v>139</v>
      </c>
      <c r="C13" s="228">
        <v>11.111111111111112</v>
      </c>
      <c r="D13" s="228">
        <v>6.8666666666666671</v>
      </c>
      <c r="E13" s="228">
        <v>69.433333333333337</v>
      </c>
      <c r="F13" s="228">
        <v>0.5</v>
      </c>
      <c r="H13" s="233">
        <f t="shared" si="0"/>
        <v>0.61799999999999999</v>
      </c>
      <c r="I13" s="230">
        <f t="shared" si="1"/>
        <v>10.111650485436893</v>
      </c>
      <c r="J13" s="233">
        <f t="shared" si="2"/>
        <v>7.281553398058252E-2</v>
      </c>
      <c r="L13" s="239">
        <f>C13/BAL!D$34</f>
        <v>2.1788628514778141E-2</v>
      </c>
    </row>
    <row r="14" spans="1:12" x14ac:dyDescent="0.3">
      <c r="A14" s="227" t="s">
        <v>29</v>
      </c>
      <c r="B14" s="227" t="s">
        <v>140</v>
      </c>
      <c r="C14" s="228">
        <v>75</v>
      </c>
      <c r="D14" s="228">
        <v>46.9818</v>
      </c>
      <c r="E14" s="228">
        <v>572.18759999999997</v>
      </c>
      <c r="F14" s="228">
        <v>7.1298000000000004</v>
      </c>
      <c r="H14" s="233">
        <f t="shared" si="0"/>
        <v>0.62642399999999998</v>
      </c>
      <c r="I14" s="230">
        <f t="shared" si="1"/>
        <v>12.178920347879391</v>
      </c>
      <c r="J14" s="233">
        <f t="shared" si="2"/>
        <v>0.15175663767671738</v>
      </c>
      <c r="L14" s="239">
        <f>C14/BUF!D$34</f>
        <v>0.11388974848231091</v>
      </c>
    </row>
    <row r="15" spans="1:12" x14ac:dyDescent="0.3">
      <c r="A15" s="227" t="s">
        <v>90</v>
      </c>
      <c r="B15" s="227" t="s">
        <v>140</v>
      </c>
      <c r="C15" s="228">
        <v>31.4</v>
      </c>
      <c r="D15" s="228">
        <v>20.189599999999999</v>
      </c>
      <c r="E15" s="228">
        <v>211.24279999999999</v>
      </c>
      <c r="F15" s="228">
        <v>1.6404000000000001</v>
      </c>
      <c r="H15" s="233">
        <f t="shared" si="0"/>
        <v>0.64298089171974526</v>
      </c>
      <c r="I15" s="230">
        <f t="shared" si="1"/>
        <v>10.462951222411538</v>
      </c>
      <c r="J15" s="233">
        <f t="shared" si="2"/>
        <v>8.1249752347743398E-2</v>
      </c>
      <c r="L15" s="239">
        <f>C15/BUF!D$34</f>
        <v>4.7681841364594163E-2</v>
      </c>
    </row>
    <row r="16" spans="1:12" x14ac:dyDescent="0.3">
      <c r="A16" s="58" t="s">
        <v>820</v>
      </c>
      <c r="B16" s="227" t="s">
        <v>140</v>
      </c>
      <c r="C16" s="228">
        <v>6.3122923588039859</v>
      </c>
      <c r="D16" s="228">
        <v>3.7999999999999994</v>
      </c>
      <c r="E16" s="228">
        <v>36.500000000000007</v>
      </c>
      <c r="F16" s="228">
        <v>0.26666666666666666</v>
      </c>
      <c r="H16" s="233">
        <f t="shared" si="0"/>
        <v>0.60199999999999998</v>
      </c>
      <c r="I16" s="230">
        <f t="shared" si="1"/>
        <v>9.6052631578947398</v>
      </c>
      <c r="J16" s="233">
        <f t="shared" si="2"/>
        <v>7.0175438596491238E-2</v>
      </c>
      <c r="L16" s="239">
        <f>C16/BUF!D$34</f>
        <v>9.5854051878799858E-3</v>
      </c>
    </row>
    <row r="17" spans="1:12" x14ac:dyDescent="0.3">
      <c r="A17" s="227" t="s">
        <v>282</v>
      </c>
      <c r="B17" s="227" t="s">
        <v>141</v>
      </c>
      <c r="C17" s="228">
        <v>48.039239482200657</v>
      </c>
      <c r="D17" s="228">
        <v>29.688250000000004</v>
      </c>
      <c r="E17" s="228">
        <v>305.51324999999997</v>
      </c>
      <c r="F17" s="228">
        <v>1.5852499999999998</v>
      </c>
      <c r="H17" s="233">
        <f t="shared" si="0"/>
        <v>0.61799999999999999</v>
      </c>
      <c r="I17" s="230">
        <f t="shared" si="1"/>
        <v>10.290712655680275</v>
      </c>
      <c r="J17" s="233">
        <f t="shared" si="2"/>
        <v>5.3396545771475235E-2</v>
      </c>
      <c r="L17" s="239">
        <f>C17/CAR!D$34</f>
        <v>7.6944399018893203E-2</v>
      </c>
    </row>
    <row r="18" spans="1:12" x14ac:dyDescent="0.3">
      <c r="A18" s="227" t="s">
        <v>7</v>
      </c>
      <c r="B18" s="227" t="s">
        <v>141</v>
      </c>
      <c r="C18" s="228">
        <v>31.6</v>
      </c>
      <c r="D18" s="228">
        <v>19.883749999999999</v>
      </c>
      <c r="E18" s="228">
        <v>210.07550000000001</v>
      </c>
      <c r="F18" s="228">
        <v>0.89600000000000002</v>
      </c>
      <c r="H18" s="233">
        <f t="shared" si="0"/>
        <v>0.6292325949367088</v>
      </c>
      <c r="I18" s="230">
        <f t="shared" si="1"/>
        <v>10.565185138618219</v>
      </c>
      <c r="J18" s="233">
        <f t="shared" si="2"/>
        <v>4.5061922424090024E-2</v>
      </c>
      <c r="L18" s="239">
        <f>C18/CAR!D$34</f>
        <v>5.06136865446822E-2</v>
      </c>
    </row>
    <row r="19" spans="1:12" x14ac:dyDescent="0.3">
      <c r="A19" s="227" t="s">
        <v>813</v>
      </c>
      <c r="B19" s="227" t="s">
        <v>141</v>
      </c>
      <c r="C19" s="228">
        <v>6.2569213732004441</v>
      </c>
      <c r="D19" s="228">
        <v>3.7666666666666671</v>
      </c>
      <c r="E19" s="228">
        <v>36.666666666666664</v>
      </c>
      <c r="F19" s="228">
        <v>0.13333333333333333</v>
      </c>
      <c r="H19" s="233">
        <f t="shared" si="0"/>
        <v>0.60199999999999998</v>
      </c>
      <c r="I19" s="230">
        <f t="shared" si="1"/>
        <v>9.7345132743362814</v>
      </c>
      <c r="J19" s="233">
        <f t="shared" si="2"/>
        <v>3.5398230088495568E-2</v>
      </c>
      <c r="L19" s="239">
        <f>C19/CAR!D$34</f>
        <v>1.0021704339173727E-2</v>
      </c>
    </row>
    <row r="20" spans="1:12" x14ac:dyDescent="0.3">
      <c r="A20" s="227" t="s">
        <v>200</v>
      </c>
      <c r="B20" s="227" t="s">
        <v>142</v>
      </c>
      <c r="C20" s="228">
        <v>86.1</v>
      </c>
      <c r="D20" s="228">
        <v>57.049599999999998</v>
      </c>
      <c r="E20" s="228">
        <v>620.1232</v>
      </c>
      <c r="F20" s="228">
        <v>2.9367999999999999</v>
      </c>
      <c r="H20" s="233">
        <f t="shared" si="0"/>
        <v>0.66259698025551683</v>
      </c>
      <c r="I20" s="230">
        <f t="shared" si="1"/>
        <v>10.869895669733005</v>
      </c>
      <c r="J20" s="233">
        <f t="shared" si="2"/>
        <v>5.1478012115772943E-2</v>
      </c>
      <c r="L20" s="239">
        <f>C20/CHI!D$34</f>
        <v>0.14716295210112543</v>
      </c>
    </row>
    <row r="21" spans="1:12" x14ac:dyDescent="0.3">
      <c r="A21" s="227" t="s">
        <v>65</v>
      </c>
      <c r="B21" s="227" t="s">
        <v>142</v>
      </c>
      <c r="C21" s="228">
        <v>32.708737864077669</v>
      </c>
      <c r="D21" s="228">
        <v>20.213999999999999</v>
      </c>
      <c r="E21" s="228">
        <v>216.18800000000002</v>
      </c>
      <c r="F21" s="228">
        <v>0.98699999999999999</v>
      </c>
      <c r="H21" s="233">
        <f t="shared" si="0"/>
        <v>0.61799999999999999</v>
      </c>
      <c r="I21" s="230">
        <f t="shared" si="1"/>
        <v>10.694963886415357</v>
      </c>
      <c r="J21" s="233">
        <f t="shared" si="2"/>
        <v>4.8827545265657468E-2</v>
      </c>
      <c r="L21" s="239">
        <f>C21/CHI!D$34</f>
        <v>5.5906090866196634E-2</v>
      </c>
    </row>
    <row r="22" spans="1:12" x14ac:dyDescent="0.3">
      <c r="A22" s="227" t="s">
        <v>580</v>
      </c>
      <c r="B22" s="227" t="s">
        <v>142</v>
      </c>
      <c r="C22" s="228">
        <v>18.249190938511326</v>
      </c>
      <c r="D22" s="228">
        <v>11.277999999999999</v>
      </c>
      <c r="E22" s="228">
        <v>129.91674999999998</v>
      </c>
      <c r="F22" s="228">
        <v>0.8</v>
      </c>
      <c r="H22" s="233">
        <f t="shared" si="0"/>
        <v>0.61799999999999999</v>
      </c>
      <c r="I22" s="230">
        <f t="shared" si="1"/>
        <v>11.519484837737187</v>
      </c>
      <c r="J22" s="233">
        <f t="shared" si="2"/>
        <v>7.0934562865756348E-2</v>
      </c>
      <c r="L22" s="239">
        <f>C22/CHI!D$34</f>
        <v>3.1191693518797154E-2</v>
      </c>
    </row>
    <row r="23" spans="1:12" x14ac:dyDescent="0.3">
      <c r="A23" s="227" t="s">
        <v>812</v>
      </c>
      <c r="B23" s="227" t="s">
        <v>142</v>
      </c>
      <c r="C23" s="228">
        <v>16.181229773462782</v>
      </c>
      <c r="D23" s="228">
        <v>10</v>
      </c>
      <c r="E23" s="228">
        <v>101</v>
      </c>
      <c r="F23" s="228">
        <v>0.7</v>
      </c>
      <c r="H23" s="233">
        <f t="shared" si="0"/>
        <v>0.61799999999999999</v>
      </c>
      <c r="I23" s="230">
        <f t="shared" si="1"/>
        <v>10.1</v>
      </c>
      <c r="J23" s="233">
        <f t="shared" si="2"/>
        <v>6.9999999999999993E-2</v>
      </c>
      <c r="L23" s="239">
        <f>C23/CHI!D$34</f>
        <v>2.7657114309981516E-2</v>
      </c>
    </row>
    <row r="24" spans="1:12" x14ac:dyDescent="0.3">
      <c r="A24" s="227" t="s">
        <v>27</v>
      </c>
      <c r="B24" s="227" t="s">
        <v>144</v>
      </c>
      <c r="C24" s="228">
        <v>66.099999999999994</v>
      </c>
      <c r="D24" s="228">
        <v>40.833399999999997</v>
      </c>
      <c r="E24" s="228">
        <v>442.50740000000008</v>
      </c>
      <c r="F24" s="228">
        <v>4.1125999999999996</v>
      </c>
      <c r="H24" s="233">
        <f t="shared" si="0"/>
        <v>0.61775189107413009</v>
      </c>
      <c r="I24" s="230">
        <f t="shared" si="1"/>
        <v>10.836898225472288</v>
      </c>
      <c r="J24" s="233">
        <f t="shared" si="2"/>
        <v>0.10071657025866079</v>
      </c>
      <c r="L24" s="239">
        <f>C24/CIN!D$34</f>
        <v>0.10563536379205193</v>
      </c>
    </row>
    <row r="25" spans="1:12" x14ac:dyDescent="0.3">
      <c r="A25" s="227" t="s">
        <v>811</v>
      </c>
      <c r="B25" s="227" t="s">
        <v>144</v>
      </c>
      <c r="C25" s="228">
        <v>19.417475728155338</v>
      </c>
      <c r="D25" s="228">
        <v>12</v>
      </c>
      <c r="E25" s="228">
        <v>127</v>
      </c>
      <c r="F25" s="228">
        <v>1</v>
      </c>
      <c r="H25" s="233">
        <f t="shared" si="0"/>
        <v>0.61799999999999999</v>
      </c>
      <c r="I25" s="230">
        <f t="shared" si="1"/>
        <v>10.583333333333334</v>
      </c>
      <c r="J25" s="233">
        <f t="shared" si="2"/>
        <v>8.3333333333333329E-2</v>
      </c>
      <c r="L25" s="239">
        <f>C25/CIN!D$34</f>
        <v>3.1031348146248527E-2</v>
      </c>
    </row>
    <row r="26" spans="1:12" x14ac:dyDescent="0.3">
      <c r="A26" s="227" t="s">
        <v>36</v>
      </c>
      <c r="B26" s="227" t="s">
        <v>144</v>
      </c>
      <c r="C26" s="228">
        <v>19.615291262135923</v>
      </c>
      <c r="D26" s="228">
        <v>12.122250000000001</v>
      </c>
      <c r="E26" s="228">
        <v>100.50049999999999</v>
      </c>
      <c r="F26" s="228">
        <v>0.95825000000000005</v>
      </c>
      <c r="H26" s="233">
        <f t="shared" si="0"/>
        <v>0.61799999999999999</v>
      </c>
      <c r="I26" s="230">
        <f t="shared" si="1"/>
        <v>8.2905813689702796</v>
      </c>
      <c r="J26" s="233">
        <f t="shared" si="2"/>
        <v>7.9048856441667176E-2</v>
      </c>
      <c r="L26" s="239">
        <f>C26/CIN!D$34</f>
        <v>3.134748000548844E-2</v>
      </c>
    </row>
    <row r="27" spans="1:12" x14ac:dyDescent="0.3">
      <c r="A27" s="227" t="s">
        <v>810</v>
      </c>
      <c r="B27" s="227" t="s">
        <v>144</v>
      </c>
      <c r="C27" s="228">
        <v>11.321428571428571</v>
      </c>
      <c r="D27" s="228">
        <v>6.8155000000000001</v>
      </c>
      <c r="E27" s="228">
        <v>59.475499999999997</v>
      </c>
      <c r="F27" s="228">
        <v>0.36649999999999999</v>
      </c>
      <c r="H27" s="233">
        <f t="shared" si="0"/>
        <v>0.60199999999999998</v>
      </c>
      <c r="I27" s="230">
        <f t="shared" si="1"/>
        <v>8.7265057589318467</v>
      </c>
      <c r="J27" s="233">
        <f t="shared" si="2"/>
        <v>5.3774484630621379E-2</v>
      </c>
      <c r="L27" s="239">
        <f>C27/CIN!D$34</f>
        <v>1.8092938362913584E-2</v>
      </c>
    </row>
    <row r="28" spans="1:12" x14ac:dyDescent="0.3">
      <c r="A28" s="227" t="s">
        <v>44</v>
      </c>
      <c r="B28" s="227" t="s">
        <v>145</v>
      </c>
      <c r="C28" s="228">
        <v>70.800000000000011</v>
      </c>
      <c r="D28" s="228">
        <v>46.235799999999998</v>
      </c>
      <c r="E28" s="228">
        <v>585.05520000000001</v>
      </c>
      <c r="F28" s="228">
        <v>5.2204000000000006</v>
      </c>
      <c r="H28" s="233">
        <f t="shared" si="0"/>
        <v>0.65304802259886996</v>
      </c>
      <c r="I28" s="230">
        <f t="shared" si="1"/>
        <v>12.653727198404701</v>
      </c>
      <c r="J28" s="233">
        <f t="shared" si="2"/>
        <v>0.11290817937615442</v>
      </c>
      <c r="L28" s="239">
        <f>C28/CLE!D$34</f>
        <v>0.12790296370677531</v>
      </c>
    </row>
    <row r="29" spans="1:12" x14ac:dyDescent="0.3">
      <c r="A29" s="227" t="s">
        <v>250</v>
      </c>
      <c r="B29" s="227" t="s">
        <v>145</v>
      </c>
      <c r="C29" s="228">
        <v>43.35</v>
      </c>
      <c r="D29" s="228">
        <v>30.546500000000002</v>
      </c>
      <c r="E29" s="228">
        <v>319.47275000000002</v>
      </c>
      <c r="F29" s="228">
        <v>3.7915000000000001</v>
      </c>
      <c r="H29" s="233">
        <f t="shared" si="0"/>
        <v>0.70464821222606688</v>
      </c>
      <c r="I29" s="230">
        <f t="shared" si="1"/>
        <v>10.458571358420768</v>
      </c>
      <c r="J29" s="233">
        <f t="shared" si="2"/>
        <v>0.12412223986381418</v>
      </c>
      <c r="L29" s="239">
        <f>C29/CLE!D$34</f>
        <v>7.8313467184868771E-2</v>
      </c>
    </row>
    <row r="30" spans="1:12" x14ac:dyDescent="0.3">
      <c r="A30" s="227" t="s">
        <v>809</v>
      </c>
      <c r="B30" s="227" t="s">
        <v>145</v>
      </c>
      <c r="C30" s="228">
        <v>11.963455149501662</v>
      </c>
      <c r="D30" s="228">
        <v>7.2020000000000008</v>
      </c>
      <c r="E30" s="228">
        <v>80.5565</v>
      </c>
      <c r="F30" s="228">
        <v>0.5</v>
      </c>
      <c r="H30" s="233">
        <f t="shared" si="0"/>
        <v>0.60199999999999998</v>
      </c>
      <c r="I30" s="230">
        <f t="shared" si="1"/>
        <v>11.185295751180226</v>
      </c>
      <c r="J30" s="233">
        <f t="shared" si="2"/>
        <v>6.9425159677867249E-2</v>
      </c>
      <c r="L30" s="239">
        <f>C30/CLE!D$34</f>
        <v>2.1612448725908829E-2</v>
      </c>
    </row>
    <row r="31" spans="1:12" x14ac:dyDescent="0.3">
      <c r="A31" s="227" t="s">
        <v>189</v>
      </c>
      <c r="B31" s="227" t="s">
        <v>146</v>
      </c>
      <c r="C31" s="228">
        <v>98.75</v>
      </c>
      <c r="D31" s="228">
        <v>69.354000000000013</v>
      </c>
      <c r="E31" s="228">
        <v>692.72620000000006</v>
      </c>
      <c r="F31" s="228">
        <v>5.8247999999999998</v>
      </c>
      <c r="H31" s="233">
        <f t="shared" si="0"/>
        <v>0.70231898734177234</v>
      </c>
      <c r="I31" s="230">
        <f t="shared" si="1"/>
        <v>9.9882659976353185</v>
      </c>
      <c r="J31" s="233">
        <f t="shared" si="2"/>
        <v>8.3986504022839331E-2</v>
      </c>
      <c r="L31" s="239">
        <f>C31/DAL!D$34</f>
        <v>0.1512149257936678</v>
      </c>
    </row>
    <row r="32" spans="1:12" x14ac:dyDescent="0.3">
      <c r="A32" s="227" t="s">
        <v>643</v>
      </c>
      <c r="B32" s="227" t="s">
        <v>146</v>
      </c>
      <c r="C32" s="228">
        <v>13.85</v>
      </c>
      <c r="D32" s="228">
        <v>9.1</v>
      </c>
      <c r="E32" s="228">
        <v>91.7</v>
      </c>
      <c r="F32" s="228">
        <v>0.7</v>
      </c>
      <c r="H32" s="233">
        <f t="shared" si="0"/>
        <v>0.65703971119133575</v>
      </c>
      <c r="I32" s="230">
        <f t="shared" si="1"/>
        <v>10.076923076923078</v>
      </c>
      <c r="J32" s="233">
        <f t="shared" si="2"/>
        <v>7.6923076923076927E-2</v>
      </c>
      <c r="L32" s="239">
        <f>C32/DAL!D$34</f>
        <v>2.1208371870808092E-2</v>
      </c>
    </row>
    <row r="33" spans="1:12" x14ac:dyDescent="0.3">
      <c r="A33" s="227" t="s">
        <v>808</v>
      </c>
      <c r="B33" s="227" t="s">
        <v>146</v>
      </c>
      <c r="C33" s="228">
        <v>9.0759202453987733</v>
      </c>
      <c r="D33" s="228">
        <v>5.9175000000000004</v>
      </c>
      <c r="E33" s="228">
        <v>61.58475</v>
      </c>
      <c r="F33" s="228">
        <v>0.4</v>
      </c>
      <c r="H33" s="233">
        <f t="shared" si="0"/>
        <v>0.65200000000000002</v>
      </c>
      <c r="I33" s="230">
        <f t="shared" si="1"/>
        <v>10.407224334600759</v>
      </c>
      <c r="J33" s="233">
        <f t="shared" si="2"/>
        <v>6.7596113223489643E-2</v>
      </c>
      <c r="L33" s="239">
        <f>C33/DAL!D$34</f>
        <v>1.3897869432073143E-2</v>
      </c>
    </row>
    <row r="34" spans="1:12" x14ac:dyDescent="0.3">
      <c r="A34" s="227" t="s">
        <v>597</v>
      </c>
      <c r="B34" s="227" t="s">
        <v>146</v>
      </c>
      <c r="C34" s="228">
        <v>8.4883720930232567</v>
      </c>
      <c r="D34" s="228">
        <v>5.1100000000000003</v>
      </c>
      <c r="E34" s="228">
        <v>52.044499999999999</v>
      </c>
      <c r="F34" s="228">
        <v>0.35449999999999998</v>
      </c>
      <c r="H34" s="233">
        <f t="shared" ref="H34:H65" si="3">D34/C34</f>
        <v>0.60199999999999998</v>
      </c>
      <c r="I34" s="230">
        <f t="shared" ref="I34:I65" si="4">E34/D34</f>
        <v>10.184833659491193</v>
      </c>
      <c r="J34" s="233">
        <f t="shared" ref="J34:J65" si="5">F34/D34</f>
        <v>6.9373776908023474E-2</v>
      </c>
      <c r="L34" s="239">
        <f>C34/DAL!D$34</f>
        <v>1.2998162593980279E-2</v>
      </c>
    </row>
    <row r="35" spans="1:12" x14ac:dyDescent="0.3">
      <c r="A35" s="227" t="s">
        <v>251</v>
      </c>
      <c r="B35" s="227" t="s">
        <v>147</v>
      </c>
      <c r="C35" s="228">
        <v>73.849999999999994</v>
      </c>
      <c r="D35" s="228">
        <v>53.448400000000007</v>
      </c>
      <c r="E35" s="228">
        <v>555.08680000000004</v>
      </c>
      <c r="F35" s="228">
        <v>4.6472000000000007</v>
      </c>
      <c r="H35" s="233">
        <f t="shared" si="3"/>
        <v>0.72374272173324317</v>
      </c>
      <c r="I35" s="230">
        <f t="shared" si="4"/>
        <v>10.385470846648357</v>
      </c>
      <c r="J35" s="233">
        <f t="shared" si="5"/>
        <v>8.694741096085197E-2</v>
      </c>
      <c r="L35" s="239">
        <f>C35/DEN!D$34</f>
        <v>0.12505825750445224</v>
      </c>
    </row>
    <row r="36" spans="1:12" x14ac:dyDescent="0.3">
      <c r="A36" s="227" t="s">
        <v>671</v>
      </c>
      <c r="B36" s="227" t="s">
        <v>147</v>
      </c>
      <c r="C36" s="228">
        <v>30.73705501618123</v>
      </c>
      <c r="D36" s="228">
        <v>18.9955</v>
      </c>
      <c r="E36" s="228">
        <v>190.48750000000001</v>
      </c>
      <c r="F36" s="228">
        <v>1.2524999999999999</v>
      </c>
      <c r="H36" s="233">
        <f t="shared" si="3"/>
        <v>0.61799999999999999</v>
      </c>
      <c r="I36" s="230">
        <f t="shared" si="4"/>
        <v>10.028032955173595</v>
      </c>
      <c r="J36" s="233">
        <f t="shared" si="5"/>
        <v>6.5936669211128951E-2</v>
      </c>
      <c r="L36" s="239">
        <f>C36/DEN!D$34</f>
        <v>5.2050406785945948E-2</v>
      </c>
    </row>
    <row r="37" spans="1:12" x14ac:dyDescent="0.3">
      <c r="A37" s="227" t="s">
        <v>281</v>
      </c>
      <c r="B37" s="227" t="s">
        <v>147</v>
      </c>
      <c r="C37" s="228">
        <v>5.4263565891472876</v>
      </c>
      <c r="D37" s="228">
        <v>3.2666666666666671</v>
      </c>
      <c r="E37" s="228">
        <v>36.199999999999996</v>
      </c>
      <c r="F37" s="228">
        <v>0.19999999999999998</v>
      </c>
      <c r="H37" s="233">
        <f t="shared" si="3"/>
        <v>0.60199999999999998</v>
      </c>
      <c r="I37" s="230">
        <f t="shared" si="4"/>
        <v>11.081632653061222</v>
      </c>
      <c r="J37" s="233">
        <f t="shared" si="5"/>
        <v>6.1224489795918352E-2</v>
      </c>
      <c r="L37" s="239">
        <f>C37/DEN!D$34</f>
        <v>9.1890412950110054E-3</v>
      </c>
    </row>
    <row r="38" spans="1:12" x14ac:dyDescent="0.3">
      <c r="A38" s="227" t="s">
        <v>54</v>
      </c>
      <c r="B38" s="227" t="s">
        <v>148</v>
      </c>
      <c r="C38" s="228">
        <v>104.8</v>
      </c>
      <c r="D38" s="228">
        <v>69.51100000000001</v>
      </c>
      <c r="E38" s="228">
        <v>691.58459999999991</v>
      </c>
      <c r="F38" s="228">
        <v>5.1848000000000001</v>
      </c>
      <c r="H38" s="233">
        <f t="shared" si="3"/>
        <v>0.66327290076335887</v>
      </c>
      <c r="I38" s="230">
        <f t="shared" si="4"/>
        <v>9.949282847319127</v>
      </c>
      <c r="J38" s="233">
        <f t="shared" si="5"/>
        <v>7.4589633295449626E-2</v>
      </c>
      <c r="L38" s="239">
        <f>C38/DET!D$34</f>
        <v>0.16565350894122718</v>
      </c>
    </row>
    <row r="39" spans="1:12" x14ac:dyDescent="0.3">
      <c r="A39" s="227" t="s">
        <v>603</v>
      </c>
      <c r="B39" s="227" t="s">
        <v>148</v>
      </c>
      <c r="C39" s="228">
        <v>22.672546012269937</v>
      </c>
      <c r="D39" s="228">
        <v>14.782499999999999</v>
      </c>
      <c r="E39" s="228">
        <v>144.6275</v>
      </c>
      <c r="F39" s="228">
        <v>1.31125</v>
      </c>
      <c r="H39" s="233">
        <f t="shared" si="3"/>
        <v>0.65200000000000002</v>
      </c>
      <c r="I39" s="230">
        <f t="shared" si="4"/>
        <v>9.783696938948081</v>
      </c>
      <c r="J39" s="233">
        <f t="shared" si="5"/>
        <v>8.8702858109250812E-2</v>
      </c>
      <c r="L39" s="239">
        <f>C39/DET!D$34</f>
        <v>3.5837660339350597E-2</v>
      </c>
    </row>
    <row r="40" spans="1:12" x14ac:dyDescent="0.3">
      <c r="A40" s="227" t="s">
        <v>807</v>
      </c>
      <c r="B40" s="227" t="s">
        <v>148</v>
      </c>
      <c r="C40" s="228">
        <v>19.174757281553397</v>
      </c>
      <c r="D40" s="228">
        <v>11.85</v>
      </c>
      <c r="E40" s="228">
        <v>98.9</v>
      </c>
      <c r="F40" s="228">
        <v>1</v>
      </c>
      <c r="H40" s="233">
        <f t="shared" si="3"/>
        <v>0.61799999999999999</v>
      </c>
      <c r="I40" s="230">
        <f t="shared" si="4"/>
        <v>8.3459915611814353</v>
      </c>
      <c r="J40" s="233">
        <f t="shared" si="5"/>
        <v>8.4388185654008435E-2</v>
      </c>
      <c r="L40" s="239">
        <f>C40/DET!D$34</f>
        <v>3.0308834225054072E-2</v>
      </c>
    </row>
    <row r="41" spans="1:12" x14ac:dyDescent="0.3">
      <c r="A41" s="227" t="s">
        <v>824</v>
      </c>
      <c r="B41" s="227" t="s">
        <v>148</v>
      </c>
      <c r="C41" s="228">
        <v>9.1935215946843858</v>
      </c>
      <c r="D41" s="228">
        <v>5.5344999999999995</v>
      </c>
      <c r="E41" s="228">
        <v>41.180999999999997</v>
      </c>
      <c r="F41" s="228">
        <v>0.23949999999999999</v>
      </c>
      <c r="H41" s="233">
        <f t="shared" si="3"/>
        <v>0.60199999999999987</v>
      </c>
      <c r="I41" s="230">
        <f t="shared" si="4"/>
        <v>7.4407805583160176</v>
      </c>
      <c r="J41" s="233">
        <f t="shared" si="5"/>
        <v>4.3274008492185385E-2</v>
      </c>
      <c r="L41" s="239">
        <f>C41/DET!D$34</f>
        <v>1.453186175273297E-2</v>
      </c>
    </row>
    <row r="42" spans="1:12" x14ac:dyDescent="0.3">
      <c r="A42" s="227" t="s">
        <v>259</v>
      </c>
      <c r="B42" s="227" t="s">
        <v>149</v>
      </c>
      <c r="C42" s="228">
        <v>68.792878338278925</v>
      </c>
      <c r="D42" s="228">
        <v>46.366399999999999</v>
      </c>
      <c r="E42" s="228">
        <v>492.68880000000001</v>
      </c>
      <c r="F42" s="228">
        <v>5.2488000000000001</v>
      </c>
      <c r="H42" s="233">
        <f t="shared" si="3"/>
        <v>0.67400000000000004</v>
      </c>
      <c r="I42" s="230">
        <f t="shared" si="4"/>
        <v>10.625987784257566</v>
      </c>
      <c r="J42" s="233">
        <f t="shared" si="5"/>
        <v>0.11320266399806757</v>
      </c>
      <c r="L42" s="239">
        <f>C42/GB!D$34</f>
        <v>0.11610506756449748</v>
      </c>
    </row>
    <row r="43" spans="1:12" x14ac:dyDescent="0.3">
      <c r="A43" s="227" t="s">
        <v>568</v>
      </c>
      <c r="B43" s="227" t="s">
        <v>149</v>
      </c>
      <c r="C43" s="228">
        <v>23.526699029126213</v>
      </c>
      <c r="D43" s="228">
        <v>14.5395</v>
      </c>
      <c r="E43" s="228">
        <v>152.267</v>
      </c>
      <c r="F43" s="228">
        <v>1.4237500000000001</v>
      </c>
      <c r="H43" s="233">
        <f t="shared" si="3"/>
        <v>0.61799999999999999</v>
      </c>
      <c r="I43" s="230">
        <f t="shared" si="4"/>
        <v>10.472643488428075</v>
      </c>
      <c r="J43" s="233">
        <f t="shared" si="5"/>
        <v>9.7922899687059389E-2</v>
      </c>
      <c r="L43" s="239">
        <f>C43/GB!D$34</f>
        <v>3.970714769215216E-2</v>
      </c>
    </row>
    <row r="44" spans="1:12" x14ac:dyDescent="0.3">
      <c r="A44" s="227" t="s">
        <v>209</v>
      </c>
      <c r="B44" s="227" t="s">
        <v>149</v>
      </c>
      <c r="C44" s="228">
        <v>21.393272425249169</v>
      </c>
      <c r="D44" s="228">
        <v>12.87875</v>
      </c>
      <c r="E44" s="228">
        <v>124.21</v>
      </c>
      <c r="F44" s="228">
        <v>1.0539999999999998</v>
      </c>
      <c r="H44" s="233">
        <f t="shared" si="3"/>
        <v>0.60199999999999998</v>
      </c>
      <c r="I44" s="230">
        <f t="shared" si="4"/>
        <v>9.6445695428515954</v>
      </c>
      <c r="J44" s="233">
        <f t="shared" si="5"/>
        <v>8.1840240706590295E-2</v>
      </c>
      <c r="L44" s="239">
        <f>C44/GB!D$34</f>
        <v>3.6106460441227665E-2</v>
      </c>
    </row>
    <row r="45" spans="1:12" x14ac:dyDescent="0.3">
      <c r="A45" s="227" t="s">
        <v>806</v>
      </c>
      <c r="B45" s="227" t="s">
        <v>149</v>
      </c>
      <c r="C45" s="228">
        <v>19.417475728155338</v>
      </c>
      <c r="D45" s="228">
        <v>12</v>
      </c>
      <c r="E45" s="228">
        <v>123</v>
      </c>
      <c r="F45" s="228">
        <v>1</v>
      </c>
      <c r="H45" s="233">
        <f t="shared" si="3"/>
        <v>0.61799999999999999</v>
      </c>
      <c r="I45" s="230">
        <f t="shared" si="4"/>
        <v>10.25</v>
      </c>
      <c r="J45" s="233">
        <f t="shared" si="5"/>
        <v>8.3333333333333329E-2</v>
      </c>
      <c r="L45" s="239">
        <f>C45/GB!D$34</f>
        <v>3.2771812806893355E-2</v>
      </c>
    </row>
    <row r="46" spans="1:12" x14ac:dyDescent="0.3">
      <c r="A46" s="227" t="s">
        <v>805</v>
      </c>
      <c r="B46" s="227" t="s">
        <v>149</v>
      </c>
      <c r="C46" s="228">
        <v>19.417475728155338</v>
      </c>
      <c r="D46" s="228">
        <v>12</v>
      </c>
      <c r="E46" s="228">
        <v>123</v>
      </c>
      <c r="F46" s="228">
        <v>1</v>
      </c>
      <c r="H46" s="233">
        <f t="shared" si="3"/>
        <v>0.61799999999999999</v>
      </c>
      <c r="I46" s="230">
        <f t="shared" si="4"/>
        <v>10.25</v>
      </c>
      <c r="J46" s="233">
        <f t="shared" si="5"/>
        <v>8.3333333333333329E-2</v>
      </c>
      <c r="L46" s="239">
        <f>C46/GB!D$34</f>
        <v>3.2771812806893355E-2</v>
      </c>
    </row>
    <row r="47" spans="1:12" x14ac:dyDescent="0.3">
      <c r="A47" s="227" t="s">
        <v>804</v>
      </c>
      <c r="B47" s="227" t="s">
        <v>149</v>
      </c>
      <c r="C47" s="228">
        <v>7.6947674418604652</v>
      </c>
      <c r="D47" s="228">
        <v>4.63225</v>
      </c>
      <c r="E47" s="228">
        <v>48.396000000000001</v>
      </c>
      <c r="F47" s="228">
        <v>0.33425000000000005</v>
      </c>
      <c r="H47" s="233">
        <f t="shared" si="3"/>
        <v>0.60199999999999998</v>
      </c>
      <c r="I47" s="230">
        <f t="shared" si="4"/>
        <v>10.4476226455826</v>
      </c>
      <c r="J47" s="233">
        <f t="shared" si="5"/>
        <v>7.2157159047978855E-2</v>
      </c>
      <c r="L47" s="239">
        <f>C47/GB!D$34</f>
        <v>1.2986831127157284E-2</v>
      </c>
    </row>
    <row r="48" spans="1:12" x14ac:dyDescent="0.3">
      <c r="A48" s="227" t="s">
        <v>283</v>
      </c>
      <c r="B48" s="227" t="s">
        <v>150</v>
      </c>
      <c r="C48" s="228">
        <v>68.300000000000011</v>
      </c>
      <c r="D48" s="228">
        <v>42.64</v>
      </c>
      <c r="E48" s="228">
        <v>439.63249999999999</v>
      </c>
      <c r="F48" s="228">
        <v>3.4512500000000004</v>
      </c>
      <c r="H48" s="233">
        <f t="shared" si="3"/>
        <v>0.62430453879941428</v>
      </c>
      <c r="I48" s="230">
        <f t="shared" si="4"/>
        <v>10.310330675422138</v>
      </c>
      <c r="J48" s="233">
        <f t="shared" si="5"/>
        <v>8.0939258911819897E-2</v>
      </c>
      <c r="L48" s="239">
        <f>C48/HOU!D$34</f>
        <v>0.1140751726994562</v>
      </c>
    </row>
    <row r="49" spans="1:12" x14ac:dyDescent="0.3">
      <c r="A49" s="227" t="s">
        <v>803</v>
      </c>
      <c r="B49" s="227" t="s">
        <v>150</v>
      </c>
      <c r="C49" s="228">
        <v>55.90614886731391</v>
      </c>
      <c r="D49" s="228">
        <v>34.549999999999997</v>
      </c>
      <c r="E49" s="228">
        <v>330.9</v>
      </c>
      <c r="F49" s="228">
        <v>2</v>
      </c>
      <c r="H49" s="233">
        <f t="shared" si="3"/>
        <v>0.61799999999999999</v>
      </c>
      <c r="I49" s="230">
        <f t="shared" si="4"/>
        <v>9.5774240231548475</v>
      </c>
      <c r="J49" s="233">
        <f t="shared" si="5"/>
        <v>5.7887120115774245E-2</v>
      </c>
      <c r="L49" s="239">
        <f>C49/HOU!D$34</f>
        <v>9.3374869502201197E-2</v>
      </c>
    </row>
    <row r="50" spans="1:12" x14ac:dyDescent="0.3">
      <c r="A50" s="227" t="s">
        <v>284</v>
      </c>
      <c r="B50" s="227" t="s">
        <v>150</v>
      </c>
      <c r="C50" s="228">
        <v>40.49777448071216</v>
      </c>
      <c r="D50" s="228">
        <v>27.295499999999997</v>
      </c>
      <c r="E50" s="228">
        <v>230.52875</v>
      </c>
      <c r="F50" s="228">
        <v>1.4</v>
      </c>
      <c r="H50" s="233">
        <f t="shared" si="3"/>
        <v>0.67400000000000004</v>
      </c>
      <c r="I50" s="230">
        <f t="shared" si="4"/>
        <v>8.445668699968861</v>
      </c>
      <c r="J50" s="233">
        <f t="shared" si="5"/>
        <v>5.1290505761022884E-2</v>
      </c>
      <c r="L50" s="239">
        <f>C50/HOU!D$34</f>
        <v>6.763968693749442E-2</v>
      </c>
    </row>
    <row r="51" spans="1:12" x14ac:dyDescent="0.3">
      <c r="A51" s="227" t="s">
        <v>802</v>
      </c>
      <c r="B51" s="227" t="s">
        <v>150</v>
      </c>
      <c r="C51" s="228">
        <v>11.457225913621263</v>
      </c>
      <c r="D51" s="228">
        <v>6.8972500000000005</v>
      </c>
      <c r="E51" s="228">
        <v>65.901250000000005</v>
      </c>
      <c r="F51" s="228">
        <v>0.53525</v>
      </c>
      <c r="H51" s="233">
        <f t="shared" si="3"/>
        <v>0.60199999999999998</v>
      </c>
      <c r="I51" s="230">
        <f t="shared" si="4"/>
        <v>9.5547138352241827</v>
      </c>
      <c r="J51" s="233">
        <f t="shared" si="5"/>
        <v>7.7603392656493519E-2</v>
      </c>
      <c r="L51" s="239">
        <f>C51/HOU!D$34</f>
        <v>1.9135944725520208E-2</v>
      </c>
    </row>
    <row r="52" spans="1:12" x14ac:dyDescent="0.3">
      <c r="A52" s="227" t="s">
        <v>801</v>
      </c>
      <c r="B52" s="227" t="s">
        <v>150</v>
      </c>
      <c r="C52" s="228">
        <v>8.4499999999999993</v>
      </c>
      <c r="D52" s="228">
        <v>5.5666666666666664</v>
      </c>
      <c r="E52" s="228">
        <v>51.266666666666673</v>
      </c>
      <c r="F52" s="228">
        <v>0.3</v>
      </c>
      <c r="H52" s="233">
        <f t="shared" si="3"/>
        <v>0.65877712031558189</v>
      </c>
      <c r="I52" s="230">
        <f t="shared" si="4"/>
        <v>9.2095808383233546</v>
      </c>
      <c r="J52" s="233">
        <f t="shared" si="5"/>
        <v>5.3892215568862277E-2</v>
      </c>
      <c r="L52" s="239">
        <f>C52/HOU!D$34</f>
        <v>1.4113253430606218E-2</v>
      </c>
    </row>
    <row r="53" spans="1:12" x14ac:dyDescent="0.3">
      <c r="A53" s="227" t="s">
        <v>152</v>
      </c>
      <c r="B53" s="227" t="s">
        <v>151</v>
      </c>
      <c r="C53" s="228">
        <v>50.880563798219576</v>
      </c>
      <c r="D53" s="228">
        <v>34.293499999999995</v>
      </c>
      <c r="E53" s="228">
        <v>430.62</v>
      </c>
      <c r="F53" s="228">
        <v>4.21875</v>
      </c>
      <c r="H53" s="233">
        <f t="shared" si="3"/>
        <v>0.67400000000000004</v>
      </c>
      <c r="I53" s="230">
        <f t="shared" si="4"/>
        <v>12.55689853762375</v>
      </c>
      <c r="J53" s="233">
        <f t="shared" si="5"/>
        <v>0.12301893944916677</v>
      </c>
      <c r="L53" s="239">
        <f>C53/IND!D$34</f>
        <v>8.9530098528153398E-2</v>
      </c>
    </row>
    <row r="54" spans="1:12" x14ac:dyDescent="0.3">
      <c r="A54" s="227" t="s">
        <v>285</v>
      </c>
      <c r="B54" s="227" t="s">
        <v>151</v>
      </c>
      <c r="C54" s="228">
        <v>29.456715210355991</v>
      </c>
      <c r="D54" s="228">
        <v>18.204250000000002</v>
      </c>
      <c r="E54" s="228">
        <v>185.91499999999999</v>
      </c>
      <c r="F54" s="228">
        <v>1.4750000000000001</v>
      </c>
      <c r="H54" s="233">
        <f t="shared" si="3"/>
        <v>0.61799999999999999</v>
      </c>
      <c r="I54" s="230">
        <f t="shared" si="4"/>
        <v>10.212725050468983</v>
      </c>
      <c r="J54" s="233">
        <f t="shared" si="5"/>
        <v>8.1025035362621359E-2</v>
      </c>
      <c r="L54" s="239">
        <f>C54/IND!D$34</f>
        <v>5.1832417297058536E-2</v>
      </c>
    </row>
    <row r="55" spans="1:12" x14ac:dyDescent="0.3">
      <c r="A55" s="227" t="s">
        <v>668</v>
      </c>
      <c r="B55" s="227" t="s">
        <v>151</v>
      </c>
      <c r="C55" s="228">
        <v>23.928802588996763</v>
      </c>
      <c r="D55" s="228">
        <v>14.788</v>
      </c>
      <c r="E55" s="228">
        <v>158.13124999999999</v>
      </c>
      <c r="F55" s="228">
        <v>1.1312500000000001</v>
      </c>
      <c r="H55" s="233">
        <f t="shared" si="3"/>
        <v>0.61799999999999999</v>
      </c>
      <c r="I55" s="230">
        <f t="shared" si="4"/>
        <v>10.693214092507437</v>
      </c>
      <c r="J55" s="233">
        <f t="shared" si="5"/>
        <v>7.6497836083310802E-2</v>
      </c>
      <c r="L55" s="239">
        <f>C55/IND!D$34</f>
        <v>4.2105430709252045E-2</v>
      </c>
    </row>
    <row r="56" spans="1:12" x14ac:dyDescent="0.3">
      <c r="A56" s="227" t="s">
        <v>800</v>
      </c>
      <c r="B56" s="227" t="s">
        <v>151</v>
      </c>
      <c r="C56" s="228">
        <v>7.5</v>
      </c>
      <c r="D56" s="228">
        <v>5.2666666666666666</v>
      </c>
      <c r="E56" s="228">
        <v>48.366666666666674</v>
      </c>
      <c r="F56" s="228">
        <v>0.3</v>
      </c>
      <c r="H56" s="233">
        <f t="shared" si="3"/>
        <v>0.70222222222222219</v>
      </c>
      <c r="I56" s="230">
        <f t="shared" si="4"/>
        <v>9.1835443037974702</v>
      </c>
      <c r="J56" s="233">
        <f t="shared" si="5"/>
        <v>5.6962025316455694E-2</v>
      </c>
      <c r="L56" s="239">
        <f>C56/IND!D$34</f>
        <v>1.3197097060953695E-2</v>
      </c>
    </row>
    <row r="57" spans="1:12" x14ac:dyDescent="0.3">
      <c r="A57" s="227" t="s">
        <v>113</v>
      </c>
      <c r="B57" s="227" t="s">
        <v>698</v>
      </c>
      <c r="C57" s="228">
        <v>75.95</v>
      </c>
      <c r="D57" s="228">
        <v>49.994</v>
      </c>
      <c r="E57" s="228">
        <v>535.04899999999998</v>
      </c>
      <c r="F57" s="228">
        <v>2.9447999999999999</v>
      </c>
      <c r="H57" s="233">
        <f t="shared" si="3"/>
        <v>0.65824884792626726</v>
      </c>
      <c r="I57" s="230">
        <f t="shared" si="4"/>
        <v>10.702264271712606</v>
      </c>
      <c r="J57" s="233">
        <f t="shared" si="5"/>
        <v>5.8903068368204185E-2</v>
      </c>
      <c r="L57" s="239">
        <f>C57/JAX!D$34</f>
        <v>0.11604632685490772</v>
      </c>
    </row>
    <row r="58" spans="1:12" x14ac:dyDescent="0.3">
      <c r="A58" s="227" t="s">
        <v>197</v>
      </c>
      <c r="B58" s="227" t="s">
        <v>698</v>
      </c>
      <c r="C58" s="228">
        <v>49.55</v>
      </c>
      <c r="D58" s="228">
        <v>31.637</v>
      </c>
      <c r="E58" s="228">
        <v>384.7414</v>
      </c>
      <c r="F58" s="228">
        <v>1.6</v>
      </c>
      <c r="H58" s="233">
        <f t="shared" si="3"/>
        <v>0.63848637739656922</v>
      </c>
      <c r="I58" s="230">
        <f t="shared" si="4"/>
        <v>12.161121471694536</v>
      </c>
      <c r="J58" s="233">
        <f t="shared" si="5"/>
        <v>5.05736953567026E-2</v>
      </c>
      <c r="L58" s="239">
        <f>C58/JAX!D$34</f>
        <v>7.5708959784867372E-2</v>
      </c>
    </row>
    <row r="59" spans="1:12" x14ac:dyDescent="0.3">
      <c r="A59" s="227" t="s">
        <v>252</v>
      </c>
      <c r="B59" s="227" t="s">
        <v>698</v>
      </c>
      <c r="C59" s="228">
        <v>12.887458471760798</v>
      </c>
      <c r="D59" s="228">
        <v>7.7582500000000003</v>
      </c>
      <c r="E59" s="228">
        <v>82.708749999999995</v>
      </c>
      <c r="F59" s="228">
        <v>0.6</v>
      </c>
      <c r="H59" s="233">
        <f t="shared" si="3"/>
        <v>0.60199999999999998</v>
      </c>
      <c r="I59" s="230">
        <f t="shared" si="4"/>
        <v>10.66074823574904</v>
      </c>
      <c r="J59" s="233">
        <f t="shared" si="5"/>
        <v>7.7337028324686613E-2</v>
      </c>
      <c r="L59" s="239">
        <f>C59/JAX!D$34</f>
        <v>1.9691141779368045E-2</v>
      </c>
    </row>
    <row r="60" spans="1:12" x14ac:dyDescent="0.3">
      <c r="A60" s="227" t="s">
        <v>799</v>
      </c>
      <c r="B60" s="227" t="s">
        <v>698</v>
      </c>
      <c r="C60" s="228">
        <v>12.84606866002215</v>
      </c>
      <c r="D60" s="228">
        <v>7.7333333333333334</v>
      </c>
      <c r="E60" s="228">
        <v>80.233333333333334</v>
      </c>
      <c r="F60" s="228">
        <v>0.66666666666666663</v>
      </c>
      <c r="H60" s="233">
        <f t="shared" si="3"/>
        <v>0.60199999999999998</v>
      </c>
      <c r="I60" s="230">
        <f t="shared" si="4"/>
        <v>10.375</v>
      </c>
      <c r="J60" s="233">
        <f t="shared" si="5"/>
        <v>8.620689655172413E-2</v>
      </c>
      <c r="L60" s="239">
        <f>C60/JAX!D$34</f>
        <v>1.9627901020691466E-2</v>
      </c>
    </row>
    <row r="61" spans="1:12" x14ac:dyDescent="0.3">
      <c r="A61" s="227" t="s">
        <v>73</v>
      </c>
      <c r="B61" s="227" t="s">
        <v>153</v>
      </c>
      <c r="C61" s="228">
        <v>129.25</v>
      </c>
      <c r="D61" s="228">
        <v>93.552800000000005</v>
      </c>
      <c r="E61" s="228">
        <v>1115.336</v>
      </c>
      <c r="F61" s="228">
        <v>8.2378000000000018</v>
      </c>
      <c r="H61" s="233">
        <f t="shared" si="3"/>
        <v>0.72381276595744681</v>
      </c>
      <c r="I61" s="230">
        <f t="shared" si="4"/>
        <v>11.921994852104907</v>
      </c>
      <c r="J61" s="233">
        <f t="shared" si="5"/>
        <v>8.805508760828111E-2</v>
      </c>
      <c r="L61" s="239">
        <f>C61/KC!D$34</f>
        <v>0.1887148807903429</v>
      </c>
    </row>
    <row r="62" spans="1:12" x14ac:dyDescent="0.3">
      <c r="A62" s="227" t="s">
        <v>798</v>
      </c>
      <c r="B62" s="227" t="s">
        <v>153</v>
      </c>
      <c r="C62" s="228">
        <v>22.411003236245953</v>
      </c>
      <c r="D62" s="228">
        <v>13.85</v>
      </c>
      <c r="E62" s="228">
        <v>134.4</v>
      </c>
      <c r="F62" s="228">
        <v>1</v>
      </c>
      <c r="H62" s="233">
        <f t="shared" si="3"/>
        <v>0.61799999999999999</v>
      </c>
      <c r="I62" s="230">
        <f t="shared" si="4"/>
        <v>9.7039711191335751</v>
      </c>
      <c r="J62" s="233">
        <f t="shared" si="5"/>
        <v>7.2202166064981949E-2</v>
      </c>
      <c r="L62" s="239">
        <f>C62/KC!D$34</f>
        <v>3.2721777981587187E-2</v>
      </c>
    </row>
    <row r="63" spans="1:12" x14ac:dyDescent="0.3">
      <c r="A63" s="227" t="s">
        <v>286</v>
      </c>
      <c r="B63" s="227" t="s">
        <v>153</v>
      </c>
      <c r="C63" s="228">
        <v>17.5</v>
      </c>
      <c r="D63" s="228">
        <v>10.974</v>
      </c>
      <c r="E63" s="228">
        <v>106.2655</v>
      </c>
      <c r="F63" s="228">
        <v>0.87150000000000005</v>
      </c>
      <c r="H63" s="233">
        <f t="shared" si="3"/>
        <v>0.62708571428571425</v>
      </c>
      <c r="I63" s="230">
        <f t="shared" si="4"/>
        <v>9.6833880080189534</v>
      </c>
      <c r="J63" s="233">
        <f t="shared" si="5"/>
        <v>7.9414980863860035E-2</v>
      </c>
      <c r="L63" s="239">
        <f>C63/KC!D$34</f>
        <v>2.5551337824611223E-2</v>
      </c>
    </row>
    <row r="64" spans="1:12" x14ac:dyDescent="0.3">
      <c r="A64" s="227" t="s">
        <v>287</v>
      </c>
      <c r="B64" s="227" t="s">
        <v>153</v>
      </c>
      <c r="C64" s="228">
        <v>15.55</v>
      </c>
      <c r="D64" s="228">
        <v>10.074250000000001</v>
      </c>
      <c r="E64" s="228">
        <v>95.205500000000001</v>
      </c>
      <c r="F64" s="228">
        <v>0.8</v>
      </c>
      <c r="H64" s="233">
        <f t="shared" si="3"/>
        <v>0.64786173633440514</v>
      </c>
      <c r="I64" s="230">
        <f t="shared" si="4"/>
        <v>9.4503809216566985</v>
      </c>
      <c r="J64" s="233">
        <f t="shared" si="5"/>
        <v>7.9410377943767527E-2</v>
      </c>
      <c r="L64" s="239">
        <f>C64/KC!D$34</f>
        <v>2.2704188752725975E-2</v>
      </c>
    </row>
    <row r="65" spans="1:12" x14ac:dyDescent="0.3">
      <c r="A65" s="227" t="s">
        <v>797</v>
      </c>
      <c r="B65" s="227" t="s">
        <v>153</v>
      </c>
      <c r="C65" s="228">
        <v>12.267893660531696</v>
      </c>
      <c r="D65" s="228">
        <v>7.9986666666666659</v>
      </c>
      <c r="E65" s="228">
        <v>85.487333333333325</v>
      </c>
      <c r="F65" s="228">
        <v>0.7</v>
      </c>
      <c r="H65" s="233">
        <f t="shared" si="3"/>
        <v>0.65200000000000002</v>
      </c>
      <c r="I65" s="230">
        <f t="shared" si="4"/>
        <v>10.687697949658276</v>
      </c>
      <c r="J65" s="233">
        <f t="shared" si="5"/>
        <v>8.7514585764294051E-2</v>
      </c>
      <c r="L65" s="239">
        <f>C65/KC!D$34</f>
        <v>1.7912062589522958E-2</v>
      </c>
    </row>
    <row r="66" spans="1:12" x14ac:dyDescent="0.3">
      <c r="A66" s="227" t="s">
        <v>74</v>
      </c>
      <c r="B66" s="227" t="s">
        <v>154</v>
      </c>
      <c r="C66" s="228">
        <v>71.099999999999994</v>
      </c>
      <c r="D66" s="228">
        <v>49.40740000000001</v>
      </c>
      <c r="E66" s="228">
        <v>518.87279999999998</v>
      </c>
      <c r="F66" s="228">
        <v>3.7505999999999999</v>
      </c>
      <c r="H66" s="233">
        <f t="shared" ref="H66:H97" si="6">D66/C66</f>
        <v>0.69490014064697625</v>
      </c>
      <c r="I66" s="230">
        <f t="shared" ref="I66:I97" si="7">E66/D66</f>
        <v>10.501924812882278</v>
      </c>
      <c r="J66" s="233">
        <f t="shared" ref="J66:J97" si="8">F66/D66</f>
        <v>7.5911705533988821E-2</v>
      </c>
      <c r="L66" s="239">
        <f>C66/LAC!D$34</f>
        <v>0.10302889743212426</v>
      </c>
    </row>
    <row r="67" spans="1:12" x14ac:dyDescent="0.3">
      <c r="A67" s="227" t="s">
        <v>616</v>
      </c>
      <c r="B67" s="227" t="s">
        <v>154</v>
      </c>
      <c r="C67" s="228">
        <v>35.200000000000003</v>
      </c>
      <c r="D67" s="228">
        <v>22.852250000000002</v>
      </c>
      <c r="E67" s="228">
        <v>226.45599999999999</v>
      </c>
      <c r="F67" s="228">
        <v>2.9922499999999999</v>
      </c>
      <c r="H67" s="233">
        <f t="shared" si="6"/>
        <v>0.64921164772727269</v>
      </c>
      <c r="I67" s="230">
        <f t="shared" si="7"/>
        <v>9.9095712675994694</v>
      </c>
      <c r="J67" s="233">
        <f t="shared" si="8"/>
        <v>0.13093896662254262</v>
      </c>
      <c r="L67" s="239">
        <f>C67/LAC!D$34</f>
        <v>5.1007274115482067E-2</v>
      </c>
    </row>
    <row r="68" spans="1:12" x14ac:dyDescent="0.3">
      <c r="A68" s="227" t="s">
        <v>288</v>
      </c>
      <c r="B68" s="227" t="s">
        <v>154</v>
      </c>
      <c r="C68" s="228">
        <v>14.187116564417177</v>
      </c>
      <c r="D68" s="228">
        <v>9.25</v>
      </c>
      <c r="E68" s="228">
        <v>91.550000000000011</v>
      </c>
      <c r="F68" s="228">
        <v>0.8</v>
      </c>
      <c r="H68" s="233">
        <f t="shared" si="6"/>
        <v>0.65200000000000002</v>
      </c>
      <c r="I68" s="230">
        <f t="shared" si="7"/>
        <v>9.8972972972972979</v>
      </c>
      <c r="J68" s="233">
        <f t="shared" si="8"/>
        <v>8.6486486486486491E-2</v>
      </c>
      <c r="L68" s="239">
        <f>C68/LAC!D$34</f>
        <v>2.0558129076975087E-2</v>
      </c>
    </row>
    <row r="69" spans="1:12" x14ac:dyDescent="0.3">
      <c r="A69" s="227" t="s">
        <v>796</v>
      </c>
      <c r="B69" s="227" t="s">
        <v>154</v>
      </c>
      <c r="C69" s="228">
        <v>5.9</v>
      </c>
      <c r="D69" s="228">
        <v>3.9</v>
      </c>
      <c r="E69" s="228">
        <v>39.900000000000006</v>
      </c>
      <c r="F69" s="228">
        <v>0.2</v>
      </c>
      <c r="H69" s="233">
        <f t="shared" si="6"/>
        <v>0.66101694915254228</v>
      </c>
      <c r="I69" s="230">
        <f t="shared" si="7"/>
        <v>10.230769230769232</v>
      </c>
      <c r="J69" s="233">
        <f t="shared" si="8"/>
        <v>5.1282051282051287E-2</v>
      </c>
      <c r="L69" s="239">
        <f>C69/LAC!D$34</f>
        <v>8.5495146954927322E-3</v>
      </c>
    </row>
    <row r="70" spans="1:12" x14ac:dyDescent="0.3">
      <c r="A70" s="227" t="s">
        <v>75</v>
      </c>
      <c r="B70" s="227" t="s">
        <v>155</v>
      </c>
      <c r="C70" s="228">
        <v>82.360534124629083</v>
      </c>
      <c r="D70" s="228">
        <v>55.511000000000003</v>
      </c>
      <c r="E70" s="228">
        <v>517.10239999999999</v>
      </c>
      <c r="F70" s="228">
        <v>4.1938000000000004</v>
      </c>
      <c r="H70" s="233">
        <f t="shared" si="6"/>
        <v>0.67400000000000004</v>
      </c>
      <c r="I70" s="230">
        <f t="shared" si="7"/>
        <v>9.3153140818936784</v>
      </c>
      <c r="J70" s="233">
        <f t="shared" si="8"/>
        <v>7.5548990290212753E-2</v>
      </c>
      <c r="L70" s="239">
        <f>C70/LAR!D$34</f>
        <v>0.13013233172214628</v>
      </c>
    </row>
    <row r="71" spans="1:12" x14ac:dyDescent="0.3">
      <c r="A71" s="227" t="s">
        <v>795</v>
      </c>
      <c r="B71" s="227" t="s">
        <v>155</v>
      </c>
      <c r="C71" s="228">
        <v>20.695552147239262</v>
      </c>
      <c r="D71" s="228">
        <v>13.493499999999999</v>
      </c>
      <c r="E71" s="228">
        <v>137.279</v>
      </c>
      <c r="F71" s="228">
        <v>1.1844999999999999</v>
      </c>
      <c r="H71" s="233">
        <f t="shared" si="6"/>
        <v>0.65200000000000002</v>
      </c>
      <c r="I71" s="230">
        <f t="shared" si="7"/>
        <v>10.173713269351911</v>
      </c>
      <c r="J71" s="233">
        <f t="shared" si="8"/>
        <v>8.7783006632823207E-2</v>
      </c>
      <c r="L71" s="239">
        <f>C71/LAR!D$34</f>
        <v>3.2699647784243231E-2</v>
      </c>
    </row>
    <row r="72" spans="1:12" x14ac:dyDescent="0.3">
      <c r="A72" s="227" t="s">
        <v>794</v>
      </c>
      <c r="B72" s="227" t="s">
        <v>155</v>
      </c>
      <c r="C72" s="228">
        <v>19.417475728155338</v>
      </c>
      <c r="D72" s="228">
        <v>12</v>
      </c>
      <c r="E72" s="228">
        <v>133</v>
      </c>
      <c r="F72" s="228">
        <v>1</v>
      </c>
      <c r="H72" s="233">
        <f t="shared" si="6"/>
        <v>0.61799999999999999</v>
      </c>
      <c r="I72" s="230">
        <f t="shared" si="7"/>
        <v>11.083333333333334</v>
      </c>
      <c r="J72" s="233">
        <f t="shared" si="8"/>
        <v>8.3333333333333329E-2</v>
      </c>
      <c r="L72" s="239">
        <f>C72/LAR!D$34</f>
        <v>3.0680245332544629E-2</v>
      </c>
    </row>
    <row r="73" spans="1:12" x14ac:dyDescent="0.3">
      <c r="A73" s="227" t="s">
        <v>232</v>
      </c>
      <c r="B73" s="227" t="s">
        <v>155</v>
      </c>
      <c r="C73" s="228">
        <v>13</v>
      </c>
      <c r="D73" s="228">
        <v>8.0789999999999988</v>
      </c>
      <c r="E73" s="228">
        <v>93.914666666666676</v>
      </c>
      <c r="F73" s="228">
        <v>0.67300000000000004</v>
      </c>
      <c r="H73" s="233">
        <f t="shared" si="6"/>
        <v>0.6214615384615384</v>
      </c>
      <c r="I73" s="230">
        <f t="shared" si="7"/>
        <v>11.62454099104675</v>
      </c>
      <c r="J73" s="233">
        <f t="shared" si="8"/>
        <v>8.3302388909518521E-2</v>
      </c>
      <c r="L73" s="239">
        <f>C73/LAR!D$34</f>
        <v>2.054042425013863E-2</v>
      </c>
    </row>
    <row r="74" spans="1:12" x14ac:dyDescent="0.3">
      <c r="A74" s="227" t="s">
        <v>289</v>
      </c>
      <c r="B74" s="227" t="s">
        <v>155</v>
      </c>
      <c r="C74" s="228">
        <v>11.273006134969323</v>
      </c>
      <c r="D74" s="228">
        <v>7.35</v>
      </c>
      <c r="E74" s="228">
        <v>78.099999999999994</v>
      </c>
      <c r="F74" s="228">
        <v>0.7</v>
      </c>
      <c r="H74" s="233">
        <f t="shared" si="6"/>
        <v>0.65200000000000002</v>
      </c>
      <c r="I74" s="230">
        <f t="shared" si="7"/>
        <v>10.625850340136054</v>
      </c>
      <c r="J74" s="233">
        <f t="shared" si="8"/>
        <v>9.5238095238095233E-2</v>
      </c>
      <c r="L74" s="239">
        <f>C74/LAR!D$34</f>
        <v>1.781171758359119E-2</v>
      </c>
    </row>
    <row r="75" spans="1:12" x14ac:dyDescent="0.3">
      <c r="A75" s="227" t="s">
        <v>108</v>
      </c>
      <c r="B75" s="227" t="s">
        <v>239</v>
      </c>
      <c r="C75" s="228">
        <v>112.2</v>
      </c>
      <c r="D75" s="228">
        <v>74.544799999999995</v>
      </c>
      <c r="E75" s="228">
        <v>934.08639999999991</v>
      </c>
      <c r="F75" s="228">
        <v>4.5676000000000005</v>
      </c>
      <c r="H75" s="233">
        <f t="shared" si="6"/>
        <v>0.664392156862745</v>
      </c>
      <c r="I75" s="230">
        <f t="shared" si="7"/>
        <v>12.530537341303484</v>
      </c>
      <c r="J75" s="233">
        <f t="shared" si="8"/>
        <v>6.127322093559847E-2</v>
      </c>
      <c r="L75" s="239">
        <f>C75/LV!D$34</f>
        <v>0.17809848627239253</v>
      </c>
    </row>
    <row r="76" spans="1:12" x14ac:dyDescent="0.3">
      <c r="A76" s="227" t="s">
        <v>109</v>
      </c>
      <c r="B76" s="227" t="s">
        <v>239</v>
      </c>
      <c r="C76" s="228">
        <v>31.665644171779142</v>
      </c>
      <c r="D76" s="228">
        <v>20.646000000000001</v>
      </c>
      <c r="E76" s="228">
        <v>268.13499999999999</v>
      </c>
      <c r="F76" s="228">
        <v>2.5942499999999997</v>
      </c>
      <c r="H76" s="233">
        <f t="shared" si="6"/>
        <v>0.65200000000000002</v>
      </c>
      <c r="I76" s="230">
        <f t="shared" si="7"/>
        <v>12.98726145500339</v>
      </c>
      <c r="J76" s="233">
        <f t="shared" si="8"/>
        <v>0.12565387968613773</v>
      </c>
      <c r="L76" s="239">
        <f>C76/LV!D$34</f>
        <v>5.0263843973565717E-2</v>
      </c>
    </row>
    <row r="77" spans="1:12" x14ac:dyDescent="0.3">
      <c r="A77" s="227" t="s">
        <v>793</v>
      </c>
      <c r="B77" s="227" t="s">
        <v>239</v>
      </c>
      <c r="C77" s="228">
        <v>10.895361380798276</v>
      </c>
      <c r="D77" s="228">
        <v>6.7333333333333343</v>
      </c>
      <c r="E77" s="228">
        <v>59.300000000000004</v>
      </c>
      <c r="F77" s="228">
        <v>0.46666666666666662</v>
      </c>
      <c r="H77" s="233">
        <f t="shared" si="6"/>
        <v>0.61799999999999999</v>
      </c>
      <c r="I77" s="230">
        <f t="shared" si="7"/>
        <v>8.8069306930693063</v>
      </c>
      <c r="J77" s="233">
        <f t="shared" si="8"/>
        <v>6.9306930693069285E-2</v>
      </c>
      <c r="L77" s="239">
        <f>C77/LV!D$34</f>
        <v>1.72945398334301E-2</v>
      </c>
    </row>
    <row r="78" spans="1:12" x14ac:dyDescent="0.3">
      <c r="A78" s="227" t="s">
        <v>84</v>
      </c>
      <c r="B78" s="227" t="s">
        <v>156</v>
      </c>
      <c r="C78" s="228">
        <v>90.7</v>
      </c>
      <c r="D78" s="228">
        <v>61.926199999999994</v>
      </c>
      <c r="E78" s="228">
        <v>695.43680000000006</v>
      </c>
      <c r="F78" s="228">
        <v>3.5403999999999995</v>
      </c>
      <c r="H78" s="233">
        <f t="shared" si="6"/>
        <v>0.68275854465270114</v>
      </c>
      <c r="I78" s="230">
        <f t="shared" si="7"/>
        <v>11.230090010367181</v>
      </c>
      <c r="J78" s="233">
        <f t="shared" si="8"/>
        <v>5.7171278069702319E-2</v>
      </c>
      <c r="L78" s="239">
        <f>C78/MIA!D$34</f>
        <v>0.1439708797228699</v>
      </c>
    </row>
    <row r="79" spans="1:12" x14ac:dyDescent="0.3">
      <c r="A79" s="227" t="s">
        <v>217</v>
      </c>
      <c r="B79" s="227" t="s">
        <v>156</v>
      </c>
      <c r="C79" s="228">
        <v>24.687883435582819</v>
      </c>
      <c r="D79" s="228">
        <v>16.096499999999999</v>
      </c>
      <c r="E79" s="228">
        <v>170.03449999999998</v>
      </c>
      <c r="F79" s="228">
        <v>0.9</v>
      </c>
      <c r="H79" s="233">
        <f t="shared" si="6"/>
        <v>0.65200000000000002</v>
      </c>
      <c r="I79" s="230">
        <f t="shared" si="7"/>
        <v>10.563445469512006</v>
      </c>
      <c r="J79" s="233">
        <f t="shared" si="8"/>
        <v>5.591277606933185E-2</v>
      </c>
      <c r="L79" s="239">
        <f>C79/MIA!D$34</f>
        <v>3.9187831275816161E-2</v>
      </c>
    </row>
    <row r="80" spans="1:12" x14ac:dyDescent="0.3">
      <c r="A80" s="227" t="s">
        <v>290</v>
      </c>
      <c r="B80" s="227" t="s">
        <v>156</v>
      </c>
      <c r="C80" s="228">
        <v>8.9499999999999993</v>
      </c>
      <c r="D80" s="228">
        <v>6.3242500000000001</v>
      </c>
      <c r="E80" s="228">
        <v>62.544499999999999</v>
      </c>
      <c r="F80" s="228">
        <v>0.42925000000000002</v>
      </c>
      <c r="H80" s="233">
        <f t="shared" si="6"/>
        <v>0.70662011173184369</v>
      </c>
      <c r="I80" s="230">
        <f t="shared" si="7"/>
        <v>9.8896311815630309</v>
      </c>
      <c r="J80" s="233">
        <f t="shared" si="8"/>
        <v>6.7873660908408115E-2</v>
      </c>
      <c r="L80" s="239">
        <f>C80/MIA!D$34</f>
        <v>1.4206608307824536E-2</v>
      </c>
    </row>
    <row r="81" spans="1:12" x14ac:dyDescent="0.3">
      <c r="A81" s="227" t="s">
        <v>291</v>
      </c>
      <c r="B81" s="227" t="s">
        <v>156</v>
      </c>
      <c r="C81" s="228">
        <v>7.45</v>
      </c>
      <c r="D81" s="228">
        <v>5.2333333333333334</v>
      </c>
      <c r="E81" s="228">
        <v>49.333333333333336</v>
      </c>
      <c r="F81" s="228">
        <v>0.39999999999999997</v>
      </c>
      <c r="H81" s="233">
        <f t="shared" si="6"/>
        <v>0.70246085011185677</v>
      </c>
      <c r="I81" s="230">
        <f t="shared" si="7"/>
        <v>9.4267515923566876</v>
      </c>
      <c r="J81" s="233">
        <f t="shared" si="8"/>
        <v>7.6433121019108277E-2</v>
      </c>
      <c r="L81" s="239">
        <f>C81/MIA!D$34</f>
        <v>1.1825612502043888E-2</v>
      </c>
    </row>
    <row r="82" spans="1:12" x14ac:dyDescent="0.3">
      <c r="A82" s="227" t="s">
        <v>621</v>
      </c>
      <c r="B82" s="227" t="s">
        <v>157</v>
      </c>
      <c r="C82" s="228">
        <v>77.8</v>
      </c>
      <c r="D82" s="228">
        <v>50.212000000000003</v>
      </c>
      <c r="E82" s="228">
        <v>524.22160000000008</v>
      </c>
      <c r="F82" s="228">
        <v>5.1320000000000006</v>
      </c>
      <c r="H82" s="233">
        <f t="shared" si="6"/>
        <v>0.64539845758354764</v>
      </c>
      <c r="I82" s="230">
        <f t="shared" si="7"/>
        <v>10.440165697442843</v>
      </c>
      <c r="J82" s="233">
        <f t="shared" si="8"/>
        <v>0.10220664383016012</v>
      </c>
      <c r="L82" s="239">
        <f>C82/MIN!D$34</f>
        <v>0.12947365381723863</v>
      </c>
    </row>
    <row r="83" spans="1:12" x14ac:dyDescent="0.3">
      <c r="A83" s="227" t="s">
        <v>792</v>
      </c>
      <c r="B83" s="227" t="s">
        <v>157</v>
      </c>
      <c r="C83" s="228">
        <v>16.027607361963188</v>
      </c>
      <c r="D83" s="228">
        <v>10.45</v>
      </c>
      <c r="E83" s="228">
        <v>110.15</v>
      </c>
      <c r="F83" s="228">
        <v>0.75</v>
      </c>
      <c r="H83" s="233">
        <f t="shared" si="6"/>
        <v>0.65200000000000002</v>
      </c>
      <c r="I83" s="230">
        <f t="shared" si="7"/>
        <v>10.540669856459331</v>
      </c>
      <c r="J83" s="233">
        <f t="shared" si="8"/>
        <v>7.1770334928229665E-2</v>
      </c>
      <c r="L83" s="239">
        <f>C83/MIN!D$34</f>
        <v>2.6672916286650993E-2</v>
      </c>
    </row>
    <row r="84" spans="1:12" x14ac:dyDescent="0.3">
      <c r="A84" s="227" t="s">
        <v>791</v>
      </c>
      <c r="B84" s="227" t="s">
        <v>157</v>
      </c>
      <c r="C84" s="228">
        <v>12.674418604651162</v>
      </c>
      <c r="D84" s="228">
        <v>7.629999999999999</v>
      </c>
      <c r="E84" s="228">
        <v>83.992000000000004</v>
      </c>
      <c r="F84" s="228">
        <v>0.6</v>
      </c>
      <c r="H84" s="233">
        <f t="shared" si="6"/>
        <v>0.60199999999999998</v>
      </c>
      <c r="I84" s="230">
        <f t="shared" si="7"/>
        <v>11.008125819134996</v>
      </c>
      <c r="J84" s="233">
        <f t="shared" si="8"/>
        <v>7.8636959370904327E-2</v>
      </c>
      <c r="L84" s="239">
        <f>C84/MIN!D$34</f>
        <v>2.1092587233333848E-2</v>
      </c>
    </row>
    <row r="85" spans="1:12" x14ac:dyDescent="0.3">
      <c r="A85" s="227" t="s">
        <v>622</v>
      </c>
      <c r="B85" s="227" t="s">
        <v>157</v>
      </c>
      <c r="C85" s="228">
        <v>9.4130675526024365</v>
      </c>
      <c r="D85" s="228">
        <v>5.666666666666667</v>
      </c>
      <c r="E85" s="228">
        <v>56.5</v>
      </c>
      <c r="F85" s="228">
        <v>0.33333333333333331</v>
      </c>
      <c r="H85" s="233">
        <f t="shared" si="6"/>
        <v>0.60199999999999998</v>
      </c>
      <c r="I85" s="230">
        <f t="shared" si="7"/>
        <v>9.9705882352941178</v>
      </c>
      <c r="J85" s="233">
        <f t="shared" si="8"/>
        <v>5.8823529411764698E-2</v>
      </c>
      <c r="L85" s="239">
        <f>C85/MIN!D$34</f>
        <v>1.5665093183340997E-2</v>
      </c>
    </row>
    <row r="86" spans="1:12" x14ac:dyDescent="0.3">
      <c r="A86" s="227" t="s">
        <v>790</v>
      </c>
      <c r="B86" s="227" t="s">
        <v>157</v>
      </c>
      <c r="C86" s="228">
        <v>4.3853820598006639</v>
      </c>
      <c r="D86" s="228">
        <v>2.6399999999999997</v>
      </c>
      <c r="E86" s="228">
        <v>28.571000000000002</v>
      </c>
      <c r="F86" s="228">
        <v>0.17599999999999999</v>
      </c>
      <c r="H86" s="233">
        <f t="shared" si="6"/>
        <v>0.60199999999999998</v>
      </c>
      <c r="I86" s="230">
        <f t="shared" si="7"/>
        <v>10.822348484848487</v>
      </c>
      <c r="J86" s="233">
        <f t="shared" si="8"/>
        <v>6.6666666666666666E-2</v>
      </c>
      <c r="L86" s="239">
        <f>C86/MIN!D$34</f>
        <v>7.2980904712976876E-3</v>
      </c>
    </row>
    <row r="87" spans="1:12" x14ac:dyDescent="0.3">
      <c r="A87" s="227" t="s">
        <v>19</v>
      </c>
      <c r="B87" s="227" t="s">
        <v>158</v>
      </c>
      <c r="C87" s="228">
        <v>74.188349514563114</v>
      </c>
      <c r="D87" s="228">
        <v>45.848400000000005</v>
      </c>
      <c r="E87" s="228">
        <v>528.86</v>
      </c>
      <c r="F87" s="228">
        <v>6.7360000000000015</v>
      </c>
      <c r="H87" s="233">
        <f t="shared" si="6"/>
        <v>0.61799999999999999</v>
      </c>
      <c r="I87" s="230">
        <f t="shared" si="7"/>
        <v>11.534971776550544</v>
      </c>
      <c r="J87" s="233">
        <f t="shared" si="8"/>
        <v>0.14691897645283153</v>
      </c>
      <c r="L87" s="239">
        <f>C87/NE!D$34</f>
        <v>0.14127471727396745</v>
      </c>
    </row>
    <row r="88" spans="1:12" x14ac:dyDescent="0.3">
      <c r="A88" s="227" t="s">
        <v>89</v>
      </c>
      <c r="B88" s="227" t="s">
        <v>158</v>
      </c>
      <c r="C88" s="228">
        <v>41.900000000000006</v>
      </c>
      <c r="D88" s="228">
        <v>26.867399999999996</v>
      </c>
      <c r="E88" s="228">
        <v>285.5496</v>
      </c>
      <c r="F88" s="228">
        <v>1.5462</v>
      </c>
      <c r="H88" s="233">
        <f t="shared" si="6"/>
        <v>0.64122673031026234</v>
      </c>
      <c r="I88" s="230">
        <f t="shared" si="7"/>
        <v>10.628106925121152</v>
      </c>
      <c r="J88" s="233">
        <f t="shared" si="8"/>
        <v>5.7549297661850428E-2</v>
      </c>
      <c r="L88" s="239">
        <f>C88/NE!D$34</f>
        <v>7.9788951938029859E-2</v>
      </c>
    </row>
    <row r="89" spans="1:12" x14ac:dyDescent="0.3">
      <c r="A89" s="227" t="s">
        <v>219</v>
      </c>
      <c r="B89" s="227" t="s">
        <v>158</v>
      </c>
      <c r="C89" s="228">
        <v>7.530454042081951</v>
      </c>
      <c r="D89" s="228">
        <v>4.5333333333333341</v>
      </c>
      <c r="E89" s="228">
        <v>57.233333333333327</v>
      </c>
      <c r="F89" s="228">
        <v>0.3</v>
      </c>
      <c r="H89" s="233">
        <f t="shared" si="6"/>
        <v>0.60199999999999998</v>
      </c>
      <c r="I89" s="230">
        <f t="shared" si="7"/>
        <v>12.624999999999996</v>
      </c>
      <c r="J89" s="233">
        <f t="shared" si="8"/>
        <v>6.6176470588235281E-2</v>
      </c>
      <c r="L89" s="239">
        <f>C89/NE!D$34</f>
        <v>1.4340024716831011E-2</v>
      </c>
    </row>
    <row r="90" spans="1:12" x14ac:dyDescent="0.3">
      <c r="A90" s="227" t="s">
        <v>220</v>
      </c>
      <c r="B90" s="227" t="s">
        <v>159</v>
      </c>
      <c r="C90" s="228">
        <v>47.034951456310687</v>
      </c>
      <c r="D90" s="228">
        <v>29.067600000000006</v>
      </c>
      <c r="E90" s="228">
        <v>308.67340000000002</v>
      </c>
      <c r="F90" s="228">
        <v>2.5506000000000002</v>
      </c>
      <c r="H90" s="233">
        <f t="shared" si="6"/>
        <v>0.61799999999999999</v>
      </c>
      <c r="I90" s="230">
        <f t="shared" si="7"/>
        <v>10.619156724325364</v>
      </c>
      <c r="J90" s="233">
        <f t="shared" si="8"/>
        <v>8.7747182429921966E-2</v>
      </c>
      <c r="L90" s="239">
        <f>C90/NO!D$34</f>
        <v>8.5290433231077836E-2</v>
      </c>
    </row>
    <row r="91" spans="1:12" x14ac:dyDescent="0.3">
      <c r="A91" s="227" t="s">
        <v>292</v>
      </c>
      <c r="B91" s="227" t="s">
        <v>159</v>
      </c>
      <c r="C91" s="228">
        <v>13.754045307443366</v>
      </c>
      <c r="D91" s="228">
        <v>8.5</v>
      </c>
      <c r="E91" s="228">
        <v>90.466666666666654</v>
      </c>
      <c r="F91" s="228">
        <v>0.7</v>
      </c>
      <c r="H91" s="233">
        <f t="shared" si="6"/>
        <v>0.61799999999999999</v>
      </c>
      <c r="I91" s="230">
        <f t="shared" si="7"/>
        <v>10.643137254901958</v>
      </c>
      <c r="J91" s="233">
        <f t="shared" si="8"/>
        <v>8.2352941176470587E-2</v>
      </c>
      <c r="L91" s="239">
        <f>C91/NO!D$34</f>
        <v>2.4940782261492572E-2</v>
      </c>
    </row>
    <row r="92" spans="1:12" x14ac:dyDescent="0.3">
      <c r="A92" s="227" t="s">
        <v>575</v>
      </c>
      <c r="B92" s="227" t="s">
        <v>159</v>
      </c>
      <c r="C92" s="228">
        <v>7.8248381877022641</v>
      </c>
      <c r="D92" s="228">
        <v>4.8357499999999991</v>
      </c>
      <c r="E92" s="228">
        <v>64.694500000000005</v>
      </c>
      <c r="F92" s="228">
        <v>0.4</v>
      </c>
      <c r="H92" s="233">
        <f t="shared" si="6"/>
        <v>0.61799999999999999</v>
      </c>
      <c r="I92" s="230">
        <f t="shared" si="7"/>
        <v>13.37837977562943</v>
      </c>
      <c r="J92" s="233">
        <f t="shared" si="8"/>
        <v>8.2717262058625882E-2</v>
      </c>
      <c r="L92" s="239">
        <f>C92/NO!D$34</f>
        <v>1.4189104449530903E-2</v>
      </c>
    </row>
    <row r="93" spans="1:12" x14ac:dyDescent="0.3">
      <c r="A93" s="227" t="s">
        <v>579</v>
      </c>
      <c r="B93" s="227" t="s">
        <v>160</v>
      </c>
      <c r="C93" s="228">
        <v>45.539688427299701</v>
      </c>
      <c r="D93" s="228">
        <v>30.693750000000001</v>
      </c>
      <c r="E93" s="228">
        <v>323.154</v>
      </c>
      <c r="F93" s="228">
        <v>2.3250000000000002</v>
      </c>
      <c r="H93" s="233">
        <f t="shared" si="6"/>
        <v>0.67400000000000004</v>
      </c>
      <c r="I93" s="230">
        <f t="shared" si="7"/>
        <v>10.528332315210751</v>
      </c>
      <c r="J93" s="233">
        <f t="shared" si="8"/>
        <v>7.5748320097739769E-2</v>
      </c>
      <c r="L93" s="239">
        <f>C93/NYG!D$34</f>
        <v>7.5304634344551688E-2</v>
      </c>
    </row>
    <row r="94" spans="1:12" x14ac:dyDescent="0.3">
      <c r="A94" s="227" t="s">
        <v>210</v>
      </c>
      <c r="B94" s="227" t="s">
        <v>160</v>
      </c>
      <c r="C94" s="228">
        <v>45.450049455984178</v>
      </c>
      <c r="D94" s="228">
        <v>30.633333333333336</v>
      </c>
      <c r="E94" s="228">
        <v>294.3</v>
      </c>
      <c r="F94" s="228">
        <v>1.6666666666666667</v>
      </c>
      <c r="H94" s="233">
        <f t="shared" si="6"/>
        <v>0.67400000000000004</v>
      </c>
      <c r="I94" s="230">
        <f t="shared" si="7"/>
        <v>9.6071817192600655</v>
      </c>
      <c r="J94" s="233">
        <f t="shared" si="8"/>
        <v>5.4406964091403699E-2</v>
      </c>
      <c r="L94" s="239">
        <f>C94/NYG!D$34</f>
        <v>7.5156406936963835E-2</v>
      </c>
    </row>
    <row r="95" spans="1:12" x14ac:dyDescent="0.3">
      <c r="A95" s="227" t="s">
        <v>678</v>
      </c>
      <c r="B95" s="227" t="s">
        <v>160</v>
      </c>
      <c r="C95" s="228">
        <v>10.949298813376483</v>
      </c>
      <c r="D95" s="228">
        <v>6.7666666666666666</v>
      </c>
      <c r="E95" s="228">
        <v>64.066666666666663</v>
      </c>
      <c r="F95" s="228">
        <v>0.20000000000000004</v>
      </c>
      <c r="H95" s="233">
        <f t="shared" si="6"/>
        <v>0.61799999999999999</v>
      </c>
      <c r="I95" s="230">
        <f t="shared" si="7"/>
        <v>9.4679802955665018</v>
      </c>
      <c r="J95" s="233">
        <f t="shared" si="8"/>
        <v>2.9556650246305424E-2</v>
      </c>
      <c r="L95" s="239">
        <f>C95/NYG!D$34</f>
        <v>1.8105809941735714E-2</v>
      </c>
    </row>
    <row r="96" spans="1:12" x14ac:dyDescent="0.3">
      <c r="A96" s="227" t="s">
        <v>789</v>
      </c>
      <c r="B96" s="227" t="s">
        <v>160</v>
      </c>
      <c r="C96" s="228">
        <v>7.7691029900332218</v>
      </c>
      <c r="D96" s="228">
        <v>4.6769999999999996</v>
      </c>
      <c r="E96" s="228">
        <v>33.325499999999998</v>
      </c>
      <c r="F96" s="228">
        <v>0.26200000000000001</v>
      </c>
      <c r="H96" s="233">
        <f t="shared" si="6"/>
        <v>0.60199999999999998</v>
      </c>
      <c r="I96" s="230">
        <f t="shared" si="7"/>
        <v>7.125400898011546</v>
      </c>
      <c r="J96" s="233">
        <f t="shared" si="8"/>
        <v>5.601881548000856E-2</v>
      </c>
      <c r="L96" s="239">
        <f>C96/NYG!D$34</f>
        <v>1.2847023773199446E-2</v>
      </c>
    </row>
    <row r="97" spans="1:12" x14ac:dyDescent="0.3">
      <c r="A97" s="227" t="s">
        <v>35</v>
      </c>
      <c r="B97" s="227" t="s">
        <v>161</v>
      </c>
      <c r="C97" s="228">
        <v>64.8</v>
      </c>
      <c r="D97" s="228">
        <v>41.560600000000001</v>
      </c>
      <c r="E97" s="228">
        <v>407.62799999999999</v>
      </c>
      <c r="F97" s="228">
        <v>3.2188000000000003</v>
      </c>
      <c r="H97" s="233">
        <f t="shared" si="6"/>
        <v>0.64136728395061737</v>
      </c>
      <c r="I97" s="230">
        <f t="shared" si="7"/>
        <v>9.8080393449565211</v>
      </c>
      <c r="J97" s="233">
        <f t="shared" si="8"/>
        <v>7.7448352526190672E-2</v>
      </c>
      <c r="L97" s="239">
        <f>C97/NYJ!D$34</f>
        <v>0.10707917619362876</v>
      </c>
    </row>
    <row r="98" spans="1:12" x14ac:dyDescent="0.3">
      <c r="A98" s="227" t="s">
        <v>788</v>
      </c>
      <c r="B98" s="227" t="s">
        <v>161</v>
      </c>
      <c r="C98" s="228">
        <v>37.756083086053415</v>
      </c>
      <c r="D98" s="228">
        <v>25.447600000000001</v>
      </c>
      <c r="E98" s="228">
        <v>262.61680000000001</v>
      </c>
      <c r="F98" s="228">
        <v>1.2525999999999999</v>
      </c>
      <c r="H98" s="233">
        <f t="shared" ref="H98:H127" si="9">D98/C98</f>
        <v>0.67399999999999993</v>
      </c>
      <c r="I98" s="230">
        <f t="shared" ref="I98:I127" si="10">E98/D98</f>
        <v>10.31990443106619</v>
      </c>
      <c r="J98" s="233">
        <f t="shared" ref="J98:J127" si="11">F98/D98</f>
        <v>4.9222716484069222E-2</v>
      </c>
      <c r="L98" s="239">
        <f>C98/NYJ!D$34</f>
        <v>6.2390281993098776E-2</v>
      </c>
    </row>
    <row r="99" spans="1:12" x14ac:dyDescent="0.3">
      <c r="A99" s="227" t="s">
        <v>787</v>
      </c>
      <c r="B99" s="227" t="s">
        <v>161</v>
      </c>
      <c r="C99" s="228">
        <v>17.637540453074436</v>
      </c>
      <c r="D99" s="228">
        <v>10.9</v>
      </c>
      <c r="E99" s="228">
        <v>127.55</v>
      </c>
      <c r="F99" s="228">
        <v>1</v>
      </c>
      <c r="H99" s="233">
        <f t="shared" si="9"/>
        <v>0.61799999999999988</v>
      </c>
      <c r="I99" s="230">
        <f t="shared" si="10"/>
        <v>11.70183486238532</v>
      </c>
      <c r="J99" s="233">
        <f t="shared" si="11"/>
        <v>9.1743119266055037E-2</v>
      </c>
      <c r="L99" s="239">
        <f>C99/NYJ!D$34</f>
        <v>2.9145267003040317E-2</v>
      </c>
    </row>
    <row r="100" spans="1:12" x14ac:dyDescent="0.3">
      <c r="A100" s="227" t="s">
        <v>652</v>
      </c>
      <c r="B100" s="227" t="s">
        <v>161</v>
      </c>
      <c r="C100" s="228">
        <v>13.646170442286948</v>
      </c>
      <c r="D100" s="228">
        <v>8.4333333333333336</v>
      </c>
      <c r="E100" s="228">
        <v>85</v>
      </c>
      <c r="F100" s="228">
        <v>0.66666666666666663</v>
      </c>
      <c r="H100" s="233">
        <f t="shared" si="9"/>
        <v>0.61799999999999999</v>
      </c>
      <c r="I100" s="230">
        <f t="shared" si="10"/>
        <v>10.079051383399209</v>
      </c>
      <c r="J100" s="233">
        <f t="shared" si="11"/>
        <v>7.9051383399209474E-2</v>
      </c>
      <c r="L100" s="239">
        <f>C100/NYJ!D$34</f>
        <v>2.2549701993177979E-2</v>
      </c>
    </row>
    <row r="101" spans="1:12" x14ac:dyDescent="0.3">
      <c r="A101" s="227" t="s">
        <v>106</v>
      </c>
      <c r="B101" s="227" t="s">
        <v>163</v>
      </c>
      <c r="C101" s="228">
        <v>94.55</v>
      </c>
      <c r="D101" s="228">
        <v>58.693600000000004</v>
      </c>
      <c r="E101" s="228">
        <v>784.84660000000008</v>
      </c>
      <c r="F101" s="228">
        <v>4.4458000000000002</v>
      </c>
      <c r="H101" s="233">
        <f t="shared" si="9"/>
        <v>0.62076784769962989</v>
      </c>
      <c r="I101" s="230">
        <f t="shared" si="10"/>
        <v>13.371928114820015</v>
      </c>
      <c r="J101" s="233">
        <f t="shared" si="11"/>
        <v>7.5745907560619899E-2</v>
      </c>
      <c r="L101" s="239">
        <f>C101/PHI!D$34</f>
        <v>0.15699950841967775</v>
      </c>
    </row>
    <row r="102" spans="1:12" x14ac:dyDescent="0.3">
      <c r="A102" s="227" t="s">
        <v>631</v>
      </c>
      <c r="B102" s="227" t="s">
        <v>163</v>
      </c>
      <c r="C102" s="228">
        <v>14.288025889967638</v>
      </c>
      <c r="D102" s="228">
        <v>8.83</v>
      </c>
      <c r="E102" s="228">
        <v>87.513666666666666</v>
      </c>
      <c r="F102" s="228">
        <v>0.7</v>
      </c>
      <c r="H102" s="233">
        <f t="shared" si="9"/>
        <v>0.61799999999999999</v>
      </c>
      <c r="I102" s="230">
        <f t="shared" si="10"/>
        <v>9.910947527368819</v>
      </c>
      <c r="J102" s="233">
        <f t="shared" si="11"/>
        <v>7.9275198187995458E-2</v>
      </c>
      <c r="L102" s="239">
        <f>C102/PHI!D$34</f>
        <v>2.3725151147673693E-2</v>
      </c>
    </row>
    <row r="103" spans="1:12" x14ac:dyDescent="0.3">
      <c r="A103" s="227" t="s">
        <v>786</v>
      </c>
      <c r="B103" s="227" t="s">
        <v>163</v>
      </c>
      <c r="C103" s="228">
        <v>9.1999999999999993</v>
      </c>
      <c r="D103" s="228">
        <v>6</v>
      </c>
      <c r="E103" s="228">
        <v>58.1</v>
      </c>
      <c r="F103" s="228">
        <v>0.3666666666666667</v>
      </c>
      <c r="H103" s="233">
        <f t="shared" si="9"/>
        <v>0.65217391304347827</v>
      </c>
      <c r="I103" s="230">
        <f t="shared" si="10"/>
        <v>9.6833333333333336</v>
      </c>
      <c r="J103" s="233">
        <f t="shared" si="11"/>
        <v>6.1111111111111116E-2</v>
      </c>
      <c r="L103" s="239">
        <f>C103/PHI!D$34</f>
        <v>1.5276525409423957E-2</v>
      </c>
    </row>
    <row r="104" spans="1:12" x14ac:dyDescent="0.3">
      <c r="A104" s="227" t="s">
        <v>573</v>
      </c>
      <c r="B104" s="227" t="s">
        <v>163</v>
      </c>
      <c r="C104" s="228">
        <v>5.4796511627906979</v>
      </c>
      <c r="D104" s="228">
        <v>3.2987500000000001</v>
      </c>
      <c r="E104" s="228">
        <v>29.136749999999999</v>
      </c>
      <c r="F104" s="228">
        <v>0.125</v>
      </c>
      <c r="H104" s="233">
        <f t="shared" si="9"/>
        <v>0.60199999999999998</v>
      </c>
      <c r="I104" s="230">
        <f t="shared" si="10"/>
        <v>8.8326638878363006</v>
      </c>
      <c r="J104" s="233">
        <f t="shared" si="11"/>
        <v>3.7893141341417205E-2</v>
      </c>
      <c r="L104" s="239">
        <f>C104/PHI!D$34</f>
        <v>9.0989163286034382E-3</v>
      </c>
    </row>
    <row r="105" spans="1:12" x14ac:dyDescent="0.3">
      <c r="A105" s="227" t="s">
        <v>293</v>
      </c>
      <c r="B105" s="227" t="s">
        <v>164</v>
      </c>
      <c r="C105" s="228">
        <v>90.5</v>
      </c>
      <c r="D105" s="228">
        <v>58.835999999999999</v>
      </c>
      <c r="E105" s="228">
        <v>529.92000000000007</v>
      </c>
      <c r="F105" s="228">
        <v>5.6399999999999988</v>
      </c>
      <c r="H105" s="233">
        <f t="shared" si="9"/>
        <v>0.65012154696132596</v>
      </c>
      <c r="I105" s="230">
        <f t="shared" si="10"/>
        <v>9.0067305731185012</v>
      </c>
      <c r="J105" s="233">
        <f t="shared" si="11"/>
        <v>9.5859677748317343E-2</v>
      </c>
      <c r="L105" s="239">
        <f>C105/PIT!D$34</f>
        <v>0.13716263523705371</v>
      </c>
    </row>
    <row r="106" spans="1:12" x14ac:dyDescent="0.3">
      <c r="A106" s="227" t="s">
        <v>785</v>
      </c>
      <c r="B106" s="227" t="s">
        <v>164</v>
      </c>
      <c r="C106" s="228">
        <v>16.564417177914109</v>
      </c>
      <c r="D106" s="228">
        <v>10.799999999999999</v>
      </c>
      <c r="E106" s="228">
        <v>104.63333333333333</v>
      </c>
      <c r="F106" s="228">
        <v>0.63333333333333341</v>
      </c>
      <c r="H106" s="233">
        <f t="shared" si="9"/>
        <v>0.65200000000000002</v>
      </c>
      <c r="I106" s="230">
        <f t="shared" si="10"/>
        <v>9.6882716049382722</v>
      </c>
      <c r="J106" s="233">
        <f t="shared" si="11"/>
        <v>5.8641975308641986E-2</v>
      </c>
      <c r="L106" s="239">
        <f>C106/PIT!D$34</f>
        <v>2.5105183550150494E-2</v>
      </c>
    </row>
    <row r="107" spans="1:12" x14ac:dyDescent="0.3">
      <c r="A107" s="227" t="s">
        <v>294</v>
      </c>
      <c r="B107" s="227" t="s">
        <v>164</v>
      </c>
      <c r="C107" s="228">
        <v>13.850000000000001</v>
      </c>
      <c r="D107" s="228">
        <v>8.7099999999999991</v>
      </c>
      <c r="E107" s="228">
        <v>91.275000000000006</v>
      </c>
      <c r="F107" s="228">
        <v>0.52300000000000002</v>
      </c>
      <c r="H107" s="233">
        <f t="shared" si="9"/>
        <v>0.62888086642599261</v>
      </c>
      <c r="I107" s="230">
        <f t="shared" si="10"/>
        <v>10.479334098737086</v>
      </c>
      <c r="J107" s="233">
        <f t="shared" si="11"/>
        <v>6.0045924225028711E-2</v>
      </c>
      <c r="L107" s="239">
        <f>C107/PIT!D$34</f>
        <v>2.0991187823571206E-2</v>
      </c>
    </row>
    <row r="108" spans="1:12" x14ac:dyDescent="0.3">
      <c r="A108" s="227" t="s">
        <v>53</v>
      </c>
      <c r="B108" s="227" t="s">
        <v>165</v>
      </c>
      <c r="C108" s="228">
        <v>86.6</v>
      </c>
      <c r="D108" s="228">
        <v>59.136000000000003</v>
      </c>
      <c r="E108" s="228">
        <v>628.54320000000007</v>
      </c>
      <c r="F108" s="228">
        <v>3.8649999999999998</v>
      </c>
      <c r="H108" s="233">
        <f t="shared" si="9"/>
        <v>0.68286374133949201</v>
      </c>
      <c r="I108" s="230">
        <f t="shared" si="10"/>
        <v>10.628774350649351</v>
      </c>
      <c r="J108" s="233">
        <f t="shared" si="11"/>
        <v>6.5357819264069264E-2</v>
      </c>
      <c r="L108" s="239">
        <f>C108/SEA!D$34</f>
        <v>0.14885760213023824</v>
      </c>
    </row>
    <row r="109" spans="1:12" x14ac:dyDescent="0.3">
      <c r="A109" s="227" t="s">
        <v>98</v>
      </c>
      <c r="B109" s="227" t="s">
        <v>165</v>
      </c>
      <c r="C109" s="228">
        <v>31.533742331288344</v>
      </c>
      <c r="D109" s="228">
        <v>20.560000000000002</v>
      </c>
      <c r="E109" s="228">
        <v>218.15075000000002</v>
      </c>
      <c r="F109" s="228">
        <v>1.0667500000000001</v>
      </c>
      <c r="H109" s="233">
        <f t="shared" si="9"/>
        <v>0.65200000000000002</v>
      </c>
      <c r="I109" s="230">
        <f t="shared" si="10"/>
        <v>10.610445038910505</v>
      </c>
      <c r="J109" s="233">
        <f t="shared" si="11"/>
        <v>5.188472762645914E-2</v>
      </c>
      <c r="L109" s="239">
        <f>C109/SEA!D$34</f>
        <v>5.4203663621574735E-2</v>
      </c>
    </row>
    <row r="110" spans="1:12" x14ac:dyDescent="0.3">
      <c r="A110" s="227" t="s">
        <v>295</v>
      </c>
      <c r="B110" s="227" t="s">
        <v>165</v>
      </c>
      <c r="C110" s="228">
        <v>10.064724919093852</v>
      </c>
      <c r="D110" s="228">
        <v>6.22</v>
      </c>
      <c r="E110" s="228">
        <v>66.873249999999999</v>
      </c>
      <c r="F110" s="228">
        <v>0.47500000000000003</v>
      </c>
      <c r="H110" s="233">
        <f t="shared" si="9"/>
        <v>0.61799999999999999</v>
      </c>
      <c r="I110" s="230">
        <f t="shared" si="10"/>
        <v>10.751326366559486</v>
      </c>
      <c r="J110" s="233">
        <f t="shared" si="11"/>
        <v>7.6366559485530561E-2</v>
      </c>
      <c r="L110" s="239">
        <f>C110/SEA!D$34</f>
        <v>1.7300355860932645E-2</v>
      </c>
    </row>
    <row r="111" spans="1:12" x14ac:dyDescent="0.3">
      <c r="A111" s="227" t="s">
        <v>784</v>
      </c>
      <c r="B111" s="227" t="s">
        <v>165</v>
      </c>
      <c r="C111" s="228">
        <v>5.8282208588957047</v>
      </c>
      <c r="D111" s="228">
        <v>3.8</v>
      </c>
      <c r="E111" s="228">
        <v>36.549999999999997</v>
      </c>
      <c r="F111" s="228">
        <v>0.15</v>
      </c>
      <c r="H111" s="233">
        <f t="shared" si="9"/>
        <v>0.65200000000000002</v>
      </c>
      <c r="I111" s="230">
        <f t="shared" si="10"/>
        <v>9.6184210526315788</v>
      </c>
      <c r="J111" s="233">
        <f t="shared" si="11"/>
        <v>3.9473684210526314E-2</v>
      </c>
      <c r="L111" s="239">
        <f>C111/SEA!D$34</f>
        <v>1.0018186856127624E-2</v>
      </c>
    </row>
    <row r="112" spans="1:12" x14ac:dyDescent="0.3">
      <c r="A112" s="227" t="s">
        <v>15</v>
      </c>
      <c r="B112" s="227" t="s">
        <v>166</v>
      </c>
      <c r="C112" s="228">
        <v>96.550000000000011</v>
      </c>
      <c r="D112" s="228">
        <v>68.991200000000006</v>
      </c>
      <c r="E112" s="228">
        <v>866.23019999999997</v>
      </c>
      <c r="F112" s="228">
        <v>5.4367999999999999</v>
      </c>
      <c r="H112" s="233">
        <f t="shared" si="9"/>
        <v>0.71456447436561366</v>
      </c>
      <c r="I112" s="230">
        <f t="shared" si="10"/>
        <v>12.555662171407366</v>
      </c>
      <c r="J112" s="233">
        <f t="shared" si="11"/>
        <v>7.8804253296072532E-2</v>
      </c>
      <c r="L112" s="239">
        <f>C112/SF!D$34</f>
        <v>0.17608885193606727</v>
      </c>
    </row>
    <row r="113" spans="1:12" x14ac:dyDescent="0.3">
      <c r="A113" s="227" t="s">
        <v>227</v>
      </c>
      <c r="B113" s="227" t="s">
        <v>166</v>
      </c>
      <c r="C113" s="228">
        <v>9.7924757281553401</v>
      </c>
      <c r="D113" s="228">
        <v>6.0517500000000002</v>
      </c>
      <c r="E113" s="228">
        <v>64.048000000000002</v>
      </c>
      <c r="F113" s="228">
        <v>0.45600000000000002</v>
      </c>
      <c r="H113" s="233">
        <f t="shared" si="9"/>
        <v>0.61799999999999999</v>
      </c>
      <c r="I113" s="230">
        <f t="shared" si="10"/>
        <v>10.583384971289297</v>
      </c>
      <c r="J113" s="233">
        <f t="shared" si="11"/>
        <v>7.5350105341430162E-2</v>
      </c>
      <c r="L113" s="239">
        <f>C113/SF!D$34</f>
        <v>1.7859614796299099E-2</v>
      </c>
    </row>
    <row r="114" spans="1:12" x14ac:dyDescent="0.3">
      <c r="A114" s="227" t="s">
        <v>296</v>
      </c>
      <c r="B114" s="227" t="s">
        <v>166</v>
      </c>
      <c r="C114" s="228">
        <v>7.2553986710963461</v>
      </c>
      <c r="D114" s="228">
        <v>4.36775</v>
      </c>
      <c r="E114" s="228">
        <v>46.490250000000003</v>
      </c>
      <c r="F114" s="228">
        <v>0.379</v>
      </c>
      <c r="H114" s="233">
        <f t="shared" si="9"/>
        <v>0.60199999999999998</v>
      </c>
      <c r="I114" s="230">
        <f t="shared" si="10"/>
        <v>10.643981454982542</v>
      </c>
      <c r="J114" s="233">
        <f t="shared" si="11"/>
        <v>8.677236563448E-2</v>
      </c>
      <c r="L114" s="239">
        <f>C114/SF!D$34</f>
        <v>1.3232468382515005E-2</v>
      </c>
    </row>
    <row r="115" spans="1:12" x14ac:dyDescent="0.3">
      <c r="A115" s="227" t="s">
        <v>91</v>
      </c>
      <c r="B115" s="227" t="s">
        <v>167</v>
      </c>
      <c r="C115" s="228">
        <v>56.2</v>
      </c>
      <c r="D115" s="228">
        <v>37.415999999999997</v>
      </c>
      <c r="E115" s="228">
        <v>383.61</v>
      </c>
      <c r="F115" s="228">
        <v>3.476</v>
      </c>
      <c r="H115" s="233">
        <f t="shared" si="9"/>
        <v>0.66576512455516001</v>
      </c>
      <c r="I115" s="230">
        <f t="shared" si="10"/>
        <v>10.252565747273895</v>
      </c>
      <c r="J115" s="233">
        <f t="shared" si="11"/>
        <v>9.2901432542227935E-2</v>
      </c>
      <c r="L115" s="239">
        <f>C115/TB!D$34</f>
        <v>7.9411394828650839E-2</v>
      </c>
    </row>
    <row r="116" spans="1:12" x14ac:dyDescent="0.3">
      <c r="A116" s="227" t="s">
        <v>661</v>
      </c>
      <c r="B116" s="227" t="s">
        <v>167</v>
      </c>
      <c r="C116" s="228">
        <v>32.1</v>
      </c>
      <c r="D116" s="228">
        <v>21.957999999999998</v>
      </c>
      <c r="E116" s="228">
        <v>236.93</v>
      </c>
      <c r="F116" s="228">
        <v>1.9060000000000001</v>
      </c>
      <c r="H116" s="233">
        <f t="shared" si="9"/>
        <v>0.68404984423676007</v>
      </c>
      <c r="I116" s="230">
        <f t="shared" si="10"/>
        <v>10.790144821932781</v>
      </c>
      <c r="J116" s="233">
        <f t="shared" si="11"/>
        <v>8.6802076691866306E-2</v>
      </c>
      <c r="L116" s="239">
        <f>C116/TB!D$34</f>
        <v>4.5357753985759648E-2</v>
      </c>
    </row>
    <row r="117" spans="1:12" x14ac:dyDescent="0.3">
      <c r="A117" s="227" t="s">
        <v>783</v>
      </c>
      <c r="B117" s="227" t="s">
        <v>167</v>
      </c>
      <c r="C117" s="228">
        <v>17.088190184049079</v>
      </c>
      <c r="D117" s="228">
        <v>11.141500000000001</v>
      </c>
      <c r="E117" s="228">
        <v>116.94</v>
      </c>
      <c r="F117" s="228">
        <v>0.80300000000000005</v>
      </c>
      <c r="H117" s="233">
        <f t="shared" si="9"/>
        <v>0.65200000000000002</v>
      </c>
      <c r="I117" s="230">
        <f t="shared" si="10"/>
        <v>10.49589373064668</v>
      </c>
      <c r="J117" s="233">
        <f t="shared" si="11"/>
        <v>7.2072880671363818E-2</v>
      </c>
      <c r="L117" s="239">
        <f>C117/TB!D$34</f>
        <v>2.4145854405918099E-2</v>
      </c>
    </row>
    <row r="118" spans="1:12" x14ac:dyDescent="0.3">
      <c r="A118" s="227" t="s">
        <v>782</v>
      </c>
      <c r="B118" s="227" t="s">
        <v>167</v>
      </c>
      <c r="C118" s="228">
        <v>6.6343042071197402</v>
      </c>
      <c r="D118" s="228">
        <v>4.0999999999999996</v>
      </c>
      <c r="E118" s="228">
        <v>45.400000000000006</v>
      </c>
      <c r="F118" s="228">
        <v>0.2</v>
      </c>
      <c r="H118" s="233">
        <f t="shared" si="9"/>
        <v>0.61799999999999999</v>
      </c>
      <c r="I118" s="230">
        <f t="shared" si="10"/>
        <v>11.07317073170732</v>
      </c>
      <c r="J118" s="233">
        <f t="shared" si="11"/>
        <v>4.8780487804878057E-2</v>
      </c>
      <c r="L118" s="239">
        <f>C118/TB!D$34</f>
        <v>9.3743656726862114E-3</v>
      </c>
    </row>
    <row r="119" spans="1:12" x14ac:dyDescent="0.3">
      <c r="A119" s="227" t="s">
        <v>21</v>
      </c>
      <c r="B119" s="227" t="s">
        <v>168</v>
      </c>
      <c r="C119" s="228">
        <v>67.849999999999994</v>
      </c>
      <c r="D119" s="228">
        <v>48.527200000000001</v>
      </c>
      <c r="E119" s="228">
        <v>473.48500000000001</v>
      </c>
      <c r="F119" s="228">
        <v>3.7519999999999998</v>
      </c>
      <c r="H119" s="233">
        <f t="shared" si="9"/>
        <v>0.71521296978629334</v>
      </c>
      <c r="I119" s="230">
        <f t="shared" si="10"/>
        <v>9.7571052935261058</v>
      </c>
      <c r="J119" s="233">
        <f t="shared" si="11"/>
        <v>7.7317463195898384E-2</v>
      </c>
      <c r="L119" s="239">
        <f>C119/TEN!D$34</f>
        <v>0.12294470785999922</v>
      </c>
    </row>
    <row r="120" spans="1:12" x14ac:dyDescent="0.3">
      <c r="A120" s="227" t="s">
        <v>297</v>
      </c>
      <c r="B120" s="227" t="s">
        <v>168</v>
      </c>
      <c r="C120" s="228">
        <v>40.004984662576682</v>
      </c>
      <c r="D120" s="228">
        <v>26.08325</v>
      </c>
      <c r="E120" s="228">
        <v>210.14375000000001</v>
      </c>
      <c r="F120" s="228">
        <v>2.4720000000000004</v>
      </c>
      <c r="H120" s="233">
        <f t="shared" si="9"/>
        <v>0.65200000000000002</v>
      </c>
      <c r="I120" s="230">
        <f t="shared" si="10"/>
        <v>8.0566551330834937</v>
      </c>
      <c r="J120" s="233">
        <f t="shared" si="11"/>
        <v>9.4773465729922471E-2</v>
      </c>
      <c r="L120" s="239">
        <f>C120/TEN!D$34</f>
        <v>7.2489331647520111E-2</v>
      </c>
    </row>
    <row r="121" spans="1:12" x14ac:dyDescent="0.3">
      <c r="A121" s="227" t="s">
        <v>781</v>
      </c>
      <c r="B121" s="227" t="s">
        <v>168</v>
      </c>
      <c r="C121" s="228">
        <v>13.668824163969795</v>
      </c>
      <c r="D121" s="228">
        <v>8.4473333333333329</v>
      </c>
      <c r="E121" s="228">
        <v>120.21</v>
      </c>
      <c r="F121" s="228">
        <v>0.71599999999999986</v>
      </c>
      <c r="H121" s="233">
        <f t="shared" si="9"/>
        <v>0.61799999999999999</v>
      </c>
      <c r="I121" s="230">
        <f t="shared" si="10"/>
        <v>14.230526398863546</v>
      </c>
      <c r="J121" s="233">
        <f t="shared" si="11"/>
        <v>8.4760476679030847E-2</v>
      </c>
      <c r="L121" s="239">
        <f>C121/TEN!D$34</f>
        <v>2.4768011696815986E-2</v>
      </c>
    </row>
    <row r="122" spans="1:12" x14ac:dyDescent="0.3">
      <c r="A122" s="227" t="s">
        <v>780</v>
      </c>
      <c r="B122" s="227" t="s">
        <v>168</v>
      </c>
      <c r="C122" s="228">
        <v>11.018826135105204</v>
      </c>
      <c r="D122" s="228">
        <v>6.6333333333333329</v>
      </c>
      <c r="E122" s="228">
        <v>70.966666666666669</v>
      </c>
      <c r="F122" s="228">
        <v>0.46666666666666662</v>
      </c>
      <c r="H122" s="233">
        <f t="shared" si="9"/>
        <v>0.60199999999999998</v>
      </c>
      <c r="I122" s="230">
        <f t="shared" si="10"/>
        <v>10.69849246231156</v>
      </c>
      <c r="J122" s="233">
        <f t="shared" si="11"/>
        <v>7.0351758793969849E-2</v>
      </c>
      <c r="L122" s="239">
        <f>C122/TEN!D$34</f>
        <v>1.9966195433170724E-2</v>
      </c>
    </row>
    <row r="123" spans="1:12" x14ac:dyDescent="0.3">
      <c r="A123" s="227" t="s">
        <v>779</v>
      </c>
      <c r="B123" s="227" t="s">
        <v>168</v>
      </c>
      <c r="C123" s="228">
        <v>5.3937432578209279</v>
      </c>
      <c r="D123" s="228">
        <v>3.3333333333333335</v>
      </c>
      <c r="E123" s="228">
        <v>31.966666666666669</v>
      </c>
      <c r="F123" s="228">
        <v>6.6666666666666666E-2</v>
      </c>
      <c r="H123" s="233">
        <f t="shared" si="9"/>
        <v>0.61799999999999999</v>
      </c>
      <c r="I123" s="230">
        <f t="shared" si="10"/>
        <v>9.59</v>
      </c>
      <c r="J123" s="233">
        <f t="shared" si="11"/>
        <v>0.02</v>
      </c>
      <c r="L123" s="239">
        <f>C123/TEN!D$34</f>
        <v>9.7735031555583555E-3</v>
      </c>
    </row>
    <row r="124" spans="1:12" x14ac:dyDescent="0.3">
      <c r="A124" s="227" t="s">
        <v>231</v>
      </c>
      <c r="B124" s="227" t="s">
        <v>691</v>
      </c>
      <c r="C124" s="228">
        <v>73.981877022653734</v>
      </c>
      <c r="D124" s="228">
        <v>45.720800000000004</v>
      </c>
      <c r="E124" s="228">
        <v>490.18720000000002</v>
      </c>
      <c r="F124" s="228">
        <v>5.2059999999999995</v>
      </c>
      <c r="H124" s="233">
        <f t="shared" si="9"/>
        <v>0.61799999999999999</v>
      </c>
      <c r="I124" s="230">
        <f t="shared" si="10"/>
        <v>10.721317212297247</v>
      </c>
      <c r="J124" s="233">
        <f t="shared" si="11"/>
        <v>0.11386502423404662</v>
      </c>
      <c r="L124" s="239">
        <f>C124/WSH!D$34</f>
        <v>0.11766714005518961</v>
      </c>
    </row>
    <row r="125" spans="1:12" x14ac:dyDescent="0.3">
      <c r="A125" s="227" t="s">
        <v>298</v>
      </c>
      <c r="B125" s="227" t="s">
        <v>691</v>
      </c>
      <c r="C125" s="228">
        <v>26.869631901840489</v>
      </c>
      <c r="D125" s="228">
        <v>17.518999999999998</v>
      </c>
      <c r="E125" s="228">
        <v>211.67075</v>
      </c>
      <c r="F125" s="228">
        <v>0.92100000000000004</v>
      </c>
      <c r="H125" s="233">
        <f t="shared" si="9"/>
        <v>0.65200000000000002</v>
      </c>
      <c r="I125" s="230">
        <f t="shared" si="10"/>
        <v>12.082353444831327</v>
      </c>
      <c r="J125" s="233">
        <f t="shared" si="11"/>
        <v>5.2571493806724136E-2</v>
      </c>
      <c r="L125" s="239">
        <f>C125/WSH!D$34</f>
        <v>4.2735773509195107E-2</v>
      </c>
    </row>
    <row r="126" spans="1:12" x14ac:dyDescent="0.3">
      <c r="A126" s="227" t="s">
        <v>655</v>
      </c>
      <c r="B126" s="227" t="s">
        <v>691</v>
      </c>
      <c r="C126" s="228">
        <v>6.9579288025889969</v>
      </c>
      <c r="D126" s="228">
        <v>4.3</v>
      </c>
      <c r="E126" s="228">
        <v>43.699999999999996</v>
      </c>
      <c r="F126" s="228">
        <v>0.19999999999999998</v>
      </c>
      <c r="H126" s="233">
        <f t="shared" si="9"/>
        <v>0.61799999999999999</v>
      </c>
      <c r="I126" s="230">
        <f t="shared" si="10"/>
        <v>10.162790697674419</v>
      </c>
      <c r="J126" s="233">
        <f t="shared" si="11"/>
        <v>4.6511627906976744E-2</v>
      </c>
      <c r="L126" s="239">
        <f>C126/WSH!D$34</f>
        <v>1.1066488386846146E-2</v>
      </c>
    </row>
    <row r="127" spans="1:12" x14ac:dyDescent="0.3">
      <c r="A127" s="227" t="s">
        <v>778</v>
      </c>
      <c r="B127" s="227" t="s">
        <v>691</v>
      </c>
      <c r="C127" s="228">
        <v>5.3156146179401995</v>
      </c>
      <c r="D127" s="228">
        <v>3.1999999999999997</v>
      </c>
      <c r="E127" s="228">
        <v>34.5</v>
      </c>
      <c r="F127" s="228">
        <v>0.19999999999999998</v>
      </c>
      <c r="H127" s="233">
        <f t="shared" si="9"/>
        <v>0.60199999999999998</v>
      </c>
      <c r="I127" s="230">
        <f t="shared" si="10"/>
        <v>10.781250000000002</v>
      </c>
      <c r="J127" s="233">
        <f t="shared" si="11"/>
        <v>6.25E-2</v>
      </c>
      <c r="L127" s="239">
        <f>C127/WSH!D$34</f>
        <v>8.4544106597492612E-3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08EC-336D-4D08-961A-CD8DE66441FB}">
  <sheetPr>
    <tabColor rgb="FFFFD69F"/>
  </sheetPr>
  <dimension ref="A1:AZ221"/>
  <sheetViews>
    <sheetView showGridLines="0" zoomScale="85" zoomScaleNormal="85" workbookViewId="0">
      <selection activeCell="N2" sqref="N2"/>
    </sheetView>
  </sheetViews>
  <sheetFormatPr defaultColWidth="9.109375" defaultRowHeight="13.8" x14ac:dyDescent="0.3"/>
  <cols>
    <col min="1" max="1" width="3.5546875" style="22" bestFit="1" customWidth="1"/>
    <col min="2" max="2" width="19.5546875" style="22" bestFit="1" customWidth="1"/>
    <col min="3" max="3" width="5.33203125" style="22" bestFit="1" customWidth="1"/>
    <col min="4" max="4" width="4.33203125" style="22" bestFit="1" customWidth="1"/>
    <col min="5" max="12" width="6.6640625" style="279" customWidth="1"/>
    <col min="13" max="13" width="7.6640625" style="22" bestFit="1" customWidth="1"/>
    <col min="14" max="14" width="5.88671875" style="22" bestFit="1" customWidth="1"/>
    <col min="15" max="15" width="5.6640625" style="22" customWidth="1"/>
    <col min="16" max="16" width="4.109375" style="22" bestFit="1" customWidth="1"/>
    <col min="17" max="17" width="22.33203125" style="22" bestFit="1" customWidth="1"/>
    <col min="18" max="18" width="5.109375" style="22" bestFit="1" customWidth="1"/>
    <col min="19" max="19" width="4.33203125" style="22" bestFit="1" customWidth="1"/>
    <col min="20" max="26" width="6.6640625" style="279" customWidth="1"/>
    <col min="27" max="27" width="7.6640625" style="22" bestFit="1" customWidth="1"/>
    <col min="28" max="28" width="5.88671875" style="22" bestFit="1" customWidth="1"/>
    <col min="29" max="29" width="5.6640625" style="22" customWidth="1"/>
    <col min="30" max="30" width="4.109375" style="22" bestFit="1" customWidth="1"/>
    <col min="31" max="31" width="25.5546875" style="22" bestFit="1" customWidth="1"/>
    <col min="32" max="32" width="5.33203125" style="22" bestFit="1" customWidth="1"/>
    <col min="33" max="33" width="4.33203125" style="22" bestFit="1" customWidth="1"/>
    <col min="34" max="39" width="6.6640625" style="279" customWidth="1"/>
    <col min="40" max="40" width="7.6640625" style="22" bestFit="1" customWidth="1"/>
    <col min="41" max="41" width="5.88671875" style="22" bestFit="1" customWidth="1"/>
    <col min="42" max="42" width="5.6640625" style="22" customWidth="1"/>
    <col min="43" max="43" width="4.109375" style="22" bestFit="1" customWidth="1"/>
    <col min="44" max="44" width="21.44140625" style="22" bestFit="1" customWidth="1"/>
    <col min="45" max="45" width="5.33203125" style="22" bestFit="1" customWidth="1"/>
    <col min="46" max="46" width="4.33203125" style="22" customWidth="1"/>
    <col min="47" max="50" width="6.6640625" style="279" customWidth="1"/>
    <col min="51" max="51" width="7.6640625" style="22" bestFit="1" customWidth="1"/>
    <col min="52" max="52" width="5.88671875" style="22" bestFit="1" customWidth="1"/>
    <col min="53" max="16384" width="9.109375" style="22"/>
  </cols>
  <sheetData>
    <row r="1" spans="1:52" s="20" customFormat="1" ht="27.6" x14ac:dyDescent="0.3">
      <c r="A1" s="280" t="s">
        <v>191</v>
      </c>
      <c r="B1" s="280" t="s">
        <v>507</v>
      </c>
      <c r="C1" s="280" t="s">
        <v>136</v>
      </c>
      <c r="D1" s="280" t="s">
        <v>174</v>
      </c>
      <c r="E1" s="281" t="s">
        <v>360</v>
      </c>
      <c r="F1" s="281" t="s">
        <v>1</v>
      </c>
      <c r="G1" s="281" t="s">
        <v>363</v>
      </c>
      <c r="H1" s="281" t="s">
        <v>410</v>
      </c>
      <c r="I1" s="281" t="s">
        <v>2</v>
      </c>
      <c r="J1" s="281" t="s">
        <v>411</v>
      </c>
      <c r="K1" s="281" t="s">
        <v>367</v>
      </c>
      <c r="L1" s="281" t="s">
        <v>412</v>
      </c>
      <c r="M1" s="280" t="s">
        <v>169</v>
      </c>
      <c r="N1" s="280" t="s">
        <v>477</v>
      </c>
      <c r="O1" s="277"/>
      <c r="P1" s="280" t="s">
        <v>191</v>
      </c>
      <c r="Q1" s="280" t="s">
        <v>507</v>
      </c>
      <c r="R1" s="280" t="s">
        <v>136</v>
      </c>
      <c r="S1" s="280" t="s">
        <v>174</v>
      </c>
      <c r="T1" s="281" t="s">
        <v>411</v>
      </c>
      <c r="U1" s="281" t="s">
        <v>367</v>
      </c>
      <c r="V1" s="281" t="s">
        <v>412</v>
      </c>
      <c r="W1" s="281" t="s">
        <v>839</v>
      </c>
      <c r="X1" s="281" t="s">
        <v>4</v>
      </c>
      <c r="Y1" s="281" t="s">
        <v>373</v>
      </c>
      <c r="Z1" s="281" t="s">
        <v>413</v>
      </c>
      <c r="AA1" s="280" t="s">
        <v>169</v>
      </c>
      <c r="AB1" s="280" t="s">
        <v>477</v>
      </c>
      <c r="AC1" s="277"/>
      <c r="AD1" s="280" t="s">
        <v>191</v>
      </c>
      <c r="AE1" s="280" t="s">
        <v>507</v>
      </c>
      <c r="AF1" s="280" t="s">
        <v>136</v>
      </c>
      <c r="AG1" s="280" t="s">
        <v>174</v>
      </c>
      <c r="AH1" s="281" t="s">
        <v>367</v>
      </c>
      <c r="AI1" s="281" t="s">
        <v>412</v>
      </c>
      <c r="AJ1" s="281" t="s">
        <v>839</v>
      </c>
      <c r="AK1" s="281" t="s">
        <v>4</v>
      </c>
      <c r="AL1" s="281" t="s">
        <v>373</v>
      </c>
      <c r="AM1" s="281" t="s">
        <v>413</v>
      </c>
      <c r="AN1" s="280" t="s">
        <v>169</v>
      </c>
      <c r="AO1" s="280" t="s">
        <v>477</v>
      </c>
      <c r="AP1" s="277"/>
      <c r="AQ1" s="280" t="s">
        <v>191</v>
      </c>
      <c r="AR1" s="280" t="s">
        <v>507</v>
      </c>
      <c r="AS1" s="280" t="s">
        <v>136</v>
      </c>
      <c r="AT1" s="280" t="s">
        <v>174</v>
      </c>
      <c r="AU1" s="281" t="s">
        <v>839</v>
      </c>
      <c r="AV1" s="281" t="s">
        <v>4</v>
      </c>
      <c r="AW1" s="281" t="s">
        <v>373</v>
      </c>
      <c r="AX1" s="281" t="s">
        <v>413</v>
      </c>
      <c r="AY1" s="280" t="s">
        <v>169</v>
      </c>
      <c r="AZ1" s="280" t="s">
        <v>477</v>
      </c>
    </row>
    <row r="2" spans="1:52" x14ac:dyDescent="0.3">
      <c r="A2" s="22">
        <v>1</v>
      </c>
      <c r="B2" s="22" t="str">
        <f>VLOOKUP(TableQBRanks3040[[#This Row],[RK]],Rankings!A:Q,3,FALSE)</f>
        <v>Josh Allen</v>
      </c>
      <c r="C2" s="22" t="str">
        <f>IFERROR(INDEX(TableQBCalcPts[TM],MATCH(TableQBRanks3040[[#This Row],[Player]],TableQBCalcPts[PLAYER],0)),"")</f>
        <v>BUF</v>
      </c>
      <c r="D2" s="22">
        <f>IFERROR(INDEX(TableQBCalcPts[BYE],MATCH(TableQBRanks3040[[#This Row],[RK]],TableQBCalcPts[RK],0)),"")</f>
        <v>7</v>
      </c>
      <c r="E2" s="279">
        <f>VLOOKUP(TableQBRanks3040[[#This Row],[Player]],QB!B:O,4,FALSE)</f>
        <v>651.94629884999995</v>
      </c>
      <c r="F2" s="279">
        <f>VLOOKUP(TableQBRanks3040[[#This Row],[Player]],QB!B:O,5,FALSE)</f>
        <v>420.11444548436134</v>
      </c>
      <c r="G2" s="279">
        <f>VLOOKUP(TableQBRanks3040[[#This Row],[Player]],QB!B:O,6,FALSE)</f>
        <v>4659.0692004215671</v>
      </c>
      <c r="H2" s="279">
        <f>VLOOKUP(TableQBRanks3040[[#This Row],[Player]],QB!B:O,7,FALSE)</f>
        <v>37.390185648108158</v>
      </c>
      <c r="I2" s="279">
        <f>VLOOKUP(TableQBRanks3040[[#This Row],[Player]],QB!B:O,8,FALSE)</f>
        <v>10.126478057632715</v>
      </c>
      <c r="J2" s="279">
        <f>VLOOKUP(TableQBRanks3040[[#This Row],[Player]],QB!B:O,9,FALSE)</f>
        <v>120.56485053562976</v>
      </c>
      <c r="K2" s="279">
        <f>VLOOKUP(TableQBRanks3040[[#This Row],[Player]],QB!B:O,10,FALSE)</f>
        <v>700.66180489306487</v>
      </c>
      <c r="L2" s="279">
        <f>VLOOKUP(TableQBRanks3040[[#This Row],[Player]],QB!B:O,11,FALSE)</f>
        <v>6.0282425267814883</v>
      </c>
      <c r="M2" s="272">
        <f>VLOOKUP(TableQBRanks3040[[#This Row],[Player]],QB!B:O,13,FALSE)</f>
        <v>421.90619014402529</v>
      </c>
      <c r="N2" s="273">
        <f>IF(VLOOKUP(TableQBRanks3040[[#This Row],[RK]],'Ranks w Proj'!$A:$N,14,FALSE)&lt;0,0,VLOOKUP(TableQBRanks3040[[#This Row],[RK]],'Ranks w Proj'!$A:$N,14,FALSE))</f>
        <v>50.887346296766459</v>
      </c>
      <c r="P2" s="22">
        <v>1</v>
      </c>
      <c r="Q2" s="22" t="str">
        <f>VLOOKUP(TableRBRanks3141[[#This Row],[RK]],Rankings!A:Q,7,FALSE)</f>
        <v>Jonathan Taylor</v>
      </c>
      <c r="R2" s="22" t="str">
        <f>IFERROR(INDEX(TableRBCalcPts[TM],MATCH(TableRBRanks3141[[#This Row],[Player]],TableRBCalcPts[PLAYER],0)),"")</f>
        <v>IND</v>
      </c>
      <c r="S2" s="22">
        <f>IFERROR(INDEX(TableRBCalcPts[BYE],MATCH(TableRBRanks3141[[#This Row],[RK]],TableRBCalcPts[RK],0)),"")</f>
        <v>14</v>
      </c>
      <c r="T2" s="279">
        <f>VLOOKUP(TableRBRanks3141[[#This Row],[Player]],RB!B:O,4,FALSE)</f>
        <v>321.35008159244012</v>
      </c>
      <c r="U2" s="279">
        <f>VLOOKUP(TableRBRanks3141[[#This Row],[Player]],RB!B:O,5,FALSE)</f>
        <v>1654.503091332522</v>
      </c>
      <c r="V2" s="279">
        <f>VLOOKUP(TableRBRanks3141[[#This Row],[Player]],RB!B:O,6,FALSE)</f>
        <v>15.599822528090344</v>
      </c>
      <c r="W2" s="279">
        <f>VLOOKUP(TableRBRanks3141[[#This Row],[Player]],RB!B:O,7,FALSE)</f>
        <v>51.885555123918586</v>
      </c>
      <c r="X2" s="279">
        <f>VLOOKUP(TableRBRanks3141[[#This Row],[Player]],RB!B:O,8,FALSE)</f>
        <v>41.394295877862248</v>
      </c>
      <c r="Y2" s="279">
        <f>VLOOKUP(TableRBRanks3141[[#This Row],[Player]],RB!B:O,9,FALSE)</f>
        <v>343.98659874503528</v>
      </c>
      <c r="Z2" s="279">
        <f>VLOOKUP(TableRBRanks3141[[#This Row],[Player]],RB!B:O,10,FALSE)</f>
        <v>1.5600695532232667</v>
      </c>
      <c r="AA2" s="272">
        <f>VLOOKUP(TableRBRanks3141[[#This Row],[Player]],RB!B:O,14,FALSE)</f>
        <v>302.80832149563741</v>
      </c>
      <c r="AB2" s="273">
        <f>IF(VLOOKUP(TableRBRanks3141[[#This Row],[RK]],'Ranks w Proj'!$P:$AB,13,FALSE)&lt;0,0,VLOOKUP(TableRBRanks3141[[#This Row],[RK]],'Ranks w Proj'!$P:$AB,13,FALSE))</f>
        <v>102.07715843356709</v>
      </c>
      <c r="AD2" s="22">
        <v>1</v>
      </c>
      <c r="AE2" s="22" t="str">
        <f>VLOOKUP(TableWRRanks3242[[#This Row],[RK]],Rankings!A:Q,11,FALSE)</f>
        <v>Cooper Kupp</v>
      </c>
      <c r="AF2" s="22" t="str">
        <f>IFERROR(INDEX(TableWRCalcPts[TM],MATCH(TableWRRanks3242[[#This Row],[Player]],TableWRCalcPts[PLAYER],0)),"")</f>
        <v>LAR</v>
      </c>
      <c r="AG2" s="22">
        <f>IFERROR(INDEX(TableWRCalcPts[BYE],MATCH(TableWRRanks3242[[#This Row],[RK]],TableWRCalcPts[RK],0)),"")</f>
        <v>7</v>
      </c>
      <c r="AH2" s="279">
        <f>VLOOKUP(TableWRRanks3242[[#This Row],[Player]],WR!B:O,4,FALSE)</f>
        <v>15.529040913904405</v>
      </c>
      <c r="AI2" s="279">
        <f>VLOOKUP(TableWRRanks3242[[#This Row],[Player]],WR!B:O,5,FALSE)</f>
        <v>0</v>
      </c>
      <c r="AJ2" s="279">
        <f>VLOOKUP(TableWRRanks3242[[#This Row],[Player]],WR!B:O,6,FALSE)</f>
        <v>157.64857982603056</v>
      </c>
      <c r="AK2" s="279">
        <f>VLOOKUP(TableWRRanks3242[[#This Row],[Player]],WR!B:O,7,FALSE)</f>
        <v>121.21599302823491</v>
      </c>
      <c r="AL2" s="279">
        <f>VLOOKUP(TableWRRanks3242[[#This Row],[Player]],WR!B:O,8,FALSE)</f>
        <v>1602.4754278332655</v>
      </c>
      <c r="AM2" s="279">
        <f>VLOOKUP(TableWRRanks3242[[#This Row],[Player]],WR!B:O,9,FALSE)</f>
        <v>12.848895260992899</v>
      </c>
      <c r="AN2" s="272">
        <f>VLOOKUP(TableWRRanks3242[[#This Row],[Player]],WR!B:O,13,FALSE)</f>
        <v>238.89381844067441</v>
      </c>
      <c r="AO2" s="273">
        <f>IF(VLOOKUP(TableWRRanks3242[[#This Row],[RK]],'Ranks w Proj'!AD:AO,12,FALSE)&lt;0,0,VLOOKUP(TableWRRanks3242[[#This Row],[RK]],'Ranks w Proj'!AD:AO,12,FALSE))</f>
        <v>61.197275316131801</v>
      </c>
      <c r="AQ2" s="22">
        <v>1</v>
      </c>
      <c r="AR2" s="22" t="str">
        <f>VLOOKUP(TableTERanks3343[[#This Row],[RK]],Rankings!A:Q,15,FALSE)</f>
        <v>Travis Kelce</v>
      </c>
      <c r="AS2" s="22" t="str">
        <f>IFERROR(INDEX(TableTECalcPts[TM],MATCH(TableTERanks3343[[#This Row],[Player]],TableTECalcPts[PLAYER],0)),"")</f>
        <v>KC</v>
      </c>
      <c r="AT2" s="22">
        <f>IFERROR(INDEX(TableTECalcPts[BYE],MATCH(TableTERanks3343[[#This Row],[RK]],TableTECalcPts[RK],0)),"")</f>
        <v>8</v>
      </c>
      <c r="AU2" s="279">
        <f>VLOOKUP(TableTERanks3343[[#This Row],[Player]],TE!B:O,4,FALSE)</f>
        <v>139.66517068724178</v>
      </c>
      <c r="AV2" s="279">
        <f>VLOOKUP(TableTERanks3343[[#This Row],[Player]],TE!B:O,5,FALSE)</f>
        <v>101.09143350305139</v>
      </c>
      <c r="AW2" s="279">
        <f>VLOOKUP(TableTERanks3343[[#This Row],[Player]],TE!B:O,6,FALSE)</f>
        <v>1146.3768559246028</v>
      </c>
      <c r="AX2" s="279">
        <f>VLOOKUP(TableTERanks3343[[#This Row],[Player]],TE!B:O,7,FALSE)</f>
        <v>8.8960461482685211</v>
      </c>
      <c r="AY2" s="272">
        <f>VLOOKUP(TableTERanks3343[[#This Row],[Player]],TE!B:O,11,FALSE)</f>
        <v>168.01396248207141</v>
      </c>
      <c r="AZ2" s="273">
        <f>IF(VLOOKUP(TableTERanks3343[[#This Row],[RK]],'Ranks w Proj'!AQ:AZ,10,FALSE)&lt;0,0,VLOOKUP(TableTERanks3343[[#This Row],[RK]],'Ranks w Proj'!AQ:AZ,10,FALSE))</f>
        <v>32.847003918332348</v>
      </c>
    </row>
    <row r="3" spans="1:52" x14ac:dyDescent="0.3">
      <c r="A3" s="22">
        <v>2</v>
      </c>
      <c r="B3" s="22" t="str">
        <f>VLOOKUP(TableQBRanks3040[[#This Row],[RK]],Rankings!A:Q,3,FALSE)</f>
        <v>Lamar Jackson</v>
      </c>
      <c r="C3" s="22" t="str">
        <f>IFERROR(INDEX(TableQBCalcPts[TM],MATCH(TableQBRanks3040[[#This Row],[Player]],TableQBCalcPts[PLAYER],0)),"")</f>
        <v>BAL</v>
      </c>
      <c r="D3" s="22">
        <f>IFERROR(INDEX(TableQBCalcPts[BYE],MATCH(TableQBRanks3040[[#This Row],[RK]],TableQBCalcPts[RK],0)),"")</f>
        <v>7</v>
      </c>
      <c r="E3" s="279">
        <f>VLOOKUP(TableQBRanks3040[[#This Row],[Player]],QB!B:O,4,FALSE)</f>
        <v>494.6515</v>
      </c>
      <c r="F3" s="279">
        <f>VLOOKUP(TableQBRanks3040[[#This Row],[Player]],QB!B:O,5,FALSE)</f>
        <v>321.06154047054855</v>
      </c>
      <c r="G3" s="279">
        <f>VLOOKUP(TableQBRanks3040[[#This Row],[Player]],QB!B:O,6,FALSE)</f>
        <v>3615.1529456983767</v>
      </c>
      <c r="H3" s="279">
        <f>VLOOKUP(TableQBRanks3040[[#This Row],[Player]],QB!B:O,7,FALSE)</f>
        <v>30.308209420419782</v>
      </c>
      <c r="I3" s="279">
        <f>VLOOKUP(TableQBRanks3040[[#This Row],[Player]],QB!B:O,8,FALSE)</f>
        <v>9.4681371888136034</v>
      </c>
      <c r="J3" s="279">
        <f>VLOOKUP(TableQBRanks3040[[#This Row],[Player]],QB!B:O,9,FALSE)</f>
        <v>173.58438227729116</v>
      </c>
      <c r="K3" s="279">
        <f>VLOOKUP(TableQBRanks3040[[#This Row],[Player]],QB!B:O,10,FALSE)</f>
        <v>1025.8836992587908</v>
      </c>
      <c r="L3" s="279">
        <f>VLOOKUP(TableQBRanks3040[[#This Row],[Player]],QB!B:O,11,FALSE)</f>
        <v>5.3811158505960259</v>
      </c>
      <c r="M3" s="272">
        <f>VLOOKUP(TableQBRanks3040[[#This Row],[Player]],QB!B:O,13,FALSE)</f>
        <v>381.77774616144228</v>
      </c>
      <c r="N3" s="273">
        <f>IF(VLOOKUP(TableQBRanks3040[[#This Row],[RK]],'Ranks w Proj'!$A:$N,14,FALSE)&lt;0,0,VLOOKUP(TableQBRanks3040[[#This Row],[RK]],'Ranks w Proj'!$A:$N,14,FALSE))</f>
        <v>44.08530680673455</v>
      </c>
      <c r="P3" s="22">
        <v>2</v>
      </c>
      <c r="Q3" s="22" t="str">
        <f>VLOOKUP(TableRBRanks3141[[#This Row],[RK]],Rankings!A:Q,7,FALSE)</f>
        <v>Christian McCaffrey</v>
      </c>
      <c r="R3" s="22" t="str">
        <f>IFERROR(INDEX(TableRBCalcPts[TM],MATCH(TableRBRanks3141[[#This Row],[Player]],TableRBCalcPts[PLAYER],0)),"")</f>
        <v>CAR</v>
      </c>
      <c r="S3" s="22">
        <f>IFERROR(INDEX(TableRBCalcPts[BYE],MATCH(TableRBRanks3141[[#This Row],[RK]],TableRBCalcPts[RK],0)),"")</f>
        <v>6</v>
      </c>
      <c r="T3" s="279">
        <f>VLOOKUP(TableRBRanks3141[[#This Row],[Player]],RB!B:O,4,FALSE)</f>
        <v>260.61946169948999</v>
      </c>
      <c r="U3" s="279">
        <f>VLOOKUP(TableRBRanks3141[[#This Row],[Player]],RB!B:O,5,FALSE)</f>
        <v>1158.6820075018884</v>
      </c>
      <c r="V3" s="279">
        <f>VLOOKUP(TableRBRanks3141[[#This Row],[Player]],RB!B:O,6,FALSE)</f>
        <v>10.763583768188937</v>
      </c>
      <c r="W3" s="279">
        <f>VLOOKUP(TableRBRanks3141[[#This Row],[Player]],RB!B:O,7,FALSE)</f>
        <v>110.45809452544658</v>
      </c>
      <c r="X3" s="279">
        <f>VLOOKUP(TableRBRanks3141[[#This Row],[Player]],RB!B:O,8,FALSE)</f>
        <v>87.173528199482448</v>
      </c>
      <c r="Y3" s="279">
        <f>VLOOKUP(TableRBRanks3141[[#This Row],[Player]],RB!B:O,9,FALSE)</f>
        <v>697.52005654678067</v>
      </c>
      <c r="Z3" s="279">
        <f>VLOOKUP(TableRBRanks3141[[#This Row],[Player]],RB!B:O,10,FALSE)</f>
        <v>2.7164661558891661</v>
      </c>
      <c r="AA3" s="272">
        <f>VLOOKUP(TableRBRanks3141[[#This Row],[Player]],RB!B:O,14,FALSE)</f>
        <v>266.50050594933555</v>
      </c>
      <c r="AB3" s="273">
        <f>IF(VLOOKUP(TableRBRanks3141[[#This Row],[RK]],'Ranks w Proj'!$P:$AB,13,FALSE)&lt;0,0,VLOOKUP(TableRBRanks3141[[#This Row],[RK]],'Ranks w Proj'!$P:$AB,13,FALSE))</f>
        <v>95.307839927672021</v>
      </c>
      <c r="AD3" s="274">
        <v>2</v>
      </c>
      <c r="AE3" s="274" t="str">
        <f>VLOOKUP(TableWRRanks3242[[#This Row],[RK]],Rankings!A:Q,11,FALSE)</f>
        <v>Ja'Marr Chase</v>
      </c>
      <c r="AF3" s="22" t="str">
        <f>IFERROR(INDEX(TableWRCalcPts[TM],MATCH(TableWRRanks3242[[#This Row],[Player]],TableWRCalcPts[PLAYER],0)),"")</f>
        <v>CIN</v>
      </c>
      <c r="AG3" s="22">
        <f>IFERROR(INDEX(TableWRCalcPts[BYE],MATCH(TableWRRanks3242[[#This Row],[RK]],TableWRCalcPts[RK],0)),"")</f>
        <v>10</v>
      </c>
      <c r="AH3" s="279">
        <f>VLOOKUP(TableWRRanks3242[[#This Row],[Player]],WR!B:O,4,FALSE)</f>
        <v>46.033349728575963</v>
      </c>
      <c r="AI3" s="279">
        <f>VLOOKUP(TableWRRanks3242[[#This Row],[Player]],WR!B:O,5,FALSE)</f>
        <v>0</v>
      </c>
      <c r="AJ3" s="279">
        <f>VLOOKUP(TableWRRanks3242[[#This Row],[Player]],WR!B:O,6,FALSE)</f>
        <v>141.99341870262825</v>
      </c>
      <c r="AK3" s="279">
        <f>VLOOKUP(TableWRRanks3242[[#This Row],[Player]],WR!B:O,7,FALSE)</f>
        <v>91.642552430676261</v>
      </c>
      <c r="AL3" s="279">
        <f>VLOOKUP(TableWRRanks3242[[#This Row],[Player]],WR!B:O,8,FALSE)</f>
        <v>1573.5026252347116</v>
      </c>
      <c r="AM3" s="279">
        <f>VLOOKUP(TableWRRanks3242[[#This Row],[Player]],WR!B:O,9,FALSE)</f>
        <v>12.00517436841859</v>
      </c>
      <c r="AN3" s="272">
        <f>VLOOKUP(TableWRRanks3242[[#This Row],[Player]],WR!B:O,13,FALSE)</f>
        <v>233.9846437068403</v>
      </c>
      <c r="AO3" s="273">
        <f>IF(VLOOKUP(TableWRRanks3242[[#This Row],[RK]],'Ranks w Proj'!AD:AO,12,FALSE)&lt;0,0,VLOOKUP(TableWRRanks3242[[#This Row],[RK]],'Ranks w Proj'!AD:AO,12,FALSE))</f>
        <v>58.884890369940763</v>
      </c>
      <c r="AQ3" s="274">
        <v>2</v>
      </c>
      <c r="AR3" s="274" t="str">
        <f>VLOOKUP(TableTERanks3343[[#This Row],[RK]],Rankings!A:Q,15,FALSE)</f>
        <v>Mark Andrews</v>
      </c>
      <c r="AS3" s="22" t="str">
        <f>IFERROR(INDEX(TableTECalcPts[TM],MATCH(TableTERanks3343[[#This Row],[Player]],TableTECalcPts[PLAYER],0)),"")</f>
        <v>BAL</v>
      </c>
      <c r="AT3" s="22">
        <f>IFERROR(INDEX(TableTECalcPts[BYE],MATCH(TableTERanks3343[[#This Row],[RK]],TableTECalcPts[RK],0)),"")</f>
        <v>10</v>
      </c>
      <c r="AU3" s="279">
        <f>VLOOKUP(TableTERanks3343[[#This Row],[Player]],TE!B:O,4,FALSE)</f>
        <v>119.84557117550085</v>
      </c>
      <c r="AV3" s="279">
        <f>VLOOKUP(TableTERanks3343[[#This Row],[Player]],TE!B:O,5,FALSE)</f>
        <v>79.443691066075004</v>
      </c>
      <c r="AW3" s="279">
        <f>VLOOKUP(TableTERanks3343[[#This Row],[Player]],TE!B:O,6,FALSE)</f>
        <v>1013.1941631612659</v>
      </c>
      <c r="AX3" s="279">
        <f>VLOOKUP(TableTERanks3343[[#This Row],[Player]],TE!B:O,7,FALSE)</f>
        <v>9.7715740011272256</v>
      </c>
      <c r="AY3" s="272">
        <f>VLOOKUP(TableTERanks3343[[#This Row],[Player]],TE!B:O,11,FALSE)</f>
        <v>159.94886032288994</v>
      </c>
      <c r="AZ3" s="273">
        <f>IF(VLOOKUP(TableTERanks3343[[#This Row],[RK]],'Ranks w Proj'!AQ:AZ,10,FALSE)&lt;0,0,VLOOKUP(TableTERanks3343[[#This Row],[RK]],'Ranks w Proj'!AQ:AZ,10,FALSE))</f>
        <v>28.80630683441748</v>
      </c>
    </row>
    <row r="4" spans="1:52" x14ac:dyDescent="0.3">
      <c r="A4" s="22">
        <v>3</v>
      </c>
      <c r="B4" s="22" t="str">
        <f>VLOOKUP(TableQBRanks3040[[#This Row],[RK]],Rankings!A:Q,3,FALSE)</f>
        <v>Jalen Hurts</v>
      </c>
      <c r="C4" s="22" t="str">
        <f>IFERROR(INDEX(TableQBCalcPts[TM],MATCH(TableQBRanks3040[[#This Row],[Player]],TableQBCalcPts[PLAYER],0)),"")</f>
        <v>PHI</v>
      </c>
      <c r="D4" s="22">
        <f>IFERROR(INDEX(TableQBCalcPts[BYE],MATCH(TableQBRanks3040[[#This Row],[RK]],TableQBCalcPts[RK],0)),"")</f>
        <v>8</v>
      </c>
      <c r="E4" s="279">
        <f>VLOOKUP(TableQBRanks3040[[#This Row],[Player]],QB!B:O,4,FALSE)</f>
        <v>572.11962574999995</v>
      </c>
      <c r="F4" s="279">
        <f>VLOOKUP(TableQBRanks3040[[#This Row],[Player]],QB!B:O,5,FALSE)</f>
        <v>355.28628759074996</v>
      </c>
      <c r="G4" s="279">
        <f>VLOOKUP(TableQBRanks3040[[#This Row],[Player]],QB!B:O,6,FALSE)</f>
        <v>4253.575461040512</v>
      </c>
      <c r="H4" s="279">
        <f>VLOOKUP(TableQBRanks3040[[#This Row],[Player]],QB!B:O,7,FALSE)</f>
        <v>27.357044144487748</v>
      </c>
      <c r="I4" s="279">
        <f>VLOOKUP(TableQBRanks3040[[#This Row],[Player]],QB!B:O,8,FALSE)</f>
        <v>8.5219986998548798</v>
      </c>
      <c r="J4" s="279">
        <f>VLOOKUP(TableQBRanks3040[[#This Row],[Player]],QB!B:O,9,FALSE)</f>
        <v>134.58895552938262</v>
      </c>
      <c r="K4" s="279">
        <f>VLOOKUP(TableQBRanks3040[[#This Row],[Player]],QB!B:O,10,FALSE)</f>
        <v>763.11937785159944</v>
      </c>
      <c r="L4" s="279">
        <f>VLOOKUP(TableQBRanks3040[[#This Row],[Player]],QB!B:O,11,FALSE)</f>
        <v>9.152048975998019</v>
      </c>
      <c r="M4" s="272">
        <f>VLOOKUP(TableQBRanks3040[[#This Row],[Player]],QB!B:O,13,FALSE)</f>
        <v>393.75142926100978</v>
      </c>
      <c r="N4" s="273">
        <f>IF(VLOOKUP(TableQBRanks3040[[#This Row],[RK]],'Ranks w Proj'!$A:$N,14,FALSE)&lt;0,0,VLOOKUP(TableQBRanks3040[[#This Row],[RK]],'Ranks w Proj'!$A:$N,14,FALSE))</f>
        <v>37.657405235825244</v>
      </c>
      <c r="P4" s="22">
        <v>3</v>
      </c>
      <c r="Q4" s="22" t="str">
        <f>VLOOKUP(TableRBRanks3141[[#This Row],[RK]],Rankings!A:Q,7,FALSE)</f>
        <v>Derrick Henry</v>
      </c>
      <c r="R4" s="22" t="str">
        <f>IFERROR(INDEX(TableRBCalcPts[TM],MATCH(TableRBRanks3141[[#This Row],[Player]],TableRBCalcPts[PLAYER],0)),"")</f>
        <v>TEN</v>
      </c>
      <c r="S4" s="22">
        <f>IFERROR(INDEX(TableRBCalcPts[BYE],MATCH(TableRBRanks3141[[#This Row],[RK]],TableRBCalcPts[RK],0)),"")</f>
        <v>13</v>
      </c>
      <c r="T4" s="279">
        <f>VLOOKUP(TableRBRanks3141[[#This Row],[Player]],RB!B:O,4,FALSE)</f>
        <v>379.73627374053865</v>
      </c>
      <c r="U4" s="279">
        <f>VLOOKUP(TableRBRanks3141[[#This Row],[Player]],RB!B:O,5,FALSE)</f>
        <v>1701.2185063576133</v>
      </c>
      <c r="V4" s="279">
        <f>VLOOKUP(TableRBRanks3141[[#This Row],[Player]],RB!B:O,6,FALSE)</f>
        <v>15.341345459117761</v>
      </c>
      <c r="W4" s="279">
        <f>VLOOKUP(TableRBRanks3141[[#This Row],[Player]],RB!B:O,7,FALSE)</f>
        <v>35.81076020525925</v>
      </c>
      <c r="X4" s="279">
        <f>VLOOKUP(TableRBRanks3141[[#This Row],[Player]],RB!B:O,8,FALSE)</f>
        <v>29.597593309646772</v>
      </c>
      <c r="Y4" s="279">
        <f>VLOOKUP(TableRBRanks3141[[#This Row],[Player]],RB!B:O,9,FALSE)</f>
        <v>232.46296780081911</v>
      </c>
      <c r="Z4" s="279">
        <f>VLOOKUP(TableRBRanks3141[[#This Row],[Player]],RB!B:O,10,FALSE)</f>
        <v>0.67170110667653082</v>
      </c>
      <c r="AA4" s="272">
        <f>VLOOKUP(TableRBRanks3141[[#This Row],[Player]],RB!B:O,14,FALSE)</f>
        <v>289.44642681060907</v>
      </c>
      <c r="AB4" s="273">
        <f>IF(VLOOKUP(TableRBRanks3141[[#This Row],[RK]],'Ranks w Proj'!$P:$AB,13,FALSE)&lt;0,0,VLOOKUP(TableRBRanks3141[[#This Row],[RK]],'Ranks w Proj'!$P:$AB,13,FALSE))</f>
        <v>83.683122746278329</v>
      </c>
      <c r="AD4" s="22">
        <v>3</v>
      </c>
      <c r="AE4" s="274" t="str">
        <f>VLOOKUP(TableWRRanks3242[[#This Row],[RK]],Rankings!A:Q,11,FALSE)</f>
        <v>Justin Jefferson</v>
      </c>
      <c r="AF4" s="22" t="str">
        <f>IFERROR(INDEX(TableWRCalcPts[TM],MATCH(TableWRRanks3242[[#This Row],[Player]],TableWRCalcPts[PLAYER],0)),"")</f>
        <v>MIN</v>
      </c>
      <c r="AG4" s="22">
        <f>IFERROR(INDEX(TableWRCalcPts[BYE],MATCH(TableWRRanks3242[[#This Row],[RK]],TableWRCalcPts[RK],0)),"")</f>
        <v>9</v>
      </c>
      <c r="AH4" s="279">
        <f>VLOOKUP(TableWRRanks3242[[#This Row],[Player]],WR!B:O,4,FALSE)</f>
        <v>18.39880980917491</v>
      </c>
      <c r="AI4" s="279">
        <f>VLOOKUP(TableWRRanks3242[[#This Row],[Player]],WR!B:O,5,FALSE)</f>
        <v>0</v>
      </c>
      <c r="AJ4" s="279">
        <f>VLOOKUP(TableWRRanks3242[[#This Row],[Player]],WR!B:O,6,FALSE)</f>
        <v>153.07162114672514</v>
      </c>
      <c r="AK4" s="279">
        <f>VLOOKUP(TableWRRanks3242[[#This Row],[Player]],WR!B:O,7,FALSE)</f>
        <v>99.809495727206254</v>
      </c>
      <c r="AL4" s="279">
        <f>VLOOKUP(TableWRRanks3242[[#This Row],[Player]],WR!B:O,8,FALSE)</f>
        <v>1469.1957771044761</v>
      </c>
      <c r="AM4" s="279">
        <f>VLOOKUP(TableWRRanks3242[[#This Row],[Player]],WR!B:O,9,FALSE)</f>
        <v>8.9828546154485629</v>
      </c>
      <c r="AN4" s="272">
        <f>VLOOKUP(TableWRRanks3242[[#This Row],[Player]],WR!B:O,13,FALSE)</f>
        <v>202.65658638405648</v>
      </c>
      <c r="AO4" s="273">
        <f>IF(VLOOKUP(TableWRRanks3242[[#This Row],[RK]],'Ranks w Proj'!AD:AO,12,FALSE)&lt;0,0,VLOOKUP(TableWRRanks3242[[#This Row],[RK]],'Ranks w Proj'!AD:AO,12,FALSE))</f>
        <v>45.092292972246433</v>
      </c>
      <c r="AQ4" s="22">
        <v>3</v>
      </c>
      <c r="AR4" s="274" t="str">
        <f>VLOOKUP(TableTERanks3343[[#This Row],[RK]],Rankings!A:Q,15,FALSE)</f>
        <v>Kyle Pitts</v>
      </c>
      <c r="AS4" s="22" t="str">
        <f>IFERROR(INDEX(TableTECalcPts[TM],MATCH(TableTERanks3343[[#This Row],[Player]],TableTECalcPts[PLAYER],0)),"")</f>
        <v>ATL</v>
      </c>
      <c r="AT4" s="22">
        <f>IFERROR(INDEX(TableTECalcPts[BYE],MATCH(TableTERanks3343[[#This Row],[RK]],TableTECalcPts[RK],0)),"")</f>
        <v>14</v>
      </c>
      <c r="AU4" s="279">
        <f>VLOOKUP(TableTERanks3343[[#This Row],[Player]],TE!B:O,4,FALSE)</f>
        <v>135.32458728893246</v>
      </c>
      <c r="AV4" s="279">
        <f>VLOOKUP(TableTERanks3343[[#This Row],[Player]],TE!B:O,5,FALSE)</f>
        <v>82.953972008115599</v>
      </c>
      <c r="AW4" s="279">
        <f>VLOOKUP(TableTERanks3343[[#This Row],[Player]],TE!B:O,6,FALSE)</f>
        <v>1214.6307347246861</v>
      </c>
      <c r="AX4" s="279">
        <f>VLOOKUP(TableTERanks3343[[#This Row],[Player]],TE!B:O,7,FALSE)</f>
        <v>5.8067780405680924</v>
      </c>
      <c r="AY4" s="272">
        <f>VLOOKUP(TableTERanks3343[[#This Row],[Player]],TE!B:O,11,FALSE)</f>
        <v>156.30374171587718</v>
      </c>
      <c r="AZ4" s="273">
        <f>IF(VLOOKUP(TableTERanks3343[[#This Row],[RK]],'Ranks w Proj'!AQ:AZ,10,FALSE)&lt;0,0,VLOOKUP(TableTERanks3343[[#This Row],[RK]],'Ranks w Proj'!AQ:AZ,10,FALSE))</f>
        <v>26.980065847610799</v>
      </c>
    </row>
    <row r="5" spans="1:52" x14ac:dyDescent="0.3">
      <c r="A5" s="22">
        <v>4</v>
      </c>
      <c r="B5" s="22" t="str">
        <f>VLOOKUP(TableQBRanks3040[[#This Row],[RK]],Rankings!A:Q,3,FALSE)</f>
        <v>Justin Herbert</v>
      </c>
      <c r="C5" s="22" t="str">
        <f>IFERROR(INDEX(TableQBCalcPts[TM],MATCH(TableQBRanks3040[[#This Row],[Player]],TableQBCalcPts[PLAYER],0)),"")</f>
        <v>LAC</v>
      </c>
      <c r="D5" s="22">
        <f>IFERROR(INDEX(TableQBCalcPts[BYE],MATCH(TableQBRanks3040[[#This Row],[RK]],TableQBCalcPts[RK],0)),"")</f>
        <v>8</v>
      </c>
      <c r="E5" s="279">
        <f>VLOOKUP(TableQBRanks3040[[#This Row],[Player]],QB!B:O,4,FALSE)</f>
        <v>683.19667350000009</v>
      </c>
      <c r="F5" s="279">
        <f>VLOOKUP(TableQBRanks3040[[#This Row],[Player]],QB!B:O,5,FALSE)</f>
        <v>453.42264227056302</v>
      </c>
      <c r="G5" s="279">
        <f>VLOOKUP(TableQBRanks3040[[#This Row],[Player]],QB!B:O,6,FALSE)</f>
        <v>5155.4198459273193</v>
      </c>
      <c r="H5" s="279">
        <f>VLOOKUP(TableQBRanks3040[[#This Row],[Player]],QB!B:O,7,FALSE)</f>
        <v>38.268871007635518</v>
      </c>
      <c r="I5" s="279">
        <f>VLOOKUP(TableQBRanks3040[[#This Row],[Player]],QB!B:O,8,FALSE)</f>
        <v>10.238594983099787</v>
      </c>
      <c r="J5" s="279">
        <f>VLOOKUP(TableQBRanks3040[[#This Row],[Player]],QB!B:O,9,FALSE)</f>
        <v>56.347575291854504</v>
      </c>
      <c r="K5" s="279">
        <f>VLOOKUP(TableQBRanks3040[[#This Row],[Player]],QB!B:O,10,FALSE)</f>
        <v>272.72226441257578</v>
      </c>
      <c r="L5" s="279">
        <f>VLOOKUP(TableQBRanks3040[[#This Row],[Player]],QB!B:O,11,FALSE)</f>
        <v>3.1154603058103687</v>
      </c>
      <c r="M5" s="272">
        <f>VLOOKUP(TableQBRanks3040[[#This Row],[Player]],QB!B:O,13,FALSE)</f>
        <v>384.78007617755509</v>
      </c>
      <c r="N5" s="273">
        <f>IF(VLOOKUP(TableQBRanks3040[[#This Row],[RK]],'Ranks w Proj'!$A:$N,14,FALSE)&lt;0,0,VLOOKUP(TableQBRanks3040[[#This Row],[RK]],'Ranks w Proj'!$A:$N,14,FALSE))</f>
        <v>32.049851617238609</v>
      </c>
      <c r="P5" s="22">
        <v>4</v>
      </c>
      <c r="Q5" s="22" t="str">
        <f>VLOOKUP(TableRBRanks3141[[#This Row],[RK]],Rankings!A:Q,7,FALSE)</f>
        <v>Najee Harris</v>
      </c>
      <c r="R5" s="22" t="str">
        <f>IFERROR(INDEX(TableRBCalcPts[TM],MATCH(TableRBRanks3141[[#This Row],[Player]],TableRBCalcPts[PLAYER],0)),"")</f>
        <v>PIT</v>
      </c>
      <c r="S5" s="22">
        <f>IFERROR(INDEX(TableRBCalcPts[BYE],MATCH(TableRBRanks3141[[#This Row],[RK]],TableRBCalcPts[RK],0)),"")</f>
        <v>9</v>
      </c>
      <c r="T5" s="279">
        <f>VLOOKUP(TableRBRanks3141[[#This Row],[Player]],RB!B:O,4,FALSE)</f>
        <v>314.37639603141486</v>
      </c>
      <c r="U5" s="279">
        <f>VLOOKUP(TableRBRanks3141[[#This Row],[Player]],RB!B:O,5,FALSE)</f>
        <v>1260.2493763707737</v>
      </c>
      <c r="V5" s="279">
        <f>VLOOKUP(TableRBRanks3141[[#This Row],[Player]],RB!B:O,6,FALSE)</f>
        <v>9.745668276973861</v>
      </c>
      <c r="W5" s="279">
        <f>VLOOKUP(TableRBRanks3141[[#This Row],[Player]],RB!B:O,7,FALSE)</f>
        <v>90.392597467948804</v>
      </c>
      <c r="X5" s="279">
        <f>VLOOKUP(TableRBRanks3141[[#This Row],[Player]],RB!B:O,8,FALSE)</f>
        <v>68.273528867541728</v>
      </c>
      <c r="Y5" s="279">
        <f>VLOOKUP(TableRBRanks3141[[#This Row],[Player]],RB!B:O,9,FALSE)</f>
        <v>426.02682013346038</v>
      </c>
      <c r="Z5" s="279">
        <f>VLOOKUP(TableRBRanks3141[[#This Row],[Player]],RB!B:O,10,FALSE)</f>
        <v>2.5092974256541307</v>
      </c>
      <c r="AA5" s="272">
        <f>VLOOKUP(TableRBRanks3141[[#This Row],[Player]],RB!B:O,14,FALSE)</f>
        <v>242.15741386619138</v>
      </c>
      <c r="AB5" s="273">
        <f>IF(VLOOKUP(TableRBRanks3141[[#This Row],[RK]],'Ranks w Proj'!$P:$AB,13,FALSE)&lt;0,0,VLOOKUP(TableRBRanks3141[[#This Row],[RK]],'Ranks w Proj'!$P:$AB,13,FALSE))</f>
        <v>71.350579524412225</v>
      </c>
      <c r="AD5" s="22">
        <v>4</v>
      </c>
      <c r="AE5" s="274" t="str">
        <f>VLOOKUP(TableWRRanks3242[[#This Row],[RK]],Rankings!A:Q,11,FALSE)</f>
        <v>Davante Adams</v>
      </c>
      <c r="AF5" s="22" t="str">
        <f>IFERROR(INDEX(TableWRCalcPts[TM],MATCH(TableWRRanks3242[[#This Row],[Player]],TableWRCalcPts[PLAYER],0)),"")</f>
        <v>LV</v>
      </c>
      <c r="AG5" s="22">
        <f>IFERROR(INDEX(TableWRCalcPts[BYE],MATCH(TableWRRanks3242[[#This Row],[RK]],TableWRCalcPts[RK],0)),"")</f>
        <v>7</v>
      </c>
      <c r="AH5" s="279">
        <f>VLOOKUP(TableWRRanks3242[[#This Row],[Player]],WR!B:O,4,FALSE)</f>
        <v>0</v>
      </c>
      <c r="AI5" s="279">
        <f>VLOOKUP(TableWRRanks3242[[#This Row],[Player]],WR!B:O,5,FALSE)</f>
        <v>0</v>
      </c>
      <c r="AJ5" s="279">
        <f>VLOOKUP(TableWRRanks3242[[#This Row],[Player]],WR!B:O,6,FALSE)</f>
        <v>144.26736878999998</v>
      </c>
      <c r="AK5" s="279">
        <f>VLOOKUP(TableWRRanks3242[[#This Row],[Player]],WR!B:O,7,FALSE)</f>
        <v>103.88693226567898</v>
      </c>
      <c r="AL5" s="279">
        <f>VLOOKUP(TableWRRanks3242[[#This Row],[Player]],WR!B:O,8,FALSE)</f>
        <v>1299.625522643644</v>
      </c>
      <c r="AM5" s="279">
        <f>VLOOKUP(TableWRRanks3242[[#This Row],[Player]],WR!B:O,9,FALSE)</f>
        <v>9.4537108361767874</v>
      </c>
      <c r="AN5" s="272">
        <f>VLOOKUP(TableWRRanks3242[[#This Row],[Player]],WR!B:O,13,FALSE)</f>
        <v>186.68481728142513</v>
      </c>
      <c r="AO5" s="273">
        <f>IF(VLOOKUP(TableWRRanks3242[[#This Row],[RK]],'Ranks w Proj'!AD:AO,12,FALSE)&lt;0,0,VLOOKUP(TableWRRanks3242[[#This Row],[RK]],'Ranks w Proj'!AD:AO,12,FALSE))</f>
        <v>44.128331055125614</v>
      </c>
      <c r="AQ5" s="22">
        <v>4</v>
      </c>
      <c r="AR5" s="22" t="str">
        <f>VLOOKUP(TableTERanks3343[[#This Row],[RK]],Rankings!A:Q,15,FALSE)</f>
        <v>George Kittle</v>
      </c>
      <c r="AS5" s="22" t="str">
        <f>IFERROR(INDEX(TableTECalcPts[TM],MATCH(TableTERanks3343[[#This Row],[Player]],TableTECalcPts[PLAYER],0)),"")</f>
        <v>SF</v>
      </c>
      <c r="AT5" s="22">
        <f>IFERROR(INDEX(TableTECalcPts[BYE],MATCH(TableTERanks3343[[#This Row],[RK]],TableTECalcPts[RK],0)),"")</f>
        <v>6</v>
      </c>
      <c r="AU5" s="279">
        <f>VLOOKUP(TableTERanks3343[[#This Row],[Player]],TE!B:O,4,FALSE)</f>
        <v>101.9458117565359</v>
      </c>
      <c r="AV5" s="279">
        <f>VLOOKUP(TableTERanks3343[[#This Row],[Player]],TE!B:O,5,FALSE)</f>
        <v>70.403777599063687</v>
      </c>
      <c r="AW5" s="279">
        <f>VLOOKUP(TableTERanks3343[[#This Row],[Player]],TE!B:O,6,FALSE)</f>
        <v>891.31182440414625</v>
      </c>
      <c r="AX5" s="279">
        <f>VLOOKUP(TableTERanks3343[[#This Row],[Player]],TE!B:O,7,FALSE)</f>
        <v>6.1955324287176046</v>
      </c>
      <c r="AY5" s="272">
        <f>VLOOKUP(TableTERanks3343[[#This Row],[Player]],TE!B:O,11,FALSE)</f>
        <v>126.30437701272027</v>
      </c>
      <c r="AZ5" s="273">
        <f>IF(VLOOKUP(TableTERanks3343[[#This Row],[RK]],'Ranks w Proj'!AQ:AZ,10,FALSE)&lt;0,0,VLOOKUP(TableTERanks3343[[#This Row],[RK]],'Ranks w Proj'!AQ:AZ,10,FALSE))</f>
        <v>14.719208289928265</v>
      </c>
    </row>
    <row r="6" spans="1:52" x14ac:dyDescent="0.3">
      <c r="A6" s="22">
        <v>5</v>
      </c>
      <c r="B6" s="22" t="str">
        <f>VLOOKUP(TableQBRanks3040[[#This Row],[RK]],Rankings!A:Q,3,FALSE)</f>
        <v>Patrick Mahomes</v>
      </c>
      <c r="C6" s="22" t="str">
        <f>IFERROR(INDEX(TableQBCalcPts[TM],MATCH(TableQBRanks3040[[#This Row],[Player]],TableQBCalcPts[PLAYER],0)),"")</f>
        <v>KC</v>
      </c>
      <c r="D6" s="22">
        <f>IFERROR(INDEX(TableQBCalcPts[BYE],MATCH(TableQBRanks3040[[#This Row],[RK]],TableQBCalcPts[RK],0)),"")</f>
        <v>10</v>
      </c>
      <c r="E6" s="279">
        <f>VLOOKUP(TableQBRanks3040[[#This Row],[Player]],QB!B:O,4,FALSE)</f>
        <v>678.04668854999989</v>
      </c>
      <c r="F6" s="279">
        <f>VLOOKUP(TableQBRanks3040[[#This Row],[Player]],QB!B:O,5,FALSE)</f>
        <v>444.79862768879997</v>
      </c>
      <c r="G6" s="279">
        <f>VLOOKUP(TableQBRanks3040[[#This Row],[Player]],QB!B:O,6,FALSE)</f>
        <v>4999.5365752221114</v>
      </c>
      <c r="H6" s="279">
        <f>VLOOKUP(TableQBRanks3040[[#This Row],[Player]],QB!B:O,7,FALSE)</f>
        <v>38.021539673322749</v>
      </c>
      <c r="I6" s="279">
        <f>VLOOKUP(TableQBRanks3040[[#This Row],[Player]],QB!B:O,8,FALSE)</f>
        <v>8.9219512843902216</v>
      </c>
      <c r="J6" s="279">
        <f>VLOOKUP(TableQBRanks3040[[#This Row],[Player]],QB!B:O,9,FALSE)</f>
        <v>64.285773136614523</v>
      </c>
      <c r="K6" s="279">
        <f>VLOOKUP(TableQBRanks3040[[#This Row],[Player]],QB!B:O,10,FALSE)</f>
        <v>360.64318729640752</v>
      </c>
      <c r="L6" s="279">
        <f>VLOOKUP(TableQBRanks3040[[#This Row],[Player]],QB!B:O,11,FALSE)</f>
        <v>2.3429894537262701</v>
      </c>
      <c r="M6" s="272">
        <f>VLOOKUP(TableQBRanks3040[[#This Row],[Player]],QB!B:O,13,FALSE)</f>
        <v>384.34597458539344</v>
      </c>
      <c r="N6" s="273">
        <f>IF(VLOOKUP(TableQBRanks3040[[#This Row],[RK]],'Ranks w Proj'!$A:$N,14,FALSE)&lt;0,0,VLOOKUP(TableQBRanks3040[[#This Row],[RK]],'Ranks w Proj'!$A:$N,14,FALSE))</f>
        <v>29.46952870887959</v>
      </c>
      <c r="P6" s="22">
        <v>5</v>
      </c>
      <c r="Q6" s="22" t="str">
        <f>VLOOKUP(TableRBRanks3141[[#This Row],[RK]],Rankings!A:Q,7,FALSE)</f>
        <v>Austin Ekeler</v>
      </c>
      <c r="R6" s="22" t="str">
        <f>IFERROR(INDEX(TableRBCalcPts[TM],MATCH(TableRBRanks3141[[#This Row],[Player]],TableRBCalcPts[PLAYER],0)),"")</f>
        <v>LAC</v>
      </c>
      <c r="S6" s="22">
        <f>IFERROR(INDEX(TableRBCalcPts[BYE],MATCH(TableRBRanks3141[[#This Row],[RK]],TableRBCalcPts[RK],0)),"")</f>
        <v>8</v>
      </c>
      <c r="T6" s="279">
        <f>VLOOKUP(TableRBRanks3141[[#This Row],[Player]],RB!B:O,4,FALSE)</f>
        <v>191.61353913823001</v>
      </c>
      <c r="U6" s="279">
        <f>VLOOKUP(TableRBRanks3141[[#This Row],[Player]],RB!B:O,5,FALSE)</f>
        <v>845.01570759959441</v>
      </c>
      <c r="V6" s="279">
        <f>VLOOKUP(TableRBRanks3141[[#This Row],[Player]],RB!B:O,6,FALSE)</f>
        <v>7.6837029194430224</v>
      </c>
      <c r="W6" s="279">
        <f>VLOOKUP(TableRBRanks3141[[#This Row],[Player]],RB!B:O,7,FALSE)</f>
        <v>91.788707509266928</v>
      </c>
      <c r="X6" s="279">
        <f>VLOOKUP(TableRBRanks3141[[#This Row],[Player]],RB!B:O,8,FALSE)</f>
        <v>74.193267968359308</v>
      </c>
      <c r="Y6" s="279">
        <f>VLOOKUP(TableRBRanks3141[[#This Row],[Player]],RB!B:O,9,FALSE)</f>
        <v>677.3845365511205</v>
      </c>
      <c r="Z6" s="279">
        <f>VLOOKUP(TableRBRanks3141[[#This Row],[Player]],RB!B:O,10,FALSE)</f>
        <v>5.6665964725697329</v>
      </c>
      <c r="AA6" s="272">
        <f>VLOOKUP(TableRBRanks3141[[#This Row],[Player]],RB!B:O,14,FALSE)</f>
        <v>232.34182076714802</v>
      </c>
      <c r="AB6" s="273">
        <f>IF(VLOOKUP(TableRBRanks3141[[#This Row],[RK]],'Ranks w Proj'!$P:$AB,13,FALSE)&lt;0,0,VLOOKUP(TableRBRanks3141[[#This Row],[RK]],'Ranks w Proj'!$P:$AB,13,FALSE))</f>
        <v>66.377865880280623</v>
      </c>
      <c r="AD6" s="274">
        <v>5</v>
      </c>
      <c r="AE6" s="22" t="str">
        <f>VLOOKUP(TableWRRanks3242[[#This Row],[RK]],Rankings!A:Q,11,FALSE)</f>
        <v>Stefon Diggs</v>
      </c>
      <c r="AF6" s="22" t="str">
        <f>IFERROR(INDEX(TableWRCalcPts[TM],MATCH(TableWRRanks3242[[#This Row],[Player]],TableWRCalcPts[PLAYER],0)),"")</f>
        <v>BUF</v>
      </c>
      <c r="AG6" s="22">
        <f>IFERROR(INDEX(TableWRCalcPts[BYE],MATCH(TableWRRanks3242[[#This Row],[RK]],TableWRCalcPts[RK],0)),"")</f>
        <v>7</v>
      </c>
      <c r="AH6" s="279">
        <f>VLOOKUP(TableWRRanks3242[[#This Row],[Player]],WR!B:O,4,FALSE)</f>
        <v>1.0004489270511532</v>
      </c>
      <c r="AI6" s="279">
        <f>VLOOKUP(TableWRRanks3242[[#This Row],[Player]],WR!B:O,5,FALSE)</f>
        <v>0</v>
      </c>
      <c r="AJ6" s="279">
        <f>VLOOKUP(TableWRRanks3242[[#This Row],[Player]],WR!B:O,6,FALSE)</f>
        <v>157.38057876306368</v>
      </c>
      <c r="AK6" s="279">
        <f>VLOOKUP(TableWRRanks3242[[#This Row],[Player]],WR!B:O,7,FALSE)</f>
        <v>103.18940848040141</v>
      </c>
      <c r="AL6" s="279">
        <f>VLOOKUP(TableWRRanks3242[[#This Row],[Player]],WR!B:O,8,FALSE)</f>
        <v>1270.1682810512925</v>
      </c>
      <c r="AM6" s="279">
        <f>VLOOKUP(TableWRRanks3242[[#This Row],[Player]],WR!B:O,9,FALSE)</f>
        <v>10.112562031079339</v>
      </c>
      <c r="AN6" s="272">
        <f>VLOOKUP(TableWRRanks3242[[#This Row],[Player]],WR!B:O,13,FALSE)</f>
        <v>187.79224518431042</v>
      </c>
      <c r="AO6" s="273">
        <f>IF(VLOOKUP(TableWRRanks3242[[#This Row],[RK]],'Ranks w Proj'!AD:AO,12,FALSE)&lt;0,0,VLOOKUP(TableWRRanks3242[[#This Row],[RK]],'Ranks w Proj'!AD:AO,12,FALSE))</f>
        <v>37.126730849606957</v>
      </c>
      <c r="AQ6" s="274">
        <v>5</v>
      </c>
      <c r="AR6" s="274" t="str">
        <f>VLOOKUP(TableTERanks3343[[#This Row],[RK]],Rankings!A:Q,15,FALSE)</f>
        <v>Darren Waller</v>
      </c>
      <c r="AS6" s="22" t="str">
        <f>IFERROR(INDEX(TableTECalcPts[TM],MATCH(TableTERanks3343[[#This Row],[Player]],TableTECalcPts[PLAYER],0)),"")</f>
        <v>LV</v>
      </c>
      <c r="AT6" s="22">
        <f>IFERROR(INDEX(TableTECalcPts[BYE],MATCH(TableTERanks3343[[#This Row],[RK]],TableTECalcPts[RK],0)),"")</f>
        <v>9</v>
      </c>
      <c r="AU6" s="279">
        <f>VLOOKUP(TableTERanks3343[[#This Row],[Player]],TE!B:O,4,FALSE)</f>
        <v>114.65790881999996</v>
      </c>
      <c r="AV6" s="279">
        <f>VLOOKUP(TableTERanks3343[[#This Row],[Player]],TE!B:O,5,FALSE)</f>
        <v>75.032135531807967</v>
      </c>
      <c r="AW6" s="279">
        <f>VLOOKUP(TableTERanks3343[[#This Row],[Player]],TE!B:O,6,FALSE)</f>
        <v>958.16037074118765</v>
      </c>
      <c r="AX6" s="279">
        <f>VLOOKUP(TableTERanks3343[[#This Row],[Player]],TE!B:O,7,FALSE)</f>
        <v>6.0025708425446371</v>
      </c>
      <c r="AY6" s="272">
        <f>VLOOKUP(TableTERanks3343[[#This Row],[Player]],TE!B:O,11,FALSE)</f>
        <v>131.83146212938658</v>
      </c>
      <c r="AZ6" s="273">
        <f>IF(VLOOKUP(TableTERanks3343[[#This Row],[RK]],'Ranks w Proj'!AQ:AZ,10,FALSE)&lt;0,0,VLOOKUP(TableTERanks3343[[#This Row],[RK]],'Ranks w Proj'!AQ:AZ,10,FALSE))</f>
        <v>11.950083203516531</v>
      </c>
    </row>
    <row r="7" spans="1:52" x14ac:dyDescent="0.3">
      <c r="A7" s="22">
        <v>6</v>
      </c>
      <c r="B7" s="22" t="str">
        <f>VLOOKUP(TableQBRanks3040[[#This Row],[RK]],Rankings!A:Q,3,FALSE)</f>
        <v>Joe Burrow</v>
      </c>
      <c r="C7" s="22" t="str">
        <f>IFERROR(INDEX(TableQBCalcPts[TM],MATCH(TableQBRanks3040[[#This Row],[Player]],TableQBCalcPts[PLAYER],0)),"")</f>
        <v>CIN</v>
      </c>
      <c r="D7" s="22">
        <f>IFERROR(INDEX(TableQBCalcPts[BYE],MATCH(TableQBRanks3040[[#This Row],[RK]],TableQBCalcPts[RK],0)),"")</f>
        <v>10</v>
      </c>
      <c r="E7" s="279">
        <f>VLOOKUP(TableQBRanks3040[[#This Row],[Player]],QB!B:O,4,FALSE)</f>
        <v>619.48004580000008</v>
      </c>
      <c r="F7" s="279">
        <f>VLOOKUP(TableQBRanks3040[[#This Row],[Player]],QB!B:O,5,FALSE)</f>
        <v>420.15831819475358</v>
      </c>
      <c r="G7" s="279">
        <f>VLOOKUP(TableQBRanks3040[[#This Row],[Player]],QB!B:O,6,FALSE)</f>
        <v>5130.1330651579419</v>
      </c>
      <c r="H7" s="279">
        <f>VLOOKUP(TableQBRanks3040[[#This Row],[Player]],QB!B:O,7,FALSE)</f>
        <v>37.394090319333067</v>
      </c>
      <c r="I7" s="279">
        <f>VLOOKUP(TableQBRanks3040[[#This Row],[Player]],QB!B:O,8,FALSE)</f>
        <v>9.9590801954200856</v>
      </c>
      <c r="J7" s="279">
        <f>VLOOKUP(TableQBRanks3040[[#This Row],[Player]],QB!B:O,9,FALSE)</f>
        <v>39.767721090205143</v>
      </c>
      <c r="K7" s="279">
        <f>VLOOKUP(TableQBRanks3040[[#This Row],[Player]],QB!B:O,10,FALSE)</f>
        <v>139.58470102662005</v>
      </c>
      <c r="L7" s="279">
        <f>VLOOKUP(TableQBRanks3040[[#This Row],[Player]],QB!B:O,11,FALSE)</f>
        <v>2.1433940800279623</v>
      </c>
      <c r="M7" s="272">
        <f>VLOOKUP(TableQBRanks3040[[#This Row],[Player]],QB!B:O,13,FALSE)</f>
        <v>361.68235807563957</v>
      </c>
      <c r="N7" s="273">
        <f>IF(VLOOKUP(TableQBRanks3040[[#This Row],[RK]],'Ranks w Proj'!$A:$N,14,FALSE)&lt;0,0,VLOOKUP(TableQBRanks3040[[#This Row],[RK]],'Ranks w Proj'!$A:$N,14,FALSE))</f>
        <v>25.105983160565373</v>
      </c>
      <c r="P7" s="22">
        <v>6</v>
      </c>
      <c r="Q7" s="22" t="str">
        <f>VLOOKUP(TableRBRanks3141[[#This Row],[RK]],Rankings!A:Q,7,FALSE)</f>
        <v>Joe Mixon</v>
      </c>
      <c r="R7" s="22" t="str">
        <f>IFERROR(INDEX(TableRBCalcPts[TM],MATCH(TableRBRanks3141[[#This Row],[Player]],TableRBCalcPts[PLAYER],0)),"")</f>
        <v>CIN</v>
      </c>
      <c r="S7" s="22">
        <f>IFERROR(INDEX(TableRBCalcPts[BYE],MATCH(TableRBRanks3141[[#This Row],[RK]],TableRBCalcPts[RK],0)),"")</f>
        <v>10</v>
      </c>
      <c r="T7" s="279">
        <f>VLOOKUP(TableRBRanks3141[[#This Row],[Player]],RB!B:O,4,FALSE)</f>
        <v>270.05028740043531</v>
      </c>
      <c r="U7" s="279">
        <f>VLOOKUP(TableRBRanks3141[[#This Row],[Player]],RB!B:O,5,FALSE)</f>
        <v>1134.2112070818284</v>
      </c>
      <c r="V7" s="279">
        <f>VLOOKUP(TableRBRanks3141[[#This Row],[Player]],RB!B:O,6,FALSE)</f>
        <v>10.288915949956586</v>
      </c>
      <c r="W7" s="279">
        <f>VLOOKUP(TableRBRanks3141[[#This Row],[Player]],RB!B:O,7,FALSE)</f>
        <v>55.88072590833319</v>
      </c>
      <c r="X7" s="279">
        <f>VLOOKUP(TableRBRanks3141[[#This Row],[Player]],RB!B:O,8,FALSE)</f>
        <v>43.727517730194201</v>
      </c>
      <c r="Y7" s="279">
        <f>VLOOKUP(TableRBRanks3141[[#This Row],[Player]],RB!B:O,9,FALSE)</f>
        <v>319.64815460771962</v>
      </c>
      <c r="Z7" s="279">
        <f>VLOOKUP(TableRBRanks3141[[#This Row],[Player]],RB!B:O,10,FALSE)</f>
        <v>2.973471205653206</v>
      </c>
      <c r="AA7" s="272">
        <f>VLOOKUP(TableRBRanks3141[[#This Row],[Player]],RB!B:O,14,FALSE)</f>
        <v>224.96025910261358</v>
      </c>
      <c r="AB7" s="273">
        <f>IF(VLOOKUP(TableRBRanks3141[[#This Row],[RK]],'Ranks w Proj'!$P:$AB,13,FALSE)&lt;0,0,VLOOKUP(TableRBRanks3141[[#This Row],[RK]],'Ranks w Proj'!$P:$AB,13,FALSE))</f>
        <v>62.638265834328578</v>
      </c>
      <c r="AD7" s="22">
        <v>6</v>
      </c>
      <c r="AE7" s="22" t="str">
        <f>VLOOKUP(TableWRRanks3242[[#This Row],[RK]],Rankings!A:Q,11,FALSE)</f>
        <v>CeeDee Lamb</v>
      </c>
      <c r="AF7" s="22" t="str">
        <f>IFERROR(INDEX(TableWRCalcPts[TM],MATCH(TableWRRanks3242[[#This Row],[Player]],TableWRCalcPts[PLAYER],0)),"")</f>
        <v>DAL</v>
      </c>
      <c r="AG7" s="22">
        <f>IFERROR(INDEX(TableWRCalcPts[BYE],MATCH(TableWRRanks3242[[#This Row],[RK]],TableWRCalcPts[RK],0)),"")</f>
        <v>6</v>
      </c>
      <c r="AH7" s="279">
        <f>VLOOKUP(TableWRRanks3242[[#This Row],[Player]],WR!B:O,4,FALSE)</f>
        <v>72.741122938416865</v>
      </c>
      <c r="AI7" s="279">
        <f>VLOOKUP(TableWRRanks3242[[#This Row],[Player]],WR!B:O,5,FALSE)</f>
        <v>0</v>
      </c>
      <c r="AJ7" s="279">
        <f>VLOOKUP(TableWRRanks3242[[#This Row],[Player]],WR!B:O,6,FALSE)</f>
        <v>137.75489771262687</v>
      </c>
      <c r="AK7" s="279">
        <f>VLOOKUP(TableWRRanks3242[[#This Row],[Player]],WR!B:O,7,FALSE)</f>
        <v>94.401862586935451</v>
      </c>
      <c r="AL7" s="279">
        <f>VLOOKUP(TableWRRanks3242[[#This Row],[Player]],WR!B:O,8,FALSE)</f>
        <v>1268.1640666241594</v>
      </c>
      <c r="AM7" s="279">
        <f>VLOOKUP(TableWRRanks3242[[#This Row],[Player]],WR!B:O,9,FALSE)</f>
        <v>8.2129620450633833</v>
      </c>
      <c r="AN7" s="272">
        <f>VLOOKUP(TableWRRanks3242[[#This Row],[Player]],WR!B:O,13,FALSE)</f>
        <v>183.36829122663792</v>
      </c>
      <c r="AO7" s="273">
        <f>IF(VLOOKUP(TableWRRanks3242[[#This Row],[RK]],'Ranks w Proj'!AD:AO,12,FALSE)&lt;0,0,VLOOKUP(TableWRRanks3242[[#This Row],[RK]],'Ranks w Proj'!AD:AO,12,FALSE))</f>
        <v>36.60509539141583</v>
      </c>
      <c r="AQ7" s="22">
        <v>6</v>
      </c>
      <c r="AR7" s="274" t="str">
        <f>VLOOKUP(TableTERanks3343[[#This Row],[RK]],Rankings!A:Q,15,FALSE)</f>
        <v>Dalton Schultz</v>
      </c>
      <c r="AS7" s="22" t="str">
        <f>IFERROR(INDEX(TableTECalcPts[TM],MATCH(TableTERanks3343[[#This Row],[Player]],TableTECalcPts[PLAYER],0)),"")</f>
        <v>DAL</v>
      </c>
      <c r="AT7" s="22">
        <f>IFERROR(INDEX(TableTECalcPts[BYE],MATCH(TableTERanks3343[[#This Row],[RK]],TableTECalcPts[RK],0)),"")</f>
        <v>7</v>
      </c>
      <c r="AU7" s="279">
        <f>VLOOKUP(TableTERanks3343[[#This Row],[Player]],TE!B:O,4,FALSE)</f>
        <v>97.93002207058781</v>
      </c>
      <c r="AV7" s="279">
        <f>VLOOKUP(TableTERanks3343[[#This Row],[Player]],TE!B:O,5,FALSE)</f>
        <v>72.693455382997328</v>
      </c>
      <c r="AW7" s="279">
        <f>VLOOKUP(TableTERanks3343[[#This Row],[Player]],TE!B:O,6,FALSE)</f>
        <v>755.28500142934229</v>
      </c>
      <c r="AX7" s="279">
        <f>VLOOKUP(TableTERanks3343[[#This Row],[Player]],TE!B:O,7,FALSE)</f>
        <v>7.3420389936827304</v>
      </c>
      <c r="AY7" s="272">
        <f>VLOOKUP(TableTERanks3343[[#This Row],[Player]],TE!B:O,11,FALSE)</f>
        <v>119.58073410503061</v>
      </c>
      <c r="AZ7" s="273">
        <f>IF(VLOOKUP(TableTERanks3343[[#This Row],[RK]],'Ranks w Proj'!AQ:AZ,10,FALSE)&lt;0,0,VLOOKUP(TableTERanks3343[[#This Row],[RK]],'Ranks w Proj'!AQ:AZ,10,FALSE))</f>
        <v>8.6349197523613537</v>
      </c>
    </row>
    <row r="8" spans="1:52" x14ac:dyDescent="0.3">
      <c r="A8" s="22">
        <v>7</v>
      </c>
      <c r="B8" s="22" t="str">
        <f>VLOOKUP(TableQBRanks3040[[#This Row],[RK]],Rankings!A:Q,3,FALSE)</f>
        <v>Kyler Murray</v>
      </c>
      <c r="C8" s="22" t="str">
        <f>IFERROR(INDEX(TableQBCalcPts[TM],MATCH(TableQBRanks3040[[#This Row],[Player]],TableQBCalcPts[PLAYER],0)),"")</f>
        <v>ARI</v>
      </c>
      <c r="D8" s="22">
        <f>IFERROR(INDEX(TableQBCalcPts[BYE],MATCH(TableQBRanks3040[[#This Row],[RK]],TableQBCalcPts[RK],0)),"")</f>
        <v>13</v>
      </c>
      <c r="E8" s="279">
        <f>VLOOKUP(TableQBRanks3040[[#This Row],[Player]],QB!B:O,4,FALSE)</f>
        <v>604.88196535000009</v>
      </c>
      <c r="F8" s="279">
        <f>VLOOKUP(TableQBRanks3040[[#This Row],[Player]],QB!B:O,5,FALSE)</f>
        <v>403.45627088845009</v>
      </c>
      <c r="G8" s="279">
        <f>VLOOKUP(TableQBRanks3040[[#This Row],[Player]],QB!B:O,6,FALSE)</f>
        <v>4485.3168405119823</v>
      </c>
      <c r="H8" s="279">
        <f>VLOOKUP(TableQBRanks3040[[#This Row],[Player]],QB!B:O,7,FALSE)</f>
        <v>28.282284589280351</v>
      </c>
      <c r="I8" s="279">
        <f>VLOOKUP(TableQBRanks3040[[#This Row],[Player]],QB!B:O,8,FALSE)</f>
        <v>9.0465899526061726</v>
      </c>
      <c r="J8" s="279">
        <f>VLOOKUP(TableQBRanks3040[[#This Row],[Player]],QB!B:O,9,FALSE)</f>
        <v>95.56169749874222</v>
      </c>
      <c r="K8" s="279">
        <f>VLOOKUP(TableQBRanks3040[[#This Row],[Player]],QB!B:O,10,FALSE)</f>
        <v>487.36465724358527</v>
      </c>
      <c r="L8" s="279">
        <f>VLOOKUP(TableQBRanks3040[[#This Row],[Player]],QB!B:O,11,FALSE)</f>
        <v>5.0647699674333371</v>
      </c>
      <c r="M8" s="272">
        <f>VLOOKUP(TableQBRanks3040[[#This Row],[Player]],QB!B:O,13,FALSE)</f>
        <v>353.57371760134686</v>
      </c>
      <c r="N8" s="273">
        <f>IF(VLOOKUP(TableQBRanks3040[[#This Row],[RK]],'Ranks w Proj'!$A:$N,14,FALSE)&lt;0,0,VLOOKUP(TableQBRanks3040[[#This Row],[RK]],'Ranks w Proj'!$A:$N,14,FALSE))</f>
        <v>22.188019298595769</v>
      </c>
      <c r="P8" s="22">
        <v>7</v>
      </c>
      <c r="Q8" s="22" t="str">
        <f>VLOOKUP(TableRBRanks3141[[#This Row],[RK]],Rankings!A:Q,7,FALSE)</f>
        <v>Saquon Barkley</v>
      </c>
      <c r="R8" s="22" t="str">
        <f>IFERROR(INDEX(TableRBCalcPts[TM],MATCH(TableRBRanks3141[[#This Row],[Player]],TableRBCalcPts[PLAYER],0)),"")</f>
        <v>NYG</v>
      </c>
      <c r="S8" s="22">
        <f>IFERROR(INDEX(TableRBCalcPts[BYE],MATCH(TableRBRanks3141[[#This Row],[RK]],TableRBCalcPts[RK],0)),"")</f>
        <v>9</v>
      </c>
      <c r="T8" s="279">
        <f>VLOOKUP(TableRBRanks3141[[#This Row],[Player]],RB!B:O,4,FALSE)</f>
        <v>224.14426125972329</v>
      </c>
      <c r="U8" s="279">
        <f>VLOOKUP(TableRBRanks3141[[#This Row],[Player]],RB!B:O,5,FALSE)</f>
        <v>990.71763476797696</v>
      </c>
      <c r="V8" s="279">
        <f>VLOOKUP(TableRBRanks3141[[#This Row],[Player]],RB!B:O,6,FALSE)</f>
        <v>6.2760393152722527</v>
      </c>
      <c r="W8" s="279">
        <f>VLOOKUP(TableRBRanks3141[[#This Row],[Player]],RB!B:O,7,FALSE)</f>
        <v>89.515427445765965</v>
      </c>
      <c r="X8" s="279">
        <f>VLOOKUP(TableRBRanks3141[[#This Row],[Player]],RB!B:O,8,FALSE)</f>
        <v>61.944675792470044</v>
      </c>
      <c r="Y8" s="279">
        <f>VLOOKUP(TableRBRanks3141[[#This Row],[Player]],RB!B:O,9,FALSE)</f>
        <v>498.03519337145912</v>
      </c>
      <c r="Z8" s="279">
        <f>VLOOKUP(TableRBRanks3141[[#This Row],[Player]],RB!B:O,10,FALSE)</f>
        <v>3.7166805475482025</v>
      </c>
      <c r="AA8" s="272">
        <f>VLOOKUP(TableRBRanks3141[[#This Row],[Player]],RB!B:O,14,FALSE)</f>
        <v>208.83160199086635</v>
      </c>
      <c r="AB8" s="273">
        <f>IF(VLOOKUP(TableRBRanks3141[[#This Row],[RK]],'Ranks w Proj'!$P:$AB,13,FALSE)&lt;0,0,VLOOKUP(TableRBRanks3141[[#This Row],[RK]],'Ranks w Proj'!$P:$AB,13,FALSE))</f>
        <v>58.5576637959999</v>
      </c>
      <c r="AD8" s="22">
        <v>7</v>
      </c>
      <c r="AE8" s="22" t="str">
        <f>VLOOKUP(TableWRRanks3242[[#This Row],[RK]],Rankings!A:Q,11,FALSE)</f>
        <v>Deebo Samuel</v>
      </c>
      <c r="AF8" s="22" t="str">
        <f>IFERROR(INDEX(TableWRCalcPts[TM],MATCH(TableWRRanks3242[[#This Row],[Player]],TableWRCalcPts[PLAYER],0)),"")</f>
        <v>SF</v>
      </c>
      <c r="AG8" s="22">
        <f>IFERROR(INDEX(TableWRCalcPts[BYE],MATCH(TableWRRanks3242[[#This Row],[RK]],TableWRCalcPts[RK],0)),"")</f>
        <v>9</v>
      </c>
      <c r="AH8" s="279">
        <f>VLOOKUP(TableWRRanks3242[[#This Row],[Player]],WR!B:O,4,FALSE)</f>
        <v>288.78783190619328</v>
      </c>
      <c r="AI8" s="279">
        <f>VLOOKUP(TableWRRanks3242[[#This Row],[Player]],WR!B:O,5,FALSE)</f>
        <v>4.9415172616344023</v>
      </c>
      <c r="AJ8" s="279">
        <f>VLOOKUP(TableWRRanks3242[[#This Row],[Player]],WR!B:O,6,FALSE)</f>
        <v>106.87867361572312</v>
      </c>
      <c r="AK8" s="279">
        <f>VLOOKUP(TableWRRanks3242[[#This Row],[Player]],WR!B:O,7,FALSE)</f>
        <v>68.306160307808639</v>
      </c>
      <c r="AL8" s="279">
        <f>VLOOKUP(TableWRRanks3242[[#This Row],[Player]],WR!B:O,8,FALSE)</f>
        <v>1125.6855218726864</v>
      </c>
      <c r="AM8" s="279">
        <f>VLOOKUP(TableWRRanks3242[[#This Row],[Player]],WR!B:O,9,FALSE)</f>
        <v>5.6011051452403082</v>
      </c>
      <c r="AN8" s="272">
        <f>VLOOKUP(TableWRRanks3242[[#This Row],[Player]],WR!B:O,13,FALSE)</f>
        <v>204.70306981913626</v>
      </c>
      <c r="AO8" s="273">
        <f>IF(VLOOKUP(TableWRRanks3242[[#This Row],[RK]],'Ranks w Proj'!AD:AO,12,FALSE)&lt;0,0,VLOOKUP(TableWRRanks3242[[#This Row],[RK]],'Ranks w Proj'!AD:AO,12,FALSE))</f>
        <v>35.042901063745077</v>
      </c>
      <c r="AQ8" s="22">
        <v>7</v>
      </c>
      <c r="AR8" s="22" t="str">
        <f>VLOOKUP(TableTERanks3343[[#This Row],[RK]],Rankings!A:Q,15,FALSE)</f>
        <v>T.J. Hockenson</v>
      </c>
      <c r="AS8" s="22" t="str">
        <f>IFERROR(INDEX(TableTECalcPts[TM],MATCH(TableTERanks3343[[#This Row],[Player]],TableTECalcPts[PLAYER],0)),"")</f>
        <v>DET</v>
      </c>
      <c r="AT8" s="22">
        <f>IFERROR(INDEX(TableTECalcPts[BYE],MATCH(TableTERanks3343[[#This Row],[RK]],TableTECalcPts[RK],0)),"")</f>
        <v>9</v>
      </c>
      <c r="AU8" s="279">
        <f>VLOOKUP(TableTERanks3343[[#This Row],[Player]],TE!B:O,4,FALSE)</f>
        <v>104.75772291496725</v>
      </c>
      <c r="AV8" s="279">
        <f>VLOOKUP(TableTERanks3343[[#This Row],[Player]],TE!B:O,5,FALSE)</f>
        <v>70.533374838647447</v>
      </c>
      <c r="AW8" s="279">
        <f>VLOOKUP(TableTERanks3343[[#This Row],[Player]],TE!B:O,6,FALSE)</f>
        <v>708.86041712840688</v>
      </c>
      <c r="AX8" s="279">
        <f>VLOOKUP(TableTERanks3343[[#This Row],[Player]],TE!B:O,7,FALSE)</f>
        <v>5.2610585643052064</v>
      </c>
      <c r="AY8" s="272">
        <f>VLOOKUP(TableTERanks3343[[#This Row],[Player]],TE!B:O,11,FALSE)</f>
        <v>102.45239309867193</v>
      </c>
      <c r="AZ8" s="273">
        <f>IF(VLOOKUP(TableTERanks3343[[#This Row],[RK]],'Ranks w Proj'!AQ:AZ,10,FALSE)&lt;0,0,VLOOKUP(TableTERanks3343[[#This Row],[RK]],'Ranks w Proj'!AQ:AZ,10,FALSE))</f>
        <v>8.581470660963971</v>
      </c>
    </row>
    <row r="9" spans="1:52" x14ac:dyDescent="0.3">
      <c r="A9" s="22">
        <v>8</v>
      </c>
      <c r="B9" s="22" t="str">
        <f>VLOOKUP(TableQBRanks3040[[#This Row],[RK]],Rankings!A:Q,3,FALSE)</f>
        <v>Tom Brady</v>
      </c>
      <c r="C9" s="22" t="str">
        <f>IFERROR(INDEX(TableQBCalcPts[TM],MATCH(TableQBRanks3040[[#This Row],[Player]],TableQBCalcPts[PLAYER],0)),"")</f>
        <v>TB</v>
      </c>
      <c r="D9" s="22">
        <f>IFERROR(INDEX(TableQBCalcPts[BYE],MATCH(TableQBRanks3040[[#This Row],[RK]],TableQBCalcPts[RK],0)),"")</f>
        <v>11</v>
      </c>
      <c r="E9" s="279">
        <f>VLOOKUP(TableQBRanks3040[[#This Row],[Player]],QB!B:O,4,FALSE)</f>
        <v>700.62992999999994</v>
      </c>
      <c r="F9" s="279">
        <f>VLOOKUP(TableQBRanks3040[[#This Row],[Player]],QB!B:O,5,FALSE)</f>
        <v>471.52394289</v>
      </c>
      <c r="G9" s="279">
        <f>VLOOKUP(TableQBRanks3040[[#This Row],[Player]],QB!B:O,6,FALSE)</f>
        <v>5064.1671466385997</v>
      </c>
      <c r="H9" s="279">
        <f>VLOOKUP(TableQBRanks3040[[#This Row],[Player]],QB!B:O,7,FALSE)</f>
        <v>38.240591768379005</v>
      </c>
      <c r="I9" s="279">
        <f>VLOOKUP(TableQBRanks3040[[#This Row],[Player]],QB!B:O,8,FALSE)</f>
        <v>9.0738867325646932</v>
      </c>
      <c r="J9" s="279">
        <f>VLOOKUP(TableQBRanks3040[[#This Row],[Player]],QB!B:O,9,FALSE)</f>
        <v>21.319046566187502</v>
      </c>
      <c r="K9" s="279">
        <f>VLOOKUP(TableQBRanks3040[[#This Row],[Player]],QB!B:O,10,FALSE)</f>
        <v>52.511562045284172</v>
      </c>
      <c r="L9" s="279">
        <f>VLOOKUP(TableQBRanks3040[[#This Row],[Player]],QB!B:O,11,FALSE)</f>
        <v>1.7060637454723477</v>
      </c>
      <c r="M9" s="272">
        <f>VLOOKUP(TableQBRanks3040[[#This Row],[Player]],QB!B:O,13,FALSE)</f>
        <v>352.86881815129311</v>
      </c>
      <c r="N9" s="273">
        <f>IF(VLOOKUP(TableQBRanks3040[[#This Row],[RK]],'Ranks w Proj'!$A:$N,14,FALSE)&lt;0,0,VLOOKUP(TableQBRanks3040[[#This Row],[RK]],'Ranks w Proj'!$A:$N,14,FALSE))</f>
        <v>22.040173459408269</v>
      </c>
      <c r="P9" s="22">
        <v>8</v>
      </c>
      <c r="Q9" s="22" t="str">
        <f>VLOOKUP(TableRBRanks3141[[#This Row],[RK]],Rankings!A:Q,7,FALSE)</f>
        <v>D'Andre Swift</v>
      </c>
      <c r="R9" s="22" t="str">
        <f>IFERROR(INDEX(TableRBCalcPts[TM],MATCH(TableRBRanks3141[[#This Row],[Player]],TableRBCalcPts[PLAYER],0)),"")</f>
        <v>DET</v>
      </c>
      <c r="S9" s="22">
        <f>IFERROR(INDEX(TableRBCalcPts[BYE],MATCH(TableRBRanks3141[[#This Row],[RK]],TableRBCalcPts[RK],0)),"")</f>
        <v>7</v>
      </c>
      <c r="T9" s="279">
        <f>VLOOKUP(TableRBRanks3141[[#This Row],[Player]],RB!B:O,4,FALSE)</f>
        <v>198.22233644337862</v>
      </c>
      <c r="U9" s="279">
        <f>VLOOKUP(TableRBRanks3141[[#This Row],[Player]],RB!B:O,5,FALSE)</f>
        <v>862.26716352869698</v>
      </c>
      <c r="V9" s="279">
        <f>VLOOKUP(TableRBRanks3141[[#This Row],[Player]],RB!B:O,6,FALSE)</f>
        <v>7.0963596446729547</v>
      </c>
      <c r="W9" s="279">
        <f>VLOOKUP(TableRBRanks3141[[#This Row],[Player]],RB!B:O,7,FALSE)</f>
        <v>87.902294242053841</v>
      </c>
      <c r="X9" s="279">
        <f>VLOOKUP(TableRBRanks3141[[#This Row],[Player]],RB!B:O,8,FALSE)</f>
        <v>68.651691803044059</v>
      </c>
      <c r="Y9" s="279">
        <f>VLOOKUP(TableRBRanks3141[[#This Row],[Player]],RB!B:O,9,FALSE)</f>
        <v>505.2764516704043</v>
      </c>
      <c r="Z9" s="279">
        <f>VLOOKUP(TableRBRanks3141[[#This Row],[Player]],RB!B:O,10,FALSE)</f>
        <v>3.0206744393339386</v>
      </c>
      <c r="AA9" s="272">
        <f>VLOOKUP(TableRBRanks3141[[#This Row],[Player]],RB!B:O,14,FALSE)</f>
        <v>197.4565660239515</v>
      </c>
      <c r="AB9" s="273">
        <f>IF(VLOOKUP(TableRBRanks3141[[#This Row],[RK]],'Ranks w Proj'!$P:$AB,13,FALSE)&lt;0,0,VLOOKUP(TableRBRanks3141[[#This Row],[RK]],'Ranks w Proj'!$P:$AB,13,FALSE))</f>
        <v>58.438081071562365</v>
      </c>
      <c r="AD9" s="274">
        <v>8</v>
      </c>
      <c r="AE9" s="274" t="str">
        <f>VLOOKUP(TableWRRanks3242[[#This Row],[RK]],Rankings!A:Q,11,FALSE)</f>
        <v>Mike Evans</v>
      </c>
      <c r="AF9" s="22" t="str">
        <f>IFERROR(INDEX(TableWRCalcPts[TM],MATCH(TableWRRanks3242[[#This Row],[Player]],TableWRCalcPts[PLAYER],0)),"")</f>
        <v>TB</v>
      </c>
      <c r="AG9" s="22">
        <f>IFERROR(INDEX(TableWRCalcPts[BYE],MATCH(TableWRRanks3242[[#This Row],[RK]],TableWRCalcPts[RK],0)),"")</f>
        <v>11</v>
      </c>
      <c r="AH9" s="279">
        <f>VLOOKUP(TableWRRanks3242[[#This Row],[Player]],WR!B:O,4,FALSE)</f>
        <v>3.3751261084227284</v>
      </c>
      <c r="AI9" s="279">
        <f>VLOOKUP(TableWRRanks3242[[#This Row],[Player]],WR!B:O,5,FALSE)</f>
        <v>0</v>
      </c>
      <c r="AJ9" s="279">
        <f>VLOOKUP(TableWRRanks3242[[#This Row],[Player]],WR!B:O,6,FALSE)</f>
        <v>126.62289123768598</v>
      </c>
      <c r="AK9" s="279">
        <f>VLOOKUP(TableWRRanks3242[[#This Row],[Player]],WR!B:O,7,FALSE)</f>
        <v>79.773471420797208</v>
      </c>
      <c r="AL9" s="279">
        <f>VLOOKUP(TableWRRanks3242[[#This Row],[Player]],WR!B:O,8,FALSE)</f>
        <v>1112.3789496999063</v>
      </c>
      <c r="AM9" s="279">
        <f>VLOOKUP(TableWRRanks3242[[#This Row],[Player]],WR!B:O,9,FALSE)</f>
        <v>11.248059470332405</v>
      </c>
      <c r="AN9" s="272">
        <f>VLOOKUP(TableWRRanks3242[[#This Row],[Player]],WR!B:O,13,FALSE)</f>
        <v>179.06376440282733</v>
      </c>
      <c r="AO9" s="273">
        <f>IF(VLOOKUP(TableWRRanks3242[[#This Row],[RK]],'Ranks w Proj'!AD:AO,12,FALSE)&lt;0,0,VLOOKUP(TableWRRanks3242[[#This Row],[RK]],'Ranks w Proj'!AD:AO,12,FALSE))</f>
        <v>33.015325439016571</v>
      </c>
      <c r="AQ9" s="274">
        <v>8</v>
      </c>
      <c r="AR9" s="274" t="str">
        <f>VLOOKUP(TableTERanks3343[[#This Row],[RK]],Rankings!A:Q,15,FALSE)</f>
        <v>Dallas Goedert</v>
      </c>
      <c r="AS9" s="22" t="str">
        <f>IFERROR(INDEX(TableTECalcPts[TM],MATCH(TableTERanks3343[[#This Row],[Player]],TableTECalcPts[PLAYER],0)),"")</f>
        <v>PHI</v>
      </c>
      <c r="AT9" s="22">
        <f>IFERROR(INDEX(TableTECalcPts[BYE],MATCH(TableTERanks3343[[#This Row],[RK]],TableTECalcPts[RK],0)),"")</f>
        <v>7</v>
      </c>
      <c r="AU9" s="279">
        <f>VLOOKUP(TableTERanks3343[[#This Row],[Player]],TE!B:O,4,FALSE)</f>
        <v>96.403549491289709</v>
      </c>
      <c r="AV9" s="279">
        <f>VLOOKUP(TableTERanks3343[[#This Row],[Player]],TE!B:O,5,FALSE)</f>
        <v>63.867351537979431</v>
      </c>
      <c r="AW9" s="279">
        <f>VLOOKUP(TableTERanks3343[[#This Row],[Player]],TE!B:O,6,FALSE)</f>
        <v>863.48659279348192</v>
      </c>
      <c r="AX9" s="279">
        <f>VLOOKUP(TableTERanks3343[[#This Row],[Player]],TE!B:O,7,FALSE)</f>
        <v>5.5564595838042097</v>
      </c>
      <c r="AY9" s="272">
        <f>VLOOKUP(TableTERanks3343[[#This Row],[Player]],TE!B:O,11,FALSE)</f>
        <v>119.68741678217346</v>
      </c>
      <c r="AZ9" s="273">
        <f>IF(VLOOKUP(TableTERanks3343[[#This Row],[RK]],'Ranks w Proj'!AQ:AZ,10,FALSE)&lt;0,0,VLOOKUP(TableTERanks3343[[#This Row],[RK]],'Ranks w Proj'!AQ:AZ,10,FALSE))</f>
        <v>1.1876835168893487</v>
      </c>
    </row>
    <row r="10" spans="1:52" x14ac:dyDescent="0.3">
      <c r="A10" s="22">
        <v>9</v>
      </c>
      <c r="B10" s="22" t="str">
        <f>VLOOKUP(TableQBRanks3040[[#This Row],[RK]],Rankings!A:Q,3,FALSE)</f>
        <v>Aaron Rodgers</v>
      </c>
      <c r="C10" s="22" t="str">
        <f>IFERROR(INDEX(TableQBCalcPts[TM],MATCH(TableQBRanks3040[[#This Row],[Player]],TableQBCalcPts[PLAYER],0)),"")</f>
        <v>GB</v>
      </c>
      <c r="D10" s="22">
        <f>IFERROR(INDEX(TableQBCalcPts[BYE],MATCH(TableQBRanks3040[[#This Row],[RK]],TableQBCalcPts[RK],0)),"")</f>
        <v>14</v>
      </c>
      <c r="E10" s="279">
        <f>VLOOKUP(TableQBRanks3040[[#This Row],[Player]],QB!B:O,4,FALSE)</f>
        <v>586.58033609999995</v>
      </c>
      <c r="F10" s="279">
        <f>VLOOKUP(TableQBRanks3040[[#This Row],[Player]],QB!B:O,5,FALSE)</f>
        <v>398.65738050458367</v>
      </c>
      <c r="G10" s="279">
        <f>VLOOKUP(TableQBRanks3040[[#This Row],[Player]],QB!B:O,6,FALSE)</f>
        <v>4425.0969236008787</v>
      </c>
      <c r="H10" s="279">
        <f>VLOOKUP(TableQBRanks3040[[#This Row],[Player]],QB!B:O,7,FALSE)</f>
        <v>36.317687363967572</v>
      </c>
      <c r="I10" s="279">
        <f>VLOOKUP(TableQBRanks3040[[#This Row],[Player]],QB!B:O,8,FALSE)</f>
        <v>5.2972066548580266</v>
      </c>
      <c r="J10" s="279">
        <f>VLOOKUP(TableQBRanks3040[[#This Row],[Player]],QB!B:O,9,FALSE)</f>
        <v>32.153089215713266</v>
      </c>
      <c r="K10" s="279">
        <f>VLOOKUP(TableQBRanks3040[[#This Row],[Player]],QB!B:O,10,FALSE)</f>
        <v>119.28796099029621</v>
      </c>
      <c r="L10" s="279">
        <f>VLOOKUP(TableQBRanks3040[[#This Row],[Player]],QB!B:O,11,FALSE)</f>
        <v>2.2329541101329613</v>
      </c>
      <c r="M10" s="272">
        <f>VLOOKUP(TableQBRanks3040[[#This Row],[Player]],QB!B:O,13,FALSE)</f>
        <v>337.00673385001676</v>
      </c>
      <c r="N10" s="273">
        <f>IF(VLOOKUP(TableQBRanks3040[[#This Row],[RK]],'Ranks w Proj'!$A:$N,14,FALSE)&lt;0,0,VLOOKUP(TableQBRanks3040[[#This Row],[RK]],'Ranks w Proj'!$A:$N,14,FALSE))</f>
        <v>18.617724256750225</v>
      </c>
      <c r="P10" s="22">
        <v>9</v>
      </c>
      <c r="Q10" s="22" t="str">
        <f>VLOOKUP(TableRBRanks3141[[#This Row],[RK]],Rankings!A:Q,7,FALSE)</f>
        <v>Dalvin Cook</v>
      </c>
      <c r="R10" s="22" t="str">
        <f>IFERROR(INDEX(TableRBCalcPts[TM],MATCH(TableRBRanks3141[[#This Row],[Player]],TableRBCalcPts[PLAYER],0)),"")</f>
        <v>MIN</v>
      </c>
      <c r="S10" s="22">
        <f>IFERROR(INDEX(TableRBCalcPts[BYE],MATCH(TableRBRanks3141[[#This Row],[RK]],TableRBCalcPts[RK],0)),"")</f>
        <v>13</v>
      </c>
      <c r="T10" s="279">
        <f>VLOOKUP(TableRBRanks3141[[#This Row],[Player]],RB!B:O,4,FALSE)</f>
        <v>268.77751984863761</v>
      </c>
      <c r="U10" s="279">
        <f>VLOOKUP(TableRBRanks3141[[#This Row],[Player]],RB!B:O,5,FALSE)</f>
        <v>1239.0643665022194</v>
      </c>
      <c r="V10" s="279">
        <f>VLOOKUP(TableRBRanks3141[[#This Row],[Player]],RB!B:O,6,FALSE)</f>
        <v>9.4878464506569067</v>
      </c>
      <c r="W10" s="279">
        <f>VLOOKUP(TableRBRanks3141[[#This Row],[Player]],RB!B:O,7,FALSE)</f>
        <v>60.679089794621468</v>
      </c>
      <c r="X10" s="279">
        <f>VLOOKUP(TableRBRanks3141[[#This Row],[Player]],RB!B:O,8,FALSE)</f>
        <v>43.252055205606183</v>
      </c>
      <c r="Y10" s="279">
        <f>VLOOKUP(TableRBRanks3141[[#This Row],[Player]],RB!B:O,9,FALSE)</f>
        <v>306.45791580986298</v>
      </c>
      <c r="Z10" s="279">
        <f>VLOOKUP(TableRBRanks3141[[#This Row],[Player]],RB!B:O,10,FALSE)</f>
        <v>0.86504110411212365</v>
      </c>
      <c r="AA10" s="272">
        <f>VLOOKUP(TableRBRanks3141[[#This Row],[Player]],RB!B:O,14,FALSE)</f>
        <v>216.66955355982242</v>
      </c>
      <c r="AB10" s="273">
        <f>IF(VLOOKUP(TableRBRanks3141[[#This Row],[RK]],'Ranks w Proj'!$P:$AB,13,FALSE)&lt;0,0,VLOOKUP(TableRBRanks3141[[#This Row],[RK]],'Ranks w Proj'!$P:$AB,13,FALSE))</f>
        <v>55.534866495238234</v>
      </c>
      <c r="AD10" s="22">
        <v>9</v>
      </c>
      <c r="AE10" s="22" t="str">
        <f>VLOOKUP(TableWRRanks3242[[#This Row],[RK]],Rankings!A:Q,11,FALSE)</f>
        <v>Tyreek Hill</v>
      </c>
      <c r="AF10" s="22" t="str">
        <f>IFERROR(INDEX(TableWRCalcPts[TM],MATCH(TableWRRanks3242[[#This Row],[Player]],TableWRCalcPts[PLAYER],0)),"")</f>
        <v>MIA</v>
      </c>
      <c r="AG10" s="22">
        <f>IFERROR(INDEX(TableWRCalcPts[BYE],MATCH(TableWRRanks3242[[#This Row],[RK]],TableWRCalcPts[RK],0)),"")</f>
        <v>10</v>
      </c>
      <c r="AH10" s="279">
        <f>VLOOKUP(TableWRRanks3242[[#This Row],[Player]],WR!B:O,4,FALSE)</f>
        <v>94.819767137725904</v>
      </c>
      <c r="AI10" s="279">
        <f>VLOOKUP(TableWRRanks3242[[#This Row],[Player]],WR!B:O,5,FALSE)</f>
        <v>0</v>
      </c>
      <c r="AJ10" s="279">
        <f>VLOOKUP(TableWRRanks3242[[#This Row],[Player]],WR!B:O,6,FALSE)</f>
        <v>136.70750666999999</v>
      </c>
      <c r="AK10" s="279">
        <f>VLOOKUP(TableWRRanks3242[[#This Row],[Player]],WR!B:O,7,FALSE)</f>
        <v>94.123118342294987</v>
      </c>
      <c r="AL10" s="279">
        <f>VLOOKUP(TableWRRanks3242[[#This Row],[Player]],WR!B:O,8,FALSE)</f>
        <v>1146.4195814091529</v>
      </c>
      <c r="AM10" s="279">
        <f>VLOOKUP(TableWRRanks3242[[#This Row],[Player]],WR!B:O,9,FALSE)</f>
        <v>7.7180957040681895</v>
      </c>
      <c r="AN10" s="272">
        <f>VLOOKUP(TableWRRanks3242[[#This Row],[Player]],WR!B:O,13,FALSE)</f>
        <v>170.43250907909703</v>
      </c>
      <c r="AO10" s="273">
        <f>IF(VLOOKUP(TableWRRanks3242[[#This Row],[RK]],'Ranks w Proj'!AD:AO,12,FALSE)&lt;0,0,VLOOKUP(TableWRRanks3242[[#This Row],[RK]],'Ranks w Proj'!AD:AO,12,FALSE))</f>
        <v>30.220449297908555</v>
      </c>
      <c r="AQ10" s="22">
        <v>9</v>
      </c>
      <c r="AR10" s="22" t="str">
        <f>VLOOKUP(TableTERanks3343[[#This Row],[RK]],Rankings!A:Q,15,FALSE)</f>
        <v>Zach Ertz</v>
      </c>
      <c r="AS10" s="22" t="str">
        <f>IFERROR(INDEX(TableTECalcPts[TM],MATCH(TableTERanks3343[[#This Row],[Player]],TableTECalcPts[PLAYER],0)),"")</f>
        <v>ARI</v>
      </c>
      <c r="AT10" s="22">
        <f>IFERROR(INDEX(TableTECalcPts[BYE],MATCH(TableTERanks3343[[#This Row],[RK]],TableTECalcPts[RK],0)),"")</f>
        <v>7</v>
      </c>
      <c r="AU10" s="279">
        <f>VLOOKUP(TableTERanks3343[[#This Row],[Player]],TE!B:O,4,FALSE)</f>
        <v>97.279986180000023</v>
      </c>
      <c r="AV10" s="279">
        <f>VLOOKUP(TableTERanks3343[[#This Row],[Player]],TE!B:O,5,FALSE)</f>
        <v>64.049142900912017</v>
      </c>
      <c r="AW10" s="279">
        <f>VLOOKUP(TableTERanks3343[[#This Row],[Player]],TE!B:O,6,FALSE)</f>
        <v>678.2804233206582</v>
      </c>
      <c r="AX10" s="279">
        <f>VLOOKUP(TableTERanks3343[[#This Row],[Player]],TE!B:O,7,FALSE)</f>
        <v>5.2520297178747857</v>
      </c>
      <c r="AY10" s="272">
        <f>VLOOKUP(TableTERanks3343[[#This Row],[Player]],TE!B:O,11,FALSE)</f>
        <v>99.340220639314538</v>
      </c>
      <c r="AZ10" s="273">
        <f>IF(VLOOKUP(TableTERanks3343[[#This Row],[RK]],'Ranks w Proj'!AQ:AZ,10,FALSE)&lt;0,0,VLOOKUP(TableTERanks3343[[#This Row],[RK]],'Ranks w Proj'!AQ:AZ,10,FALSE))</f>
        <v>0.21399889448340834</v>
      </c>
    </row>
    <row r="11" spans="1:52" x14ac:dyDescent="0.3">
      <c r="A11" s="22">
        <v>10</v>
      </c>
      <c r="B11" s="22" t="str">
        <f>VLOOKUP(TableQBRanks3040[[#This Row],[RK]],Rankings!A:Q,3,FALSE)</f>
        <v>Matthew Stafford</v>
      </c>
      <c r="C11" s="22" t="str">
        <f>IFERROR(INDEX(TableQBCalcPts[TM],MATCH(TableQBRanks3040[[#This Row],[Player]],TableQBCalcPts[PLAYER],0)),"")</f>
        <v>LAR</v>
      </c>
      <c r="D11" s="22">
        <f>IFERROR(INDEX(TableQBCalcPts[BYE],MATCH(TableQBRanks3040[[#This Row],[RK]],TableQBCalcPts[RK],0)),"")</f>
        <v>7</v>
      </c>
      <c r="E11" s="279">
        <f>VLOOKUP(TableQBRanks3040[[#This Row],[Player]],QB!B:O,4,FALSE)</f>
        <v>601.25340399999993</v>
      </c>
      <c r="F11" s="279">
        <f>VLOOKUP(TableQBRanks3040[[#This Row],[Player]],QB!B:O,5,FALSE)</f>
        <v>401.63727387199998</v>
      </c>
      <c r="G11" s="279">
        <f>VLOOKUP(TableQBRanks3040[[#This Row],[Player]],QB!B:O,6,FALSE)</f>
        <v>4800.0594957390258</v>
      </c>
      <c r="H11" s="279">
        <f>VLOOKUP(TableQBRanks3040[[#This Row],[Player]],QB!B:O,7,FALSE)</f>
        <v>37.753903743967996</v>
      </c>
      <c r="I11" s="279">
        <f>VLOOKUP(TableQBRanks3040[[#This Row],[Player]],QB!B:O,8,FALSE)</f>
        <v>10.532452986454619</v>
      </c>
      <c r="J11" s="279">
        <f>VLOOKUP(TableQBRanks3040[[#This Row],[Player]],QB!B:O,9,FALSE)</f>
        <v>26.400119748850717</v>
      </c>
      <c r="K11" s="279">
        <f>VLOOKUP(TableQBRanks3040[[#This Row],[Player]],QB!B:O,10,FALSE)</f>
        <v>69.595709957570037</v>
      </c>
      <c r="L11" s="279">
        <f>VLOOKUP(TableQBRanks3040[[#This Row],[Player]],QB!B:O,11,FALSE)</f>
        <v>0.98545643210168243</v>
      </c>
      <c r="M11" s="272">
        <f>VLOOKUP(TableQBRanks3040[[#This Row],[Player]],QB!B:O,13,FALSE)</f>
        <v>334.82539842089091</v>
      </c>
      <c r="N11" s="273">
        <f>IF(VLOOKUP(TableQBRanks3040[[#This Row],[RK]],'Ranks w Proj'!$A:$N,14,FALSE)&lt;0,0,VLOOKUP(TableQBRanks3040[[#This Row],[RK]],'Ranks w Proj'!$A:$N,14,FALSE))</f>
        <v>18.210140488875453</v>
      </c>
      <c r="P11" s="22">
        <v>10</v>
      </c>
      <c r="Q11" s="22" t="str">
        <f>VLOOKUP(TableRBRanks3141[[#This Row],[RK]],Rankings!A:Q,7,FALSE)</f>
        <v>Nick Chubb</v>
      </c>
      <c r="R11" s="22" t="str">
        <f>IFERROR(INDEX(TableRBCalcPts[TM],MATCH(TableRBRanks3141[[#This Row],[Player]],TableRBCalcPts[PLAYER],0)),"")</f>
        <v>CLE</v>
      </c>
      <c r="S11" s="22">
        <f>IFERROR(INDEX(TableRBCalcPts[BYE],MATCH(TableRBRanks3141[[#This Row],[RK]],TableRBCalcPts[RK],0)),"")</f>
        <v>7</v>
      </c>
      <c r="T11" s="279">
        <f>VLOOKUP(TableRBRanks3141[[#This Row],[Player]],RB!B:O,4,FALSE)</f>
        <v>242.4209623448431</v>
      </c>
      <c r="U11" s="279">
        <f>VLOOKUP(TableRBRanks3141[[#This Row],[Player]],RB!B:O,5,FALSE)</f>
        <v>1293.1631883249388</v>
      </c>
      <c r="V11" s="279">
        <f>VLOOKUP(TableRBRanks3141[[#This Row],[Player]],RB!B:O,6,FALSE)</f>
        <v>9.5998701088557876</v>
      </c>
      <c r="W11" s="279">
        <f>VLOOKUP(TableRBRanks3141[[#This Row],[Player]],RB!B:O,7,FALSE)</f>
        <v>39.088068229416074</v>
      </c>
      <c r="X11" s="279">
        <f>VLOOKUP(TableRBRanks3141[[#This Row],[Player]],RB!B:O,8,FALSE)</f>
        <v>27.443732703873025</v>
      </c>
      <c r="Y11" s="279">
        <f>VLOOKUP(TableRBRanks3141[[#This Row],[Player]],RB!B:O,9,FALSE)</f>
        <v>230.52735471253342</v>
      </c>
      <c r="Z11" s="279">
        <f>VLOOKUP(TableRBRanks3141[[#This Row],[Player]],RB!B:O,10,FALSE)</f>
        <v>1.1562203046296531</v>
      </c>
      <c r="AA11" s="272">
        <f>VLOOKUP(TableRBRanks3141[[#This Row],[Player]],RB!B:O,14,FALSE)</f>
        <v>216.90559678465985</v>
      </c>
      <c r="AB11" s="273">
        <f>IF(VLOOKUP(TableRBRanks3141[[#This Row],[RK]],'Ranks w Proj'!$P:$AB,13,FALSE)&lt;0,0,VLOOKUP(TableRBRanks3141[[#This Row],[RK]],'Ranks w Proj'!$P:$AB,13,FALSE))</f>
        <v>55.275769740885188</v>
      </c>
      <c r="AD11" s="22">
        <v>10</v>
      </c>
      <c r="AE11" s="274" t="str">
        <f>VLOOKUP(TableWRRanks3242[[#This Row],[RK]],Rankings!A:Q,11,FALSE)</f>
        <v>Tee Higgins</v>
      </c>
      <c r="AF11" s="22" t="str">
        <f>IFERROR(INDEX(TableWRCalcPts[TM],MATCH(TableWRRanks3242[[#This Row],[Player]],TableWRCalcPts[PLAYER],0)),"")</f>
        <v>CIN</v>
      </c>
      <c r="AG11" s="22">
        <f>IFERROR(INDEX(TableWRCalcPts[BYE],MATCH(TableWRRanks3242[[#This Row],[RK]],TableWRCalcPts[RK],0)),"")</f>
        <v>11</v>
      </c>
      <c r="AH11" s="279">
        <f>VLOOKUP(TableWRRanks3242[[#This Row],[Player]],WR!B:O,4,FALSE)</f>
        <v>0.69986468537057145</v>
      </c>
      <c r="AI11" s="279">
        <f>VLOOKUP(TableWRRanks3242[[#This Row],[Player]],WR!B:O,5,FALSE)</f>
        <v>0</v>
      </c>
      <c r="AJ11" s="279">
        <f>VLOOKUP(TableWRRanks3242[[#This Row],[Player]],WR!B:O,6,FALSE)</f>
        <v>131.98507200993194</v>
      </c>
      <c r="AK11" s="279">
        <f>VLOOKUP(TableWRRanks3242[[#This Row],[Player]],WR!B:O,7,FALSE)</f>
        <v>86.96496394734416</v>
      </c>
      <c r="AL11" s="279">
        <f>VLOOKUP(TableWRRanks3242[[#This Row],[Player]],WR!B:O,8,FALSE)</f>
        <v>1250.5561815628091</v>
      </c>
      <c r="AM11" s="279">
        <f>VLOOKUP(TableWRRanks3242[[#This Row],[Player]],WR!B:O,9,FALSE)</f>
        <v>8.0007766831556619</v>
      </c>
      <c r="AN11" s="272">
        <f>VLOOKUP(TableWRRanks3242[[#This Row],[Player]],WR!B:O,13,FALSE)</f>
        <v>173.13026472375194</v>
      </c>
      <c r="AO11" s="273">
        <f>IF(VLOOKUP(TableWRRanks3242[[#This Row],[RK]],'Ranks w Proj'!AD:AO,12,FALSE)&lt;0,0,VLOOKUP(TableWRRanks3242[[#This Row],[RK]],'Ranks w Proj'!AD:AO,12,FALSE))</f>
        <v>28.949716460022838</v>
      </c>
      <c r="AQ11" s="22">
        <v>10</v>
      </c>
      <c r="AR11" s="22" t="str">
        <f>VLOOKUP(TableTERanks3343[[#This Row],[RK]],Rankings!A:Q,15,FALSE)</f>
        <v>Irv Smith</v>
      </c>
      <c r="AS11" s="22" t="str">
        <f>IFERROR(INDEX(TableTECalcPts[TM],MATCH(TableTERanks3343[[#This Row],[Player]],TableTECalcPts[PLAYER],0)),"")</f>
        <v>MIN</v>
      </c>
      <c r="AT11" s="22">
        <f>IFERROR(INDEX(TableTECalcPts[BYE],MATCH(TableTERanks3343[[#This Row],[RK]],TableTECalcPts[RK],0)),"")</f>
        <v>6</v>
      </c>
      <c r="AU11" s="279">
        <f>VLOOKUP(TableTERanks3343[[#This Row],[Player]],TE!B:O,4,FALSE)</f>
        <v>90.117460091021982</v>
      </c>
      <c r="AV11" s="279">
        <f>VLOOKUP(TableTERanks3343[[#This Row],[Player]],TE!B:O,5,FALSE)</f>
        <v>59.423453184019891</v>
      </c>
      <c r="AW11" s="279">
        <f>VLOOKUP(TableTERanks3343[[#This Row],[Player]],TE!B:O,6,FALSE)</f>
        <v>656.03492315157951</v>
      </c>
      <c r="AX11" s="279">
        <f>VLOOKUP(TableTERanks3343[[#This Row],[Player]],TE!B:O,7,FALSE)</f>
        <v>6.5365798502421883</v>
      </c>
      <c r="AY11" s="272">
        <f>VLOOKUP(TableTERanks3343[[#This Row],[Player]],TE!B:O,11,FALSE)</f>
        <v>104.82297141661108</v>
      </c>
      <c r="AZ11" s="273">
        <f>IF(VLOOKUP(TableTERanks3343[[#This Row],[RK]],'Ranks w Proj'!AQ:AZ,10,FALSE)&lt;0,0,VLOOKUP(TableTERanks3343[[#This Row],[RK]],'Ranks w Proj'!AQ:AZ,10,FALSE))</f>
        <v>0</v>
      </c>
    </row>
    <row r="12" spans="1:52" x14ac:dyDescent="0.3">
      <c r="A12" s="22">
        <v>11</v>
      </c>
      <c r="B12" s="22" t="str">
        <f>VLOOKUP(TableQBRanks3040[[#This Row],[RK]],Rankings!A:Q,3,FALSE)</f>
        <v>Russell Wilson</v>
      </c>
      <c r="C12" s="22" t="str">
        <f>IFERROR(INDEX(TableQBCalcPts[TM],MATCH(TableQBRanks3040[[#This Row],[Player]],TableQBCalcPts[PLAYER],0)),"")</f>
        <v>DEN</v>
      </c>
      <c r="D12" s="22">
        <f>IFERROR(INDEX(TableQBCalcPts[BYE],MATCH(TableQBRanks3040[[#This Row],[RK]],TableQBCalcPts[RK],0)),"")</f>
        <v>9</v>
      </c>
      <c r="E12" s="279">
        <f>VLOOKUP(TableQBRanks3040[[#This Row],[Player]],QB!B:O,4,FALSE)</f>
        <v>578.71428439999988</v>
      </c>
      <c r="F12" s="279">
        <f>VLOOKUP(TableQBRanks3040[[#This Row],[Player]],QB!B:O,5,FALSE)</f>
        <v>379.63657056639994</v>
      </c>
      <c r="G12" s="279">
        <f>VLOOKUP(TableQBRanks3040[[#This Row],[Player]],QB!B:O,6,FALSE)</f>
        <v>4352.5105903618705</v>
      </c>
      <c r="H12" s="279">
        <f>VLOOKUP(TableQBRanks3040[[#This Row],[Player]],QB!B:O,7,FALSE)</f>
        <v>31.927435584634232</v>
      </c>
      <c r="I12" s="279">
        <f>VLOOKUP(TableQBRanks3040[[#This Row],[Player]],QB!B:O,8,FALSE)</f>
        <v>7.2440794789437346</v>
      </c>
      <c r="J12" s="279">
        <f>VLOOKUP(TableQBRanks3040[[#This Row],[Player]],QB!B:O,9,FALSE)</f>
        <v>50.729726711340213</v>
      </c>
      <c r="K12" s="279">
        <f>VLOOKUP(TableQBRanks3040[[#This Row],[Player]],QB!B:O,10,FALSE)</f>
        <v>231.84326106246735</v>
      </c>
      <c r="L12" s="279">
        <f>VLOOKUP(TableQBRanks3040[[#This Row],[Player]],QB!B:O,11,FALSE)</f>
        <v>1.7964011331592831</v>
      </c>
      <c r="M12" s="272">
        <f>VLOOKUP(TableQBRanks3040[[#This Row],[Player]],QB!B:O,13,FALSE)</f>
        <v>321.28473990032666</v>
      </c>
      <c r="N12" s="273">
        <f>IF(VLOOKUP(TableQBRanks3040[[#This Row],[RK]],'Ranks w Proj'!$A:$N,14,FALSE)&lt;0,0,VLOOKUP(TableQBRanks3040[[#This Row],[RK]],'Ranks w Proj'!$A:$N,14,FALSE))</f>
        <v>17.793509289528149</v>
      </c>
      <c r="P12" s="22">
        <v>11</v>
      </c>
      <c r="Q12" s="22" t="str">
        <f>VLOOKUP(TableRBRanks3141[[#This Row],[RK]],Rankings!A:Q,7,FALSE)</f>
        <v>Leonard Fournette</v>
      </c>
      <c r="R12" s="22" t="str">
        <f>IFERROR(INDEX(TableRBCalcPts[TM],MATCH(TableRBRanks3141[[#This Row],[Player]],TableRBCalcPts[PLAYER],0)),"")</f>
        <v>TB</v>
      </c>
      <c r="S12" s="22">
        <f>IFERROR(INDEX(TableRBCalcPts[BYE],MATCH(TableRBRanks3141[[#This Row],[RK]],TableRBCalcPts[RK],0)),"")</f>
        <v>9</v>
      </c>
      <c r="T12" s="279">
        <f>VLOOKUP(TableRBRanks3141[[#This Row],[Player]],RB!B:O,4,FALSE)</f>
        <v>206.54928352033068</v>
      </c>
      <c r="U12" s="279">
        <f>VLOOKUP(TableRBRanks3141[[#This Row],[Player]],RB!B:O,5,FALSE)</f>
        <v>917.07881883026823</v>
      </c>
      <c r="V12" s="279">
        <f>VLOOKUP(TableRBRanks3141[[#This Row],[Player]],RB!B:O,6,FALSE)</f>
        <v>9.5219219702872451</v>
      </c>
      <c r="W12" s="279">
        <f>VLOOKUP(TableRBRanks3141[[#This Row],[Player]],RB!B:O,7,FALSE)</f>
        <v>73.866945697740135</v>
      </c>
      <c r="X12" s="279">
        <f>VLOOKUP(TableRBRanks3141[[#This Row],[Player]],RB!B:O,8,FALSE)</f>
        <v>58.871955721098892</v>
      </c>
      <c r="Y12" s="279">
        <f>VLOOKUP(TableRBRanks3141[[#This Row],[Player]],RB!B:O,9,FALSE)</f>
        <v>386.78874908761975</v>
      </c>
      <c r="Z12" s="279">
        <f>VLOOKUP(TableRBRanks3141[[#This Row],[Player]],RB!B:O,10,FALSE)</f>
        <v>2.1193904059595599</v>
      </c>
      <c r="AA12" s="272">
        <f>VLOOKUP(TableRBRanks3141[[#This Row],[Player]],RB!B:O,14,FALSE)</f>
        <v>200.23463104926964</v>
      </c>
      <c r="AB12" s="273">
        <f>IF(VLOOKUP(TableRBRanks3141[[#This Row],[RK]],'Ranks w Proj'!$P:$AB,13,FALSE)&lt;0,0,VLOOKUP(TableRBRanks3141[[#This Row],[RK]],'Ranks w Proj'!$P:$AB,13,FALSE))</f>
        <v>54.467267661133882</v>
      </c>
      <c r="AD12" s="274">
        <v>11</v>
      </c>
      <c r="AE12" s="274" t="str">
        <f>VLOOKUP(TableWRRanks3242[[#This Row],[RK]],Rankings!A:Q,11,FALSE)</f>
        <v>Diontae Johnson</v>
      </c>
      <c r="AF12" s="22" t="str">
        <f>IFERROR(INDEX(TableWRCalcPts[TM],MATCH(TableWRRanks3242[[#This Row],[Player]],TableWRCalcPts[PLAYER],0)),"")</f>
        <v>PIT</v>
      </c>
      <c r="AG12" s="22">
        <f>IFERROR(INDEX(TableWRCalcPts[BYE],MATCH(TableWRRanks3242[[#This Row],[RK]],TableWRCalcPts[RK],0)),"")</f>
        <v>7</v>
      </c>
      <c r="AH12" s="279">
        <f>VLOOKUP(TableWRRanks3242[[#This Row],[Player]],WR!B:O,4,FALSE)</f>
        <v>46.001830129884716</v>
      </c>
      <c r="AI12" s="279">
        <f>VLOOKUP(TableWRRanks3242[[#This Row],[Player]],WR!B:O,5,FALSE)</f>
        <v>0</v>
      </c>
      <c r="AJ12" s="279">
        <f>VLOOKUP(TableWRRanks3242[[#This Row],[Player]],WR!B:O,6,FALSE)</f>
        <v>158.35199556428987</v>
      </c>
      <c r="AK12" s="279">
        <f>VLOOKUP(TableWRRanks3242[[#This Row],[Player]],WR!B:O,7,FALSE)</f>
        <v>100.58518758243692</v>
      </c>
      <c r="AL12" s="279">
        <f>VLOOKUP(TableWRRanks3242[[#This Row],[Player]],WR!B:O,8,FALSE)</f>
        <v>1066.2029883738312</v>
      </c>
      <c r="AM12" s="279">
        <f>VLOOKUP(TableWRRanks3242[[#This Row],[Player]],WR!B:O,9,FALSE)</f>
        <v>6.6010038950483434</v>
      </c>
      <c r="AN12" s="272">
        <f>VLOOKUP(TableWRRanks3242[[#This Row],[Player]],WR!B:O,13,FALSE)</f>
        <v>150.82650522066166</v>
      </c>
      <c r="AO12" s="273">
        <f>IF(VLOOKUP(TableWRRanks3242[[#This Row],[RK]],'Ranks w Proj'!AD:AO,12,FALSE)&lt;0,0,VLOOKUP(TableWRRanks3242[[#This Row],[RK]],'Ranks w Proj'!AD:AO,12,FALSE))</f>
        <v>28.468285981755258</v>
      </c>
      <c r="AQ12" s="274">
        <v>11</v>
      </c>
      <c r="AR12" s="274" t="str">
        <f>VLOOKUP(TableTERanks3343[[#This Row],[RK]],Rankings!A:Q,15,FALSE)</f>
        <v>Cameron Brate</v>
      </c>
      <c r="AS12" s="22" t="str">
        <f>IFERROR(INDEX(TableTECalcPts[TM],MATCH(TableTERanks3343[[#This Row],[Player]],TableTECalcPts[PLAYER],0)),"")</f>
        <v>TB</v>
      </c>
      <c r="AT12" s="22">
        <f>IFERROR(INDEX(TableTECalcPts[BYE],MATCH(TableTERanks3343[[#This Row],[RK]],TableTECalcPts[RK],0)),"")</f>
        <v>13</v>
      </c>
      <c r="AU12" s="279">
        <f>VLOOKUP(TableTERanks3343[[#This Row],[Player]],TE!B:O,4,FALSE)</f>
        <v>92.668149453278573</v>
      </c>
      <c r="AV12" s="279">
        <f>VLOOKUP(TableTERanks3343[[#This Row],[Player]],TE!B:O,5,FALSE)</f>
        <v>61.695222063058196</v>
      </c>
      <c r="AW12" s="279">
        <f>VLOOKUP(TableTERanks3343[[#This Row],[Player]],TE!B:O,6,FALSE)</f>
        <v>648.41678388274158</v>
      </c>
      <c r="AX12" s="279">
        <f>VLOOKUP(TableTERanks3343[[#This Row],[Player]],TE!B:O,7,FALSE)</f>
        <v>5.7315745106689739</v>
      </c>
      <c r="AY12" s="272">
        <f>VLOOKUP(TableTERanks3343[[#This Row],[Player]],TE!B:O,11,FALSE)</f>
        <v>99.231125452288012</v>
      </c>
      <c r="AZ12" s="273">
        <f>IF(VLOOKUP(TableTERanks3343[[#This Row],[RK]],'Ranks w Proj'!AQ:AZ,10,FALSE)&lt;0,0,VLOOKUP(TableTERanks3343[[#This Row],[RK]],'Ranks w Proj'!AQ:AZ,10,FALSE))</f>
        <v>0</v>
      </c>
    </row>
    <row r="13" spans="1:52" x14ac:dyDescent="0.3">
      <c r="A13" s="22">
        <v>12</v>
      </c>
      <c r="B13" s="22" t="str">
        <f>VLOOKUP(TableQBRanks3040[[#This Row],[RK]],Rankings!A:Q,3,FALSE)</f>
        <v>Dak Prescott</v>
      </c>
      <c r="C13" s="22" t="str">
        <f>IFERROR(INDEX(TableQBCalcPts[TM],MATCH(TableQBRanks3040[[#This Row],[Player]],TableQBCalcPts[PLAYER],0)),"")</f>
        <v>DAL</v>
      </c>
      <c r="D13" s="22">
        <f>IFERROR(INDEX(TableQBCalcPts[BYE],MATCH(TableQBRanks3040[[#This Row],[RK]],TableQBCalcPts[RK],0)),"")</f>
        <v>9</v>
      </c>
      <c r="E13" s="279">
        <f>VLOOKUP(TableQBRanks3040[[#This Row],[Player]],QB!B:O,4,FALSE)</f>
        <v>626.92223999999999</v>
      </c>
      <c r="F13" s="279">
        <f>VLOOKUP(TableQBRanks3040[[#This Row],[Player]],QB!B:O,5,FALSE)</f>
        <v>420.80921620897954</v>
      </c>
      <c r="G13" s="279">
        <f>VLOOKUP(TableQBRanks3040[[#This Row],[Player]],QB!B:O,6,FALSE)</f>
        <v>4633.1094704608649</v>
      </c>
      <c r="H13" s="279">
        <f>VLOOKUP(TableQBRanks3040[[#This Row],[Player]],QB!B:O,7,FALSE)</f>
        <v>33.117685315646689</v>
      </c>
      <c r="I13" s="279">
        <f>VLOOKUP(TableQBRanks3040[[#This Row],[Player]],QB!B:O,8,FALSE)</f>
        <v>8.2662984259280616</v>
      </c>
      <c r="J13" s="279">
        <f>VLOOKUP(TableQBRanks3040[[#This Row],[Player]],QB!B:O,9,FALSE)</f>
        <v>51.335939219324352</v>
      </c>
      <c r="K13" s="279">
        <f>VLOOKUP(TableQBRanks3040[[#This Row],[Player]],QB!B:O,10,FALSE)</f>
        <v>186.94156246984693</v>
      </c>
      <c r="L13" s="279">
        <f>VLOOKUP(TableQBRanks3040[[#This Row],[Player]],QB!B:O,11,FALSE)</f>
        <v>2.4121462502255273</v>
      </c>
      <c r="M13" s="272">
        <f>VLOOKUP(TableQBRanks3040[[#This Row],[Player]],QB!B:O,13,FALSE)</f>
        <v>334.42955697750307</v>
      </c>
      <c r="N13" s="273">
        <f>IF(VLOOKUP(TableQBRanks3040[[#This Row],[RK]],'Ranks w Proj'!$A:$N,14,FALSE)&lt;0,0,VLOOKUP(TableQBRanks3040[[#This Row],[RK]],'Ranks w Proj'!$A:$N,14,FALSE))</f>
        <v>14.459731273768787</v>
      </c>
      <c r="P13" s="22">
        <v>12</v>
      </c>
      <c r="Q13" s="22" t="str">
        <f>VLOOKUP(TableRBRanks3141[[#This Row],[RK]],Rankings!A:Q,7,FALSE)</f>
        <v>Cam Akers</v>
      </c>
      <c r="R13" s="22" t="str">
        <f>IFERROR(INDEX(TableRBCalcPts[TM],MATCH(TableRBRanks3141[[#This Row],[Player]],TableRBCalcPts[PLAYER],0)),"")</f>
        <v>LAR</v>
      </c>
      <c r="S13" s="22">
        <f>IFERROR(INDEX(TableRBCalcPts[BYE],MATCH(TableRBRanks3141[[#This Row],[RK]],TableRBCalcPts[RK],0)),"")</f>
        <v>10</v>
      </c>
      <c r="T13" s="279">
        <f>VLOOKUP(TableRBRanks3141[[#This Row],[Player]],RB!B:O,4,FALSE)</f>
        <v>271.02036367192011</v>
      </c>
      <c r="U13" s="279">
        <f>VLOOKUP(TableRBRanks3141[[#This Row],[Player]],RB!B:O,5,FALSE)</f>
        <v>1140.9957310587836</v>
      </c>
      <c r="V13" s="279">
        <f>VLOOKUP(TableRBRanks3141[[#This Row],[Player]],RB!B:O,6,FALSE)</f>
        <v>9.3231005103140525</v>
      </c>
      <c r="W13" s="279">
        <f>VLOOKUP(TableRBRanks3141[[#This Row],[Player]],RB!B:O,7,FALSE)</f>
        <v>49.38389247562403</v>
      </c>
      <c r="X13" s="279">
        <f>VLOOKUP(TableRBRanks3141[[#This Row],[Player]],RB!B:O,8,FALSE)</f>
        <v>34.97014815766606</v>
      </c>
      <c r="Y13" s="279">
        <f>VLOOKUP(TableRBRanks3141[[#This Row],[Player]],RB!B:O,9,FALSE)</f>
        <v>280.09888092439837</v>
      </c>
      <c r="Z13" s="279">
        <f>VLOOKUP(TableRBRanks3141[[#This Row],[Player]],RB!B:O,10,FALSE)</f>
        <v>2.0632387413022975</v>
      </c>
      <c r="AA13" s="272">
        <f>VLOOKUP(TableRBRanks3141[[#This Row],[Player]],RB!B:O,14,FALSE)</f>
        <v>210.42749670801629</v>
      </c>
      <c r="AB13" s="273">
        <f>IF(VLOOKUP(TableRBRanks3141[[#This Row],[RK]],'Ranks w Proj'!$P:$AB,13,FALSE)&lt;0,0,VLOOKUP(TableRBRanks3141[[#This Row],[RK]],'Ranks w Proj'!$P:$AB,13,FALSE))</f>
        <v>50.144441281491098</v>
      </c>
      <c r="AD13" s="22">
        <v>12</v>
      </c>
      <c r="AE13" s="274" t="str">
        <f>VLOOKUP(TableWRRanks3242[[#This Row],[RK]],Rankings!A:Q,11,FALSE)</f>
        <v>A.J. Brown</v>
      </c>
      <c r="AF13" s="22" t="str">
        <f>IFERROR(INDEX(TableWRCalcPts[TM],MATCH(TableWRRanks3242[[#This Row],[Player]],TableWRCalcPts[PLAYER],0)),"")</f>
        <v>PHI</v>
      </c>
      <c r="AG13" s="22">
        <f>IFERROR(INDEX(TableWRCalcPts[BYE],MATCH(TableWRRanks3242[[#This Row],[RK]],TableWRCalcPts[RK],0)),"")</f>
        <v>8</v>
      </c>
      <c r="AH13" s="279">
        <f>VLOOKUP(TableWRRanks3242[[#This Row],[Player]],WR!B:O,4,FALSE)</f>
        <v>6.0973502029220494</v>
      </c>
      <c r="AI13" s="279">
        <f>VLOOKUP(TableWRRanks3242[[#This Row],[Player]],WR!B:O,5,FALSE)</f>
        <v>0</v>
      </c>
      <c r="AJ13" s="279">
        <f>VLOOKUP(TableWRRanks3242[[#This Row],[Player]],WR!B:O,6,FALSE)</f>
        <v>131.95235836620279</v>
      </c>
      <c r="AK13" s="279">
        <f>VLOOKUP(TableWRRanks3242[[#This Row],[Player]],WR!B:O,7,FALSE)</f>
        <v>80.266619594161156</v>
      </c>
      <c r="AL13" s="279">
        <f>VLOOKUP(TableWRRanks3242[[#This Row],[Player]],WR!B:O,8,FALSE)</f>
        <v>1158.2473207437454</v>
      </c>
      <c r="AM13" s="279">
        <f>VLOOKUP(TableWRRanks3242[[#This Row],[Player]],WR!B:O,9,FALSE)</f>
        <v>8.829328155357727</v>
      </c>
      <c r="AN13" s="272">
        <f>VLOOKUP(TableWRRanks3242[[#This Row],[Player]],WR!B:O,13,FALSE)</f>
        <v>169.4104360268131</v>
      </c>
      <c r="AO13" s="273">
        <f>IF(VLOOKUP(TableWRRanks3242[[#This Row],[RK]],'Ranks w Proj'!AD:AO,12,FALSE)&lt;0,0,VLOOKUP(TableWRRanks3242[[#This Row],[RK]],'Ranks w Proj'!AD:AO,12,FALSE))</f>
        <v>24.607351559036019</v>
      </c>
      <c r="AQ13" s="22">
        <v>12</v>
      </c>
      <c r="AR13" s="274" t="str">
        <f>VLOOKUP(TableTERanks3343[[#This Row],[RK]],Rankings!A:Q,15,FALSE)</f>
        <v>Pat Freiermuth</v>
      </c>
      <c r="AS13" s="22" t="str">
        <f>IFERROR(INDEX(TableTECalcPts[TM],MATCH(TableTERanks3343[[#This Row],[Player]],TableTECalcPts[PLAYER],0)),"")</f>
        <v>PIT</v>
      </c>
      <c r="AT13" s="22">
        <f>IFERROR(INDEX(TableTECalcPts[BYE],MATCH(TableTERanks3343[[#This Row],[RK]],TableTECalcPts[RK],0)),"")</f>
        <v>11</v>
      </c>
      <c r="AU13" s="279">
        <f>VLOOKUP(TableTERanks3343[[#This Row],[Player]],TE!B:O,4,FALSE)</f>
        <v>98.310197246163298</v>
      </c>
      <c r="AV13" s="279">
        <f>VLOOKUP(TableTERanks3343[[#This Row],[Player]],TE!B:O,5,FALSE)</f>
        <v>62.928357257269127</v>
      </c>
      <c r="AW13" s="279">
        <f>VLOOKUP(TableTERanks3343[[#This Row],[Player]],TE!B:O,6,FALSE)</f>
        <v>596.56082679891131</v>
      </c>
      <c r="AX13" s="279">
        <f>VLOOKUP(TableTERanks3343[[#This Row],[Player]],TE!B:O,7,FALSE)</f>
        <v>6.0322920479128053</v>
      </c>
      <c r="AY13" s="272">
        <f>VLOOKUP(TableTERanks3343[[#This Row],[Player]],TE!B:O,11,FALSE)</f>
        <v>95.849834967367968</v>
      </c>
      <c r="AZ13" s="273">
        <f>IF(VLOOKUP(TableTERanks3343[[#This Row],[RK]],'Ranks w Proj'!AQ:AZ,10,FALSE)&lt;0,0,VLOOKUP(TableTERanks3343[[#This Row],[RK]],'Ranks w Proj'!AQ:AZ,10,FALSE))</f>
        <v>0</v>
      </c>
    </row>
    <row r="14" spans="1:52" x14ac:dyDescent="0.3">
      <c r="A14" s="22">
        <v>13</v>
      </c>
      <c r="B14" s="22" t="str">
        <f>VLOOKUP(TableQBRanks3040[[#This Row],[RK]],Rankings!A:Q,3,FALSE)</f>
        <v>Trevor Lawrence</v>
      </c>
      <c r="C14" s="22" t="str">
        <f>IFERROR(INDEX(TableQBCalcPts[TM],MATCH(TableQBRanks3040[[#This Row],[Player]],TableQBCalcPts[PLAYER],0)),"")</f>
        <v>JAX</v>
      </c>
      <c r="D14" s="22">
        <f>IFERROR(INDEX(TableQBCalcPts[BYE],MATCH(TableQBRanks3040[[#This Row],[RK]],TableQBCalcPts[RK],0)),"")</f>
        <v>9</v>
      </c>
      <c r="E14" s="279">
        <f>VLOOKUP(TableQBRanks3040[[#This Row],[Player]],QB!B:O,4,FALSE)</f>
        <v>647.93520000000001</v>
      </c>
      <c r="F14" s="279">
        <f>VLOOKUP(TableQBRanks3040[[#This Row],[Player]],QB!B:O,5,FALSE)</f>
        <v>410.14298159999998</v>
      </c>
      <c r="G14" s="279">
        <f>VLOOKUP(TableQBRanks3040[[#This Row],[Player]],QB!B:O,6,FALSE)</f>
        <v>4540.2828063119996</v>
      </c>
      <c r="H14" s="279">
        <f>VLOOKUP(TableQBRanks3040[[#This Row],[Player]],QB!B:O,7,FALSE)</f>
        <v>27.889722748800001</v>
      </c>
      <c r="I14" s="279">
        <f>VLOOKUP(TableQBRanks3040[[#This Row],[Player]],QB!B:O,8,FALSE)</f>
        <v>10.529240895693187</v>
      </c>
      <c r="J14" s="279">
        <f>VLOOKUP(TableQBRanks3040[[#This Row],[Player]],QB!B:O,9,FALSE)</f>
        <v>66.981975388584672</v>
      </c>
      <c r="K14" s="279">
        <f>VLOOKUP(TableQBRanks3040[[#This Row],[Player]],QB!B:O,10,FALSE)</f>
        <v>330.27573816963746</v>
      </c>
      <c r="L14" s="279">
        <f>VLOOKUP(TableQBRanks3040[[#This Row],[Player]],QB!B:O,11,FALSE)</f>
        <v>2.0787364507901929</v>
      </c>
      <c r="M14" s="272">
        <f>VLOOKUP(TableQBRanks3040[[#This Row],[Player]],QB!B:O,13,FALSE)</f>
        <v>317.61171397799848</v>
      </c>
      <c r="N14" s="273">
        <f>IF(VLOOKUP(TableQBRanks3040[[#This Row],[RK]],'Ranks w Proj'!$A:$N,14,FALSE)&lt;0,0,VLOOKUP(TableQBRanks3040[[#This Row],[RK]],'Ranks w Proj'!$A:$N,14,FALSE))</f>
        <v>14.080085846053766</v>
      </c>
      <c r="P14" s="22">
        <v>13</v>
      </c>
      <c r="Q14" s="22" t="str">
        <f>VLOOKUP(TableRBRanks3141[[#This Row],[RK]],Rankings!A:Q,7,FALSE)</f>
        <v>James Conner</v>
      </c>
      <c r="R14" s="22" t="str">
        <f>IFERROR(INDEX(TableRBCalcPts[TM],MATCH(TableRBRanks3141[[#This Row],[Player]],TableRBCalcPts[PLAYER],0)),"")</f>
        <v>ARI</v>
      </c>
      <c r="S14" s="22">
        <f>IFERROR(INDEX(TableRBCalcPts[BYE],MATCH(TableRBRanks3141[[#This Row],[RK]],TableRBCalcPts[RK],0)),"")</f>
        <v>11</v>
      </c>
      <c r="T14" s="279">
        <f>VLOOKUP(TableRBRanks3141[[#This Row],[Player]],RB!B:O,4,FALSE)</f>
        <v>207.09737456506932</v>
      </c>
      <c r="U14" s="279">
        <f>VLOOKUP(TableRBRanks3141[[#This Row],[Player]],RB!B:O,5,FALSE)</f>
        <v>886.3767631384967</v>
      </c>
      <c r="V14" s="279">
        <f>VLOOKUP(TableRBRanks3141[[#This Row],[Player]],RB!B:O,6,FALSE)</f>
        <v>10.596209583821869</v>
      </c>
      <c r="W14" s="279">
        <f>VLOOKUP(TableRBRanks3141[[#This Row],[Player]],RB!B:O,7,FALSE)</f>
        <v>63.606144809999996</v>
      </c>
      <c r="X14" s="279">
        <f>VLOOKUP(TableRBRanks3141[[#This Row],[Player]],RB!B:O,8,FALSE)</f>
        <v>51.648189585719997</v>
      </c>
      <c r="Y14" s="279">
        <f>VLOOKUP(TableRBRanks3141[[#This Row],[Player]],RB!B:O,9,FALSE)</f>
        <v>404.4053244561876</v>
      </c>
      <c r="Z14" s="279">
        <f>VLOOKUP(TableRBRanks3141[[#This Row],[Player]],RB!B:O,10,FALSE)</f>
        <v>3.0472431855574795</v>
      </c>
      <c r="AA14" s="272">
        <f>VLOOKUP(TableRBRanks3141[[#This Row],[Player]],RB!B:O,14,FALSE)</f>
        <v>210.93892537574453</v>
      </c>
      <c r="AB14" s="273">
        <f>IF(VLOOKUP(TableRBRanks3141[[#This Row],[RK]],'Ranks w Proj'!$P:$AB,13,FALSE)&lt;0,0,VLOOKUP(TableRBRanks3141[[#This Row],[RK]],'Ranks w Proj'!$P:$AB,13,FALSE))</f>
        <v>50.111924660653621</v>
      </c>
      <c r="AD14" s="22">
        <v>13</v>
      </c>
      <c r="AE14" s="22" t="str">
        <f>VLOOKUP(TableWRRanks3242[[#This Row],[RK]],Rankings!A:Q,11,FALSE)</f>
        <v>Keenan Allen</v>
      </c>
      <c r="AF14" s="22" t="str">
        <f>IFERROR(INDEX(TableWRCalcPts[TM],MATCH(TableWRRanks3242[[#This Row],[Player]],TableWRCalcPts[PLAYER],0)),"")</f>
        <v>LAC</v>
      </c>
      <c r="AG14" s="22">
        <f>IFERROR(INDEX(TableWRCalcPts[BYE],MATCH(TableWRRanks3242[[#This Row],[RK]],TableWRCalcPts[RK],0)),"")</f>
        <v>14</v>
      </c>
      <c r="AH14" s="279">
        <f>VLOOKUP(TableWRRanks3242[[#This Row],[Player]],WR!B:O,4,FALSE)</f>
        <v>0.80011821658051208</v>
      </c>
      <c r="AI14" s="279">
        <f>VLOOKUP(TableWRRanks3242[[#This Row],[Player]],WR!B:O,5,FALSE)</f>
        <v>0</v>
      </c>
      <c r="AJ14" s="279">
        <f>VLOOKUP(TableWRRanks3242[[#This Row],[Player]],WR!B:O,6,FALSE)</f>
        <v>144.23939751456231</v>
      </c>
      <c r="AK14" s="279">
        <f>VLOOKUP(TableWRRanks3242[[#This Row],[Player]],WR!B:O,7,FALSE)</f>
        <v>100.71892109018958</v>
      </c>
      <c r="AL14" s="279">
        <f>VLOOKUP(TableWRRanks3242[[#This Row],[Player]],WR!B:O,8,FALSE)</f>
        <v>1098.8434290939683</v>
      </c>
      <c r="AM14" s="279">
        <f>VLOOKUP(TableWRRanks3242[[#This Row],[Player]],WR!B:O,9,FALSE)</f>
        <v>6.8488866341328922</v>
      </c>
      <c r="AN14" s="272">
        <f>VLOOKUP(TableWRRanks3242[[#This Row],[Player]],WR!B:O,13,FALSE)</f>
        <v>151.05767453585224</v>
      </c>
      <c r="AO14" s="273">
        <f>IF(VLOOKUP(TableWRRanks3242[[#This Row],[RK]],'Ranks w Proj'!AD:AO,12,FALSE)&lt;0,0,VLOOKUP(TableWRRanks3242[[#This Row],[RK]],'Ranks w Proj'!AD:AO,12,FALSE))</f>
        <v>22.776780144256673</v>
      </c>
      <c r="AQ14" s="22">
        <v>13</v>
      </c>
      <c r="AR14" s="274" t="str">
        <f>VLOOKUP(TableTERanks3343[[#This Row],[RK]],Rankings!A:Q,15,FALSE)</f>
        <v>Dawson Knox</v>
      </c>
      <c r="AS14" s="22" t="str">
        <f>IFERROR(INDEX(TableTECalcPts[TM],MATCH(TableTERanks3343[[#This Row],[Player]],TableTECalcPts[PLAYER],0)),"")</f>
        <v>BUF</v>
      </c>
      <c r="AT14" s="22">
        <f>IFERROR(INDEX(TableTECalcPts[BYE],MATCH(TableTERanks3343[[#This Row],[RK]],TableTECalcPts[RK],0)),"")</f>
        <v>9</v>
      </c>
      <c r="AU14" s="279">
        <f>VLOOKUP(TableTERanks3343[[#This Row],[Player]],TE!B:O,4,FALSE)</f>
        <v>74.995960382116522</v>
      </c>
      <c r="AV14" s="279">
        <f>VLOOKUP(TableTERanks3343[[#This Row],[Player]],TE!B:O,5,FALSE)</f>
        <v>46.979269486406956</v>
      </c>
      <c r="AW14" s="279">
        <f>VLOOKUP(TableTERanks3343[[#This Row],[Player]],TE!B:O,6,FALSE)</f>
        <v>572.15678107651104</v>
      </c>
      <c r="AX14" s="279">
        <f>VLOOKUP(TableTERanks3343[[#This Row],[Player]],TE!B:O,7,FALSE)</f>
        <v>7.6106416567979274</v>
      </c>
      <c r="AY14" s="272">
        <f>VLOOKUP(TableTERanks3343[[#This Row],[Player]],TE!B:O,11,FALSE)</f>
        <v>102.87952804843867</v>
      </c>
      <c r="AZ14" s="273">
        <f>IF(VLOOKUP(TableTERanks3343[[#This Row],[RK]],'Ranks w Proj'!AQ:AZ,10,FALSE)&lt;0,0,VLOOKUP(TableTERanks3343[[#This Row],[RK]],'Ranks w Proj'!AQ:AZ,10,FALSE))</f>
        <v>0</v>
      </c>
    </row>
    <row r="15" spans="1:52" x14ac:dyDescent="0.3">
      <c r="A15" s="22">
        <v>14</v>
      </c>
      <c r="B15" s="22" t="str">
        <f>VLOOKUP(TableQBRanks3040[[#This Row],[RK]],Rankings!A:Q,3,FALSE)</f>
        <v>Derek Carr</v>
      </c>
      <c r="C15" s="22" t="str">
        <f>IFERROR(INDEX(TableQBCalcPts[TM],MATCH(TableQBRanks3040[[#This Row],[Player]],TableQBCalcPts[PLAYER],0)),"")</f>
        <v>LV</v>
      </c>
      <c r="D15" s="22">
        <f>IFERROR(INDEX(TableQBCalcPts[BYE],MATCH(TableQBRanks3040[[#This Row],[RK]],TableQBCalcPts[RK],0)),"")</f>
        <v>11</v>
      </c>
      <c r="E15" s="279">
        <f>VLOOKUP(TableQBRanks3040[[#This Row],[Player]],QB!B:O,4,FALSE)</f>
        <v>617.38873979999994</v>
      </c>
      <c r="F15" s="279">
        <f>VLOOKUP(TableQBRanks3040[[#This Row],[Player]],QB!B:O,5,FALSE)</f>
        <v>417.97217684459997</v>
      </c>
      <c r="G15" s="279">
        <f>VLOOKUP(TableQBRanks3040[[#This Row],[Player]],QB!B:O,6,FALSE)</f>
        <v>4614.4128323643836</v>
      </c>
      <c r="H15" s="279">
        <f>VLOOKUP(TableQBRanks3040[[#This Row],[Player]],QB!B:O,7,FALSE)</f>
        <v>30.093996732811195</v>
      </c>
      <c r="I15" s="279">
        <f>VLOOKUP(TableQBRanks3040[[#This Row],[Player]],QB!B:O,8,FALSE)</f>
        <v>9.6929929279980254</v>
      </c>
      <c r="J15" s="279">
        <f>VLOOKUP(TableQBRanks3040[[#This Row],[Player]],QB!B:O,9,FALSE)</f>
        <v>31.348661726637555</v>
      </c>
      <c r="K15" s="279">
        <f>VLOOKUP(TableQBRanks3040[[#This Row],[Player]],QB!B:O,10,FALSE)</f>
        <v>108.49668481845534</v>
      </c>
      <c r="L15" s="279">
        <f>VLOOKUP(TableQBRanks3040[[#This Row],[Player]],QB!B:O,11,FALSE)</f>
        <v>0.94045985179912661</v>
      </c>
      <c r="M15" s="272">
        <f>VLOOKUP(TableQBRanks3040[[#This Row],[Player]],QB!B:O,13,FALSE)</f>
        <v>302.05894196246436</v>
      </c>
      <c r="N15" s="273">
        <f>IF(VLOOKUP(TableQBRanks3040[[#This Row],[RK]],'Ranks w Proj'!$A:$N,14,FALSE)&lt;0,0,VLOOKUP(TableQBRanks3040[[#This Row],[RK]],'Ranks w Proj'!$A:$N,14,FALSE))</f>
        <v>13.54689268333814</v>
      </c>
      <c r="P15" s="22">
        <v>14</v>
      </c>
      <c r="Q15" s="22" t="str">
        <f>VLOOKUP(TableRBRanks3141[[#This Row],[RK]],Rankings!A:Q,7,FALSE)</f>
        <v>Javonte Williams</v>
      </c>
      <c r="R15" s="22" t="str">
        <f>IFERROR(INDEX(TableRBCalcPts[TM],MATCH(TableRBRanks3141[[#This Row],[Player]],TableRBCalcPts[PLAYER],0)),"")</f>
        <v>DEN</v>
      </c>
      <c r="S15" s="22">
        <f>IFERROR(INDEX(TableRBCalcPts[BYE],MATCH(TableRBRanks3141[[#This Row],[RK]],TableRBCalcPts[RK],0)),"")</f>
        <v>14</v>
      </c>
      <c r="T15" s="279">
        <f>VLOOKUP(TableRBRanks3141[[#This Row],[Player]],RB!B:O,4,FALSE)</f>
        <v>215.14839453470179</v>
      </c>
      <c r="U15" s="279">
        <f>VLOOKUP(TableRBRanks3141[[#This Row],[Player]],RB!B:O,5,FALSE)</f>
        <v>953.49686561483679</v>
      </c>
      <c r="V15" s="279">
        <f>VLOOKUP(TableRBRanks3141[[#This Row],[Player]],RB!B:O,6,FALSE)</f>
        <v>7.0353525012847484</v>
      </c>
      <c r="W15" s="279">
        <f>VLOOKUP(TableRBRanks3141[[#This Row],[Player]],RB!B:O,7,FALSE)</f>
        <v>66.727022380707382</v>
      </c>
      <c r="X15" s="279">
        <f>VLOOKUP(TableRBRanks3141[[#This Row],[Player]],RB!B:O,8,FALSE)</f>
        <v>52.82111091656796</v>
      </c>
      <c r="Y15" s="279">
        <f>VLOOKUP(TableRBRanks3141[[#This Row],[Player]],RB!B:O,9,FALSE)</f>
        <v>364.06813087684418</v>
      </c>
      <c r="Z15" s="279">
        <f>VLOOKUP(TableRBRanks3141[[#This Row],[Player]],RB!B:O,10,FALSE)</f>
        <v>3.127946973411873</v>
      </c>
      <c r="AA15" s="272">
        <f>VLOOKUP(TableRBRanks3141[[#This Row],[Player]],RB!B:O,14,FALSE)</f>
        <v>192.73629649734781</v>
      </c>
      <c r="AB15" s="273">
        <f>IF(VLOOKUP(TableRBRanks3141[[#This Row],[RK]],'Ranks w Proj'!$P:$AB,13,FALSE)&lt;0,0,VLOOKUP(TableRBRanks3141[[#This Row],[RK]],'Ranks w Proj'!$P:$AB,13,FALSE))</f>
        <v>50.015899402176274</v>
      </c>
      <c r="AD15" s="274">
        <v>14</v>
      </c>
      <c r="AE15" s="274" t="str">
        <f>VLOOKUP(TableWRRanks3242[[#This Row],[RK]],Rankings!A:Q,11,FALSE)</f>
        <v>Michael Pittman</v>
      </c>
      <c r="AF15" s="22" t="str">
        <f>IFERROR(INDEX(TableWRCalcPts[TM],MATCH(TableWRRanks3242[[#This Row],[Player]],TableWRCalcPts[PLAYER],0)),"")</f>
        <v>IND</v>
      </c>
      <c r="AG15" s="22">
        <f>IFERROR(INDEX(TableWRCalcPts[BYE],MATCH(TableWRRanks3242[[#This Row],[RK]],TableWRCalcPts[RK],0)),"")</f>
        <v>9</v>
      </c>
      <c r="AH15" s="279">
        <f>VLOOKUP(TableWRRanks3242[[#This Row],[Player]],WR!B:O,4,FALSE)</f>
        <v>35.855971220908906</v>
      </c>
      <c r="AI15" s="279">
        <f>VLOOKUP(TableWRRanks3242[[#This Row],[Player]],WR!B:O,5,FALSE)</f>
        <v>0</v>
      </c>
      <c r="AJ15" s="279">
        <f>VLOOKUP(TableWRRanks3242[[#This Row],[Player]],WR!B:O,6,FALSE)</f>
        <v>127.11461144520709</v>
      </c>
      <c r="AK15" s="279">
        <f>VLOOKUP(TableWRRanks3242[[#This Row],[Player]],WR!B:O,7,FALSE)</f>
        <v>84.149872776727094</v>
      </c>
      <c r="AL15" s="279">
        <f>VLOOKUP(TableWRRanks3242[[#This Row],[Player]],WR!B:O,8,FALSE)</f>
        <v>1113.3028168360995</v>
      </c>
      <c r="AM15" s="279">
        <f>VLOOKUP(TableWRRanks3242[[#This Row],[Player]],WR!B:O,9,FALSE)</f>
        <v>7.0685893132450763</v>
      </c>
      <c r="AN15" s="272">
        <f>VLOOKUP(TableWRRanks3242[[#This Row],[Player]],WR!B:O,13,FALSE)</f>
        <v>157.32741468517131</v>
      </c>
      <c r="AO15" s="273">
        <f>IF(VLOOKUP(TableWRRanks3242[[#This Row],[RK]],'Ranks w Proj'!AD:AO,12,FALSE)&lt;0,0,VLOOKUP(TableWRRanks3242[[#This Row],[RK]],'Ranks w Proj'!AD:AO,12,FALSE))</f>
        <v>22.582863544006234</v>
      </c>
      <c r="AQ15" s="274">
        <v>14</v>
      </c>
      <c r="AR15" s="274" t="str">
        <f>VLOOKUP(TableTERanks3343[[#This Row],[RK]],Rankings!A:Q,15,FALSE)</f>
        <v>David Njoku</v>
      </c>
      <c r="AS15" s="22" t="str">
        <f>IFERROR(INDEX(TableTECalcPts[TM],MATCH(TableTERanks3343[[#This Row],[Player]],TableTECalcPts[PLAYER],0)),"")</f>
        <v>CLE</v>
      </c>
      <c r="AT15" s="22">
        <f>IFERROR(INDEX(TableTECalcPts[BYE],MATCH(TableTERanks3343[[#This Row],[RK]],TableTECalcPts[RK],0)),"")</f>
        <v>9</v>
      </c>
      <c r="AU15" s="279">
        <f>VLOOKUP(TableTERanks3343[[#This Row],[Player]],TE!B:O,4,FALSE)</f>
        <v>76.365780692039579</v>
      </c>
      <c r="AV15" s="279">
        <f>VLOOKUP(TableTERanks3343[[#This Row],[Player]],TE!B:O,5,FALSE)</f>
        <v>49.874491369971047</v>
      </c>
      <c r="AW15" s="279">
        <f>VLOOKUP(TableTERanks3343[[#This Row],[Player]],TE!B:O,6,FALSE)</f>
        <v>600.98762100815111</v>
      </c>
      <c r="AX15" s="279">
        <f>VLOOKUP(TableTERanks3343[[#This Row],[Player]],TE!B:O,7,FALSE)</f>
        <v>6.3340604039863226</v>
      </c>
      <c r="AY15" s="272">
        <f>VLOOKUP(TableTERanks3343[[#This Row],[Player]],TE!B:O,11,FALSE)</f>
        <v>98.103124524733062</v>
      </c>
      <c r="AZ15" s="273">
        <f>IF(VLOOKUP(TableTERanks3343[[#This Row],[RK]],'Ranks w Proj'!AQ:AZ,10,FALSE)&lt;0,0,VLOOKUP(TableTERanks3343[[#This Row],[RK]],'Ranks w Proj'!AQ:AZ,10,FALSE))</f>
        <v>0</v>
      </c>
    </row>
    <row r="16" spans="1:52" x14ac:dyDescent="0.3">
      <c r="A16" s="22">
        <v>15</v>
      </c>
      <c r="B16" s="22" t="str">
        <f>VLOOKUP(TableQBRanks3040[[#This Row],[RK]],Rankings!A:Q,3,FALSE)</f>
        <v>Trey Lance</v>
      </c>
      <c r="C16" s="22" t="str">
        <f>IFERROR(INDEX(TableQBCalcPts[TM],MATCH(TableQBRanks3040[[#This Row],[Player]],TableQBCalcPts[PLAYER],0)),"")</f>
        <v>SF</v>
      </c>
      <c r="D16" s="22">
        <f>IFERROR(INDEX(TableQBCalcPts[BYE],MATCH(TableQBRanks3040[[#This Row],[RK]],TableQBCalcPts[RK],0)),"")</f>
        <v>14</v>
      </c>
      <c r="E16" s="279">
        <f>VLOOKUP(TableQBRanks3040[[#This Row],[Player]],QB!B:O,4,FALSE)</f>
        <v>531.85365780000006</v>
      </c>
      <c r="F16" s="279">
        <f>VLOOKUP(TableQBRanks3040[[#This Row],[Player]],QB!B:O,5,FALSE)</f>
        <v>331.34482880940004</v>
      </c>
      <c r="G16" s="279">
        <f>VLOOKUP(TableQBRanks3040[[#This Row],[Player]],QB!B:O,6,FALSE)</f>
        <v>4055.6607046270565</v>
      </c>
      <c r="H16" s="279">
        <f>VLOOKUP(TableQBRanks3040[[#This Row],[Player]],QB!B:O,7,FALSE)</f>
        <v>24.48638284901466</v>
      </c>
      <c r="I16" s="279">
        <f>VLOOKUP(TableQBRanks3040[[#This Row],[Player]],QB!B:O,8,FALSE)</f>
        <v>13.585137981185403</v>
      </c>
      <c r="J16" s="279">
        <f>VLOOKUP(TableQBRanks3040[[#This Row],[Player]],QB!B:O,9,FALSE)</f>
        <v>119.92000593798524</v>
      </c>
      <c r="K16" s="279">
        <f>VLOOKUP(TableQBRanks3040[[#This Row],[Player]],QB!B:O,10,FALSE)</f>
        <v>600.79922974930605</v>
      </c>
      <c r="L16" s="279">
        <f>VLOOKUP(TableQBRanks3040[[#This Row],[Player]],QB!B:O,11,FALSE)</f>
        <v>5.1565602553333649</v>
      </c>
      <c r="M16" s="272">
        <f>VLOOKUP(TableQBRanks3040[[#This Row],[Player]],QB!B:O,13,FALSE)</f>
        <v>324.0209681257009</v>
      </c>
      <c r="N16" s="273">
        <f>IF(VLOOKUP(TableQBRanks3040[[#This Row],[RK]],'Ranks w Proj'!$A:$N,14,FALSE)&lt;0,0,VLOOKUP(TableQBRanks3040[[#This Row],[RK]],'Ranks w Proj'!$A:$N,14,FALSE))</f>
        <v>11.875907757401784</v>
      </c>
      <c r="P16" s="22">
        <v>15</v>
      </c>
      <c r="Q16" s="22" t="str">
        <f>VLOOKUP(TableRBRanks3141[[#This Row],[RK]],Rankings!A:Q,7,FALSE)</f>
        <v>Antonio Gibson</v>
      </c>
      <c r="R16" s="22" t="str">
        <f>IFERROR(INDEX(TableRBCalcPts[TM],MATCH(TableRBRanks3141[[#This Row],[Player]],TableRBCalcPts[PLAYER],0)),"")</f>
        <v>WSH</v>
      </c>
      <c r="S16" s="22">
        <f>IFERROR(INDEX(TableRBCalcPts[BYE],MATCH(TableRBRanks3141[[#This Row],[RK]],TableRBCalcPts[RK],0)),"")</f>
        <v>6</v>
      </c>
      <c r="T16" s="279">
        <f>VLOOKUP(TableRBRanks3141[[#This Row],[Player]],RB!B:O,4,FALSE)</f>
        <v>252.49364514068449</v>
      </c>
      <c r="U16" s="279">
        <f>VLOOKUP(TableRBRanks3141[[#This Row],[Player]],RB!B:O,5,FALSE)</f>
        <v>1081.3173132491916</v>
      </c>
      <c r="V16" s="279">
        <f>VLOOKUP(TableRBRanks3141[[#This Row],[Player]],RB!B:O,6,FALSE)</f>
        <v>9.5190104218038041</v>
      </c>
      <c r="W16" s="279">
        <f>VLOOKUP(TableRBRanks3141[[#This Row],[Player]],RB!B:O,7,FALSE)</f>
        <v>44.527982942900287</v>
      </c>
      <c r="X16" s="279">
        <f>VLOOKUP(TableRBRanks3141[[#This Row],[Player]],RB!B:O,8,FALSE)</f>
        <v>34.237566084796029</v>
      </c>
      <c r="Y16" s="279">
        <f>VLOOKUP(TableRBRanks3141[[#This Row],[Player]],RB!B:O,9,FALSE)</f>
        <v>254.38511601003449</v>
      </c>
      <c r="Z16" s="279">
        <f>VLOOKUP(TableRBRanks3141[[#This Row],[Player]],RB!B:O,10,FALSE)</f>
        <v>1.5601303716845818</v>
      </c>
      <c r="AA16" s="272">
        <f>VLOOKUP(TableRBRanks3141[[#This Row],[Player]],RB!B:O,14,FALSE)</f>
        <v>200.04508768685292</v>
      </c>
      <c r="AB16" s="273">
        <f>IF(VLOOKUP(TableRBRanks3141[[#This Row],[RK]],'Ranks w Proj'!$P:$AB,13,FALSE)&lt;0,0,VLOOKUP(TableRBRanks3141[[#This Row],[RK]],'Ranks w Proj'!$P:$AB,13,FALSE))</f>
        <v>48.704518942395943</v>
      </c>
      <c r="AD16" s="22">
        <v>15</v>
      </c>
      <c r="AE16" s="274" t="str">
        <f>VLOOKUP(TableWRRanks3242[[#This Row],[RK]],Rankings!A:Q,11,FALSE)</f>
        <v>Amari Cooper</v>
      </c>
      <c r="AF16" s="22" t="str">
        <f>IFERROR(INDEX(TableWRCalcPts[TM],MATCH(TableWRRanks3242[[#This Row],[Player]],TableWRCalcPts[PLAYER],0)),"")</f>
        <v>CLE</v>
      </c>
      <c r="AG16" s="22">
        <f>IFERROR(INDEX(TableWRCalcPts[BYE],MATCH(TableWRRanks3242[[#This Row],[RK]],TableWRCalcPts[RK],0)),"")</f>
        <v>8</v>
      </c>
      <c r="AH16" s="279">
        <f>VLOOKUP(TableWRRanks3242[[#This Row],[Player]],WR!B:O,4,FALSE)</f>
        <v>0.99980053536719471</v>
      </c>
      <c r="AI16" s="279">
        <f>VLOOKUP(TableWRRanks3242[[#This Row],[Player]],WR!B:O,5,FALSE)</f>
        <v>0</v>
      </c>
      <c r="AJ16" s="279">
        <f>VLOOKUP(TableWRRanks3242[[#This Row],[Player]],WR!B:O,6,FALSE)</f>
        <v>124.11200271348541</v>
      </c>
      <c r="AK16" s="279">
        <f>VLOOKUP(TableWRRanks3242[[#This Row],[Player]],WR!B:O,7,FALSE)</f>
        <v>78.525664116822227</v>
      </c>
      <c r="AL16" s="279">
        <f>VLOOKUP(TableWRRanks3242[[#This Row],[Player]],WR!B:O,8,FALSE)</f>
        <v>1068.7342886299505</v>
      </c>
      <c r="AM16" s="279">
        <f>VLOOKUP(TableWRRanks3242[[#This Row],[Player]],WR!B:O,9,FALSE)</f>
        <v>8.3237203963831554</v>
      </c>
      <c r="AN16" s="272">
        <f>VLOOKUP(TableWRRanks3242[[#This Row],[Player]],WR!B:O,13,FALSE)</f>
        <v>156.91573129483072</v>
      </c>
      <c r="AO16" s="273">
        <f>IF(VLOOKUP(TableWRRanks3242[[#This Row],[RK]],'Ranks w Proj'!AD:AO,12,FALSE)&lt;0,0,VLOOKUP(TableWRRanks3242[[#This Row],[RK]],'Ranks w Proj'!AD:AO,12,FALSE))</f>
        <v>19.82352353314155</v>
      </c>
      <c r="AQ16" s="22">
        <v>15</v>
      </c>
      <c r="AR16" s="274" t="str">
        <f>VLOOKUP(TableTERanks3343[[#This Row],[RK]],Rankings!A:Q,15,FALSE)</f>
        <v>Cole Kmet</v>
      </c>
      <c r="AS16" s="22" t="str">
        <f>IFERROR(INDEX(TableTECalcPts[TM],MATCH(TableTERanks3343[[#This Row],[Player]],TableTECalcPts[PLAYER],0)),"")</f>
        <v>CHI</v>
      </c>
      <c r="AT16" s="22">
        <f>IFERROR(INDEX(TableTECalcPts[BYE],MATCH(TableTERanks3343[[#This Row],[RK]],TableTECalcPts[RK],0)),"")</f>
        <v>10</v>
      </c>
      <c r="AU16" s="279">
        <f>VLOOKUP(TableTERanks3343[[#This Row],[Player]],TE!B:O,4,FALSE)</f>
        <v>88.967808762398676</v>
      </c>
      <c r="AV16" s="279">
        <f>VLOOKUP(TableTERanks3343[[#This Row],[Player]],TE!B:O,5,FALSE)</f>
        <v>58.007011313083936</v>
      </c>
      <c r="AW16" s="279">
        <f>VLOOKUP(TableTERanks3343[[#This Row],[Player]],TE!B:O,6,FALSE)</f>
        <v>662.44006919541857</v>
      </c>
      <c r="AX16" s="279">
        <f>VLOOKUP(TableTERanks3343[[#This Row],[Player]],TE!B:O,7,FALSE)</f>
        <v>4.4085328597943789</v>
      </c>
      <c r="AY16" s="272">
        <f>VLOOKUP(TableTERanks3343[[#This Row],[Player]],TE!B:O,11,FALSE)</f>
        <v>92.695204078308137</v>
      </c>
      <c r="AZ16" s="273">
        <f>IF(VLOOKUP(TableTERanks3343[[#This Row],[RK]],'Ranks w Proj'!AQ:AZ,10,FALSE)&lt;0,0,VLOOKUP(TableTERanks3343[[#This Row],[RK]],'Ranks w Proj'!AQ:AZ,10,FALSE))</f>
        <v>0</v>
      </c>
    </row>
    <row r="17" spans="1:52" x14ac:dyDescent="0.3">
      <c r="A17" s="22">
        <v>16</v>
      </c>
      <c r="B17" s="22" t="str">
        <f>VLOOKUP(TableQBRanks3040[[#This Row],[RK]],Rankings!A:Q,3,FALSE)</f>
        <v>Justin Fields</v>
      </c>
      <c r="C17" s="22" t="str">
        <f>IFERROR(INDEX(TableQBCalcPts[TM],MATCH(TableQBRanks3040[[#This Row],[Player]],TableQBCalcPts[PLAYER],0)),"")</f>
        <v>CHI</v>
      </c>
      <c r="D17" s="22">
        <f>IFERROR(INDEX(TableQBCalcPts[BYE],MATCH(TableQBRanks3040[[#This Row],[RK]],TableQBCalcPts[RK],0)),"")</f>
        <v>6</v>
      </c>
      <c r="E17" s="279">
        <f>VLOOKUP(TableQBRanks3040[[#This Row],[Player]],QB!B:O,4,FALSE)</f>
        <v>555.81244349999997</v>
      </c>
      <c r="F17" s="279">
        <f>VLOOKUP(TableQBRanks3040[[#This Row],[Player]],QB!B:O,5,FALSE)</f>
        <v>346.82696474400001</v>
      </c>
      <c r="G17" s="279">
        <f>VLOOKUP(TableQBRanks3040[[#This Row],[Player]],QB!B:O,6,FALSE)</f>
        <v>3880.99373548536</v>
      </c>
      <c r="H17" s="279">
        <f>VLOOKUP(TableQBRanks3040[[#This Row],[Player]],QB!B:O,7,FALSE)</f>
        <v>19.769136990408001</v>
      </c>
      <c r="I17" s="279">
        <f>VLOOKUP(TableQBRanks3040[[#This Row],[Player]],QB!B:O,8,FALSE)</f>
        <v>10.242241068988218</v>
      </c>
      <c r="J17" s="279">
        <f>VLOOKUP(TableQBRanks3040[[#This Row],[Player]],QB!B:O,9,FALSE)</f>
        <v>116.82231299571052</v>
      </c>
      <c r="K17" s="279">
        <f>VLOOKUP(TableQBRanks3040[[#This Row],[Player]],QB!B:O,10,FALSE)</f>
        <v>620.32648200722281</v>
      </c>
      <c r="L17" s="279">
        <f>VLOOKUP(TableQBRanks3040[[#This Row],[Player]],QB!B:O,11,FALSE)</f>
        <v>5.6074710237941048</v>
      </c>
      <c r="M17" s="272">
        <f>VLOOKUP(TableQBRanks3040[[#This Row],[Player]],QB!B:O,13,FALSE)</f>
        <v>309.50928958655686</v>
      </c>
      <c r="N17" s="273">
        <f>IF(VLOOKUP(TableQBRanks3040[[#This Row],[RK]],'Ranks w Proj'!$A:$N,14,FALSE)&lt;0,0,VLOOKUP(TableQBRanks3040[[#This Row],[RK]],'Ranks w Proj'!$A:$N,14,FALSE))</f>
        <v>10.6668664538655</v>
      </c>
      <c r="P17" s="22">
        <v>16</v>
      </c>
      <c r="Q17" s="22" t="str">
        <f>VLOOKUP(TableRBRanks3141[[#This Row],[RK]],Rankings!A:Q,7,FALSE)</f>
        <v>Aaron Jones</v>
      </c>
      <c r="R17" s="22" t="str">
        <f>IFERROR(INDEX(TableRBCalcPts[TM],MATCH(TableRBRanks3141[[#This Row],[Player]],TableRBCalcPts[PLAYER],0)),"")</f>
        <v>GB</v>
      </c>
      <c r="S17" s="22">
        <f>IFERROR(INDEX(TableRBCalcPts[BYE],MATCH(TableRBRanks3141[[#This Row],[RK]],TableRBCalcPts[RK],0)),"")</f>
        <v>14</v>
      </c>
      <c r="T17" s="279">
        <f>VLOOKUP(TableRBRanks3141[[#This Row],[Player]],RB!B:O,4,FALSE)</f>
        <v>192.53322090294935</v>
      </c>
      <c r="U17" s="279">
        <f>VLOOKUP(TableRBRanks3141[[#This Row],[Player]],RB!B:O,5,FALSE)</f>
        <v>893.35414498968498</v>
      </c>
      <c r="V17" s="279">
        <f>VLOOKUP(TableRBRanks3141[[#This Row],[Player]],RB!B:O,6,FALSE)</f>
        <v>5.9300232038108405</v>
      </c>
      <c r="W17" s="279">
        <f>VLOOKUP(TableRBRanks3141[[#This Row],[Player]],RB!B:O,7,FALSE)</f>
        <v>72.285657579999977</v>
      </c>
      <c r="X17" s="279">
        <f>VLOOKUP(TableRBRanks3141[[#This Row],[Player]],RB!B:O,8,FALSE)</f>
        <v>55.804527651759983</v>
      </c>
      <c r="Y17" s="279">
        <f>VLOOKUP(TableRBRanks3141[[#This Row],[Player]],RB!B:O,9,FALSE)</f>
        <v>474.89653031647742</v>
      </c>
      <c r="Z17" s="279">
        <f>VLOOKUP(TableRBRanks3141[[#This Row],[Player]],RB!B:O,10,FALSE)</f>
        <v>4.0179259909267184</v>
      </c>
      <c r="AA17" s="272">
        <f>VLOOKUP(TableRBRanks3141[[#This Row],[Player]],RB!B:O,14,FALSE)</f>
        <v>196.51276269904162</v>
      </c>
      <c r="AB17" s="273">
        <f>IF(VLOOKUP(TableRBRanks3141[[#This Row],[RK]],'Ranks w Proj'!$P:$AB,13,FALSE)&lt;0,0,VLOOKUP(TableRBRanks3141[[#This Row],[RK]],'Ranks w Proj'!$P:$AB,13,FALSE))</f>
        <v>48.226375276109124</v>
      </c>
      <c r="AD17" s="22">
        <v>16</v>
      </c>
      <c r="AE17" s="22" t="str">
        <f>VLOOKUP(TableWRRanks3242[[#This Row],[RK]],Rankings!A:Q,11,FALSE)</f>
        <v>DJ Moore</v>
      </c>
      <c r="AF17" s="22" t="str">
        <f>IFERROR(INDEX(TableWRCalcPts[TM],MATCH(TableWRRanks3242[[#This Row],[Player]],TableWRCalcPts[PLAYER],0)),"")</f>
        <v>CAR</v>
      </c>
      <c r="AG17" s="22">
        <f>IFERROR(INDEX(TableWRCalcPts[BYE],MATCH(TableWRRanks3242[[#This Row],[RK]],TableWRCalcPts[RK],0)),"")</f>
        <v>9</v>
      </c>
      <c r="AH17" s="279">
        <f>VLOOKUP(TableWRRanks3242[[#This Row],[Player]],WR!B:O,4,FALSE)</f>
        <v>47.838873543612245</v>
      </c>
      <c r="AI17" s="279">
        <f>VLOOKUP(TableWRRanks3242[[#This Row],[Player]],WR!B:O,5,FALSE)</f>
        <v>0</v>
      </c>
      <c r="AJ17" s="279">
        <f>VLOOKUP(TableWRRanks3242[[#This Row],[Player]],WR!B:O,6,FALSE)</f>
        <v>139.43743232539856</v>
      </c>
      <c r="AK17" s="279">
        <f>VLOOKUP(TableWRRanks3242[[#This Row],[Player]],WR!B:O,7,FALSE)</f>
        <v>85.865570825980441</v>
      </c>
      <c r="AL17" s="279">
        <f>VLOOKUP(TableWRRanks3242[[#This Row],[Player]],WR!B:O,8,FALSE)</f>
        <v>1137.2537381854802</v>
      </c>
      <c r="AM17" s="279">
        <f>VLOOKUP(TableWRRanks3242[[#This Row],[Player]],WR!B:O,9,FALSE)</f>
        <v>4.5194476345675323</v>
      </c>
      <c r="AN17" s="272">
        <f>VLOOKUP(TableWRRanks3242[[#This Row],[Player]],WR!B:O,13,FALSE)</f>
        <v>145.62594698031444</v>
      </c>
      <c r="AO17" s="273">
        <f>IF(VLOOKUP(TableWRRanks3242[[#This Row],[RK]],'Ranks w Proj'!AD:AO,12,FALSE)&lt;0,0,VLOOKUP(TableWRRanks3242[[#This Row],[RK]],'Ranks w Proj'!AD:AO,12,FALSE))</f>
        <v>19.714635079694609</v>
      </c>
      <c r="AQ17" s="22">
        <v>16</v>
      </c>
      <c r="AR17" s="274" t="str">
        <f>VLOOKUP(TableTERanks3343[[#This Row],[RK]],Rankings!A:Q,15,FALSE)</f>
        <v>Mike Gesicki</v>
      </c>
      <c r="AS17" s="22" t="str">
        <f>IFERROR(INDEX(TableTECalcPts[TM],MATCH(TableTERanks3343[[#This Row],[Player]],TableTECalcPts[PLAYER],0)),"")</f>
        <v>MIA</v>
      </c>
      <c r="AT17" s="22">
        <f>IFERROR(INDEX(TableTECalcPts[BYE],MATCH(TableTERanks3343[[#This Row],[RK]],TableTECalcPts[RK],0)),"")</f>
        <v>14</v>
      </c>
      <c r="AU17" s="279">
        <f>VLOOKUP(TableTERanks3343[[#This Row],[Player]],TE!B:O,4,FALSE)</f>
        <v>93.238299479999966</v>
      </c>
      <c r="AV17" s="279">
        <f>VLOOKUP(TableTERanks3343[[#This Row],[Player]],TE!B:O,5,FALSE)</f>
        <v>61.341477227891978</v>
      </c>
      <c r="AW17" s="279">
        <f>VLOOKUP(TableTERanks3343[[#This Row],[Player]],TE!B:O,6,FALSE)</f>
        <v>645.92575520970252</v>
      </c>
      <c r="AX17" s="279">
        <f>VLOOKUP(TableTERanks3343[[#This Row],[Player]],TE!B:O,7,FALSE)</f>
        <v>3.5069706518021251</v>
      </c>
      <c r="AY17" s="272">
        <f>VLOOKUP(TableTERanks3343[[#This Row],[Player]],TE!B:O,11,FALSE)</f>
        <v>85.63439943178301</v>
      </c>
      <c r="AZ17" s="273">
        <f>IF(VLOOKUP(TableTERanks3343[[#This Row],[RK]],'Ranks w Proj'!AQ:AZ,10,FALSE)&lt;0,0,VLOOKUP(TableTERanks3343[[#This Row],[RK]],'Ranks w Proj'!AQ:AZ,10,FALSE))</f>
        <v>0</v>
      </c>
    </row>
    <row r="18" spans="1:52" x14ac:dyDescent="0.3">
      <c r="A18" s="22">
        <v>17</v>
      </c>
      <c r="B18" s="22" t="str">
        <f>VLOOKUP(TableQBRanks3040[[#This Row],[RK]],Rankings!A:Q,3,FALSE)</f>
        <v>Kirk Cousins</v>
      </c>
      <c r="C18" s="22" t="str">
        <f>IFERROR(INDEX(TableQBCalcPts[TM],MATCH(TableQBRanks3040[[#This Row],[Player]],TableQBCalcPts[PLAYER],0)),"")</f>
        <v>MIN</v>
      </c>
      <c r="D18" s="22">
        <f>IFERROR(INDEX(TableQBCalcPts[BYE],MATCH(TableQBRanks3040[[#This Row],[RK]],TableQBCalcPts[RK],0)),"")</f>
        <v>7</v>
      </c>
      <c r="E18" s="279">
        <f>VLOOKUP(TableQBRanks3040[[#This Row],[Player]],QB!B:O,4,FALSE)</f>
        <v>594.88550549999991</v>
      </c>
      <c r="F18" s="279">
        <f>VLOOKUP(TableQBRanks3040[[#This Row],[Player]],QB!B:O,5,FALSE)</f>
        <v>394.15474834428454</v>
      </c>
      <c r="G18" s="279">
        <f>VLOOKUP(TableQBRanks3040[[#This Row],[Player]],QB!B:O,6,FALSE)</f>
        <v>4403.6670414729006</v>
      </c>
      <c r="H18" s="279">
        <f>VLOOKUP(TableQBRanks3040[[#This Row],[Player]],QB!B:O,7,FALSE)</f>
        <v>31.048460602424925</v>
      </c>
      <c r="I18" s="279">
        <f>VLOOKUP(TableQBRanks3040[[#This Row],[Player]],QB!B:O,8,FALSE)</f>
        <v>7.3485228624001389</v>
      </c>
      <c r="J18" s="279">
        <f>VLOOKUP(TableQBRanks3040[[#This Row],[Player]],QB!B:O,9,FALSE)</f>
        <v>26.52114475271901</v>
      </c>
      <c r="K18" s="279">
        <f>VLOOKUP(TableQBRanks3040[[#This Row],[Player]],QB!B:O,10,FALSE)</f>
        <v>105.61340308826387</v>
      </c>
      <c r="L18" s="279">
        <f>VLOOKUP(TableQBRanks3040[[#This Row],[Player]],QB!B:O,11,FALSE)</f>
        <v>0.95476121109788425</v>
      </c>
      <c r="M18" s="272">
        <f>VLOOKUP(TableQBRanks3040[[#This Row],[Player]],QB!B:O,13,FALSE)</f>
        <v>301.93338591922918</v>
      </c>
      <c r="N18" s="273">
        <f>IF(VLOOKUP(TableQBRanks3040[[#This Row],[RK]],'Ranks w Proj'!$A:$N,14,FALSE)&lt;0,0,VLOOKUP(TableQBRanks3040[[#This Row],[RK]],'Ranks w Proj'!$A:$N,14,FALSE))</f>
        <v>9.7891730418633891</v>
      </c>
      <c r="P18" s="22">
        <v>17</v>
      </c>
      <c r="Q18" s="22" t="str">
        <f>VLOOKUP(TableRBRanks3141[[#This Row],[RK]],Rankings!A:Q,7,FALSE)</f>
        <v>Alvin Kamara</v>
      </c>
      <c r="R18" s="22" t="str">
        <f>IFERROR(INDEX(TableRBCalcPts[TM],MATCH(TableRBRanks3141[[#This Row],[Player]],TableRBCalcPts[PLAYER],0)),"")</f>
        <v>NO</v>
      </c>
      <c r="S18" s="22">
        <f>IFERROR(INDEX(TableRBCalcPts[BYE],MATCH(TableRBRanks3141[[#This Row],[RK]],TableRBCalcPts[RK],0)),"")</f>
        <v>9</v>
      </c>
      <c r="T18" s="279">
        <f>VLOOKUP(TableRBRanks3141[[#This Row],[Player]],RB!B:O,4,FALSE)</f>
        <v>203.26700376832514</v>
      </c>
      <c r="U18" s="279">
        <f>VLOOKUP(TableRBRanks3141[[#This Row],[Player]],RB!B:O,5,FALSE)</f>
        <v>835.42738548781642</v>
      </c>
      <c r="V18" s="279">
        <f>VLOOKUP(TableRBRanks3141[[#This Row],[Player]],RB!B:O,6,FALSE)</f>
        <v>7.0533650307608831</v>
      </c>
      <c r="W18" s="279">
        <f>VLOOKUP(TableRBRanks3141[[#This Row],[Player]],RB!B:O,7,FALSE)</f>
        <v>74.422920901695932</v>
      </c>
      <c r="X18" s="279">
        <f>VLOOKUP(TableRBRanks3141[[#This Row],[Player]],RB!B:O,8,FALSE)</f>
        <v>52.282101933441396</v>
      </c>
      <c r="Y18" s="279">
        <f>VLOOKUP(TableRBRanks3141[[#This Row],[Player]],RB!B:O,9,FALSE)</f>
        <v>430.80451993155714</v>
      </c>
      <c r="Z18" s="279">
        <f>VLOOKUP(TableRBRanks3141[[#This Row],[Player]],RB!B:O,10,FALSE)</f>
        <v>3.5428003283845166</v>
      </c>
      <c r="AA18" s="272">
        <f>VLOOKUP(TableRBRanks3141[[#This Row],[Player]],RB!B:O,14,FALSE)</f>
        <v>190.20018269680975</v>
      </c>
      <c r="AB18" s="273">
        <f>IF(VLOOKUP(TableRBRanks3141[[#This Row],[RK]],'Ranks w Proj'!$P:$AB,13,FALSE)&lt;0,0,VLOOKUP(TableRBRanks3141[[#This Row],[RK]],'Ranks w Proj'!$P:$AB,13,FALSE))</f>
        <v>46.313165873653872</v>
      </c>
      <c r="AD18" s="274">
        <v>17</v>
      </c>
      <c r="AE18" s="22" t="str">
        <f>VLOOKUP(TableWRRanks3242[[#This Row],[RK]],Rankings!A:Q,11,FALSE)</f>
        <v>Jaylen Waddle</v>
      </c>
      <c r="AF18" s="22" t="str">
        <f>IFERROR(INDEX(TableWRCalcPts[TM],MATCH(TableWRRanks3242[[#This Row],[Player]],TableWRCalcPts[PLAYER],0)),"")</f>
        <v>MIA</v>
      </c>
      <c r="AG18" s="22">
        <f>IFERROR(INDEX(TableWRCalcPts[BYE],MATCH(TableWRRanks3242[[#This Row],[RK]],TableWRCalcPts[RK],0)),"")</f>
        <v>7</v>
      </c>
      <c r="AH18" s="279">
        <f>VLOOKUP(TableWRRanks3242[[#This Row],[Player]],WR!B:O,4,FALSE)</f>
        <v>38.114690848732053</v>
      </c>
      <c r="AI18" s="279">
        <f>VLOOKUP(TableWRRanks3242[[#This Row],[Player]],WR!B:O,5,FALSE)</f>
        <v>0.59522942401563184</v>
      </c>
      <c r="AJ18" s="279">
        <f>VLOOKUP(TableWRRanks3242[[#This Row],[Player]],WR!B:O,6,FALSE)</f>
        <v>131.03761007999995</v>
      </c>
      <c r="AK18" s="279">
        <f>VLOOKUP(TableWRRanks3242[[#This Row],[Player]],WR!B:O,7,FALSE)</f>
        <v>92.512552716479959</v>
      </c>
      <c r="AL18" s="279">
        <f>VLOOKUP(TableWRRanks3242[[#This Row],[Player]],WR!B:O,8,FALSE)</f>
        <v>1006.5365735553021</v>
      </c>
      <c r="AM18" s="279">
        <f>VLOOKUP(TableWRRanks3242[[#This Row],[Player]],WR!B:O,9,FALSE)</f>
        <v>6.6193696454552056</v>
      </c>
      <c r="AN18" s="272">
        <f>VLOOKUP(TableWRRanks3242[[#This Row],[Player]],WR!B:O,13,FALSE)</f>
        <v>147.75272085722844</v>
      </c>
      <c r="AO18" s="273">
        <f>IF(VLOOKUP(TableWRRanks3242[[#This Row],[RK]],'Ranks w Proj'!AD:AO,12,FALSE)&lt;0,0,VLOOKUP(TableWRRanks3242[[#This Row],[RK]],'Ranks w Proj'!AD:AO,12,FALSE))</f>
        <v>19.488579619784748</v>
      </c>
      <c r="AQ18" s="274">
        <v>17</v>
      </c>
      <c r="AR18" s="22" t="str">
        <f>VLOOKUP(TableTERanks3343[[#This Row],[RK]],Rankings!A:Q,15,FALSE)</f>
        <v>Hunter Henry</v>
      </c>
      <c r="AS18" s="22" t="str">
        <f>IFERROR(INDEX(TableTECalcPts[TM],MATCH(TableTERanks3343[[#This Row],[Player]],TableTECalcPts[PLAYER],0)),"")</f>
        <v>NE</v>
      </c>
      <c r="AT18" s="22">
        <f>IFERROR(INDEX(TableTECalcPts[BYE],MATCH(TableTERanks3343[[#This Row],[RK]],TableTECalcPts[RK],0)),"")</f>
        <v>6</v>
      </c>
      <c r="AU18" s="279">
        <f>VLOOKUP(TableTERanks3343[[#This Row],[Player]],TE!B:O,4,FALSE)</f>
        <v>72.442791560720281</v>
      </c>
      <c r="AV18" s="279">
        <f>VLOOKUP(TableTERanks3343[[#This Row],[Player]],TE!B:O,5,FALSE)</f>
        <v>47.01537172290746</v>
      </c>
      <c r="AW18" s="279">
        <f>VLOOKUP(TableTERanks3343[[#This Row],[Player]],TE!B:O,6,FALSE)</f>
        <v>542.32098588777001</v>
      </c>
      <c r="AX18" s="279">
        <f>VLOOKUP(TableTERanks3343[[#This Row],[Player]],TE!B:O,7,FALSE)</f>
        <v>6.9074502910789626</v>
      </c>
      <c r="AY18" s="272">
        <f>VLOOKUP(TableTERanks3343[[#This Row],[Player]],TE!B:O,11,FALSE)</f>
        <v>95.676800335250789</v>
      </c>
      <c r="AZ18" s="273">
        <f>IF(VLOOKUP(TableTERanks3343[[#This Row],[RK]],'Ranks w Proj'!AQ:AZ,10,FALSE)&lt;0,0,VLOOKUP(TableTERanks3343[[#This Row],[RK]],'Ranks w Proj'!AQ:AZ,10,FALSE))</f>
        <v>0</v>
      </c>
    </row>
    <row r="19" spans="1:52" x14ac:dyDescent="0.3">
      <c r="A19" s="22">
        <v>18</v>
      </c>
      <c r="B19" s="22" t="str">
        <f>VLOOKUP(TableQBRanks3040[[#This Row],[RK]],Rankings!A:Q,3,FALSE)</f>
        <v>Tua Tagovailoa</v>
      </c>
      <c r="C19" s="22" t="str">
        <f>IFERROR(INDEX(TableQBCalcPts[TM],MATCH(TableQBRanks3040[[#This Row],[Player]],TableQBCalcPts[PLAYER],0)),"")</f>
        <v>MIA</v>
      </c>
      <c r="D19" s="22">
        <f>IFERROR(INDEX(TableQBCalcPts[BYE],MATCH(TableQBRanks3040[[#This Row],[RK]],TableQBCalcPts[RK],0)),"")</f>
        <v>11</v>
      </c>
      <c r="E19" s="279">
        <f>VLOOKUP(TableQBRanks3040[[#This Row],[Player]],QB!B:O,4,FALSE)</f>
        <v>611.08885469999984</v>
      </c>
      <c r="F19" s="279">
        <f>VLOOKUP(TableQBRanks3040[[#This Row],[Player]],QB!B:O,5,FALSE)</f>
        <v>405.93703942062996</v>
      </c>
      <c r="G19" s="279">
        <f>VLOOKUP(TableQBRanks3040[[#This Row],[Player]],QB!B:O,6,FALSE)</f>
        <v>4290.7545066760586</v>
      </c>
      <c r="H19" s="279">
        <f>VLOOKUP(TableQBRanks3040[[#This Row],[Player]],QB!B:O,7,FALSE)</f>
        <v>26.971654891819306</v>
      </c>
      <c r="I19" s="279">
        <f>VLOOKUP(TableQBRanks3040[[#This Row],[Player]],QB!B:O,8,FALSE)</f>
        <v>9.6335162674567894</v>
      </c>
      <c r="J19" s="279">
        <f>VLOOKUP(TableQBRanks3040[[#This Row],[Player]],QB!B:O,9,FALSE)</f>
        <v>53.23026696557271</v>
      </c>
      <c r="K19" s="279">
        <f>VLOOKUP(TableQBRanks3040[[#This Row],[Player]],QB!B:O,10,FALSE)</f>
        <v>172.24639029749829</v>
      </c>
      <c r="L19" s="279">
        <f>VLOOKUP(TableQBRanks3040[[#This Row],[Player]],QB!B:O,11,FALSE)</f>
        <v>3.5113534088989367</v>
      </c>
      <c r="M19" s="272">
        <f>VLOOKUP(TableQBRanks3040[[#This Row],[Player]],QB!B:O,13,FALSE)</f>
        <v>298.54252678254943</v>
      </c>
      <c r="N19" s="273">
        <f>IF(VLOOKUP(TableQBRanks3040[[#This Row],[RK]],'Ranks w Proj'!$A:$N,14,FALSE)&lt;0,0,VLOOKUP(TableQBRanks3040[[#This Row],[RK]],'Ranks w Proj'!$A:$N,14,FALSE))</f>
        <v>8.7586588411684385</v>
      </c>
      <c r="P19" s="22">
        <v>18</v>
      </c>
      <c r="Q19" s="22" t="str">
        <f>VLOOKUP(TableRBRanks3141[[#This Row],[RK]],Rankings!A:Q,7,FALSE)</f>
        <v>J.K. Dobbins</v>
      </c>
      <c r="R19" s="22" t="str">
        <f>IFERROR(INDEX(TableRBCalcPts[TM],MATCH(TableRBRanks3141[[#This Row],[Player]],TableRBCalcPts[PLAYER],0)),"")</f>
        <v>BAL</v>
      </c>
      <c r="S19" s="22">
        <f>IFERROR(INDEX(TableRBCalcPts[BYE],MATCH(TableRBRanks3141[[#This Row],[RK]],TableRBCalcPts[RK],0)),"")</f>
        <v>14</v>
      </c>
      <c r="T19" s="279">
        <f>VLOOKUP(TableRBRanks3141[[#This Row],[Player]],RB!B:O,4,FALSE)</f>
        <v>212.09482470304781</v>
      </c>
      <c r="U19" s="279">
        <f>VLOOKUP(TableRBRanks3141[[#This Row],[Player]],RB!B:O,5,FALSE)</f>
        <v>1047.7484340330564</v>
      </c>
      <c r="V19" s="279">
        <f>VLOOKUP(TableRBRanks3141[[#This Row],[Player]],RB!B:O,6,FALSE)</f>
        <v>10.350227445508734</v>
      </c>
      <c r="W19" s="279">
        <f>VLOOKUP(TableRBRanks3141[[#This Row],[Player]],RB!B:O,7,FALSE)</f>
        <v>42.037810989016307</v>
      </c>
      <c r="X19" s="279">
        <f>VLOOKUP(TableRBRanks3141[[#This Row],[Player]],RB!B:O,8,FALSE)</f>
        <v>30.775881425058838</v>
      </c>
      <c r="Y19" s="279">
        <f>VLOOKUP(TableRBRanks3141[[#This Row],[Player]],RB!B:O,9,FALSE)</f>
        <v>249.28463954297658</v>
      </c>
      <c r="Z19" s="279">
        <f>VLOOKUP(TableRBRanks3141[[#This Row],[Player]],RB!B:O,10,FALSE)</f>
        <v>1.4156905455527065</v>
      </c>
      <c r="AA19" s="272">
        <f>VLOOKUP(TableRBRanks3141[[#This Row],[Player]],RB!B:O,14,FALSE)</f>
        <v>200.29881530397194</v>
      </c>
      <c r="AB19" s="273">
        <f>IF(VLOOKUP(TableRBRanks3141[[#This Row],[RK]],'Ranks w Proj'!$P:$AB,13,FALSE)&lt;0,0,VLOOKUP(TableRBRanks3141[[#This Row],[RK]],'Ranks w Proj'!$P:$AB,13,FALSE))</f>
        <v>45.028335953367638</v>
      </c>
      <c r="AD19" s="22">
        <v>18</v>
      </c>
      <c r="AE19" s="22" t="str">
        <f>VLOOKUP(TableWRRanks3242[[#This Row],[RK]],Rankings!A:Q,11,FALSE)</f>
        <v>Allen Robinson</v>
      </c>
      <c r="AF19" s="22" t="str">
        <f>IFERROR(INDEX(TableWRCalcPts[TM],MATCH(TableWRRanks3242[[#This Row],[Player]],TableWRCalcPts[PLAYER],0)),"")</f>
        <v>LAR</v>
      </c>
      <c r="AG19" s="22">
        <f>IFERROR(INDEX(TableWRCalcPts[BYE],MATCH(TableWRRanks3242[[#This Row],[RK]],TableWRCalcPts[RK],0)),"")</f>
        <v>11</v>
      </c>
      <c r="AH19" s="279">
        <f>VLOOKUP(TableWRRanks3242[[#This Row],[Player]],WR!B:O,4,FALSE)</f>
        <v>0</v>
      </c>
      <c r="AI19" s="279">
        <f>VLOOKUP(TableWRRanks3242[[#This Row],[Player]],WR!B:O,5,FALSE)</f>
        <v>0</v>
      </c>
      <c r="AJ19" s="279">
        <f>VLOOKUP(TableWRRanks3242[[#This Row],[Player]],WR!B:O,6,FALSE)</f>
        <v>117.76158974956499</v>
      </c>
      <c r="AK19" s="279">
        <f>VLOOKUP(TableWRRanks3242[[#This Row],[Player]],WR!B:O,7,FALSE)</f>
        <v>80.056757874592165</v>
      </c>
      <c r="AL19" s="279">
        <f>VLOOKUP(TableWRRanks3242[[#This Row],[Player]],WR!B:O,8,FALSE)</f>
        <v>1047.1423929996656</v>
      </c>
      <c r="AM19" s="279">
        <f>VLOOKUP(TableWRRanks3242[[#This Row],[Player]],WR!B:O,9,FALSE)</f>
        <v>7.6053919980862554</v>
      </c>
      <c r="AN19" s="272">
        <f>VLOOKUP(TableWRRanks3242[[#This Row],[Player]],WR!B:O,13,FALSE)</f>
        <v>150.34659128848409</v>
      </c>
      <c r="AO19" s="273">
        <f>IF(VLOOKUP(TableWRRanks3242[[#This Row],[RK]],'Ranks w Proj'!AD:AO,12,FALSE)&lt;0,0,VLOOKUP(TableWRRanks3242[[#This Row],[RK]],'Ranks w Proj'!AD:AO,12,FALSE))</f>
        <v>19.46661062262622</v>
      </c>
      <c r="AQ19" s="22">
        <v>18</v>
      </c>
      <c r="AR19" s="274" t="str">
        <f>VLOOKUP(TableTERanks3343[[#This Row],[RK]],Rankings!A:Q,15,FALSE)</f>
        <v>Noah Fant</v>
      </c>
      <c r="AS19" s="22" t="str">
        <f>IFERROR(INDEX(TableTECalcPts[TM],MATCH(TableTERanks3343[[#This Row],[Player]],TableTECalcPts[PLAYER],0)),"")</f>
        <v>SEA</v>
      </c>
      <c r="AT19" s="22">
        <f>IFERROR(INDEX(TableTECalcPts[BYE],MATCH(TableTERanks3343[[#This Row],[RK]],TableTECalcPts[RK],0)),"")</f>
        <v>8</v>
      </c>
      <c r="AU19" s="279">
        <f>VLOOKUP(TableTERanks3343[[#This Row],[Player]],TE!B:O,4,FALSE)</f>
        <v>89.61504957256038</v>
      </c>
      <c r="AV19" s="279">
        <f>VLOOKUP(TableTERanks3343[[#This Row],[Player]],TE!B:O,5,FALSE)</f>
        <v>58.509665865924674</v>
      </c>
      <c r="AW19" s="279">
        <f>VLOOKUP(TableTERanks3343[[#This Row],[Player]],TE!B:O,6,FALSE)</f>
        <v>616.10678156818676</v>
      </c>
      <c r="AX19" s="279">
        <f>VLOOKUP(TableTERanks3343[[#This Row],[Player]],TE!B:O,7,FALSE)</f>
        <v>3.8240641668661874</v>
      </c>
      <c r="AY19" s="272">
        <f>VLOOKUP(TableTERanks3343[[#This Row],[Player]],TE!B:O,11,FALSE)</f>
        <v>84.555063158015798</v>
      </c>
      <c r="AZ19" s="273">
        <f>IF(VLOOKUP(TableTERanks3343[[#This Row],[RK]],'Ranks w Proj'!AQ:AZ,10,FALSE)&lt;0,0,VLOOKUP(TableTERanks3343[[#This Row],[RK]],'Ranks w Proj'!AQ:AZ,10,FALSE))</f>
        <v>0</v>
      </c>
    </row>
    <row r="20" spans="1:52" x14ac:dyDescent="0.3">
      <c r="A20" s="22">
        <v>19</v>
      </c>
      <c r="B20" s="22" t="str">
        <f>VLOOKUP(TableQBRanks3040[[#This Row],[RK]],Rankings!A:Q,3,FALSE)</f>
        <v>Ryan Tannehill</v>
      </c>
      <c r="C20" s="22" t="str">
        <f>IFERROR(INDEX(TableQBCalcPts[TM],MATCH(TableQBRanks3040[[#This Row],[Player]],TableQBCalcPts[PLAYER],0)),"")</f>
        <v>TEN</v>
      </c>
      <c r="D20" s="22">
        <f>IFERROR(INDEX(TableQBCalcPts[BYE],MATCH(TableQBRanks3040[[#This Row],[RK]],TableQBCalcPts[RK],0)),"")</f>
        <v>14</v>
      </c>
      <c r="E20" s="279">
        <f>VLOOKUP(TableQBRanks3040[[#This Row],[Player]],QB!B:O,4,FALSE)</f>
        <v>535.31787699999995</v>
      </c>
      <c r="F20" s="279">
        <f>VLOOKUP(TableQBRanks3040[[#This Row],[Player]],QB!B:O,5,FALSE)</f>
        <v>356.08976112867651</v>
      </c>
      <c r="G20" s="279">
        <f>VLOOKUP(TableQBRanks3040[[#This Row],[Player]],QB!B:O,6,FALSE)</f>
        <v>3710.4970662453034</v>
      </c>
      <c r="H20" s="279">
        <f>VLOOKUP(TableQBRanks3040[[#This Row],[Player]],QB!B:O,7,FALSE)</f>
        <v>22.789744712235297</v>
      </c>
      <c r="I20" s="279">
        <f>VLOOKUP(TableQBRanks3040[[#This Row],[Player]],QB!B:O,8,FALSE)</f>
        <v>8.5573818942207041</v>
      </c>
      <c r="J20" s="279">
        <f>VLOOKUP(TableQBRanks3040[[#This Row],[Player]],QB!B:O,9,FALSE)</f>
        <v>48.022270163649296</v>
      </c>
      <c r="K20" s="279">
        <f>VLOOKUP(TableQBRanks3040[[#This Row],[Player]],QB!B:O,10,FALSE)</f>
        <v>240.59157351988296</v>
      </c>
      <c r="L20" s="279">
        <f>VLOOKUP(TableQBRanks3040[[#This Row],[Player]],QB!B:O,11,FALSE)</f>
        <v>4.0999163461648704</v>
      </c>
      <c r="M20" s="272">
        <f>VLOOKUP(TableQBRanks3040[[#This Row],[Player]],QB!B:O,13,FALSE)</f>
        <v>271.12275313928944</v>
      </c>
      <c r="N20" s="273">
        <f>IF(VLOOKUP(TableQBRanks3040[[#This Row],[RK]],'Ranks w Proj'!$A:$N,14,FALSE)&lt;0,0,VLOOKUP(TableQBRanks3040[[#This Row],[RK]],'Ranks w Proj'!$A:$N,14,FALSE))</f>
        <v>5.5647706521677289</v>
      </c>
      <c r="P20" s="22">
        <v>19</v>
      </c>
      <c r="Q20" s="22" t="str">
        <f>VLOOKUP(TableRBRanks3141[[#This Row],[RK]],Rankings!A:Q,7,FALSE)</f>
        <v>Breece Hall</v>
      </c>
      <c r="R20" s="22" t="str">
        <f>IFERROR(INDEX(TableRBCalcPts[TM],MATCH(TableRBRanks3141[[#This Row],[Player]],TableRBCalcPts[PLAYER],0)),"")</f>
        <v>NYJ</v>
      </c>
      <c r="S20" s="22">
        <f>IFERROR(INDEX(TableRBCalcPts[BYE],MATCH(TableRBRanks3141[[#This Row],[RK]],TableRBCalcPts[RK],0)),"")</f>
        <v>6</v>
      </c>
      <c r="T20" s="279">
        <f>VLOOKUP(TableRBRanks3141[[#This Row],[Player]],RB!B:O,4,FALSE)</f>
        <v>203.9689600937854</v>
      </c>
      <c r="U20" s="279">
        <f>VLOOKUP(TableRBRanks3141[[#This Row],[Player]],RB!B:O,5,FALSE)</f>
        <v>883.18559720609073</v>
      </c>
      <c r="V20" s="279">
        <f>VLOOKUP(TableRBRanks3141[[#This Row],[Player]],RB!B:O,6,FALSE)</f>
        <v>5.7700016970295254</v>
      </c>
      <c r="W20" s="279">
        <f>VLOOKUP(TableRBRanks3141[[#This Row],[Player]],RB!B:O,7,FALSE)</f>
        <v>54.895446352006935</v>
      </c>
      <c r="X20" s="279">
        <f>VLOOKUP(TableRBRanks3141[[#This Row],[Player]],RB!B:O,8,FALSE)</f>
        <v>38.542092883744068</v>
      </c>
      <c r="Y20" s="279">
        <f>VLOOKUP(TableRBRanks3141[[#This Row],[Player]],RB!B:O,9,FALSE)</f>
        <v>297.12666365516208</v>
      </c>
      <c r="Z20" s="279">
        <f>VLOOKUP(TableRBRanks3141[[#This Row],[Player]],RB!B:O,10,FALSE)</f>
        <v>1.2296354960036333</v>
      </c>
      <c r="AA20" s="272">
        <f>VLOOKUP(TableRBRanks3141[[#This Row],[Player]],RB!B:O,14,FALSE)</f>
        <v>160.02904924432423</v>
      </c>
      <c r="AB20" s="273">
        <f>IF(VLOOKUP(TableRBRanks3141[[#This Row],[RK]],'Ranks w Proj'!$P:$AB,13,FALSE)&lt;0,0,VLOOKUP(TableRBRanks3141[[#This Row],[RK]],'Ranks w Proj'!$P:$AB,13,FALSE))</f>
        <v>44.006921594298781</v>
      </c>
      <c r="AD20" s="22">
        <v>19</v>
      </c>
      <c r="AE20" s="22" t="str">
        <f>VLOOKUP(TableWRRanks3242[[#This Row],[RK]],Rankings!A:Q,11,FALSE)</f>
        <v>DK Metcalf</v>
      </c>
      <c r="AF20" s="22" t="str">
        <f>IFERROR(INDEX(TableWRCalcPts[TM],MATCH(TableWRRanks3242[[#This Row],[Player]],TableWRCalcPts[PLAYER],0)),"")</f>
        <v>SEA</v>
      </c>
      <c r="AG20" s="22">
        <f>IFERROR(INDEX(TableWRCalcPts[BYE],MATCH(TableWRRanks3242[[#This Row],[RK]],TableWRCalcPts[RK],0)),"")</f>
        <v>7</v>
      </c>
      <c r="AH20" s="279">
        <f>VLOOKUP(TableWRRanks3242[[#This Row],[Player]],WR!B:O,4,FALSE)</f>
        <v>2.1261463131328147</v>
      </c>
      <c r="AI20" s="279">
        <f>VLOOKUP(TableWRRanks3242[[#This Row],[Player]],WR!B:O,5,FALSE)</f>
        <v>0</v>
      </c>
      <c r="AJ20" s="279">
        <f>VLOOKUP(TableWRRanks3242[[#This Row],[Player]],WR!B:O,6,FALSE)</f>
        <v>135.78543679376551</v>
      </c>
      <c r="AK20" s="279">
        <f>VLOOKUP(TableWRRanks3242[[#This Row],[Player]],WR!B:O,7,FALSE)</f>
        <v>77.886526544903901</v>
      </c>
      <c r="AL20" s="279">
        <f>VLOOKUP(TableWRRanks3242[[#This Row],[Player]],WR!B:O,8,FALSE)</f>
        <v>1122.3448475120651</v>
      </c>
      <c r="AM20" s="279">
        <f>VLOOKUP(TableWRRanks3242[[#This Row],[Player]],WR!B:O,9,FALSE)</f>
        <v>6.308808650137216</v>
      </c>
      <c r="AN20" s="272">
        <f>VLOOKUP(TableWRRanks3242[[#This Row],[Player]],WR!B:O,13,FALSE)</f>
        <v>150.29995128334309</v>
      </c>
      <c r="AO20" s="273">
        <f>IF(VLOOKUP(TableWRRanks3242[[#This Row],[RK]],'Ranks w Proj'!AD:AO,12,FALSE)&lt;0,0,VLOOKUP(TableWRRanks3242[[#This Row],[RK]],'Ranks w Proj'!AD:AO,12,FALSE))</f>
        <v>19.257632944613249</v>
      </c>
      <c r="AQ20" s="22">
        <v>19</v>
      </c>
      <c r="AR20" s="22" t="str">
        <f>VLOOKUP(TableTERanks3343[[#This Row],[RK]],Rankings!A:Q,15,FALSE)</f>
        <v>Brevin Jordan</v>
      </c>
      <c r="AS20" s="22" t="str">
        <f>IFERROR(INDEX(TableTECalcPts[TM],MATCH(TableTERanks3343[[#This Row],[Player]],TableTECalcPts[PLAYER],0)),"")</f>
        <v>HOU</v>
      </c>
      <c r="AT20" s="22">
        <f>IFERROR(INDEX(TableTECalcPts[BYE],MATCH(TableTERanks3343[[#This Row],[RK]],TableTECalcPts[RK],0)),"")</f>
        <v>11</v>
      </c>
      <c r="AU20" s="279">
        <f>VLOOKUP(TableTERanks3343[[#This Row],[Player]],TE!B:O,4,FALSE)</f>
        <v>85.027608823573715</v>
      </c>
      <c r="AV20" s="279">
        <f>VLOOKUP(TableTERanks3343[[#This Row],[Player]],TE!B:O,5,FALSE)</f>
        <v>53.083122111818199</v>
      </c>
      <c r="AW20" s="279">
        <f>VLOOKUP(TableTERanks3343[[#This Row],[Player]],TE!B:O,6,FALSE)</f>
        <v>549.94114507843653</v>
      </c>
      <c r="AX20" s="279">
        <f>VLOOKUP(TableTERanks3343[[#This Row],[Player]],TE!B:O,7,FALSE)</f>
        <v>5.4144784554054555</v>
      </c>
      <c r="AY20" s="272">
        <f>VLOOKUP(TableTERanks3343[[#This Row],[Player]],TE!B:O,11,FALSE)</f>
        <v>87.480985240276397</v>
      </c>
      <c r="AZ20" s="273">
        <f>IF(VLOOKUP(TableTERanks3343[[#This Row],[RK]],'Ranks w Proj'!AQ:AZ,10,FALSE)&lt;0,0,VLOOKUP(TableTERanks3343[[#This Row],[RK]],'Ranks w Proj'!AQ:AZ,10,FALSE))</f>
        <v>0</v>
      </c>
    </row>
    <row r="21" spans="1:52" x14ac:dyDescent="0.3">
      <c r="A21" s="22">
        <v>20</v>
      </c>
      <c r="B21" s="22" t="str">
        <f>VLOOKUP(TableQBRanks3040[[#This Row],[RK]],Rankings!A:Q,3,FALSE)</f>
        <v>Matt Ryan</v>
      </c>
      <c r="C21" s="22" t="str">
        <f>IFERROR(INDEX(TableQBCalcPts[TM],MATCH(TableQBRanks3040[[#This Row],[Player]],TableQBCalcPts[PLAYER],0)),"")</f>
        <v>IND</v>
      </c>
      <c r="D21" s="22">
        <f>IFERROR(INDEX(TableQBCalcPts[BYE],MATCH(TableQBRanks3040[[#This Row],[RK]],TableQBCalcPts[RK],0)),"")</f>
        <v>14</v>
      </c>
      <c r="E21" s="279">
        <f>VLOOKUP(TableQBRanks3040[[#This Row],[Player]],QB!B:O,4,FALSE)</f>
        <v>556.94066400000008</v>
      </c>
      <c r="F21" s="279">
        <f>VLOOKUP(TableQBRanks3040[[#This Row],[Player]],QB!B:O,5,FALSE)</f>
        <v>369.25166023200006</v>
      </c>
      <c r="G21" s="279">
        <f>VLOOKUP(TableQBRanks3040[[#This Row],[Player]],QB!B:O,6,FALSE)</f>
        <v>4176.2362772239212</v>
      </c>
      <c r="H21" s="279">
        <f>VLOOKUP(TableQBRanks3040[[#This Row],[Player]],QB!B:O,7,FALSE)</f>
        <v>25.847616216240006</v>
      </c>
      <c r="I21" s="279">
        <f>VLOOKUP(TableQBRanks3040[[#This Row],[Player]],QB!B:O,8,FALSE)</f>
        <v>8.2227669554099254</v>
      </c>
      <c r="J21" s="279">
        <f>VLOOKUP(TableQBRanks3040[[#This Row],[Player]],QB!B:O,9,FALSE)</f>
        <v>36.297072469025615</v>
      </c>
      <c r="K21" s="279">
        <f>VLOOKUP(TableQBRanks3040[[#This Row],[Player]],QB!B:O,10,FALSE)</f>
        <v>109.61715885645735</v>
      </c>
      <c r="L21" s="279">
        <f>VLOOKUP(TableQBRanks3040[[#This Row],[Player]],QB!B:O,11,FALSE)</f>
        <v>1.9680104549167567</v>
      </c>
      <c r="M21" s="272">
        <f>VLOOKUP(TableQBRanks3040[[#This Row],[Player]],QB!B:O,13,FALSE)</f>
        <v>276.76416065824327</v>
      </c>
      <c r="N21" s="273">
        <f>IF(VLOOKUP(TableQBRanks3040[[#This Row],[RK]],'Ranks w Proj'!$A:$N,14,FALSE)&lt;0,0,VLOOKUP(TableQBRanks3040[[#This Row],[RK]],'Ranks w Proj'!$A:$N,14,FALSE))</f>
        <v>4.066778130034705</v>
      </c>
      <c r="P21" s="22">
        <v>20</v>
      </c>
      <c r="Q21" s="22" t="str">
        <f>VLOOKUP(TableRBRanks3141[[#This Row],[RK]],Rankings!A:Q,7,FALSE)</f>
        <v>Josh Jacobs</v>
      </c>
      <c r="R21" s="22" t="str">
        <f>IFERROR(INDEX(TableRBCalcPts[TM],MATCH(TableRBRanks3141[[#This Row],[Player]],TableRBCalcPts[PLAYER],0)),"")</f>
        <v>LV</v>
      </c>
      <c r="S21" s="22">
        <f>IFERROR(INDEX(TableRBCalcPts[BYE],MATCH(TableRBRanks3141[[#This Row],[RK]],TableRBCalcPts[RK],0)),"")</f>
        <v>9</v>
      </c>
      <c r="T21" s="279">
        <f>VLOOKUP(TableRBRanks3141[[#This Row],[Player]],RB!B:O,4,FALSE)</f>
        <v>232.0349158558592</v>
      </c>
      <c r="U21" s="279">
        <f>VLOOKUP(TableRBRanks3141[[#This Row],[Player]],RB!B:O,5,FALSE)</f>
        <v>969.49231727326003</v>
      </c>
      <c r="V21" s="279">
        <f>VLOOKUP(TableRBRanks3141[[#This Row],[Player]],RB!B:O,6,FALSE)</f>
        <v>9.0957687015496802</v>
      </c>
      <c r="W21" s="279">
        <f>VLOOKUP(TableRBRanks3141[[#This Row],[Player]],RB!B:O,7,FALSE)</f>
        <v>60.478896959999986</v>
      </c>
      <c r="X21" s="279">
        <f>VLOOKUP(TableRBRanks3141[[#This Row],[Player]],RB!B:O,8,FALSE)</f>
        <v>44.222169457151985</v>
      </c>
      <c r="Y21" s="279">
        <f>VLOOKUP(TableRBRanks3141[[#This Row],[Player]],RB!B:O,9,FALSE)</f>
        <v>313.53518145120756</v>
      </c>
      <c r="Z21" s="279">
        <f>VLOOKUP(TableRBRanks3141[[#This Row],[Player]],RB!B:O,10,FALSE)</f>
        <v>0.88444338914303966</v>
      </c>
      <c r="AA21" s="272">
        <f>VLOOKUP(TableRBRanks3141[[#This Row],[Player]],RB!B:O,14,FALSE)</f>
        <v>188.18402241660306</v>
      </c>
      <c r="AB21" s="273">
        <f>IF(VLOOKUP(TableRBRanks3141[[#This Row],[RK]],'Ranks w Proj'!$P:$AB,13,FALSE)&lt;0,0,VLOOKUP(TableRBRanks3141[[#This Row],[RK]],'Ranks w Proj'!$P:$AB,13,FALSE))</f>
        <v>41.058011842780772</v>
      </c>
      <c r="AD21" s="274">
        <v>20</v>
      </c>
      <c r="AE21" s="22" t="str">
        <f>VLOOKUP(TableWRRanks3242[[#This Row],[RK]],Rankings!A:Q,11,FALSE)</f>
        <v>Brandin Cooks</v>
      </c>
      <c r="AF21" s="22" t="str">
        <f>IFERROR(INDEX(TableWRCalcPts[TM],MATCH(TableWRRanks3242[[#This Row],[Player]],TableWRCalcPts[PLAYER],0)),"")</f>
        <v>HOU</v>
      </c>
      <c r="AG21" s="22">
        <f>IFERROR(INDEX(TableWRCalcPts[BYE],MATCH(TableWRRanks3242[[#This Row],[RK]],TableWRCalcPts[RK],0)),"")</f>
        <v>10</v>
      </c>
      <c r="AH21" s="279">
        <f>VLOOKUP(TableWRRanks3242[[#This Row],[Player]],WR!B:O,4,FALSE)</f>
        <v>24.210573720233942</v>
      </c>
      <c r="AI21" s="279">
        <f>VLOOKUP(TableWRRanks3242[[#This Row],[Player]],WR!B:O,5,FALSE)</f>
        <v>0</v>
      </c>
      <c r="AJ21" s="279">
        <f>VLOOKUP(TableWRRanks3242[[#This Row],[Player]],WR!B:O,6,FALSE)</f>
        <v>134.1629903715409</v>
      </c>
      <c r="AK21" s="279">
        <f>VLOOKUP(TableWRRanks3242[[#This Row],[Player]],WR!B:O,7,FALSE)</f>
        <v>90.648377056133569</v>
      </c>
      <c r="AL21" s="279">
        <f>VLOOKUP(TableWRRanks3242[[#This Row],[Player]],WR!B:O,8,FALSE)</f>
        <v>1079.6221707385507</v>
      </c>
      <c r="AM21" s="279">
        <f>VLOOKUP(TableWRRanks3242[[#This Row],[Player]],WR!B:O,9,FALSE)</f>
        <v>5.4389026233680138</v>
      </c>
      <c r="AN21" s="272">
        <f>VLOOKUP(TableWRRanks3242[[#This Row],[Player]],WR!B:O,13,FALSE)</f>
        <v>143.01669018608655</v>
      </c>
      <c r="AO21" s="273">
        <f>IF(VLOOKUP(TableWRRanks3242[[#This Row],[RK]],'Ranks w Proj'!AD:AO,12,FALSE)&lt;0,0,VLOOKUP(TableWRRanks3242[[#This Row],[RK]],'Ranks w Proj'!AD:AO,12,FALSE))</f>
        <v>18.684682066838949</v>
      </c>
      <c r="AQ21" s="274">
        <v>20</v>
      </c>
      <c r="AR21" s="274" t="str">
        <f>VLOOKUP(TableTERanks3343[[#This Row],[RK]],Rankings!A:Q,15,FALSE)</f>
        <v>Gerald Everett</v>
      </c>
      <c r="AS21" s="22" t="str">
        <f>IFERROR(INDEX(TableTECalcPts[TM],MATCH(TableTERanks3343[[#This Row],[Player]],TableTECalcPts[PLAYER],0)),"")</f>
        <v>LAC</v>
      </c>
      <c r="AT21" s="22">
        <f>IFERROR(INDEX(TableTECalcPts[BYE],MATCH(TableTERanks3343[[#This Row],[RK]],TableTECalcPts[RK],0)),"")</f>
        <v>9</v>
      </c>
      <c r="AU21" s="279">
        <f>VLOOKUP(TableTERanks3343[[#This Row],[Player]],TE!B:O,4,FALSE)</f>
        <v>77.985894349978679</v>
      </c>
      <c r="AV21" s="279">
        <f>VLOOKUP(TableTERanks3343[[#This Row],[Player]],TE!B:O,5,FALSE)</f>
        <v>54.192408952280417</v>
      </c>
      <c r="AW21" s="279">
        <f>VLOOKUP(TableTERanks3343[[#This Row],[Player]],TE!B:O,6,FALSE)</f>
        <v>569.12460424581741</v>
      </c>
      <c r="AX21" s="279">
        <f>VLOOKUP(TableTERanks3343[[#This Row],[Player]],TE!B:O,7,FALSE)</f>
        <v>4.9315092146575177</v>
      </c>
      <c r="AY21" s="272">
        <f>VLOOKUP(TableTERanks3343[[#This Row],[Player]],TE!B:O,11,FALSE)</f>
        <v>86.501515712526853</v>
      </c>
      <c r="AZ21" s="273">
        <f>IF(VLOOKUP(TableTERanks3343[[#This Row],[RK]],'Ranks w Proj'!AQ:AZ,10,FALSE)&lt;0,0,VLOOKUP(TableTERanks3343[[#This Row],[RK]],'Ranks w Proj'!AQ:AZ,10,FALSE))</f>
        <v>0</v>
      </c>
    </row>
    <row r="22" spans="1:52" x14ac:dyDescent="0.3">
      <c r="A22" s="22">
        <v>21</v>
      </c>
      <c r="B22" s="22" t="str">
        <f>VLOOKUP(TableQBRanks3040[[#This Row],[RK]],Rankings!A:Q,3,FALSE)</f>
        <v>Daniel Jones</v>
      </c>
      <c r="C22" s="22" t="str">
        <f>IFERROR(INDEX(TableQBCalcPts[TM],MATCH(TableQBRanks3040[[#This Row],[Player]],TableQBCalcPts[PLAYER],0)),"")</f>
        <v>NYG</v>
      </c>
      <c r="D22" s="22">
        <f>IFERROR(INDEX(TableQBCalcPts[BYE],MATCH(TableQBRanks3040[[#This Row],[RK]],TableQBCalcPts[RK],0)),"")</f>
        <v>10</v>
      </c>
      <c r="E22" s="279">
        <f>VLOOKUP(TableQBRanks3040[[#This Row],[Player]],QB!B:O,4,FALSE)</f>
        <v>544.26556800000003</v>
      </c>
      <c r="F22" s="279">
        <f>VLOOKUP(TableQBRanks3040[[#This Row],[Player]],QB!B:O,5,FALSE)</f>
        <v>340.60310019955267</v>
      </c>
      <c r="G22" s="279">
        <f>VLOOKUP(TableQBRanks3040[[#This Row],[Player]],QB!B:O,6,FALSE)</f>
        <v>3733.0099781870977</v>
      </c>
      <c r="H22" s="279">
        <f>VLOOKUP(TableQBRanks3040[[#This Row],[Player]],QB!B:O,7,FALSE)</f>
        <v>22.479804613170476</v>
      </c>
      <c r="I22" s="279">
        <f>VLOOKUP(TableQBRanks3040[[#This Row],[Player]],QB!B:O,8,FALSE)</f>
        <v>8.4057052686485019</v>
      </c>
      <c r="J22" s="279">
        <f>VLOOKUP(TableQBRanks3040[[#This Row],[Player]],QB!B:O,9,FALSE)</f>
        <v>64.100296116710538</v>
      </c>
      <c r="K22" s="279">
        <f>VLOOKUP(TableQBRanks3040[[#This Row],[Player]],QB!B:O,10,FALSE)</f>
        <v>337.1675575738974</v>
      </c>
      <c r="L22" s="279">
        <f>VLOOKUP(TableQBRanks3040[[#This Row],[Player]],QB!B:O,11,FALSE)</f>
        <v>2.6967999280838546</v>
      </c>
      <c r="M22" s="272">
        <f>VLOOKUP(TableQBRanks3040[[#This Row],[Player]],QB!B:O,13,FALSE)</f>
        <v>272.32576236876167</v>
      </c>
      <c r="N22" s="273">
        <f>IF(VLOOKUP(TableQBRanks3040[[#This Row],[RK]],'Ranks w Proj'!$A:$N,14,FALSE)&lt;0,0,VLOOKUP(TableQBRanks3040[[#This Row],[RK]],'Ranks w Proj'!$A:$N,14,FALSE))</f>
        <v>1.8392513870929776</v>
      </c>
      <c r="P22" s="22">
        <v>21</v>
      </c>
      <c r="Q22" s="22" t="str">
        <f>VLOOKUP(TableRBRanks3141[[#This Row],[RK]],Rankings!A:Q,7,FALSE)</f>
        <v>Ezekiel Elliott</v>
      </c>
      <c r="R22" s="22" t="str">
        <f>IFERROR(INDEX(TableRBCalcPts[TM],MATCH(TableRBRanks3141[[#This Row],[Player]],TableRBCalcPts[PLAYER],0)),"")</f>
        <v>DAL</v>
      </c>
      <c r="S22" s="22">
        <f>IFERROR(INDEX(TableRBCalcPts[BYE],MATCH(TableRBRanks3141[[#This Row],[RK]],TableRBCalcPts[RK],0)),"")</f>
        <v>10</v>
      </c>
      <c r="T22" s="279">
        <f>VLOOKUP(TableRBRanks3141[[#This Row],[Player]],RB!B:O,4,FALSE)</f>
        <v>219.68713102982608</v>
      </c>
      <c r="U22" s="279">
        <f>VLOOKUP(TableRBRanks3141[[#This Row],[Player]],RB!B:O,5,FALSE)</f>
        <v>924.88282163556778</v>
      </c>
      <c r="V22" s="279">
        <f>VLOOKUP(TableRBRanks3141[[#This Row],[Player]],RB!B:O,6,FALSE)</f>
        <v>8.8328303299313937</v>
      </c>
      <c r="W22" s="279">
        <f>VLOOKUP(TableRBRanks3141[[#This Row],[Player]],RB!B:O,7,FALSE)</f>
        <v>60.716613683764443</v>
      </c>
      <c r="X22" s="279">
        <f>VLOOKUP(TableRBRanks3141[[#This Row],[Player]],RB!B:O,8,FALSE)</f>
        <v>43.290945556524044</v>
      </c>
      <c r="Y22" s="279">
        <f>VLOOKUP(TableRBRanks3141[[#This Row],[Player]],RB!B:O,9,FALSE)</f>
        <v>267.02302116065783</v>
      </c>
      <c r="Z22" s="279">
        <f>VLOOKUP(TableRBRanks3141[[#This Row],[Player]],RB!B:O,10,FALSE)</f>
        <v>1.695938448839684</v>
      </c>
      <c r="AA22" s="272">
        <f>VLOOKUP(TableRBRanks3141[[#This Row],[Player]],RB!B:O,14,FALSE)</f>
        <v>182.36319695224904</v>
      </c>
      <c r="AB22" s="273">
        <f>IF(VLOOKUP(TableRBRanks3141[[#This Row],[RK]],'Ranks w Proj'!$P:$AB,13,FALSE)&lt;0,0,VLOOKUP(TableRBRanks3141[[#This Row],[RK]],'Ranks w Proj'!$P:$AB,13,FALSE))</f>
        <v>36.155931610207055</v>
      </c>
      <c r="AD22" s="22">
        <v>21</v>
      </c>
      <c r="AE22" s="274" t="str">
        <f>VLOOKUP(TableWRRanks3242[[#This Row],[RK]],Rankings!A:Q,11,FALSE)</f>
        <v>Drake London</v>
      </c>
      <c r="AF22" s="22" t="str">
        <f>IFERROR(INDEX(TableWRCalcPts[TM],MATCH(TableWRRanks3242[[#This Row],[Player]],TableWRCalcPts[PLAYER],0)),"")</f>
        <v>ATL</v>
      </c>
      <c r="AG22" s="22">
        <f>IFERROR(INDEX(TableWRCalcPts[BYE],MATCH(TableWRRanks3242[[#This Row],[RK]],TableWRCalcPts[RK],0)),"")</f>
        <v>11</v>
      </c>
      <c r="AH22" s="279">
        <f>VLOOKUP(TableWRRanks3242[[#This Row],[Player]],WR!B:O,4,FALSE)</f>
        <v>1.1244435376285671</v>
      </c>
      <c r="AI22" s="279">
        <f>VLOOKUP(TableWRRanks3242[[#This Row],[Player]],WR!B:O,5,FALSE)</f>
        <v>0</v>
      </c>
      <c r="AJ22" s="279">
        <f>VLOOKUP(TableWRRanks3242[[#This Row],[Player]],WR!B:O,6,FALSE)</f>
        <v>119.39568732054308</v>
      </c>
      <c r="AK22" s="279">
        <f>VLOOKUP(TableWRRanks3242[[#This Row],[Player]],WR!B:O,7,FALSE)</f>
        <v>71.219527486703953</v>
      </c>
      <c r="AL22" s="279">
        <f>VLOOKUP(TableWRRanks3242[[#This Row],[Player]],WR!B:O,8,FALSE)</f>
        <v>962.17581634537044</v>
      </c>
      <c r="AM22" s="279">
        <f>VLOOKUP(TableWRRanks3242[[#This Row],[Player]],WR!B:O,9,FALSE)</f>
        <v>6.2673184188299471</v>
      </c>
      <c r="AN22" s="272">
        <f>VLOOKUP(TableWRRanks3242[[#This Row],[Player]],WR!B:O,13,FALSE)</f>
        <v>133.93393650127959</v>
      </c>
      <c r="AO22" s="273">
        <f>IF(VLOOKUP(TableWRRanks3242[[#This Row],[RK]],'Ranks w Proj'!AD:AO,12,FALSE)&lt;0,0,VLOOKUP(TableWRRanks3242[[#This Row],[RK]],'Ranks w Proj'!AD:AO,12,FALSE))</f>
        <v>18.266780180407061</v>
      </c>
      <c r="AQ22" s="22">
        <v>21</v>
      </c>
      <c r="AR22" s="22" t="str">
        <f>VLOOKUP(TableTERanks3343[[#This Row],[RK]],Rankings!A:Q,15,FALSE)</f>
        <v>Albert Okwuegbunam</v>
      </c>
      <c r="AS22" s="22" t="str">
        <f>IFERROR(INDEX(TableTECalcPts[TM],MATCH(TableTERanks3343[[#This Row],[Player]],TableTECalcPts[PLAYER],0)),"")</f>
        <v>DEN</v>
      </c>
      <c r="AT22" s="22">
        <f>IFERROR(INDEX(TableTECalcPts[BYE],MATCH(TableTERanks3343[[#This Row],[RK]],TableTECalcPts[RK],0)),"")</f>
        <v>11</v>
      </c>
      <c r="AU22" s="279">
        <f>VLOOKUP(TableTERanks3343[[#This Row],[Player]],TE!B:O,4,FALSE)</f>
        <v>71.451059363412327</v>
      </c>
      <c r="AV22" s="279">
        <f>VLOOKUP(TableTERanks3343[[#This Row],[Player]],TE!B:O,5,FALSE)</f>
        <v>51.712184174399567</v>
      </c>
      <c r="AW22" s="279">
        <f>VLOOKUP(TableTERanks3343[[#This Row],[Player]],TE!B:O,6,FALSE)</f>
        <v>537.05538115973718</v>
      </c>
      <c r="AX22" s="279">
        <f>VLOOKUP(TableTERanks3343[[#This Row],[Player]],TE!B:O,7,FALSE)</f>
        <v>5.2746427857887559</v>
      </c>
      <c r="AY22" s="272">
        <f>VLOOKUP(TableTERanks3343[[#This Row],[Player]],TE!B:O,11,FALSE)</f>
        <v>85.353394830706264</v>
      </c>
      <c r="AZ22" s="273">
        <f>IF(VLOOKUP(TableTERanks3343[[#This Row],[RK]],'Ranks w Proj'!AQ:AZ,10,FALSE)&lt;0,0,VLOOKUP(TableTERanks3343[[#This Row],[RK]],'Ranks w Proj'!AQ:AZ,10,FALSE))</f>
        <v>0</v>
      </c>
    </row>
    <row r="23" spans="1:52" x14ac:dyDescent="0.3">
      <c r="A23" s="22">
        <v>22</v>
      </c>
      <c r="B23" s="22" t="str">
        <f>VLOOKUP(TableQBRanks3040[[#This Row],[RK]],Rankings!A:Q,3,FALSE)</f>
        <v>Zach Wilson</v>
      </c>
      <c r="C23" s="22" t="str">
        <f>IFERROR(INDEX(TableQBCalcPts[TM],MATCH(TableQBRanks3040[[#This Row],[Player]],TableQBCalcPts[PLAYER],0)),"")</f>
        <v>NYJ</v>
      </c>
      <c r="D23" s="22">
        <f>IFERROR(INDEX(TableQBCalcPts[BYE],MATCH(TableQBRanks3040[[#This Row],[RK]],TableQBCalcPts[RK],0)),"")</f>
        <v>9</v>
      </c>
      <c r="E23" s="279">
        <f>VLOOKUP(TableQBRanks3040[[#This Row],[Player]],QB!B:O,4,FALSE)</f>
        <v>580.95329279999999</v>
      </c>
      <c r="F23" s="279">
        <f>VLOOKUP(TableQBRanks3040[[#This Row],[Player]],QB!B:O,5,FALSE)</f>
        <v>353.21960202240001</v>
      </c>
      <c r="G23" s="279">
        <f>VLOOKUP(TableQBRanks3040[[#This Row],[Player]],QB!B:O,6,FALSE)</f>
        <v>3917.2053864284162</v>
      </c>
      <c r="H23" s="279">
        <f>VLOOKUP(TableQBRanks3040[[#This Row],[Player]],QB!B:O,7,FALSE)</f>
        <v>23.312493733478401</v>
      </c>
      <c r="I23" s="279">
        <f>VLOOKUP(TableQBRanks3040[[#This Row],[Player]],QB!B:O,8,FALSE)</f>
        <v>9.2849039727885767</v>
      </c>
      <c r="J23" s="279">
        <f>VLOOKUP(TableQBRanks3040[[#This Row],[Player]],QB!B:O,9,FALSE)</f>
        <v>41.993782067041032</v>
      </c>
      <c r="K23" s="279">
        <f>VLOOKUP(TableQBRanks3040[[#This Row],[Player]],QB!B:O,10,FALSE)</f>
        <v>242.30412252682675</v>
      </c>
      <c r="L23" s="279">
        <f>VLOOKUP(TableQBRanks3040[[#This Row],[Player]],QB!B:O,11,FALSE)</f>
        <v>3.5005861905159033</v>
      </c>
      <c r="M23" s="272">
        <f>VLOOKUP(TableQBRanks3040[[#This Row],[Player]],QB!B:O,13,FALSE)</f>
        <v>276.60231184125121</v>
      </c>
      <c r="N23" s="273">
        <f>IF(VLOOKUP(TableQBRanks3040[[#This Row],[RK]],'Ranks w Proj'!$A:$N,14,FALSE)&lt;0,0,VLOOKUP(TableQBRanks3040[[#This Row],[RK]],'Ranks w Proj'!$A:$N,14,FALSE))</f>
        <v>0</v>
      </c>
      <c r="P23" s="22">
        <v>22</v>
      </c>
      <c r="Q23" s="22" t="str">
        <f>VLOOKUP(TableRBRanks3141[[#This Row],[RK]],Rankings!A:Q,7,FALSE)</f>
        <v>Travis Etienne</v>
      </c>
      <c r="R23" s="22" t="str">
        <f>IFERROR(INDEX(TableRBCalcPts[TM],MATCH(TableRBRanks3141[[#This Row],[Player]],TableRBCalcPts[PLAYER],0)),"")</f>
        <v>JAX</v>
      </c>
      <c r="S23" s="22">
        <f>IFERROR(INDEX(TableRBCalcPts[BYE],MATCH(TableRBRanks3141[[#This Row],[RK]],TableRBCalcPts[RK],0)),"")</f>
        <v>9</v>
      </c>
      <c r="T23" s="279">
        <f>VLOOKUP(TableRBRanks3141[[#This Row],[Player]],RB!B:O,4,FALSE)</f>
        <v>166.71887280785086</v>
      </c>
      <c r="U23" s="279">
        <f>VLOOKUP(TableRBRanks3141[[#This Row],[Player]],RB!B:O,5,FALSE)</f>
        <v>718.55834180183717</v>
      </c>
      <c r="V23" s="279">
        <f>VLOOKUP(TableRBRanks3141[[#This Row],[Player]],RB!B:O,6,FALSE)</f>
        <v>5.5684103517822185</v>
      </c>
      <c r="W23" s="279">
        <f>VLOOKUP(TableRBRanks3141[[#This Row],[Player]],RB!B:O,7,FALSE)</f>
        <v>62.857808953422207</v>
      </c>
      <c r="X23" s="279">
        <f>VLOOKUP(TableRBRanks3141[[#This Row],[Player]],RB!B:O,8,FALSE)</f>
        <v>50.789109634365147</v>
      </c>
      <c r="Y23" s="279">
        <f>VLOOKUP(TableRBRanks3141[[#This Row],[Player]],RB!B:O,9,FALSE)</f>
        <v>410.88389694201402</v>
      </c>
      <c r="Z23" s="279">
        <f>VLOOKUP(TableRBRanks3141[[#This Row],[Player]],RB!B:O,10,FALSE)</f>
        <v>2.2347208239120664</v>
      </c>
      <c r="AA23" s="272">
        <f>VLOOKUP(TableRBRanks3141[[#This Row],[Player]],RB!B:O,14,FALSE)</f>
        <v>159.76301092855081</v>
      </c>
      <c r="AB23" s="273">
        <f>IF(VLOOKUP(TableRBRanks3141[[#This Row],[RK]],'Ranks w Proj'!$P:$AB,13,FALSE)&lt;0,0,VLOOKUP(TableRBRanks3141[[#This Row],[RK]],'Ranks w Proj'!$P:$AB,13,FALSE))</f>
        <v>32.390083755678788</v>
      </c>
      <c r="AD23" s="22">
        <v>22</v>
      </c>
      <c r="AE23" s="22" t="str">
        <f>VLOOKUP(TableWRRanks3242[[#This Row],[RK]],Rankings!A:Q,11,FALSE)</f>
        <v>Mike Williams</v>
      </c>
      <c r="AF23" s="22" t="str">
        <f>IFERROR(INDEX(TableWRCalcPts[TM],MATCH(TableWRRanks3242[[#This Row],[Player]],TableWRCalcPts[PLAYER],0)),"")</f>
        <v>LAC</v>
      </c>
      <c r="AG23" s="22">
        <f>IFERROR(INDEX(TableWRCalcPts[BYE],MATCH(TableWRRanks3242[[#This Row],[RK]],TableWRCalcPts[RK],0)),"")</f>
        <v>13</v>
      </c>
      <c r="AH23" s="279">
        <f>VLOOKUP(TableWRRanks3242[[#This Row],[Player]],WR!B:O,4,FALSE)</f>
        <v>0</v>
      </c>
      <c r="AI23" s="279">
        <f>VLOOKUP(TableWRRanks3242[[#This Row],[Player]],WR!B:O,5,FALSE)</f>
        <v>0</v>
      </c>
      <c r="AJ23" s="279">
        <f>VLOOKUP(TableWRRanks3242[[#This Row],[Player]],WR!B:O,6,FALSE)</f>
        <v>115.94363053802141</v>
      </c>
      <c r="AK23" s="279">
        <f>VLOOKUP(TableWRRanks3242[[#This Row],[Player]],WR!B:O,7,FALSE)</f>
        <v>72.668063202681012</v>
      </c>
      <c r="AL23" s="279">
        <f>VLOOKUP(TableWRRanks3242[[#This Row],[Player]],WR!B:O,8,FALSE)</f>
        <v>1093.2870602124804</v>
      </c>
      <c r="AM23" s="279">
        <f>VLOOKUP(TableWRRanks3242[[#This Row],[Player]],WR!B:O,9,FALSE)</f>
        <v>8.6474995211190393</v>
      </c>
      <c r="AN23" s="272">
        <f>VLOOKUP(TableWRRanks3242[[#This Row],[Player]],WR!B:O,13,FALSE)</f>
        <v>161.21370314796229</v>
      </c>
      <c r="AO23" s="273">
        <f>IF(VLOOKUP(TableWRRanks3242[[#This Row],[RK]],'Ranks w Proj'!AD:AO,12,FALSE)&lt;0,0,VLOOKUP(TableWRRanks3242[[#This Row],[RK]],'Ranks w Proj'!AD:AO,12,FALSE))</f>
        <v>17.264998788713289</v>
      </c>
      <c r="AQ23" s="22">
        <v>22</v>
      </c>
      <c r="AR23" s="22" t="str">
        <f>VLOOKUP(TableTERanks3343[[#This Row],[RK]],Rankings!A:Q,15,FALSE)</f>
        <v>Evan Engram</v>
      </c>
      <c r="AS23" s="22" t="str">
        <f>IFERROR(INDEX(TableTECalcPts[TM],MATCH(TableTERanks3343[[#This Row],[Player]],TableTECalcPts[PLAYER],0)),"")</f>
        <v>JAX</v>
      </c>
      <c r="AT23" s="22">
        <f>IFERROR(INDEX(TableTECalcPts[BYE],MATCH(TableTERanks3343[[#This Row],[RK]],TableTECalcPts[RK],0)),"")</f>
        <v>14</v>
      </c>
      <c r="AU23" s="279">
        <f>VLOOKUP(TableTERanks3343[[#This Row],[Player]],TE!B:O,4,FALSE)</f>
        <v>79.227030035042574</v>
      </c>
      <c r="AV23" s="279">
        <f>VLOOKUP(TableTERanks3343[[#This Row],[Player]],TE!B:O,5,FALSE)</f>
        <v>47.789744517137677</v>
      </c>
      <c r="AW23" s="279">
        <f>VLOOKUP(TableTERanks3343[[#This Row],[Player]],TE!B:O,6,FALSE)</f>
        <v>535.24513859194201</v>
      </c>
      <c r="AX23" s="279">
        <f>VLOOKUP(TableTERanks3343[[#This Row],[Player]],TE!B:O,7,FALSE)</f>
        <v>4.2532872620252533</v>
      </c>
      <c r="AY23" s="272">
        <f>VLOOKUP(TableTERanks3343[[#This Row],[Player]],TE!B:O,11,FALSE)</f>
        <v>79.044237431345721</v>
      </c>
      <c r="AZ23" s="273">
        <f>IF(VLOOKUP(TableTERanks3343[[#This Row],[RK]],'Ranks w Proj'!AQ:AZ,10,FALSE)&lt;0,0,VLOOKUP(TableTERanks3343[[#This Row],[RK]],'Ranks w Proj'!AQ:AZ,10,FALSE))</f>
        <v>0</v>
      </c>
    </row>
    <row r="24" spans="1:52" x14ac:dyDescent="0.3">
      <c r="A24" s="22">
        <v>23</v>
      </c>
      <c r="B24" s="22" t="str">
        <f>VLOOKUP(TableQBRanks3040[[#This Row],[RK]],Rankings!A:Q,3,FALSE)</f>
        <v>Carson Wentz</v>
      </c>
      <c r="C24" s="22" t="str">
        <f>IFERROR(INDEX(TableQBCalcPts[TM],MATCH(TableQBRanks3040[[#This Row],[Player]],TableQBCalcPts[PLAYER],0)),"")</f>
        <v>WSH</v>
      </c>
      <c r="D24" s="22">
        <f>IFERROR(INDEX(TableQBCalcPts[BYE],MATCH(TableQBRanks3040[[#This Row],[RK]],TableQBCalcPts[RK],0)),"")</f>
        <v>6</v>
      </c>
      <c r="E24" s="279">
        <f>VLOOKUP(TableQBRanks3040[[#This Row],[Player]],QB!B:O,4,FALSE)</f>
        <v>597.30170324999995</v>
      </c>
      <c r="F24" s="279">
        <f>VLOOKUP(TableQBRanks3040[[#This Row],[Player]],QB!B:O,5,FALSE)</f>
        <v>377.49467645399994</v>
      </c>
      <c r="G24" s="279">
        <f>VLOOKUP(TableQBRanks3040[[#This Row],[Player]],QB!B:O,6,FALSE)</f>
        <v>4193.9658554039388</v>
      </c>
      <c r="H24" s="279">
        <f>VLOOKUP(TableQBRanks3040[[#This Row],[Player]],QB!B:O,7,FALSE)</f>
        <v>25.197074665159352</v>
      </c>
      <c r="I24" s="279">
        <f>VLOOKUP(TableQBRanks3040[[#This Row],[Player]],QB!B:O,8,FALSE)</f>
        <v>7.9688501132900651</v>
      </c>
      <c r="J24" s="279">
        <f>VLOOKUP(TableQBRanks3040[[#This Row],[Player]],QB!B:O,9,FALSE)</f>
        <v>45.103943615323686</v>
      </c>
      <c r="K24" s="279">
        <f>VLOOKUP(TableQBRanks3040[[#This Row],[Player]],QB!B:O,10,FALSE)</f>
        <v>184.64007933328469</v>
      </c>
      <c r="L24" s="279">
        <f>VLOOKUP(TableQBRanks3040[[#This Row],[Player]],QB!B:O,11,FALSE)</f>
        <v>1.1621087251777349</v>
      </c>
      <c r="M24" s="272">
        <f>VLOOKUP(TableQBRanks3040[[#This Row],[Player]],QB!B:O,13,FALSE)</f>
        <v>278.04589293460975</v>
      </c>
      <c r="N24" s="273">
        <f>IF(VLOOKUP(TableQBRanks3040[[#This Row],[RK]],'Ranks w Proj'!$A:$N,14,FALSE)&lt;0,0,VLOOKUP(TableQBRanks3040[[#This Row],[RK]],'Ranks w Proj'!$A:$N,14,FALSE))</f>
        <v>0</v>
      </c>
      <c r="P24" s="22">
        <v>23</v>
      </c>
      <c r="Q24" s="22" t="str">
        <f>VLOOKUP(TableRBRanks3141[[#This Row],[RK]],Rankings!A:Q,7,FALSE)</f>
        <v>David Montgomery</v>
      </c>
      <c r="R24" s="22" t="str">
        <f>IFERROR(INDEX(TableRBCalcPts[TM],MATCH(TableRBRanks3141[[#This Row],[Player]],TableRBCalcPts[PLAYER],0)),"")</f>
        <v>CHI</v>
      </c>
      <c r="S24" s="22">
        <f>IFERROR(INDEX(TableRBCalcPts[BYE],MATCH(TableRBRanks3141[[#This Row],[RK]],TableRBCalcPts[RK],0)),"")</f>
        <v>14</v>
      </c>
      <c r="T24" s="279">
        <f>VLOOKUP(TableRBRanks3141[[#This Row],[Player]],RB!B:O,4,FALSE)</f>
        <v>213.76713098971263</v>
      </c>
      <c r="U24" s="279">
        <f>VLOOKUP(TableRBRanks3141[[#This Row],[Player]],RB!B:O,5,FALSE)</f>
        <v>842.24249609946776</v>
      </c>
      <c r="V24" s="279">
        <f>VLOOKUP(TableRBRanks3141[[#This Row],[Player]],RB!B:O,6,FALSE)</f>
        <v>6.6909111999780055</v>
      </c>
      <c r="W24" s="279">
        <f>VLOOKUP(TableRBRanks3141[[#This Row],[Player]],RB!B:O,7,FALSE)</f>
        <v>60.287396727151737</v>
      </c>
      <c r="X24" s="279">
        <f>VLOOKUP(TableRBRanks3141[[#This Row],[Player]],RB!B:O,8,FALSE)</f>
        <v>43.780707503257588</v>
      </c>
      <c r="Y24" s="279">
        <f>VLOOKUP(TableRBRanks3141[[#This Row],[Player]],RB!B:O,9,FALSE)</f>
        <v>310.95572235731669</v>
      </c>
      <c r="Z24" s="279">
        <f>VLOOKUP(TableRBRanks3141[[#This Row],[Player]],RB!B:O,10,FALSE)</f>
        <v>0.96317556507166691</v>
      </c>
      <c r="AA24" s="272">
        <f>VLOOKUP(TableRBRanks3141[[#This Row],[Player]],RB!B:O,14,FALSE)</f>
        <v>161.24434243597648</v>
      </c>
      <c r="AB24" s="273">
        <f>IF(VLOOKUP(TableRBRanks3141[[#This Row],[RK]],'Ranks w Proj'!$P:$AB,13,FALSE)&lt;0,0,VLOOKUP(TableRBRanks3141[[#This Row],[RK]],'Ranks w Proj'!$P:$AB,13,FALSE))</f>
        <v>30.358911447947364</v>
      </c>
      <c r="AD24" s="274">
        <v>23</v>
      </c>
      <c r="AE24" s="274" t="str">
        <f>VLOOKUP(TableWRRanks3242[[#This Row],[RK]],Rankings!A:Q,11,FALSE)</f>
        <v>Rashod Bateman</v>
      </c>
      <c r="AF24" s="22" t="str">
        <f>IFERROR(INDEX(TableWRCalcPts[TM],MATCH(TableWRRanks3242[[#This Row],[Player]],TableWRCalcPts[PLAYER],0)),"")</f>
        <v>BAL</v>
      </c>
      <c r="AG24" s="22">
        <f>IFERROR(INDEX(TableWRCalcPts[BYE],MATCH(TableWRRanks3242[[#This Row],[RK]],TableWRCalcPts[RK],0)),"")</f>
        <v>14</v>
      </c>
      <c r="AH24" s="279">
        <f>VLOOKUP(TableWRRanks3242[[#This Row],[Player]],WR!B:O,4,FALSE)</f>
        <v>14.020492848613818</v>
      </c>
      <c r="AI24" s="279">
        <f>VLOOKUP(TableWRRanks3242[[#This Row],[Player]],WR!B:O,5,FALSE)</f>
        <v>0</v>
      </c>
      <c r="AJ24" s="279">
        <f>VLOOKUP(TableWRRanks3242[[#This Row],[Player]],WR!B:O,6,FALSE)</f>
        <v>119.33559002156258</v>
      </c>
      <c r="AK24" s="279">
        <f>VLOOKUP(TableWRRanks3242[[#This Row],[Player]],WR!B:O,7,FALSE)</f>
        <v>77.00725624091433</v>
      </c>
      <c r="AL24" s="279">
        <f>VLOOKUP(TableWRRanks3242[[#This Row],[Player]],WR!B:O,8,FALSE)</f>
        <v>959.51041276179262</v>
      </c>
      <c r="AM24" s="279">
        <f>VLOOKUP(TableWRRanks3242[[#This Row],[Player]],WR!B:O,9,FALSE)</f>
        <v>8.54780544274149</v>
      </c>
      <c r="AN24" s="272">
        <f>VLOOKUP(TableWRRanks3242[[#This Row],[Player]],WR!B:O,13,FALSE)</f>
        <v>148.63992321748958</v>
      </c>
      <c r="AO24" s="273">
        <f>IF(VLOOKUP(TableWRRanks3242[[#This Row],[RK]],'Ranks w Proj'!AD:AO,12,FALSE)&lt;0,0,VLOOKUP(TableWRRanks3242[[#This Row],[RK]],'Ranks w Proj'!AD:AO,12,FALSE))</f>
        <v>16.872979738947961</v>
      </c>
      <c r="AQ24" s="274">
        <v>23</v>
      </c>
      <c r="AR24" s="22" t="str">
        <f>VLOOKUP(TableTERanks3343[[#This Row],[RK]],Rankings!A:Q,15,FALSE)</f>
        <v>Logan Thomas</v>
      </c>
      <c r="AS24" s="22" t="str">
        <f>IFERROR(INDEX(TableTECalcPts[TM],MATCH(TableTERanks3343[[#This Row],[Player]],TableTECalcPts[PLAYER],0)),"")</f>
        <v>WSH</v>
      </c>
      <c r="AT24" s="22">
        <f>IFERROR(INDEX(TableTECalcPts[BYE],MATCH(TableTERanks3343[[#This Row],[RK]],TableTECalcPts[RK],0)),"")</f>
        <v>14</v>
      </c>
      <c r="AU24" s="279">
        <f>VLOOKUP(TableTERanks3343[[#This Row],[Player]],TE!B:O,4,FALSE)</f>
        <v>75.849448797866884</v>
      </c>
      <c r="AV24" s="279">
        <f>VLOOKUP(TableTERanks3343[[#This Row],[Player]],TE!B:O,5,FALSE)</f>
        <v>47.861002191454006</v>
      </c>
      <c r="AW24" s="279">
        <f>VLOOKUP(TableTERanks3343[[#This Row],[Player]],TE!B:O,6,FALSE)</f>
        <v>517.85604371153238</v>
      </c>
      <c r="AX24" s="279">
        <f>VLOOKUP(TableTERanks3343[[#This Row],[Player]],TE!B:O,7,FALSE)</f>
        <v>5.4496941743956686</v>
      </c>
      <c r="AY24" s="272">
        <f>VLOOKUP(TableTERanks3343[[#This Row],[Player]],TE!B:O,11,FALSE)</f>
        <v>84.483769417527256</v>
      </c>
      <c r="AZ24" s="273">
        <f>IF(VLOOKUP(TableTERanks3343[[#This Row],[RK]],'Ranks w Proj'!AQ:AZ,10,FALSE)&lt;0,0,VLOOKUP(TableTERanks3343[[#This Row],[RK]],'Ranks w Proj'!AQ:AZ,10,FALSE))</f>
        <v>0</v>
      </c>
    </row>
    <row r="25" spans="1:52" x14ac:dyDescent="0.3">
      <c r="A25" s="22">
        <v>24</v>
      </c>
      <c r="B25" s="22" t="str">
        <f>VLOOKUP(TableQBRanks3040[[#This Row],[RK]],Rankings!A:Q,3,FALSE)</f>
        <v>Jared Goff</v>
      </c>
      <c r="C25" s="22" t="str">
        <f>IFERROR(INDEX(TableQBCalcPts[TM],MATCH(TableQBRanks3040[[#This Row],[Player]],TableQBCalcPts[PLAYER],0)),"")</f>
        <v>DET</v>
      </c>
      <c r="D25" s="22">
        <f>IFERROR(INDEX(TableQBCalcPts[BYE],MATCH(TableQBRanks3040[[#This Row],[RK]],TableQBCalcPts[RK],0)),"")</f>
        <v>6</v>
      </c>
      <c r="E25" s="279">
        <f>VLOOKUP(TableQBRanks3040[[#This Row],[Player]],QB!B:O,4,FALSE)</f>
        <v>613.66644539999993</v>
      </c>
      <c r="F25" s="279">
        <f>VLOOKUP(TableQBRanks3040[[#This Row],[Player]],QB!B:O,5,FALSE)</f>
        <v>400.72418884619998</v>
      </c>
      <c r="G25" s="279">
        <f>VLOOKUP(TableQBRanks3040[[#This Row],[Player]],QB!B:O,6,FALSE)</f>
        <v>4151.5025964466313</v>
      </c>
      <c r="H25" s="279">
        <f>VLOOKUP(TableQBRanks3040[[#This Row],[Player]],QB!B:O,7,FALSE)</f>
        <v>24.8448997084644</v>
      </c>
      <c r="I25" s="279">
        <f>VLOOKUP(TableQBRanks3040[[#This Row],[Player]],QB!B:O,8,FALSE)</f>
        <v>10.819553098847399</v>
      </c>
      <c r="J25" s="279">
        <f>VLOOKUP(TableQBRanks3040[[#This Row],[Player]],QB!B:O,9,FALSE)</f>
        <v>22.631872773843334</v>
      </c>
      <c r="K25" s="279">
        <f>VLOOKUP(TableQBRanks3040[[#This Row],[Player]],QB!B:O,10,FALSE)</f>
        <v>91.865059811952278</v>
      </c>
      <c r="L25" s="279">
        <f>VLOOKUP(TableQBRanks3040[[#This Row],[Player]],QB!B:O,11,FALSE)</f>
        <v>0.86001116540604672</v>
      </c>
      <c r="M25" s="272">
        <f>VLOOKUP(TableQBRanks3040[[#This Row],[Player]],QB!B:O,13,FALSE)</f>
        <v>258.14716946765958</v>
      </c>
      <c r="N25" s="273">
        <f>IF(VLOOKUP(TableQBRanks3040[[#This Row],[RK]],'Ranks w Proj'!$A:$N,14,FALSE)&lt;0,0,VLOOKUP(TableQBRanks3040[[#This Row],[RK]],'Ranks w Proj'!$A:$N,14,FALSE))</f>
        <v>0</v>
      </c>
      <c r="P25" s="22">
        <v>24</v>
      </c>
      <c r="Q25" s="22" t="str">
        <f>VLOOKUP(TableRBRanks3141[[#This Row],[RK]],Rankings!A:Q,7,FALSE)</f>
        <v>Elijah Mitchell</v>
      </c>
      <c r="R25" s="22" t="str">
        <f>IFERROR(INDEX(TableRBCalcPts[TM],MATCH(TableRBRanks3141[[#This Row],[Player]],TableRBCalcPts[PLAYER],0)),"")</f>
        <v>SF</v>
      </c>
      <c r="S25" s="22">
        <f>IFERROR(INDEX(TableRBCalcPts[BYE],MATCH(TableRBRanks3141[[#This Row],[RK]],TableRBCalcPts[RK],0)),"")</f>
        <v>10</v>
      </c>
      <c r="T25" s="279">
        <f>VLOOKUP(TableRBRanks3141[[#This Row],[Player]],RB!B:O,4,FALSE)</f>
        <v>243.90509682302084</v>
      </c>
      <c r="U25" s="279">
        <f>VLOOKUP(TableRBRanks3141[[#This Row],[Player]],RB!B:O,5,FALSE)</f>
        <v>1047.6730162378904</v>
      </c>
      <c r="V25" s="279">
        <f>VLOOKUP(TableRBRanks3141[[#This Row],[Player]],RB!B:O,6,FALSE)</f>
        <v>7.6098390208782503</v>
      </c>
      <c r="W25" s="279">
        <f>VLOOKUP(TableRBRanks3141[[#This Row],[Player]],RB!B:O,7,FALSE)</f>
        <v>23.020022009540362</v>
      </c>
      <c r="X25" s="279">
        <f>VLOOKUP(TableRBRanks3141[[#This Row],[Player]],RB!B:O,8,FALSE)</f>
        <v>15.913741215195254</v>
      </c>
      <c r="Y25" s="279">
        <f>VLOOKUP(TableRBRanks3141[[#This Row],[Player]],RB!B:O,9,FALSE)</f>
        <v>108.53171508763164</v>
      </c>
      <c r="Z25" s="279">
        <f>VLOOKUP(TableRBRanks3141[[#This Row],[Player]],RB!B:O,10,FALSE)</f>
        <v>0.66235787645763544</v>
      </c>
      <c r="AA25" s="272">
        <f>VLOOKUP(TableRBRanks3141[[#This Row],[Player]],RB!B:O,14,FALSE)</f>
        <v>165.25365451656748</v>
      </c>
      <c r="AB25" s="273">
        <f>IF(VLOOKUP(TableRBRanks3141[[#This Row],[RK]],'Ranks w Proj'!$P:$AB,13,FALSE)&lt;0,0,VLOOKUP(TableRBRanks3141[[#This Row],[RK]],'Ranks w Proj'!$P:$AB,13,FALSE))</f>
        <v>29.743227303874772</v>
      </c>
      <c r="AD25" s="22">
        <v>24</v>
      </c>
      <c r="AE25" s="274" t="str">
        <f>VLOOKUP(TableWRRanks3242[[#This Row],[RK]],Rankings!A:Q,11,FALSE)</f>
        <v>JuJu Smith-Schuster</v>
      </c>
      <c r="AF25" s="22" t="str">
        <f>IFERROR(INDEX(TableWRCalcPts[TM],MATCH(TableWRRanks3242[[#This Row],[Player]],TableWRCalcPts[PLAYER],0)),"")</f>
        <v>KC</v>
      </c>
      <c r="AG25" s="22">
        <f>IFERROR(INDEX(TableWRCalcPts[BYE],MATCH(TableWRRanks3242[[#This Row],[RK]],TableWRCalcPts[RK],0)),"")</f>
        <v>6</v>
      </c>
      <c r="AH25" s="279">
        <f>VLOOKUP(TableWRRanks3242[[#This Row],[Player]],WR!B:O,4,FALSE)</f>
        <v>3.9982755183042147</v>
      </c>
      <c r="AI25" s="279">
        <f>VLOOKUP(TableWRRanks3242[[#This Row],[Player]],WR!B:O,5,FALSE)</f>
        <v>0</v>
      </c>
      <c r="AJ25" s="279">
        <f>VLOOKUP(TableWRRanks3242[[#This Row],[Player]],WR!B:O,6,FALSE)</f>
        <v>126.65714008401829</v>
      </c>
      <c r="AK25" s="279">
        <f>VLOOKUP(TableWRRanks3242[[#This Row],[Player]],WR!B:O,7,FALSE)</f>
        <v>85.013573197146499</v>
      </c>
      <c r="AL25" s="279">
        <f>VLOOKUP(TableWRRanks3242[[#This Row],[Player]],WR!B:O,8,FALSE)</f>
        <v>944.50079822029761</v>
      </c>
      <c r="AM25" s="279">
        <f>VLOOKUP(TableWRRanks3242[[#This Row],[Player]],WR!B:O,9,FALSE)</f>
        <v>7.8212487341374777</v>
      </c>
      <c r="AN25" s="272">
        <f>VLOOKUP(TableWRRanks3242[[#This Row],[Player]],WR!B:O,13,FALSE)</f>
        <v>141.77739977868507</v>
      </c>
      <c r="AO25" s="273">
        <f>IF(VLOOKUP(TableWRRanks3242[[#This Row],[RK]],'Ranks w Proj'!AD:AO,12,FALSE)&lt;0,0,VLOOKUP(TableWRRanks3242[[#This Row],[RK]],'Ranks w Proj'!AD:AO,12,FALSE))</f>
        <v>16.035951859473727</v>
      </c>
      <c r="AQ25" s="22">
        <v>24</v>
      </c>
      <c r="AR25" s="22" t="str">
        <f>VLOOKUP(TableTERanks3343[[#This Row],[RK]],Rankings!A:Q,15,FALSE)</f>
        <v>Tyler Higbee</v>
      </c>
      <c r="AS25" s="22" t="str">
        <f>IFERROR(INDEX(TableTECalcPts[TM],MATCH(TableTERanks3343[[#This Row],[Player]],TableTECalcPts[PLAYER],0)),"")</f>
        <v>LAR</v>
      </c>
      <c r="AT25" s="22">
        <f>IFERROR(INDEX(TableTECalcPts[BYE],MATCH(TableTERanks3343[[#This Row],[RK]],TableTECalcPts[RK],0)),"")</f>
        <v>14</v>
      </c>
      <c r="AU25" s="279">
        <f>VLOOKUP(TableTERanks3343[[#This Row],[Player]],TE!B:O,4,FALSE)</f>
        <v>82.390270222675767</v>
      </c>
      <c r="AV25" s="279">
        <f>VLOOKUP(TableTERanks3343[[#This Row],[Player]],TE!B:O,5,FALSE)</f>
        <v>54.70713942785671</v>
      </c>
      <c r="AW25" s="279">
        <f>VLOOKUP(TableTERanks3343[[#This Row],[Player]],TE!B:O,6,FALSE)</f>
        <v>523.54732432458877</v>
      </c>
      <c r="AX25" s="279">
        <f>VLOOKUP(TableTERanks3343[[#This Row],[Player]],TE!B:O,7,FALSE)</f>
        <v>4.2671568753728231</v>
      </c>
      <c r="AY25" s="272">
        <f>VLOOKUP(TableTERanks3343[[#This Row],[Player]],TE!B:O,11,FALSE)</f>
        <v>77.95767368469582</v>
      </c>
      <c r="AZ25" s="273">
        <f>IF(VLOOKUP(TableTERanks3343[[#This Row],[RK]],'Ranks w Proj'!AQ:AZ,10,FALSE)&lt;0,0,VLOOKUP(TableTERanks3343[[#This Row],[RK]],'Ranks w Proj'!AQ:AZ,10,FALSE))</f>
        <v>0</v>
      </c>
    </row>
    <row r="26" spans="1:52" x14ac:dyDescent="0.3">
      <c r="A26" s="22">
        <v>25</v>
      </c>
      <c r="B26" s="22" t="str">
        <f>VLOOKUP(TableQBRanks3040[[#This Row],[RK]],Rankings!A:Q,3,FALSE)</f>
        <v>Jameis Winston</v>
      </c>
      <c r="C26" s="22" t="str">
        <f>IFERROR(INDEX(TableQBCalcPts[TM],MATCH(TableQBRanks3040[[#This Row],[Player]],TableQBCalcPts[PLAYER],0)),"")</f>
        <v>NO</v>
      </c>
      <c r="D26" s="22">
        <f>IFERROR(INDEX(TableQBCalcPts[BYE],MATCH(TableQBRanks3040[[#This Row],[RK]],TableQBCalcPts[RK],0)),"")</f>
        <v>14</v>
      </c>
      <c r="E26" s="279">
        <f>VLOOKUP(TableQBRanks3040[[#This Row],[Player]],QB!B:O,4,FALSE)</f>
        <v>523.894676</v>
      </c>
      <c r="F26" s="279">
        <f>VLOOKUP(TableQBRanks3040[[#This Row],[Player]],QB!B:O,5,FALSE)</f>
        <v>326.91027782399999</v>
      </c>
      <c r="G26" s="279">
        <f>VLOOKUP(TableQBRanks3040[[#This Row],[Player]],QB!B:O,6,FALSE)</f>
        <v>3837.9266616537598</v>
      </c>
      <c r="H26" s="279">
        <f>VLOOKUP(TableQBRanks3040[[#This Row],[Player]],QB!B:O,7,FALSE)</f>
        <v>23.210629725503996</v>
      </c>
      <c r="I26" s="279">
        <f>VLOOKUP(TableQBRanks3040[[#This Row],[Player]],QB!B:O,8,FALSE)</f>
        <v>7.2692267559589059</v>
      </c>
      <c r="J26" s="279">
        <f>VLOOKUP(TableQBRanks3040[[#This Row],[Player]],QB!B:O,9,FALSE)</f>
        <v>25.851913197467784</v>
      </c>
      <c r="K26" s="279">
        <f>VLOOKUP(TableQBRanks3040[[#This Row],[Player]],QB!B:O,10,FALSE)</f>
        <v>148.37858851567731</v>
      </c>
      <c r="L26" s="279">
        <f>VLOOKUP(TableQBRanks3040[[#This Row],[Player]],QB!B:O,11,FALSE)</f>
        <v>1.9130415766126159</v>
      </c>
      <c r="M26" s="272">
        <f>VLOOKUP(TableQBRanks3040[[#This Row],[Player]],QB!B:O,13,FALSE)</f>
        <v>258.137240167492</v>
      </c>
      <c r="N26" s="273">
        <f>IF(VLOOKUP(TableQBRanks3040[[#This Row],[RK]],'Ranks w Proj'!$A:$N,14,FALSE)&lt;0,0,VLOOKUP(TableQBRanks3040[[#This Row],[RK]],'Ranks w Proj'!$A:$N,14,FALSE))</f>
        <v>0</v>
      </c>
      <c r="P26" s="22">
        <v>25</v>
      </c>
      <c r="Q26" s="22" t="str">
        <f>VLOOKUP(TableRBRanks3141[[#This Row],[RK]],Rankings!A:Q,7,FALSE)</f>
        <v>Damien Harris</v>
      </c>
      <c r="R26" s="22" t="str">
        <f>IFERROR(INDEX(TableRBCalcPts[TM],MATCH(TableRBRanks3141[[#This Row],[Player]],TableRBCalcPts[PLAYER],0)),"")</f>
        <v>NE</v>
      </c>
      <c r="S26" s="22">
        <f>IFERROR(INDEX(TableRBCalcPts[BYE],MATCH(TableRBRanks3141[[#This Row],[RK]],TableRBCalcPts[RK],0)),"")</f>
        <v>11</v>
      </c>
      <c r="T26" s="279">
        <f>VLOOKUP(TableRBRanks3141[[#This Row],[Player]],RB!B:O,4,FALSE)</f>
        <v>203.79760002807143</v>
      </c>
      <c r="U26" s="279">
        <f>VLOOKUP(TableRBRanks3141[[#This Row],[Player]],RB!B:O,5,FALSE)</f>
        <v>933.3930081285672</v>
      </c>
      <c r="V26" s="279">
        <f>VLOOKUP(TableRBRanks3141[[#This Row],[Player]],RB!B:O,6,FALSE)</f>
        <v>10.760513281482172</v>
      </c>
      <c r="W26" s="279">
        <f>VLOOKUP(TableRBRanks3141[[#This Row],[Player]],RB!B:O,7,FALSE)</f>
        <v>23.097701657041245</v>
      </c>
      <c r="X26" s="279">
        <f>VLOOKUP(TableRBRanks3141[[#This Row],[Player]],RB!B:O,8,FALSE)</f>
        <v>17.833735449401544</v>
      </c>
      <c r="Y26" s="279">
        <f>VLOOKUP(TableRBRanks3141[[#This Row],[Player]],RB!B:O,9,FALSE)</f>
        <v>128.93790729917316</v>
      </c>
      <c r="Z26" s="279">
        <f>VLOOKUP(TableRBRanks3141[[#This Row],[Player]],RB!B:O,10,FALSE)</f>
        <v>0.31514254234365502</v>
      </c>
      <c r="AA26" s="272">
        <f>VLOOKUP(TableRBRanks3141[[#This Row],[Player]],RB!B:O,14,FALSE)</f>
        <v>172.68702648572901</v>
      </c>
      <c r="AB26" s="273">
        <f>IF(VLOOKUP(TableRBRanks3141[[#This Row],[RK]],'Ranks w Proj'!$P:$AB,13,FALSE)&lt;0,0,VLOOKUP(TableRBRanks3141[[#This Row],[RK]],'Ranks w Proj'!$P:$AB,13,FALSE))</f>
        <v>29.60844865633312</v>
      </c>
      <c r="AD26" s="22">
        <v>25</v>
      </c>
      <c r="AE26" s="274" t="str">
        <f>VLOOKUP(TableWRRanks3242[[#This Row],[RK]],Rankings!A:Q,11,FALSE)</f>
        <v>Terry McLaurin</v>
      </c>
      <c r="AF26" s="22" t="str">
        <f>IFERROR(INDEX(TableWRCalcPts[TM],MATCH(TableWRRanks3242[[#This Row],[Player]],TableWRCalcPts[PLAYER],0)),"")</f>
        <v>WSH</v>
      </c>
      <c r="AG26" s="22">
        <f>IFERROR(INDEX(TableWRCalcPts[BYE],MATCH(TableWRRanks3242[[#This Row],[RK]],TableWRCalcPts[RK],0)),"")</f>
        <v>7</v>
      </c>
      <c r="AH26" s="279">
        <f>VLOOKUP(TableWRRanks3242[[#This Row],[Player]],WR!B:O,4,FALSE)</f>
        <v>8.4967173486249123</v>
      </c>
      <c r="AI26" s="279">
        <f>VLOOKUP(TableWRRanks3242[[#This Row],[Player]],WR!B:O,5,FALSE)</f>
        <v>0</v>
      </c>
      <c r="AJ26" s="279">
        <f>VLOOKUP(TableWRRanks3242[[#This Row],[Player]],WR!B:O,6,FALSE)</f>
        <v>128.88239673783883</v>
      </c>
      <c r="AK26" s="279">
        <f>VLOOKUP(TableWRRanks3242[[#This Row],[Player]],WR!B:O,7,FALSE)</f>
        <v>77.443207355625276</v>
      </c>
      <c r="AL26" s="279">
        <f>VLOOKUP(TableWRRanks3242[[#This Row],[Player]],WR!B:O,8,FALSE)</f>
        <v>1072.3594165371694</v>
      </c>
      <c r="AM26" s="279">
        <f>VLOOKUP(TableWRRanks3242[[#This Row],[Player]],WR!B:O,9,FALSE)</f>
        <v>6.1180133810943973</v>
      </c>
      <c r="AN26" s="272">
        <f>VLOOKUP(TableWRRanks3242[[#This Row],[Player]],WR!B:O,13,FALSE)</f>
        <v>144.79369367514585</v>
      </c>
      <c r="AO26" s="273">
        <f>IF(VLOOKUP(TableWRRanks3242[[#This Row],[RK]],'Ranks w Proj'!AD:AO,12,FALSE)&lt;0,0,VLOOKUP(TableWRRanks3242[[#This Row],[RK]],'Ranks w Proj'!AD:AO,12,FALSE))</f>
        <v>15.474203560327144</v>
      </c>
      <c r="AQ26" s="22">
        <v>25</v>
      </c>
      <c r="AR26" s="22" t="str">
        <f>VLOOKUP(TableTERanks3343[[#This Row],[RK]],Rankings!A:Q,15,FALSE)</f>
        <v>Hayden Hurst</v>
      </c>
      <c r="AS26" s="22" t="str">
        <f>IFERROR(INDEX(TableTECalcPts[TM],MATCH(TableTERanks3343[[#This Row],[Player]],TableTECalcPts[PLAYER],0)),"")</f>
        <v>CIN</v>
      </c>
      <c r="AT26" s="22">
        <f>IFERROR(INDEX(TableTECalcPts[BYE],MATCH(TableTERanks3343[[#This Row],[RK]],TableTECalcPts[RK],0)),"")</f>
        <v>10</v>
      </c>
      <c r="AU26" s="279">
        <f>VLOOKUP(TableTERanks3343[[#This Row],[Player]],TE!B:O,4,FALSE)</f>
        <v>69.43290518058032</v>
      </c>
      <c r="AV26" s="279">
        <f>VLOOKUP(TableTERanks3343[[#This Row],[Player]],TE!B:O,5,FALSE)</f>
        <v>45.672965027785736</v>
      </c>
      <c r="AW26" s="279">
        <f>VLOOKUP(TableTERanks3343[[#This Row],[Player]],TE!B:O,6,FALSE)</f>
        <v>494.95327366166907</v>
      </c>
      <c r="AX26" s="279">
        <f>VLOOKUP(TableTERanks3343[[#This Row],[Player]],TE!B:O,7,FALSE)</f>
        <v>4.9326802230008591</v>
      </c>
      <c r="AY26" s="272">
        <f>VLOOKUP(TableTERanks3343[[#This Row],[Player]],TE!B:O,11,FALSE)</f>
        <v>79.091408704172068</v>
      </c>
      <c r="AZ26" s="273">
        <f>IF(VLOOKUP(TableTERanks3343[[#This Row],[RK]],'Ranks w Proj'!AQ:AZ,10,FALSE)&lt;0,0,VLOOKUP(TableTERanks3343[[#This Row],[RK]],'Ranks w Proj'!AQ:AZ,10,FALSE))</f>
        <v>0</v>
      </c>
    </row>
    <row r="27" spans="1:52" x14ac:dyDescent="0.3">
      <c r="A27" s="22">
        <v>26</v>
      </c>
      <c r="B27" s="22" t="str">
        <f>VLOOKUP(TableQBRanks3040[[#This Row],[RK]],Rankings!A:Q,3,FALSE)</f>
        <v>Mac Jones</v>
      </c>
      <c r="C27" s="22" t="str">
        <f>IFERROR(INDEX(TableQBCalcPts[TM],MATCH(TableQBRanks3040[[#This Row],[Player]],TableQBCalcPts[PLAYER],0)),"")</f>
        <v>NE</v>
      </c>
      <c r="D27" s="22">
        <f>IFERROR(INDEX(TableQBCalcPts[BYE],MATCH(TableQBRanks3040[[#This Row],[RK]],TableQBCalcPts[RK],0)),"")</f>
        <v>10</v>
      </c>
      <c r="E27" s="279">
        <f>VLOOKUP(TableQBRanks3040[[#This Row],[Player]],QB!B:O,4,FALSE)</f>
        <v>514.63265279999996</v>
      </c>
      <c r="F27" s="279">
        <f>VLOOKUP(TableQBRanks3040[[#This Row],[Player]],QB!B:O,5,FALSE)</f>
        <v>346.34777533440001</v>
      </c>
      <c r="G27" s="279">
        <f>VLOOKUP(TableQBRanks3040[[#This Row],[Player]],QB!B:O,6,FALSE)</f>
        <v>3785.5811844049922</v>
      </c>
      <c r="H27" s="279">
        <f>VLOOKUP(TableQBRanks3040[[#This Row],[Player]],QB!B:O,7,FALSE)</f>
        <v>23.689073921544175</v>
      </c>
      <c r="I27" s="279">
        <f>VLOOKUP(TableQBRanks3040[[#This Row],[Player]],QB!B:O,8,FALSE)</f>
        <v>9.128797571894447</v>
      </c>
      <c r="J27" s="279">
        <f>VLOOKUP(TableQBRanks3040[[#This Row],[Player]],QB!B:O,9,FALSE)</f>
        <v>36.020719118291382</v>
      </c>
      <c r="K27" s="279">
        <f>VLOOKUP(TableQBRanks3040[[#This Row],[Player]],QB!B:O,10,FALSE)</f>
        <v>127.43824394751014</v>
      </c>
      <c r="L27" s="279">
        <f>VLOOKUP(TableQBRanks3040[[#This Row],[Player]],QB!B:O,11,FALSE)</f>
        <v>0.43198251698430029</v>
      </c>
      <c r="M27" s="272">
        <f>VLOOKUP(TableQBRanks3040[[#This Row],[Player]],QB!B:O,13,FALSE)</f>
        <v>243.25766741524433</v>
      </c>
      <c r="N27" s="273">
        <f>IF(VLOOKUP(TableQBRanks3040[[#This Row],[RK]],'Ranks w Proj'!$A:$N,14,FALSE)&lt;0,0,VLOOKUP(TableQBRanks3040[[#This Row],[RK]],'Ranks w Proj'!$A:$N,14,FALSE))</f>
        <v>0</v>
      </c>
      <c r="P27" s="22">
        <v>26</v>
      </c>
      <c r="Q27" s="22" t="str">
        <f>VLOOKUP(TableRBRanks3141[[#This Row],[RK]],Rankings!A:Q,7,FALSE)</f>
        <v>Ken Walker</v>
      </c>
      <c r="R27" s="22" t="str">
        <f>IFERROR(INDEX(TableRBCalcPts[TM],MATCH(TableRBRanks3141[[#This Row],[Player]],TableRBCalcPts[PLAYER],0)),"")</f>
        <v>SEA</v>
      </c>
      <c r="S27" s="22">
        <f>IFERROR(INDEX(TableRBCalcPts[BYE],MATCH(TableRBRanks3141[[#This Row],[RK]],TableRBCalcPts[RK],0)),"")</f>
        <v>14</v>
      </c>
      <c r="T27" s="279">
        <f>VLOOKUP(TableRBRanks3141[[#This Row],[Player]],RB!B:O,4,FALSE)</f>
        <v>191.1002574649799</v>
      </c>
      <c r="U27" s="279">
        <f>VLOOKUP(TableRBRanks3141[[#This Row],[Player]],RB!B:O,5,FALSE)</f>
        <v>842.75213542056144</v>
      </c>
      <c r="V27" s="279">
        <f>VLOOKUP(TableRBRanks3141[[#This Row],[Player]],RB!B:O,6,FALSE)</f>
        <v>7.4146899896412206</v>
      </c>
      <c r="W27" s="279">
        <f>VLOOKUP(TableRBRanks3141[[#This Row],[Player]],RB!B:O,7,FALSE)</f>
        <v>24.440468065243742</v>
      </c>
      <c r="X27" s="279">
        <f>VLOOKUP(TableRBRanks3141[[#This Row],[Player]],RB!B:O,8,FALSE)</f>
        <v>15.5221412682363</v>
      </c>
      <c r="Y27" s="279">
        <f>VLOOKUP(TableRBRanks3141[[#This Row],[Player]],RB!B:O,9,FALSE)</f>
        <v>113.73513786493783</v>
      </c>
      <c r="Z27" s="279">
        <f>VLOOKUP(TableRBRanks3141[[#This Row],[Player]],RB!B:O,10,FALSE)</f>
        <v>0.35700924916943488</v>
      </c>
      <c r="AA27" s="272">
        <f>VLOOKUP(TableRBRanks3141[[#This Row],[Player]],RB!B:O,14,FALSE)</f>
        <v>142.27892276141387</v>
      </c>
      <c r="AB27" s="273">
        <f>IF(VLOOKUP(TableRBRanks3141[[#This Row],[RK]],'Ranks w Proj'!$P:$AB,13,FALSE)&lt;0,0,VLOOKUP(TableRBRanks3141[[#This Row],[RK]],'Ranks w Proj'!$P:$AB,13,FALSE))</f>
        <v>28.672418272603039</v>
      </c>
      <c r="AD27" s="274">
        <v>26</v>
      </c>
      <c r="AE27" s="22" t="str">
        <f>VLOOKUP(TableWRRanks3242[[#This Row],[RK]],Rankings!A:Q,11,FALSE)</f>
        <v>Courtland Sutton</v>
      </c>
      <c r="AF27" s="22" t="str">
        <f>IFERROR(INDEX(TableWRCalcPts[TM],MATCH(TableWRRanks3242[[#This Row],[Player]],TableWRCalcPts[PLAYER],0)),"")</f>
        <v>DEN</v>
      </c>
      <c r="AG27" s="22">
        <f>IFERROR(INDEX(TableWRCalcPts[BYE],MATCH(TableWRRanks3242[[#This Row],[RK]],TableWRCalcPts[RK],0)),"")</f>
        <v>8</v>
      </c>
      <c r="AH27" s="279">
        <f>VLOOKUP(TableWRRanks3242[[#This Row],[Player]],WR!B:O,4,FALSE)</f>
        <v>1.0003064639893262</v>
      </c>
      <c r="AI27" s="279">
        <f>VLOOKUP(TableWRRanks3242[[#This Row],[Player]],WR!B:O,5,FALSE)</f>
        <v>0</v>
      </c>
      <c r="AJ27" s="279">
        <f>VLOOKUP(TableWRRanks3242[[#This Row],[Player]],WR!B:O,6,FALSE)</f>
        <v>111.79618378301021</v>
      </c>
      <c r="AK27" s="279">
        <f>VLOOKUP(TableWRRanks3242[[#This Row],[Player]],WR!B:O,7,FALSE)</f>
        <v>67.893822411422093</v>
      </c>
      <c r="AL27" s="279">
        <f>VLOOKUP(TableWRRanks3242[[#This Row],[Player]],WR!B:O,8,FALSE)</f>
        <v>983.78148674150611</v>
      </c>
      <c r="AM27" s="279">
        <f>VLOOKUP(TableWRRanks3242[[#This Row],[Player]],WR!B:O,9,FALSE)</f>
        <v>6.6535945963193655</v>
      </c>
      <c r="AN27" s="272">
        <f>VLOOKUP(TableWRRanks3242[[#This Row],[Player]],WR!B:O,13,FALSE)</f>
        <v>138.39974689846576</v>
      </c>
      <c r="AO27" s="273">
        <f>IF(VLOOKUP(TableWRRanks3242[[#This Row],[RK]],'Ranks w Proj'!AD:AO,12,FALSE)&lt;0,0,VLOOKUP(TableWRRanks3242[[#This Row],[RK]],'Ranks w Proj'!AD:AO,12,FALSE))</f>
        <v>15.452204766039964</v>
      </c>
      <c r="AQ27" s="274">
        <v>26</v>
      </c>
      <c r="AR27" s="22" t="str">
        <f>VLOOKUP(TableTERanks3343[[#This Row],[RK]],Rankings!A:Q,15,FALSE)</f>
        <v>Mo Alie-Cox</v>
      </c>
      <c r="AS27" s="22" t="str">
        <f>IFERROR(INDEX(TableTECalcPts[TM],MATCH(TableTERanks3343[[#This Row],[Player]],TableTECalcPts[PLAYER],0)),"")</f>
        <v>IND</v>
      </c>
      <c r="AT27" s="22">
        <f>IFERROR(INDEX(TableTECalcPts[BYE],MATCH(TableTERanks3343[[#This Row],[RK]],TableTECalcPts[RK],0)),"")</f>
        <v>11</v>
      </c>
      <c r="AU27" s="279">
        <f>VLOOKUP(TableTERanks3343[[#This Row],[Player]],TE!B:O,4,FALSE)</f>
        <v>60.791903207334535</v>
      </c>
      <c r="AV27" s="279">
        <f>VLOOKUP(TableTERanks3343[[#This Row],[Player]],TE!B:O,5,FALSE)</f>
        <v>40.365823729670133</v>
      </c>
      <c r="AW27" s="279">
        <f>VLOOKUP(TableTERanks3343[[#This Row],[Player]],TE!B:O,6,FALSE)</f>
        <v>506.869552961073</v>
      </c>
      <c r="AX27" s="279">
        <f>VLOOKUP(TableTERanks3343[[#This Row],[Player]],TE!B:O,7,FALSE)</f>
        <v>4.9657608252160292</v>
      </c>
      <c r="AY27" s="272">
        <f>VLOOKUP(TableTERanks3343[[#This Row],[Player]],TE!B:O,11,FALSE)</f>
        <v>80.481520247403466</v>
      </c>
      <c r="AZ27" s="273">
        <f>IF(VLOOKUP(TableTERanks3343[[#This Row],[RK]],'Ranks w Proj'!AQ:AZ,10,FALSE)&lt;0,0,VLOOKUP(TableTERanks3343[[#This Row],[RK]],'Ranks w Proj'!AQ:AZ,10,FALSE))</f>
        <v>0</v>
      </c>
    </row>
    <row r="28" spans="1:52" x14ac:dyDescent="0.3">
      <c r="A28" s="22">
        <v>27</v>
      </c>
      <c r="B28" s="22" t="str">
        <f>VLOOKUP(TableQBRanks3040[[#This Row],[RK]],Rankings!A:Q,3,FALSE)</f>
        <v>Deshaun Watson</v>
      </c>
      <c r="C28" s="22" t="str">
        <f>IFERROR(INDEX(TableQBCalcPts[TM],MATCH(TableQBRanks3040[[#This Row],[Player]],TableQBCalcPts[PLAYER],0)),"")</f>
        <v>CLE</v>
      </c>
      <c r="D28" s="22">
        <f>IFERROR(INDEX(TableQBCalcPts[BYE],MATCH(TableQBRanks3040[[#This Row],[RK]],TableQBCalcPts[RK],0)),"")</f>
        <v>6</v>
      </c>
      <c r="E28" s="279">
        <f>VLOOKUP(TableQBRanks3040[[#This Row],[Player]],QB!B:O,4,FALSE)</f>
        <v>276.77232000000004</v>
      </c>
      <c r="F28" s="279">
        <f>VLOOKUP(TableQBRanks3040[[#This Row],[Player]],QB!B:O,5,FALSE)</f>
        <v>182.45860618510085</v>
      </c>
      <c r="G28" s="279">
        <f>VLOOKUP(TableQBRanks3040[[#This Row],[Player]],QB!B:O,6,FALSE)</f>
        <v>2265.5017241412725</v>
      </c>
      <c r="H28" s="279">
        <f>VLOOKUP(TableQBRanks3040[[#This Row],[Player]],QB!B:O,7,FALSE)</f>
        <v>15.910359668620705</v>
      </c>
      <c r="I28" s="279">
        <f>VLOOKUP(TableQBRanks3040[[#This Row],[Player]],QB!B:O,8,FALSE)</f>
        <v>3.4538361548477265</v>
      </c>
      <c r="J28" s="279">
        <f>VLOOKUP(TableQBRanks3040[[#This Row],[Player]],QB!B:O,9,FALSE)</f>
        <v>86.013589908041283</v>
      </c>
      <c r="K28" s="279">
        <f>VLOOKUP(TableQBRanks3040[[#This Row],[Player]],QB!B:O,10,FALSE)</f>
        <v>390.12896754391994</v>
      </c>
      <c r="L28" s="279">
        <f>VLOOKUP(TableQBRanks3040[[#This Row],[Player]],QB!B:O,11,FALSE)</f>
        <v>4.214665905494023</v>
      </c>
      <c r="M28" s="272">
        <f>VLOOKUP(TableQBRanks3040[[#This Row],[Player]],QB!B:O,13,FALSE)</f>
        <v>211.65472751779441</v>
      </c>
      <c r="N28" s="273">
        <f>IF(VLOOKUP(TableQBRanks3040[[#This Row],[RK]],'Ranks w Proj'!$A:$N,14,FALSE)&lt;0,0,VLOOKUP(TableQBRanks3040[[#This Row],[RK]],'Ranks w Proj'!$A:$N,14,FALSE))</f>
        <v>0</v>
      </c>
      <c r="P28" s="22">
        <v>27</v>
      </c>
      <c r="Q28" s="22" t="str">
        <f>VLOOKUP(TableRBRanks3141[[#This Row],[RK]],Rankings!A:Q,7,FALSE)</f>
        <v>AJ Dillon</v>
      </c>
      <c r="R28" s="22" t="str">
        <f>IFERROR(INDEX(TableRBCalcPts[TM],MATCH(TableRBRanks3141[[#This Row],[Player]],TableRBCalcPts[PLAYER],0)),"")</f>
        <v>GB</v>
      </c>
      <c r="S28" s="22">
        <f>IFERROR(INDEX(TableRBCalcPts[BYE],MATCH(TableRBRanks3141[[#This Row],[RK]],TableRBCalcPts[RK],0)),"")</f>
        <v>11</v>
      </c>
      <c r="T28" s="279">
        <f>VLOOKUP(TableRBRanks3141[[#This Row],[Player]],RB!B:O,4,FALSE)</f>
        <v>183.10851778182595</v>
      </c>
      <c r="U28" s="279">
        <f>VLOOKUP(TableRBRanks3141[[#This Row],[Player]],RB!B:O,5,FALSE)</f>
        <v>807.50856341785243</v>
      </c>
      <c r="V28" s="279">
        <f>VLOOKUP(TableRBRanks3141[[#This Row],[Player]],RB!B:O,6,FALSE)</f>
        <v>6.2806221599166294</v>
      </c>
      <c r="W28" s="279">
        <f>VLOOKUP(TableRBRanks3141[[#This Row],[Player]],RB!B:O,7,FALSE)</f>
        <v>43.252893469999982</v>
      </c>
      <c r="X28" s="279">
        <f>VLOOKUP(TableRBRanks3141[[#This Row],[Player]],RB!B:O,8,FALSE)</f>
        <v>34.693145852286989</v>
      </c>
      <c r="Y28" s="279">
        <f>VLOOKUP(TableRBRanks3141[[#This Row],[Player]],RB!B:O,9,FALSE)</f>
        <v>278.23902973534166</v>
      </c>
      <c r="Z28" s="279">
        <f>VLOOKUP(TableRBRanks3141[[#This Row],[Player]],RB!B:O,10,FALSE)</f>
        <v>1.9428161677280713</v>
      </c>
      <c r="AA28" s="272">
        <f>VLOOKUP(TableRBRanks3141[[#This Row],[Player]],RB!B:O,14,FALSE)</f>
        <v>157.91538928118763</v>
      </c>
      <c r="AB28" s="273">
        <f>IF(VLOOKUP(TableRBRanks3141[[#This Row],[RK]],'Ranks w Proj'!$P:$AB,13,FALSE)&lt;0,0,VLOOKUP(TableRBRanks3141[[#This Row],[RK]],'Ranks w Proj'!$P:$AB,13,FALSE))</f>
        <v>20.750770581597585</v>
      </c>
      <c r="AD28" s="22">
        <v>27</v>
      </c>
      <c r="AE28" s="274" t="str">
        <f>VLOOKUP(TableWRRanks3242[[#This Row],[RK]],Rankings!A:Q,11,FALSE)</f>
        <v>Gabriel Davis</v>
      </c>
      <c r="AF28" s="22" t="str">
        <f>IFERROR(INDEX(TableWRCalcPts[TM],MATCH(TableWRRanks3242[[#This Row],[Player]],TableWRCalcPts[PLAYER],0)),"")</f>
        <v>BUF</v>
      </c>
      <c r="AG28" s="22">
        <f>IFERROR(INDEX(TableWRCalcPts[BYE],MATCH(TableWRRanks3242[[#This Row],[RK]],TableWRCalcPts[RK],0)),"")</f>
        <v>10</v>
      </c>
      <c r="AH28" s="279">
        <f>VLOOKUP(TableWRRanks3242[[#This Row],[Player]],WR!B:O,4,FALSE)</f>
        <v>0</v>
      </c>
      <c r="AI28" s="279">
        <f>VLOOKUP(TableWRRanks3242[[#This Row],[Player]],WR!B:O,5,FALSE)</f>
        <v>0</v>
      </c>
      <c r="AJ28" s="279">
        <f>VLOOKUP(TableWRRanks3242[[#This Row],[Player]],WR!B:O,6,FALSE)</f>
        <v>113.91983316322182</v>
      </c>
      <c r="AK28" s="279">
        <f>VLOOKUP(TableWRRanks3242[[#This Row],[Player]],WR!B:O,7,FALSE)</f>
        <v>65.4241601856383</v>
      </c>
      <c r="AL28" s="279">
        <f>VLOOKUP(TableWRRanks3242[[#This Row],[Player]],WR!B:O,8,FALSE)</f>
        <v>1000.0308328399603</v>
      </c>
      <c r="AM28" s="279">
        <f>VLOOKUP(TableWRRanks3242[[#This Row],[Player]],WR!B:O,9,FALSE)</f>
        <v>8.308868343576064</v>
      </c>
      <c r="AN28" s="272">
        <f>VLOOKUP(TableWRRanks3242[[#This Row],[Player]],WR!B:O,13,FALSE)</f>
        <v>149.8562933454524</v>
      </c>
      <c r="AO28" s="273">
        <f>IF(VLOOKUP(TableWRRanks3242[[#This Row],[RK]],'Ranks w Proj'!AD:AO,12,FALSE)&lt;0,0,VLOOKUP(TableWRRanks3242[[#This Row],[RK]],'Ranks w Proj'!AD:AO,12,FALSE))</f>
        <v>14.756591324387074</v>
      </c>
      <c r="AQ28" s="22">
        <v>27</v>
      </c>
      <c r="AR28" s="274" t="str">
        <f>VLOOKUP(TableTERanks3343[[#This Row],[RK]],Rankings!A:Q,15,FALSE)</f>
        <v>Robert Tonyan</v>
      </c>
      <c r="AS28" s="22" t="str">
        <f>IFERROR(INDEX(TableTECalcPts[TM],MATCH(TableTERanks3343[[#This Row],[Player]],TableTECalcPts[PLAYER],0)),"")</f>
        <v>GB</v>
      </c>
      <c r="AT28" s="22">
        <f>IFERROR(INDEX(TableTECalcPts[BYE],MATCH(TableTERanks3343[[#This Row],[RK]],TableTECalcPts[RK],0)),"")</f>
        <v>7</v>
      </c>
      <c r="AU28" s="279">
        <f>VLOOKUP(TableTERanks3343[[#This Row],[Player]],TE!B:O,4,FALSE)</f>
        <v>65.768098289999983</v>
      </c>
      <c r="AV28" s="279">
        <f>VLOOKUP(TableTERanks3343[[#This Row],[Player]],TE!B:O,5,FALSE)</f>
        <v>46.300741196159983</v>
      </c>
      <c r="AW28" s="279">
        <f>VLOOKUP(TableTERanks3343[[#This Row],[Player]],TE!B:O,6,FALSE)</f>
        <v>496.80695303479666</v>
      </c>
      <c r="AX28" s="279">
        <f>VLOOKUP(TableTERanks3343[[#This Row],[Player]],TE!B:O,7,FALSE)</f>
        <v>5.2413672484903833</v>
      </c>
      <c r="AY28" s="272">
        <f>VLOOKUP(TableTERanks3343[[#This Row],[Player]],TE!B:O,11,FALSE)</f>
        <v>81.128898794421957</v>
      </c>
      <c r="AZ28" s="273">
        <f>IF(VLOOKUP(TableTERanks3343[[#This Row],[RK]],'Ranks w Proj'!AQ:AZ,10,FALSE)&lt;0,0,VLOOKUP(TableTERanks3343[[#This Row],[RK]],'Ranks w Proj'!AQ:AZ,10,FALSE))</f>
        <v>0</v>
      </c>
    </row>
    <row r="29" spans="1:52" x14ac:dyDescent="0.3">
      <c r="A29" s="22">
        <v>28</v>
      </c>
      <c r="B29" s="22" t="str">
        <f>VLOOKUP(TableQBRanks3040[[#This Row],[RK]],Rankings!A:Q,3,FALSE)</f>
        <v>Davis Mills</v>
      </c>
      <c r="C29" s="22" t="str">
        <f>IFERROR(INDEX(TableQBCalcPts[TM],MATCH(TableQBRanks3040[[#This Row],[Player]],TableQBCalcPts[PLAYER],0)),"")</f>
        <v>HOU</v>
      </c>
      <c r="D29" s="22">
        <f>IFERROR(INDEX(TableQBCalcPts[BYE],MATCH(TableQBRanks3040[[#This Row],[RK]],TableQBCalcPts[RK],0)),"")</f>
        <v>9</v>
      </c>
      <c r="E29" s="279">
        <f>VLOOKUP(TableQBRanks3040[[#This Row],[Player]],QB!B:O,4,FALSE)</f>
        <v>568.7915999999999</v>
      </c>
      <c r="F29" s="279">
        <f>VLOOKUP(TableQBRanks3040[[#This Row],[Player]],QB!B:O,5,FALSE)</f>
        <v>373.5977168634646</v>
      </c>
      <c r="G29" s="279">
        <f>VLOOKUP(TableQBRanks3040[[#This Row],[Player]],QB!B:O,6,FALSE)</f>
        <v>3945.1918900781861</v>
      </c>
      <c r="H29" s="279">
        <f>VLOOKUP(TableQBRanks3040[[#This Row],[Player]],QB!B:O,7,FALSE)</f>
        <v>22.154344610003449</v>
      </c>
      <c r="I29" s="279">
        <f>VLOOKUP(TableQBRanks3040[[#This Row],[Player]],QB!B:O,8,FALSE)</f>
        <v>9.3473719545889082</v>
      </c>
      <c r="J29" s="279">
        <f>VLOOKUP(TableQBRanks3040[[#This Row],[Player]],QB!B:O,9,FALSE)</f>
        <v>20.987462521644744</v>
      </c>
      <c r="K29" s="279">
        <f>VLOOKUP(TableQBRanks3040[[#This Row],[Player]],QB!B:O,10,FALSE)</f>
        <v>77.750759540607561</v>
      </c>
      <c r="L29" s="279">
        <f>VLOOKUP(TableQBRanks3040[[#This Row],[Player]],QB!B:O,11,FALSE)</f>
        <v>0.45167544650204683</v>
      </c>
      <c r="M29" s="272">
        <f>VLOOKUP(TableQBRanks3040[[#This Row],[Player]],QB!B:O,13,FALSE)</f>
        <v>238.21543876703646</v>
      </c>
      <c r="N29" s="273">
        <f>IF(VLOOKUP(TableQBRanks3040[[#This Row],[RK]],'Ranks w Proj'!$A:$N,14,FALSE)&lt;0,0,VLOOKUP(TableQBRanks3040[[#This Row],[RK]],'Ranks w Proj'!$A:$N,14,FALSE))</f>
        <v>0</v>
      </c>
      <c r="P29" s="22">
        <v>28</v>
      </c>
      <c r="Q29" s="22" t="str">
        <f>VLOOKUP(TableRBRanks3141[[#This Row],[RK]],Rankings!A:Q,7,FALSE)</f>
        <v>Clyde Edwards-Helaire</v>
      </c>
      <c r="R29" s="22" t="str">
        <f>IFERROR(INDEX(TableRBCalcPts[TM],MATCH(TableRBRanks3141[[#This Row],[Player]],TableRBCalcPts[PLAYER],0)),"")</f>
        <v>KC</v>
      </c>
      <c r="S29" s="22">
        <f>IFERROR(INDEX(TableRBCalcPts[BYE],MATCH(TableRBRanks3141[[#This Row],[RK]],TableRBCalcPts[RK],0)),"")</f>
        <v>8</v>
      </c>
      <c r="T29" s="279">
        <f>VLOOKUP(TableRBRanks3141[[#This Row],[Player]],RB!B:O,4,FALSE)</f>
        <v>156.33109410844907</v>
      </c>
      <c r="U29" s="279">
        <f>VLOOKUP(TableRBRanks3141[[#This Row],[Player]],RB!B:O,5,FALSE)</f>
        <v>699.50490949402524</v>
      </c>
      <c r="V29" s="279">
        <f>VLOOKUP(TableRBRanks3141[[#This Row],[Player]],RB!B:O,6,FALSE)</f>
        <v>4.6987212792087494</v>
      </c>
      <c r="W29" s="279">
        <f>VLOOKUP(TableRBRanks3141[[#This Row],[Player]],RB!B:O,7,FALSE)</f>
        <v>48.181529524558577</v>
      </c>
      <c r="X29" s="279">
        <f>VLOOKUP(TableRBRanks3141[[#This Row],[Player]],RB!B:O,8,FALSE)</f>
        <v>37.499684428963938</v>
      </c>
      <c r="Y29" s="279">
        <f>VLOOKUP(TableRBRanks3141[[#This Row],[Player]],RB!B:O,9,FALSE)</f>
        <v>265.12276891277503</v>
      </c>
      <c r="Z29" s="279">
        <f>VLOOKUP(TableRBRanks3141[[#This Row],[Player]],RB!B:O,10,FALSE)</f>
        <v>2.4374794878826562</v>
      </c>
      <c r="AA29" s="272">
        <f>VLOOKUP(TableRBRanks3141[[#This Row],[Player]],RB!B:O,14,FALSE)</f>
        <v>139.27997244322847</v>
      </c>
      <c r="AB29" s="273">
        <f>IF(VLOOKUP(TableRBRanks3141[[#This Row],[RK]],'Ranks w Proj'!$P:$AB,13,FALSE)&lt;0,0,VLOOKUP(TableRBRanks3141[[#This Row],[RK]],'Ranks w Proj'!$P:$AB,13,FALSE))</f>
        <v>19.231461354448921</v>
      </c>
      <c r="AD29" s="22">
        <v>28</v>
      </c>
      <c r="AE29" s="274" t="str">
        <f>VLOOKUP(TableWRRanks3242[[#This Row],[RK]],Rankings!A:Q,11,FALSE)</f>
        <v>Elijah Moore</v>
      </c>
      <c r="AF29" s="22" t="str">
        <f>IFERROR(INDEX(TableWRCalcPts[TM],MATCH(TableWRRanks3242[[#This Row],[Player]],TableWRCalcPts[PLAYER],0)),"")</f>
        <v>NYJ</v>
      </c>
      <c r="AG29" s="22">
        <f>IFERROR(INDEX(TableWRCalcPts[BYE],MATCH(TableWRRanks3242[[#This Row],[RK]],TableWRCalcPts[RK],0)),"")</f>
        <v>9</v>
      </c>
      <c r="AH29" s="279">
        <f>VLOOKUP(TableWRRanks3242[[#This Row],[Player]],WR!B:O,4,FALSE)</f>
        <v>48.408106177419924</v>
      </c>
      <c r="AI29" s="279">
        <f>VLOOKUP(TableWRRanks3242[[#This Row],[Player]],WR!B:O,5,FALSE)</f>
        <v>0.52998874924410777</v>
      </c>
      <c r="AJ29" s="279">
        <f>VLOOKUP(TableWRRanks3242[[#This Row],[Player]],WR!B:O,6,FALSE)</f>
        <v>118.33440225873129</v>
      </c>
      <c r="AK29" s="279">
        <f>VLOOKUP(TableWRRanks3242[[#This Row],[Player]],WR!B:O,7,FALSE)</f>
        <v>70.361635583041632</v>
      </c>
      <c r="AL29" s="279">
        <f>VLOOKUP(TableWRRanks3242[[#This Row],[Player]],WR!B:O,8,FALSE)</f>
        <v>925.95912427282792</v>
      </c>
      <c r="AM29" s="279">
        <f>VLOOKUP(TableWRRanks3242[[#This Row],[Player]],WR!B:O,9,FALSE)</f>
        <v>6.6139937448059136</v>
      </c>
      <c r="AN29" s="272">
        <f>VLOOKUP(TableWRRanks3242[[#This Row],[Player]],WR!B:O,13,FALSE)</f>
        <v>140.30061800932492</v>
      </c>
      <c r="AO29" s="273">
        <f>IF(VLOOKUP(TableWRRanks3242[[#This Row],[RK]],'Ranks w Proj'!AD:AO,12,FALSE)&lt;0,0,VLOOKUP(TableWRRanks3242[[#This Row],[RK]],'Ranks w Proj'!AD:AO,12,FALSE))</f>
        <v>13.86121766593773</v>
      </c>
      <c r="AQ29" s="22">
        <v>28</v>
      </c>
      <c r="AR29" s="22" t="str">
        <f>VLOOKUP(TableTERanks3343[[#This Row],[RK]],Rankings!A:Q,15,FALSE)</f>
        <v>Austin Hooper</v>
      </c>
      <c r="AS29" s="22" t="str">
        <f>IFERROR(INDEX(TableTECalcPts[TM],MATCH(TableTERanks3343[[#This Row],[Player]],TableTECalcPts[PLAYER],0)),"")</f>
        <v>TEN</v>
      </c>
      <c r="AT29" s="22">
        <f>IFERROR(INDEX(TableTECalcPts[BYE],MATCH(TableTERanks3343[[#This Row],[RK]],TableTECalcPts[RK],0)),"")</f>
        <v>6</v>
      </c>
      <c r="AU29" s="279">
        <f>VLOOKUP(TableTERanks3343[[#This Row],[Player]],TE!B:O,4,FALSE)</f>
        <v>73.421316502595076</v>
      </c>
      <c r="AV29" s="279">
        <f>VLOOKUP(TableTERanks3343[[#This Row],[Player]],TE!B:O,5,FALSE)</f>
        <v>51.042499232604101</v>
      </c>
      <c r="AW29" s="279">
        <f>VLOOKUP(TableTERanks3343[[#This Row],[Player]],TE!B:O,6,FALSE)</f>
        <v>498.02703945724369</v>
      </c>
      <c r="AX29" s="279">
        <f>VLOOKUP(TableTERanks3343[[#This Row],[Player]],TE!B:O,7,FALSE)</f>
        <v>4.1344424378409323</v>
      </c>
      <c r="AY29" s="272">
        <f>VLOOKUP(TableTERanks3343[[#This Row],[Player]],TE!B:O,11,FALSE)</f>
        <v>74.609358572769963</v>
      </c>
      <c r="AZ29" s="273">
        <f>IF(VLOOKUP(TableTERanks3343[[#This Row],[RK]],'Ranks w Proj'!AQ:AZ,10,FALSE)&lt;0,0,VLOOKUP(TableTERanks3343[[#This Row],[RK]],'Ranks w Proj'!AQ:AZ,10,FALSE))</f>
        <v>0</v>
      </c>
    </row>
    <row r="30" spans="1:52" x14ac:dyDescent="0.3">
      <c r="A30" s="22">
        <v>29</v>
      </c>
      <c r="B30" s="22" t="str">
        <f>VLOOKUP(TableQBRanks3040[[#This Row],[RK]],Rankings!A:Q,3,FALSE)</f>
        <v>Kenny Pickett</v>
      </c>
      <c r="C30" s="22" t="str">
        <f>IFERROR(INDEX(TableQBCalcPts[TM],MATCH(TableQBRanks3040[[#This Row],[Player]],TableQBCalcPts[PLAYER],0)),"")</f>
        <v>PIT</v>
      </c>
      <c r="D30" s="22">
        <f>IFERROR(INDEX(TableQBCalcPts[BYE],MATCH(TableQBRanks3040[[#This Row],[RK]],TableQBCalcPts[RK],0)),"")</f>
        <v>9</v>
      </c>
      <c r="E30" s="279">
        <f>VLOOKUP(TableQBRanks3040[[#This Row],[Player]],QB!B:O,4,FALSE)</f>
        <v>527.84054400000002</v>
      </c>
      <c r="F30" s="279">
        <f>VLOOKUP(TableQBRanks3040[[#This Row],[Player]],QB!B:O,5,FALSE)</f>
        <v>322.510572384</v>
      </c>
      <c r="G30" s="279">
        <f>VLOOKUP(TableQBRanks3040[[#This Row],[Player]],QB!B:O,6,FALSE)</f>
        <v>3402.4865386512001</v>
      </c>
      <c r="H30" s="279">
        <f>VLOOKUP(TableQBRanks3040[[#This Row],[Player]],QB!B:O,7,FALSE)</f>
        <v>19.673144915424</v>
      </c>
      <c r="I30" s="279">
        <f>VLOOKUP(TableQBRanks3040[[#This Row],[Player]],QB!B:O,8,FALSE)</f>
        <v>7.5146377885526316</v>
      </c>
      <c r="J30" s="279">
        <f>VLOOKUP(TableQBRanks3040[[#This Row],[Player]],QB!B:O,9,FALSE)</f>
        <v>28.017146906232178</v>
      </c>
      <c r="K30" s="279">
        <f>VLOOKUP(TableQBRanks3040[[#This Row],[Player]],QB!B:O,10,FALSE)</f>
        <v>112.90910203211568</v>
      </c>
      <c r="L30" s="279">
        <f>VLOOKUP(TableQBRanks3040[[#This Row],[Player]],QB!B:O,11,FALSE)</f>
        <v>1.1107621728924826</v>
      </c>
      <c r="M30" s="272">
        <f>VLOOKUP(TableQBRanks3040[[#This Row],[Player]],QB!B:O,13,FALSE)</f>
        <v>217.71824887120525</v>
      </c>
      <c r="N30" s="273">
        <f>IF(VLOOKUP(TableQBRanks3040[[#This Row],[RK]],'Ranks w Proj'!$A:$N,14,FALSE)&lt;0,0,VLOOKUP(TableQBRanks3040[[#This Row],[RK]],'Ranks w Proj'!$A:$N,14,FALSE))</f>
        <v>0</v>
      </c>
      <c r="P30" s="22">
        <v>29</v>
      </c>
      <c r="Q30" s="22" t="str">
        <f>VLOOKUP(TableRBRanks3141[[#This Row],[RK]],Rankings!A:Q,7,FALSE)</f>
        <v>Chase Edmonds</v>
      </c>
      <c r="R30" s="22" t="str">
        <f>IFERROR(INDEX(TableRBCalcPts[TM],MATCH(TableRBRanks3141[[#This Row],[Player]],TableRBCalcPts[PLAYER],0)),"")</f>
        <v>MIA</v>
      </c>
      <c r="S30" s="22">
        <f>IFERROR(INDEX(TableRBCalcPts[BYE],MATCH(TableRBRanks3141[[#This Row],[RK]],TableRBCalcPts[RK],0)),"")</f>
        <v>9</v>
      </c>
      <c r="T30" s="279">
        <f>VLOOKUP(TableRBRanks3141[[#This Row],[Player]],RB!B:O,4,FALSE)</f>
        <v>133.25061131395191</v>
      </c>
      <c r="U30" s="279">
        <f>VLOOKUP(TableRBRanks3141[[#This Row],[Player]],RB!B:O,5,FALSE)</f>
        <v>562.31757974487698</v>
      </c>
      <c r="V30" s="279">
        <f>VLOOKUP(TableRBRanks3141[[#This Row],[Player]],RB!B:O,6,FALSE)</f>
        <v>3.4778409552941452</v>
      </c>
      <c r="W30" s="279">
        <f>VLOOKUP(TableRBRanks3141[[#This Row],[Player]],RB!B:O,7,FALSE)</f>
        <v>64.888816529999971</v>
      </c>
      <c r="X30" s="279">
        <f>VLOOKUP(TableRBRanks3141[[#This Row],[Player]],RB!B:O,8,FALSE)</f>
        <v>46.337103884072974</v>
      </c>
      <c r="Y30" s="279">
        <f>VLOOKUP(TableRBRanks3141[[#This Row],[Player]],RB!B:O,9,FALSE)</f>
        <v>325.28646926619228</v>
      </c>
      <c r="Z30" s="279">
        <f>VLOOKUP(TableRBRanks3141[[#This Row],[Player]],RB!B:O,10,FALSE)</f>
        <v>1.2641449059534762</v>
      </c>
      <c r="AA30" s="272">
        <f>VLOOKUP(TableRBRanks3141[[#This Row],[Player]],RB!B:O,14,FALSE)</f>
        <v>117.21232006859266</v>
      </c>
      <c r="AB30" s="273">
        <f>IF(VLOOKUP(TableRBRanks3141[[#This Row],[RK]],'Ranks w Proj'!$P:$AB,13,FALSE)&lt;0,0,VLOOKUP(TableRBRanks3141[[#This Row],[RK]],'Ranks w Proj'!$P:$AB,13,FALSE))</f>
        <v>18.408188702087834</v>
      </c>
      <c r="AD30" s="274">
        <v>29</v>
      </c>
      <c r="AE30" s="274" t="str">
        <f>VLOOKUP(TableWRRanks3242[[#This Row],[RK]],Rankings!A:Q,11,FALSE)</f>
        <v>Darnell Mooney</v>
      </c>
      <c r="AF30" s="22" t="str">
        <f>IFERROR(INDEX(TableWRCalcPts[TM],MATCH(TableWRRanks3242[[#This Row],[Player]],TableWRCalcPts[PLAYER],0)),"")</f>
        <v>CHI</v>
      </c>
      <c r="AG30" s="22">
        <f>IFERROR(INDEX(TableWRCalcPts[BYE],MATCH(TableWRRanks3242[[#This Row],[RK]],TableWRCalcPts[RK],0)),"")</f>
        <v>11</v>
      </c>
      <c r="AH30" s="279">
        <f>VLOOKUP(TableWRRanks3242[[#This Row],[Player]],WR!B:O,4,FALSE)</f>
        <v>30.171173521760245</v>
      </c>
      <c r="AI30" s="279">
        <f>VLOOKUP(TableWRRanks3242[[#This Row],[Player]],WR!B:O,5,FALSE)</f>
        <v>0</v>
      </c>
      <c r="AJ30" s="279">
        <f>VLOOKUP(TableWRRanks3242[[#This Row],[Player]],WR!B:O,6,FALSE)</f>
        <v>124.67199517362447</v>
      </c>
      <c r="AK30" s="279">
        <f>VLOOKUP(TableWRRanks3242[[#This Row],[Player]],WR!B:O,7,FALSE)</f>
        <v>73.436299602231898</v>
      </c>
      <c r="AL30" s="279">
        <f>VLOOKUP(TableWRRanks3242[[#This Row],[Player]],WR!B:O,8,FALSE)</f>
        <v>1053.8108992920277</v>
      </c>
      <c r="AM30" s="279">
        <f>VLOOKUP(TableWRRanks3242[[#This Row],[Player]],WR!B:O,9,FALSE)</f>
        <v>4.3091956701704817</v>
      </c>
      <c r="AN30" s="272">
        <f>VLOOKUP(TableWRRanks3242[[#This Row],[Player]],WR!B:O,13,FALSE)</f>
        <v>134.25338130240169</v>
      </c>
      <c r="AO30" s="273">
        <f>IF(VLOOKUP(TableWRRanks3242[[#This Row],[RK]],'Ranks w Proj'!AD:AO,12,FALSE)&lt;0,0,VLOOKUP(TableWRRanks3242[[#This Row],[RK]],'Ranks w Proj'!AD:AO,12,FALSE))</f>
        <v>12.661221766225431</v>
      </c>
      <c r="AQ30" s="274">
        <v>29</v>
      </c>
      <c r="AR30" s="274" t="str">
        <f>VLOOKUP(TableTERanks3343[[#This Row],[RK]],Rankings!A:Q,15,FALSE)</f>
        <v>C.J. Uzomah</v>
      </c>
      <c r="AS30" s="22" t="str">
        <f>IFERROR(INDEX(TableTECalcPts[TM],MATCH(TableTERanks3343[[#This Row],[Player]],TableTECalcPts[PLAYER],0)),"")</f>
        <v>NYJ</v>
      </c>
      <c r="AT30" s="22">
        <f>IFERROR(INDEX(TableTECalcPts[BYE],MATCH(TableTERanks3343[[#This Row],[RK]],TableTECalcPts[RK],0)),"")</f>
        <v>10</v>
      </c>
      <c r="AU30" s="279">
        <f>VLOOKUP(TableTERanks3343[[#This Row],[Player]],TE!B:O,4,FALSE)</f>
        <v>67.192258659604789</v>
      </c>
      <c r="AV30" s="279">
        <f>VLOOKUP(TableTERanks3343[[#This Row],[Player]],TE!B:O,5,FALSE)</f>
        <v>43.701845032206954</v>
      </c>
      <c r="AW30" s="279">
        <f>VLOOKUP(TableTERanks3343[[#This Row],[Player]],TE!B:O,6,FALSE)</f>
        <v>449.25496693108744</v>
      </c>
      <c r="AX30" s="279">
        <f>VLOOKUP(TableTERanks3343[[#This Row],[Player]],TE!B:O,7,FALSE)</f>
        <v>3.3846359000993189</v>
      </c>
      <c r="AY30" s="272">
        <f>VLOOKUP(TableTERanks3343[[#This Row],[Player]],TE!B:O,11,FALSE)</f>
        <v>65.233312093704654</v>
      </c>
      <c r="AZ30" s="273">
        <f>IF(VLOOKUP(TableTERanks3343[[#This Row],[RK]],'Ranks w Proj'!AQ:AZ,10,FALSE)&lt;0,0,VLOOKUP(TableTERanks3343[[#This Row],[RK]],'Ranks w Proj'!AQ:AZ,10,FALSE))</f>
        <v>0</v>
      </c>
    </row>
    <row r="31" spans="1:52" x14ac:dyDescent="0.3">
      <c r="A31" s="22">
        <v>30</v>
      </c>
      <c r="B31" s="22" t="str">
        <f>VLOOKUP(TableQBRanks3040[[#This Row],[RK]],Rankings!A:Q,3,FALSE)</f>
        <v>Marcus Mariota</v>
      </c>
      <c r="C31" s="22" t="str">
        <f>IFERROR(INDEX(TableQBCalcPts[TM],MATCH(TableQBRanks3040[[#This Row],[Player]],TableQBCalcPts[PLAYER],0)),"")</f>
        <v>ATL</v>
      </c>
      <c r="D31" s="22">
        <f>IFERROR(INDEX(TableQBCalcPts[BYE],MATCH(TableQBRanks3040[[#This Row],[RK]],TableQBCalcPts[RK],0)),"")</f>
        <v>14</v>
      </c>
      <c r="E31" s="279">
        <f>VLOOKUP(TableQBRanks3040[[#This Row],[Player]],QB!B:O,4,FALSE)</f>
        <v>453.06680999999998</v>
      </c>
      <c r="F31" s="279">
        <f>VLOOKUP(TableQBRanks3040[[#This Row],[Player]],QB!B:O,5,FALSE)</f>
        <v>285.82060924630895</v>
      </c>
      <c r="G31" s="279">
        <f>VLOOKUP(TableQBRanks3040[[#This Row],[Player]],QB!B:O,6,FALSE)</f>
        <v>3289.795212425016</v>
      </c>
      <c r="H31" s="279">
        <f>VLOOKUP(TableQBRanks3040[[#This Row],[Player]],QB!B:O,7,FALSE)</f>
        <v>16.810781356444785</v>
      </c>
      <c r="I31" s="279">
        <f>VLOOKUP(TableQBRanks3040[[#This Row],[Player]],QB!B:O,8,FALSE)</f>
        <v>8.0473601831645905</v>
      </c>
      <c r="J31" s="279">
        <f>VLOOKUP(TableQBRanks3040[[#This Row],[Player]],QB!B:O,9,FALSE)</f>
        <v>30.373596275357116</v>
      </c>
      <c r="K31" s="279">
        <f>VLOOKUP(TableQBRanks3040[[#This Row],[Player]],QB!B:O,10,FALSE)</f>
        <v>182.40966705779738</v>
      </c>
      <c r="L31" s="279">
        <f>VLOOKUP(TableQBRanks3040[[#This Row],[Player]],QB!B:O,11,FALSE)</f>
        <v>1.359585713984468</v>
      </c>
      <c r="M31" s="272">
        <f>VLOOKUP(TableQBRanks3040[[#This Row],[Player]],QB!B:O,13,FALSE)</f>
        <v>209.13869454613715</v>
      </c>
      <c r="N31" s="273">
        <f>IF(VLOOKUP(TableQBRanks3040[[#This Row],[RK]],'Ranks w Proj'!$A:$N,14,FALSE)&lt;0,0,VLOOKUP(TableQBRanks3040[[#This Row],[RK]],'Ranks w Proj'!$A:$N,14,FALSE))</f>
        <v>0</v>
      </c>
      <c r="P31" s="22">
        <v>30</v>
      </c>
      <c r="Q31" s="22" t="str">
        <f>VLOOKUP(TableRBRanks3141[[#This Row],[RK]],Rankings!A:Q,7,FALSE)</f>
        <v>Devin Singletary</v>
      </c>
      <c r="R31" s="22" t="str">
        <f>IFERROR(INDEX(TableRBCalcPts[TM],MATCH(TableRBRanks3141[[#This Row],[Player]],TableRBCalcPts[PLAYER],0)),"")</f>
        <v>BUF</v>
      </c>
      <c r="S31" s="22">
        <f>IFERROR(INDEX(TableRBCalcPts[BYE],MATCH(TableRBRanks3141[[#This Row],[RK]],TableRBCalcPts[RK],0)),"")</f>
        <v>14</v>
      </c>
      <c r="T31" s="279">
        <f>VLOOKUP(TableRBRanks3141[[#This Row],[Player]],RB!B:O,4,FALSE)</f>
        <v>164.07108211576426</v>
      </c>
      <c r="U31" s="279">
        <f>VLOOKUP(TableRBRanks3141[[#This Row],[Player]],RB!B:O,5,FALSE)</f>
        <v>736.67915869978151</v>
      </c>
      <c r="V31" s="279">
        <f>VLOOKUP(TableRBRanks3141[[#This Row],[Player]],RB!B:O,6,FALSE)</f>
        <v>5.7895261192420922</v>
      </c>
      <c r="W31" s="279">
        <f>VLOOKUP(TableRBRanks3141[[#This Row],[Player]],RB!B:O,7,FALSE)</f>
        <v>45.579983249220071</v>
      </c>
      <c r="X31" s="279">
        <f>VLOOKUP(TableRBRanks3141[[#This Row],[Player]],RB!B:O,8,FALSE)</f>
        <v>33.824905569246212</v>
      </c>
      <c r="Y31" s="279">
        <f>VLOOKUP(TableRBRanks3141[[#This Row],[Player]],RB!B:O,9,FALSE)</f>
        <v>200.88530733828148</v>
      </c>
      <c r="Z31" s="279">
        <f>VLOOKUP(TableRBRanks3141[[#This Row],[Player]],RB!B:O,10,FALSE)</f>
        <v>1.0823969782158789</v>
      </c>
      <c r="AA31" s="272">
        <f>VLOOKUP(TableRBRanks3141[[#This Row],[Player]],RB!B:O,14,FALSE)</f>
        <v>134.98798518855412</v>
      </c>
      <c r="AB31" s="273">
        <f>IF(VLOOKUP(TableRBRanks3141[[#This Row],[RK]],'Ranks w Proj'!$P:$AB,13,FALSE)&lt;0,0,VLOOKUP(TableRBRanks3141[[#This Row],[RK]],'Ranks w Proj'!$P:$AB,13,FALSE))</f>
        <v>17.575271952157834</v>
      </c>
      <c r="AD31" s="22">
        <v>30</v>
      </c>
      <c r="AE31" s="22" t="str">
        <f>VLOOKUP(TableWRRanks3242[[#This Row],[RK]],Rankings!A:Q,11,FALSE)</f>
        <v>Jerry Jeudy</v>
      </c>
      <c r="AF31" s="22" t="str">
        <f>IFERROR(INDEX(TableWRCalcPts[TM],MATCH(TableWRRanks3242[[#This Row],[Player]],TableWRCalcPts[PLAYER],0)),"")</f>
        <v>DEN</v>
      </c>
      <c r="AG31" s="22">
        <f>IFERROR(INDEX(TableWRCalcPts[BYE],MATCH(TableWRRanks3242[[#This Row],[RK]],TableWRCalcPts[RK],0)),"")</f>
        <v>9</v>
      </c>
      <c r="AH31" s="279">
        <f>VLOOKUP(TableWRRanks3242[[#This Row],[Player]],WR!B:O,4,FALSE)</f>
        <v>12.133467331574533</v>
      </c>
      <c r="AI31" s="279">
        <f>VLOOKUP(TableWRRanks3242[[#This Row],[Player]],WR!B:O,5,FALSE)</f>
        <v>2.5007661599733163E-2</v>
      </c>
      <c r="AJ31" s="279">
        <f>VLOOKUP(TableWRRanks3242[[#This Row],[Player]],WR!B:O,6,FALSE)</f>
        <v>113.96739220775687</v>
      </c>
      <c r="AK31" s="279">
        <f>VLOOKUP(TableWRRanks3242[[#This Row],[Player]],WR!B:O,7,FALSE)</f>
        <v>69.611283160497905</v>
      </c>
      <c r="AL31" s="279">
        <f>VLOOKUP(TableWRRanks3242[[#This Row],[Player]],WR!B:O,8,FALSE)</f>
        <v>980.82297973141544</v>
      </c>
      <c r="AM31" s="279">
        <f>VLOOKUP(TableWRRanks3242[[#This Row],[Player]],WR!B:O,9,FALSE)</f>
        <v>5.9865703518028193</v>
      </c>
      <c r="AN31" s="272">
        <f>VLOOKUP(TableWRRanks3242[[#This Row],[Player]],WR!B:O,13,FALSE)</f>
        <v>135.36511278671432</v>
      </c>
      <c r="AO31" s="273">
        <f>IF(VLOOKUP(TableWRRanks3242[[#This Row],[RK]],'Ranks w Proj'!AD:AO,12,FALSE)&lt;0,0,VLOOKUP(TableWRRanks3242[[#This Row],[RK]],'Ranks w Proj'!AD:AO,12,FALSE))</f>
        <v>12.431803840259684</v>
      </c>
      <c r="AQ31" s="22">
        <v>30</v>
      </c>
      <c r="AR31" s="22" t="str">
        <f>VLOOKUP(TableTERanks3343[[#This Row],[RK]],Rankings!A:Q,15,FALSE)</f>
        <v>Dan Arnold</v>
      </c>
      <c r="AS31" s="22" t="str">
        <f>IFERROR(INDEX(TableTECalcPts[TM],MATCH(TableTERanks3343[[#This Row],[Player]],TableTECalcPts[PLAYER],0)),"")</f>
        <v>JAX</v>
      </c>
      <c r="AT31" s="22">
        <f>IFERROR(INDEX(TableTECalcPts[BYE],MATCH(TableTERanks3343[[#This Row],[RK]],TableTECalcPts[RK],0)),"")</f>
        <v>11</v>
      </c>
      <c r="AU31" s="279">
        <f>VLOOKUP(TableTERanks3343[[#This Row],[Player]],TE!B:O,4,FALSE)</f>
        <v>49.57186802311999</v>
      </c>
      <c r="AV31" s="279">
        <f>VLOOKUP(TableTERanks3343[[#This Row],[Player]],TE!B:O,5,FALSE)</f>
        <v>30.660200372299716</v>
      </c>
      <c r="AW31" s="279">
        <f>VLOOKUP(TableTERanks3343[[#This Row],[Player]],TE!B:O,6,FALSE)</f>
        <v>372.86242107403086</v>
      </c>
      <c r="AX31" s="279">
        <f>VLOOKUP(TableTERanks3343[[#This Row],[Player]],TE!B:O,7,FALSE)</f>
        <v>2.790078233879274</v>
      </c>
      <c r="AY31" s="272">
        <f>VLOOKUP(TableTERanks3343[[#This Row],[Player]],TE!B:O,11,FALSE)</f>
        <v>54.026711510678737</v>
      </c>
      <c r="AZ31" s="273">
        <f>IF(VLOOKUP(TableTERanks3343[[#This Row],[RK]],'Ranks w Proj'!AQ:AZ,10,FALSE)&lt;0,0,VLOOKUP(TableTERanks3343[[#This Row],[RK]],'Ranks w Proj'!AQ:AZ,10,FALSE))</f>
        <v>0</v>
      </c>
    </row>
    <row r="32" spans="1:52" x14ac:dyDescent="0.3">
      <c r="A32" s="22">
        <v>31</v>
      </c>
      <c r="B32" s="22" t="str">
        <f>VLOOKUP(TableQBRanks3040[[#This Row],[RK]],Rankings!A:Q,3,FALSE)</f>
        <v>Sam Darnold</v>
      </c>
      <c r="C32" s="22" t="str">
        <f>IFERROR(INDEX(TableQBCalcPts[TM],MATCH(TableQBRanks3040[[#This Row],[Player]],TableQBCalcPts[PLAYER],0)),"")</f>
        <v>CAR</v>
      </c>
      <c r="D32" s="22">
        <f>IFERROR(INDEX(TableQBCalcPts[BYE],MATCH(TableQBRanks3040[[#This Row],[RK]],TableQBCalcPts[RK],0)),"")</f>
        <v>13</v>
      </c>
      <c r="E32" s="279">
        <f>VLOOKUP(TableQBRanks3040[[#This Row],[Player]],QB!B:O,4,FALSE)</f>
        <v>437.03593849999987</v>
      </c>
      <c r="F32" s="279">
        <f>VLOOKUP(TableQBRanks3040[[#This Row],[Player]],QB!B:O,5,FALSE)</f>
        <v>269.6511740544999</v>
      </c>
      <c r="G32" s="279">
        <f>VLOOKUP(TableQBRanks3040[[#This Row],[Player]],QB!B:O,6,FALSE)</f>
        <v>2904.1431445669637</v>
      </c>
      <c r="H32" s="279">
        <f>VLOOKUP(TableQBRanks3040[[#This Row],[Player]],QB!B:O,7,FALSE)</f>
        <v>11.835034186481824</v>
      </c>
      <c r="I32" s="279">
        <f>VLOOKUP(TableQBRanks3040[[#This Row],[Player]],QB!B:O,8,FALSE)</f>
        <v>8.1900632541385381</v>
      </c>
      <c r="J32" s="279">
        <f>VLOOKUP(TableQBRanks3040[[#This Row],[Player]],QB!B:O,9,FALSE)</f>
        <v>40.507422682692706</v>
      </c>
      <c r="K32" s="279">
        <f>VLOOKUP(TableQBRanks3040[[#This Row],[Player]],QB!B:O,10,FALSE)</f>
        <v>178.23265980384792</v>
      </c>
      <c r="L32" s="279">
        <f>VLOOKUP(TableQBRanks3040[[#This Row],[Player]],QB!B:O,11,FALSE)</f>
        <v>2.9026693253343501</v>
      </c>
      <c r="M32" s="272">
        <f>VLOOKUP(TableQBRanks3040[[#This Row],[Player]],QB!B:O,13,FALSE)</f>
        <v>182.36501795271968</v>
      </c>
      <c r="N32" s="273">
        <f>IF(VLOOKUP(TableQBRanks3040[[#This Row],[RK]],'Ranks w Proj'!$A:$N,14,FALSE)&lt;0,0,VLOOKUP(TableQBRanks3040[[#This Row],[RK]],'Ranks w Proj'!$A:$N,14,FALSE))</f>
        <v>0</v>
      </c>
      <c r="P32" s="22">
        <v>31</v>
      </c>
      <c r="Q32" s="22" t="str">
        <f>VLOOKUP(TableRBRanks3141[[#This Row],[RK]],Rankings!A:Q,7,FALSE)</f>
        <v>Kareem Hunt</v>
      </c>
      <c r="R32" s="22" t="str">
        <f>IFERROR(INDEX(TableRBCalcPts[TM],MATCH(TableRBRanks3141[[#This Row],[Player]],TableRBCalcPts[PLAYER],0)),"")</f>
        <v>CLE</v>
      </c>
      <c r="S32" s="22">
        <f>IFERROR(INDEX(TableRBCalcPts[BYE],MATCH(TableRBRanks3141[[#This Row],[RK]],TableRBCalcPts[RK],0)),"")</f>
        <v>7</v>
      </c>
      <c r="T32" s="279">
        <f>VLOOKUP(TableRBRanks3141[[#This Row],[Player]],RB!B:O,4,FALSE)</f>
        <v>104.88417146348313</v>
      </c>
      <c r="U32" s="279">
        <f>VLOOKUP(TableRBRanks3141[[#This Row],[Player]],RB!B:O,5,FALSE)</f>
        <v>502.30665648709174</v>
      </c>
      <c r="V32" s="279">
        <f>VLOOKUP(TableRBRanks3141[[#This Row],[Player]],RB!B:O,6,FALSE)</f>
        <v>4.2058552756856731</v>
      </c>
      <c r="W32" s="279">
        <f>VLOOKUP(TableRBRanks3141[[#This Row],[Player]],RB!B:O,7,FALSE)</f>
        <v>61.981024311204955</v>
      </c>
      <c r="X32" s="279">
        <f>VLOOKUP(TableRBRanks3141[[#This Row],[Player]],RB!B:O,8,FALSE)</f>
        <v>46.076693472949763</v>
      </c>
      <c r="Y32" s="279">
        <f>VLOOKUP(TableRBRanks3141[[#This Row],[Player]],RB!B:O,9,FALSE)</f>
        <v>369.99584858778655</v>
      </c>
      <c r="Z32" s="279">
        <f>VLOOKUP(TableRBRanks3141[[#This Row],[Player]],RB!B:O,10,FALSE)</f>
        <v>1.8430677389179906</v>
      </c>
      <c r="AA32" s="272">
        <f>VLOOKUP(TableRBRanks3141[[#This Row],[Player]],RB!B:O,14,FALSE)</f>
        <v>123.52378859510981</v>
      </c>
      <c r="AB32" s="273">
        <f>IF(VLOOKUP(TableRBRanks3141[[#This Row],[RK]],'Ranks w Proj'!$P:$AB,13,FALSE)&lt;0,0,VLOOKUP(TableRBRanks3141[[#This Row],[RK]],'Ranks w Proj'!$P:$AB,13,FALSE))</f>
        <v>17.057081939328484</v>
      </c>
      <c r="AD32" s="22">
        <v>31</v>
      </c>
      <c r="AE32" s="274" t="str">
        <f>VLOOKUP(TableWRRanks3242[[#This Row],[RK]],Rankings!A:Q,11,FALSE)</f>
        <v>Amon-Ra St. Brown</v>
      </c>
      <c r="AF32" s="22" t="str">
        <f>IFERROR(INDEX(TableWRCalcPts[TM],MATCH(TableWRRanks3242[[#This Row],[Player]],TableWRCalcPts[PLAYER],0)),"")</f>
        <v>DET</v>
      </c>
      <c r="AG32" s="22">
        <f>IFERROR(INDEX(TableWRCalcPts[BYE],MATCH(TableWRRanks3242[[#This Row],[RK]],TableWRCalcPts[RK],0)),"")</f>
        <v>14</v>
      </c>
      <c r="AH32" s="279">
        <f>VLOOKUP(TableWRRanks3242[[#This Row],[Player]],WR!B:O,4,FALSE)</f>
        <v>67.814583866748478</v>
      </c>
      <c r="AI32" s="279">
        <f>VLOOKUP(TableWRRanks3242[[#This Row],[Player]],WR!B:O,5,FALSE)</f>
        <v>0.67528712317935868</v>
      </c>
      <c r="AJ32" s="279">
        <f>VLOOKUP(TableWRRanks3242[[#This Row],[Player]],WR!B:O,6,FALSE)</f>
        <v>120.78660575706679</v>
      </c>
      <c r="AK32" s="279">
        <f>VLOOKUP(TableWRRanks3242[[#This Row],[Player]],WR!B:O,7,FALSE)</f>
        <v>82.69056180943538</v>
      </c>
      <c r="AL32" s="279">
        <f>VLOOKUP(TableWRRanks3242[[#This Row],[Player]],WR!B:O,8,FALSE)</f>
        <v>895.53878439618518</v>
      </c>
      <c r="AM32" s="279">
        <f>VLOOKUP(TableWRRanks3242[[#This Row],[Player]],WR!B:O,9,FALSE)</f>
        <v>5.355817171266442</v>
      </c>
      <c r="AN32" s="272">
        <f>VLOOKUP(TableWRRanks3242[[#This Row],[Player]],WR!B:O,13,FALSE)</f>
        <v>132.52196259296818</v>
      </c>
      <c r="AO32" s="273">
        <f>IF(VLOOKUP(TableWRRanks3242[[#This Row],[RK]],'Ranks w Proj'!AD:AO,12,FALSE)&lt;0,0,VLOOKUP(TableWRRanks3242[[#This Row],[RK]],'Ranks w Proj'!AD:AO,12,FALSE))</f>
        <v>12.242416525441508</v>
      </c>
      <c r="AQ32" s="22">
        <v>31</v>
      </c>
      <c r="AR32" s="274" t="str">
        <f>VLOOKUP(TableTERanks3343[[#This Row],[RK]],Rankings!A:Q,15,FALSE)</f>
        <v>Tommy Tremble</v>
      </c>
      <c r="AS32" s="22" t="str">
        <f>IFERROR(INDEX(TableTECalcPts[TM],MATCH(TableTERanks3343[[#This Row],[Player]],TableTECalcPts[PLAYER],0)),"")</f>
        <v>CAR</v>
      </c>
      <c r="AT32" s="22">
        <f>IFERROR(INDEX(TableTECalcPts[BYE],MATCH(TableTERanks3343[[#This Row],[RK]],TableTECalcPts[RK],0)),"")</f>
        <v>13</v>
      </c>
      <c r="AU32" s="279">
        <f>VLOOKUP(TableTERanks3343[[#This Row],[Player]],TE!B:O,4,FALSE)</f>
        <v>60.533532028069587</v>
      </c>
      <c r="AV32" s="279">
        <f>VLOOKUP(TableTERanks3343[[#This Row],[Player]],TE!B:O,5,FALSE)</f>
        <v>37.409722793347001</v>
      </c>
      <c r="AW32" s="279">
        <f>VLOOKUP(TableTERanks3343[[#This Row],[Player]],TE!B:O,6,FALSE)</f>
        <v>384.97270779498683</v>
      </c>
      <c r="AX32" s="279">
        <f>VLOOKUP(TableTERanks3343[[#This Row],[Player]],TE!B:O,7,FALSE)</f>
        <v>1.9975499754331536</v>
      </c>
      <c r="AY32" s="272">
        <f>VLOOKUP(TableTERanks3343[[#This Row],[Player]],TE!B:O,11,FALSE)</f>
        <v>50.482570632097605</v>
      </c>
      <c r="AZ32" s="273">
        <f>IF(VLOOKUP(TableTERanks3343[[#This Row],[RK]],'Ranks w Proj'!AQ:AZ,10,FALSE)&lt;0,0,VLOOKUP(TableTERanks3343[[#This Row],[RK]],'Ranks w Proj'!AQ:AZ,10,FALSE))</f>
        <v>0</v>
      </c>
    </row>
    <row r="33" spans="1:52" x14ac:dyDescent="0.3">
      <c r="A33" s="22">
        <v>32</v>
      </c>
      <c r="B33" s="22" t="str">
        <f>VLOOKUP(TableQBRanks3040[[#This Row],[RK]],Rankings!A:Q,3,FALSE)</f>
        <v>Drew Lock</v>
      </c>
      <c r="C33" s="22" t="str">
        <f>IFERROR(INDEX(TableQBCalcPts[TM],MATCH(TableQBRanks3040[[#This Row],[Player]],TableQBCalcPts[PLAYER],0)),"")</f>
        <v>SEA</v>
      </c>
      <c r="D33" s="22">
        <f>IFERROR(INDEX(TableQBCalcPts[BYE],MATCH(TableQBRanks3040[[#This Row],[RK]],TableQBCalcPts[RK],0)),"")</f>
        <v>11</v>
      </c>
      <c r="E33" s="279">
        <f>VLOOKUP(TableQBRanks3040[[#This Row],[Player]],QB!B:O,4,FALSE)</f>
        <v>349.05842399999995</v>
      </c>
      <c r="F33" s="279">
        <f>VLOOKUP(TableQBRanks3040[[#This Row],[Player]],QB!B:O,5,FALSE)</f>
        <v>215.71810603199995</v>
      </c>
      <c r="G33" s="279">
        <f>VLOOKUP(TableQBRanks3040[[#This Row],[Player]],QB!B:O,6,FALSE)</f>
        <v>2476.4438572473596</v>
      </c>
      <c r="H33" s="279">
        <f>VLOOKUP(TableQBRanks3040[[#This Row],[Player]],QB!B:O,7,FALSE)</f>
        <v>12.511650149855997</v>
      </c>
      <c r="I33" s="279">
        <f>VLOOKUP(TableQBRanks3040[[#This Row],[Player]],QB!B:O,8,FALSE)</f>
        <v>5.829927815749409</v>
      </c>
      <c r="J33" s="279">
        <f>VLOOKUP(TableQBRanks3040[[#This Row],[Player]],QB!B:O,9,FALSE)</f>
        <v>30.410395784168831</v>
      </c>
      <c r="K33" s="279">
        <f>VLOOKUP(TableQBRanks3040[[#This Row],[Player]],QB!B:O,10,FALSE)</f>
        <v>140.0955325952267</v>
      </c>
      <c r="L33" s="279">
        <f>VLOOKUP(TableQBRanks3040[[#This Row],[Player]],QB!B:O,11,FALSE)</f>
        <v>1.6421613723451169</v>
      </c>
      <c r="M33" s="272">
        <f>VLOOKUP(TableQBRanks3040[[#This Row],[Player]],QB!B:O,13,FALSE)</f>
        <v>161.30702075141295</v>
      </c>
      <c r="N33" s="273">
        <f>IF(VLOOKUP(TableQBRanks3040[[#This Row],[RK]],'Ranks w Proj'!$A:$N,14,FALSE)&lt;0,0,VLOOKUP(TableQBRanks3040[[#This Row],[RK]],'Ranks w Proj'!$A:$N,14,FALSE))</f>
        <v>0</v>
      </c>
      <c r="P33" s="22">
        <v>32</v>
      </c>
      <c r="Q33" s="22" t="str">
        <f>VLOOKUP(TableRBRanks3141[[#This Row],[RK]],Rankings!A:Q,7,FALSE)</f>
        <v>Tony Pollard</v>
      </c>
      <c r="R33" s="22" t="str">
        <f>IFERROR(INDEX(TableRBCalcPts[TM],MATCH(TableRBRanks3141[[#This Row],[Player]],TableRBCalcPts[PLAYER],0)),"")</f>
        <v>DAL</v>
      </c>
      <c r="S33" s="22">
        <f>IFERROR(INDEX(TableRBCalcPts[BYE],MATCH(TableRBRanks3141[[#This Row],[RK]],TableRBCalcPts[RK],0)),"")</f>
        <v>9</v>
      </c>
      <c r="T33" s="279">
        <f>VLOOKUP(TableRBRanks3141[[#This Row],[Player]],RB!B:O,4,FALSE)</f>
        <v>148.35615462465293</v>
      </c>
      <c r="U33" s="279">
        <f>VLOOKUP(TableRBRanks3141[[#This Row],[Player]],RB!B:O,5,FALSE)</f>
        <v>718.04378838332013</v>
      </c>
      <c r="V33" s="279">
        <f>VLOOKUP(TableRBRanks3141[[#This Row],[Player]],RB!B:O,6,FALSE)</f>
        <v>4.2726572531900047</v>
      </c>
      <c r="W33" s="279">
        <f>VLOOKUP(TableRBRanks3141[[#This Row],[Player]],RB!B:O,7,FALSE)</f>
        <v>56.85765009316021</v>
      </c>
      <c r="X33" s="279">
        <f>VLOOKUP(TableRBRanks3141[[#This Row],[Player]],RB!B:O,8,FALSE)</f>
        <v>43.899791636928995</v>
      </c>
      <c r="Y33" s="279">
        <f>VLOOKUP(TableRBRanks3141[[#This Row],[Player]],RB!B:O,9,FALSE)</f>
        <v>326.73990885990042</v>
      </c>
      <c r="Z33" s="279">
        <f>VLOOKUP(TableRBRanks3141[[#This Row],[Player]],RB!B:O,10,FALSE)</f>
        <v>1.2567681645092461</v>
      </c>
      <c r="AA33" s="272">
        <f>VLOOKUP(TableRBRanks3141[[#This Row],[Player]],RB!B:O,14,FALSE)</f>
        <v>137.65492223051754</v>
      </c>
      <c r="AB33" s="273">
        <f>IF(VLOOKUP(TableRBRanks3141[[#This Row],[RK]],'Ranks w Proj'!$P:$AB,13,FALSE)&lt;0,0,VLOOKUP(TableRBRanks3141[[#This Row],[RK]],'Ranks w Proj'!$P:$AB,13,FALSE))</f>
        <v>14.746415160055749</v>
      </c>
      <c r="AD33" s="274">
        <v>32</v>
      </c>
      <c r="AE33" s="22" t="str">
        <f>VLOOKUP(TableWRRanks3242[[#This Row],[RK]],Rankings!A:Q,11,FALSE)</f>
        <v>Chris Godwin</v>
      </c>
      <c r="AF33" s="22" t="str">
        <f>IFERROR(INDEX(TableWRCalcPts[TM],MATCH(TableWRRanks3242[[#This Row],[Player]],TableWRCalcPts[PLAYER],0)),"")</f>
        <v>TB</v>
      </c>
      <c r="AG33" s="22">
        <f>IFERROR(INDEX(TableWRCalcPts[BYE],MATCH(TableWRRanks3242[[#This Row],[RK]],TableWRCalcPts[RK],0)),"")</f>
        <v>14</v>
      </c>
      <c r="AH33" s="279">
        <f>VLOOKUP(TableWRRanks3242[[#This Row],[Player]],WR!B:O,4,FALSE)</f>
        <v>20.850529060470159</v>
      </c>
      <c r="AI33" s="279">
        <f>VLOOKUP(TableWRRanks3242[[#This Row],[Player]],WR!B:O,5,FALSE)</f>
        <v>0.30001120963757588</v>
      </c>
      <c r="AJ33" s="279">
        <f>VLOOKUP(TableWRRanks3242[[#This Row],[Player]],WR!B:O,6,FALSE)</f>
        <v>107.52334898395679</v>
      </c>
      <c r="AK33" s="279">
        <f>VLOOKUP(TableWRRanks3242[[#This Row],[Player]],WR!B:O,7,FALSE)</f>
        <v>78.330759734812531</v>
      </c>
      <c r="AL33" s="279">
        <f>VLOOKUP(TableWRRanks3242[[#This Row],[Player]],WR!B:O,8,FALSE)</f>
        <v>916.46988889730653</v>
      </c>
      <c r="AM33" s="279">
        <f>VLOOKUP(TableWRRanks3242[[#This Row],[Player]],WR!B:O,9,FALSE)</f>
        <v>6.18813001905019</v>
      </c>
      <c r="AN33" s="272">
        <f>VLOOKUP(TableWRRanks3242[[#This Row],[Player]],WR!B:O,13,FALSE)</f>
        <v>132.66088916790426</v>
      </c>
      <c r="AO33" s="273">
        <f>IF(VLOOKUP(TableWRRanks3242[[#This Row],[RK]],'Ranks w Proj'!AD:AO,12,FALSE)&lt;0,0,VLOOKUP(TableWRRanks3242[[#This Row],[RK]],'Ranks w Proj'!AD:AO,12,FALSE))</f>
        <v>11.908141251757085</v>
      </c>
      <c r="AQ33" s="274">
        <v>32</v>
      </c>
      <c r="AR33" s="22" t="str">
        <f>VLOOKUP(TableTERanks3343[[#This Row],[RK]],Rankings!A:Q,15,FALSE)</f>
        <v>Adam Trautman</v>
      </c>
      <c r="AS33" s="22" t="str">
        <f>IFERROR(INDEX(TableTECalcPts[TM],MATCH(TableTERanks3343[[#This Row],[Player]],TableTECalcPts[PLAYER],0)),"")</f>
        <v>NO</v>
      </c>
      <c r="AT33" s="22">
        <f>IFERROR(INDEX(TableTECalcPts[BYE],MATCH(TableTERanks3343[[#This Row],[RK]],TableTECalcPts[RK],0)),"")</f>
        <v>14</v>
      </c>
      <c r="AU33" s="279">
        <f>VLOOKUP(TableTERanks3343[[#This Row],[Player]],TE!B:O,4,FALSE)</f>
        <v>47.018986415021374</v>
      </c>
      <c r="AV33" s="279">
        <f>VLOOKUP(TableTERanks3343[[#This Row],[Player]],TE!B:O,5,FALSE)</f>
        <v>29.057733604483207</v>
      </c>
      <c r="AW33" s="279">
        <f>VLOOKUP(TableTERanks3343[[#This Row],[Player]],TE!B:O,6,FALSE)</f>
        <v>331.83931776319821</v>
      </c>
      <c r="AX33" s="279">
        <f>VLOOKUP(TableTERanks3343[[#This Row],[Player]],TE!B:O,7,FALSE)</f>
        <v>2.8476578932393544</v>
      </c>
      <c r="AY33" s="272">
        <f>VLOOKUP(TableTERanks3343[[#This Row],[Player]],TE!B:O,11,FALSE)</f>
        <v>50.26987913575595</v>
      </c>
      <c r="AZ33" s="273">
        <f>IF(VLOOKUP(TableTERanks3343[[#This Row],[RK]],'Ranks w Proj'!AQ:AZ,10,FALSE)&lt;0,0,VLOOKUP(TableTERanks3343[[#This Row],[RK]],'Ranks w Proj'!AQ:AZ,10,FALSE))</f>
        <v>0</v>
      </c>
    </row>
    <row r="34" spans="1:52" x14ac:dyDescent="0.3">
      <c r="A34" s="22">
        <v>33</v>
      </c>
      <c r="B34" s="22" t="str">
        <f>VLOOKUP(TableQBRanks3040[[#This Row],[RK]],Rankings!A:Q,3,FALSE)</f>
        <v>Jacoby Brissett</v>
      </c>
      <c r="C34" s="22" t="str">
        <f>IFERROR(INDEX(TableQBCalcPts[TM],MATCH(TableQBRanks3040[[#This Row],[Player]],TableQBCalcPts[PLAYER],0)),"")</f>
        <v>CLE</v>
      </c>
      <c r="D34" s="22">
        <f>IFERROR(INDEX(TableQBCalcPts[BYE],MATCH(TableQBRanks3040[[#This Row],[RK]],TableQBCalcPts[RK],0)),"")</f>
        <v>9</v>
      </c>
      <c r="E34" s="279">
        <f>VLOOKUP(TableQBRanks3040[[#This Row],[Player]],QB!B:O,4,FALSE)</f>
        <v>276.77232000000004</v>
      </c>
      <c r="F34" s="279">
        <f>VLOOKUP(TableQBRanks3040[[#This Row],[Player]],QB!B:O,5,FALSE)</f>
        <v>173.81301696000003</v>
      </c>
      <c r="G34" s="279">
        <f>VLOOKUP(TableQBRanks3040[[#This Row],[Player]],QB!B:O,6,FALSE)</f>
        <v>1873.7043228288003</v>
      </c>
      <c r="H34" s="279">
        <f>VLOOKUP(TableQBRanks3040[[#This Row],[Player]],QB!B:O,7,FALSE)</f>
        <v>14.339573899200003</v>
      </c>
      <c r="I34" s="279">
        <f>VLOOKUP(TableQBRanks3040[[#This Row],[Player]],QB!B:O,8,FALSE)</f>
        <v>3.2976447285908996</v>
      </c>
      <c r="J34" s="279">
        <f>VLOOKUP(TableQBRanks3040[[#This Row],[Player]],QB!B:O,9,FALSE)</f>
        <v>13.357889761858702</v>
      </c>
      <c r="K34" s="279">
        <f>VLOOKUP(TableQBRanks3040[[#This Row],[Player]],QB!B:O,10,FALSE)</f>
        <v>53.707767100346274</v>
      </c>
      <c r="L34" s="279">
        <f>VLOOKUP(TableQBRanks3040[[#This Row],[Player]],QB!B:O,11,FALSE)</f>
        <v>0.59275342048080326</v>
      </c>
      <c r="M34" s="272">
        <f>VLOOKUP(TableQBRanks3040[[#This Row],[Player]],QB!B:O,13,FALSE)</f>
        <v>134.63847628568968</v>
      </c>
      <c r="N34" s="273">
        <f>IF(VLOOKUP(TableQBRanks3040[[#This Row],[RK]],'Ranks w Proj'!$A:$N,14,FALSE)&lt;0,0,VLOOKUP(TableQBRanks3040[[#This Row],[RK]],'Ranks w Proj'!$A:$N,14,FALSE))</f>
        <v>0</v>
      </c>
      <c r="P34" s="22">
        <v>33</v>
      </c>
      <c r="Q34" s="22" t="str">
        <f>VLOOKUP(TableRBRanks3141[[#This Row],[RK]],Rankings!A:Q,7,FALSE)</f>
        <v>Miles Sanders</v>
      </c>
      <c r="R34" s="22" t="str">
        <f>IFERROR(INDEX(TableRBCalcPts[TM],MATCH(TableRBRanks3141[[#This Row],[Player]],TableRBCalcPts[PLAYER],0)),"")</f>
        <v>PHI</v>
      </c>
      <c r="S34" s="22">
        <f>IFERROR(INDEX(TableRBCalcPts[BYE],MATCH(TableRBRanks3141[[#This Row],[RK]],TableRBCalcPts[RK],0)),"")</f>
        <v>7</v>
      </c>
      <c r="T34" s="279">
        <f>VLOOKUP(TableRBRanks3141[[#This Row],[Player]],RB!B:O,4,FALSE)</f>
        <v>172.90609589361964</v>
      </c>
      <c r="U34" s="279">
        <f>VLOOKUP(TableRBRanks3141[[#This Row],[Player]],RB!B:O,5,FALSE)</f>
        <v>858.41901799898108</v>
      </c>
      <c r="V34" s="279">
        <f>VLOOKUP(TableRBRanks3141[[#This Row],[Player]],RB!B:O,6,FALSE)</f>
        <v>3.4927031370511163</v>
      </c>
      <c r="W34" s="279">
        <f>VLOOKUP(TableRBRanks3141[[#This Row],[Player]],RB!B:O,7,FALSE)</f>
        <v>34.34376450627196</v>
      </c>
      <c r="X34" s="279">
        <f>VLOOKUP(TableRBRanks3141[[#This Row],[Player]],RB!B:O,8,FALSE)</f>
        <v>25.641054580382647</v>
      </c>
      <c r="Y34" s="279">
        <f>VLOOKUP(TableRBRanks3141[[#This Row],[Player]],RB!B:O,9,FALSE)</f>
        <v>174.61558169240581</v>
      </c>
      <c r="Z34" s="279">
        <f>VLOOKUP(TableRBRanks3141[[#This Row],[Player]],RB!B:O,10,FALSE)</f>
        <v>0.66666741908994875</v>
      </c>
      <c r="AA34" s="272">
        <f>VLOOKUP(TableRBRanks3141[[#This Row],[Player]],RB!B:O,14,FALSE)</f>
        <v>128.25968330598508</v>
      </c>
      <c r="AB34" s="273">
        <f>IF(VLOOKUP(TableRBRanks3141[[#This Row],[RK]],'Ranks w Proj'!$P:$AB,13,FALSE)&lt;0,0,VLOOKUP(TableRBRanks3141[[#This Row],[RK]],'Ranks w Proj'!$P:$AB,13,FALSE))</f>
        <v>13.648432229047781</v>
      </c>
      <c r="AD34" s="22">
        <v>33</v>
      </c>
      <c r="AE34" s="22" t="str">
        <f>VLOOKUP(TableWRRanks3242[[#This Row],[RK]],Rankings!A:Q,11,FALSE)</f>
        <v>DeAndre Hopkins</v>
      </c>
      <c r="AF34" s="22" t="str">
        <f>IFERROR(INDEX(TableWRCalcPts[TM],MATCH(TableWRRanks3242[[#This Row],[Player]],TableWRCalcPts[PLAYER],0)),"")</f>
        <v>ARI</v>
      </c>
      <c r="AG34" s="22">
        <f>IFERROR(INDEX(TableWRCalcPts[BYE],MATCH(TableWRRanks3242[[#This Row],[RK]],TableWRCalcPts[RK],0)),"")</f>
        <v>14</v>
      </c>
      <c r="AH34" s="279">
        <f>VLOOKUP(TableWRRanks3242[[#This Row],[Player]],WR!B:O,4,FALSE)</f>
        <v>0</v>
      </c>
      <c r="AI34" s="279">
        <f>VLOOKUP(TableWRRanks3242[[#This Row],[Player]],WR!B:O,5,FALSE)</f>
        <v>0</v>
      </c>
      <c r="AJ34" s="279">
        <f>VLOOKUP(TableWRRanks3242[[#This Row],[Player]],WR!B:O,6,FALSE)</f>
        <v>83.561013770000017</v>
      </c>
      <c r="AK34" s="279">
        <f>VLOOKUP(TableWRRanks3242[[#This Row],[Player]],WR!B:O,7,FALSE)</f>
        <v>56.955186985632011</v>
      </c>
      <c r="AL34" s="279">
        <f>VLOOKUP(TableWRRanks3242[[#This Row],[Player]],WR!B:O,8,FALSE)</f>
        <v>738.13922333379094</v>
      </c>
      <c r="AM34" s="279">
        <f>VLOOKUP(TableWRRanks3242[[#This Row],[Player]],WR!B:O,9,FALSE)</f>
        <v>4.6133701458361926</v>
      </c>
      <c r="AN34" s="272">
        <f>VLOOKUP(TableWRRanks3242[[#This Row],[Player]],WR!B:O,13,FALSE)</f>
        <v>101.49414320839625</v>
      </c>
      <c r="AO34" s="273">
        <f>IF(VLOOKUP(TableWRRanks3242[[#This Row],[RK]],'Ranks w Proj'!AD:AO,12,FALSE)&lt;0,0,VLOOKUP(TableWRRanks3242[[#This Row],[RK]],'Ranks w Proj'!AD:AO,12,FALSE))</f>
        <v>11.757672101787183</v>
      </c>
      <c r="AQ34" s="22">
        <v>33</v>
      </c>
      <c r="AR34" s="274" t="str">
        <f>VLOOKUP(TableTERanks3343[[#This Row],[RK]],Rankings!A:Q,15,FALSE)</f>
        <v>Ricky Seals-Jones</v>
      </c>
      <c r="AS34" s="22" t="str">
        <f>IFERROR(INDEX(TableTECalcPts[TM],MATCH(TableTERanks3343[[#This Row],[Player]],TableTECalcPts[PLAYER],0)),"")</f>
        <v>NYG</v>
      </c>
      <c r="AT34" s="22">
        <f>IFERROR(INDEX(TableTECalcPts[BYE],MATCH(TableTERanks3343[[#This Row],[RK]],TableTECalcPts[RK],0)),"")</f>
        <v>9</v>
      </c>
      <c r="AU34" s="279">
        <f>VLOOKUP(TableTERanks3343[[#This Row],[Player]],TE!B:O,4,FALSE)</f>
        <v>42.943211815198531</v>
      </c>
      <c r="AV34" s="279">
        <f>VLOOKUP(TableTERanks3343[[#This Row],[Player]],TE!B:O,5,FALSE)</f>
        <v>26.826624420954523</v>
      </c>
      <c r="AW34" s="279">
        <f>VLOOKUP(TableTERanks3343[[#This Row],[Player]],TE!B:O,6,FALSE)</f>
        <v>295.89766736312839</v>
      </c>
      <c r="AX34" s="279">
        <f>VLOOKUP(TableTERanks3343[[#This Row],[Player]],TE!B:O,7,FALSE)</f>
        <v>2.2802630757811349</v>
      </c>
      <c r="AY34" s="272">
        <f>VLOOKUP(TableTERanks3343[[#This Row],[Player]],TE!B:O,11,FALSE)</f>
        <v>43.271345190999646</v>
      </c>
      <c r="AZ34" s="273">
        <f>IF(VLOOKUP(TableTERanks3343[[#This Row],[RK]],'Ranks w Proj'!AQ:AZ,10,FALSE)&lt;0,0,VLOOKUP(TableTERanks3343[[#This Row],[RK]],'Ranks w Proj'!AQ:AZ,10,FALSE))</f>
        <v>0</v>
      </c>
    </row>
    <row r="35" spans="1:52" x14ac:dyDescent="0.3">
      <c r="A35" s="22">
        <v>34</v>
      </c>
      <c r="B35" s="22" t="str">
        <f>VLOOKUP(TableQBRanks3040[[#This Row],[RK]],Rankings!A:Q,3,FALSE)</f>
        <v>Desmond Ridder</v>
      </c>
      <c r="C35" s="22" t="str">
        <f>IFERROR(INDEX(TableQBCalcPts[TM],MATCH(TableQBRanks3040[[#This Row],[Player]],TableQBCalcPts[PLAYER],0)),"")</f>
        <v>ATL</v>
      </c>
      <c r="D35" s="22">
        <f>IFERROR(INDEX(TableQBCalcPts[BYE],MATCH(TableQBRanks3040[[#This Row],[RK]],TableQBCalcPts[RK],0)),"")</f>
        <v>11</v>
      </c>
      <c r="E35" s="279">
        <f>VLOOKUP(TableQBRanks3040[[#This Row],[Player]],QB!B:O,4,FALSE)</f>
        <v>194.17149000000003</v>
      </c>
      <c r="F35" s="279">
        <f>VLOOKUP(TableQBRanks3040[[#This Row],[Player]],QB!B:O,5,FALSE)</f>
        <v>117.12286686057021</v>
      </c>
      <c r="G35" s="279">
        <f>VLOOKUP(TableQBRanks3040[[#This Row],[Player]],QB!B:O,6,FALSE)</f>
        <v>1323.4883955244434</v>
      </c>
      <c r="H35" s="279">
        <f>VLOOKUP(TableQBRanks3040[[#This Row],[Player]],QB!B:O,7,FALSE)</f>
        <v>7.0111129962407857</v>
      </c>
      <c r="I35" s="279">
        <f>VLOOKUP(TableQBRanks3040[[#This Row],[Player]],QB!B:O,8,FALSE)</f>
        <v>2.9081830254177503</v>
      </c>
      <c r="J35" s="279">
        <f>VLOOKUP(TableQBRanks3040[[#This Row],[Player]],QB!B:O,9,FALSE)</f>
        <v>17.640769971000349</v>
      </c>
      <c r="K35" s="279">
        <f>VLOOKUP(TableQBRanks3040[[#This Row],[Player]],QB!B:O,10,FALSE)</f>
        <v>82.55534517571256</v>
      </c>
      <c r="L35" s="279">
        <f>VLOOKUP(TableQBRanks3040[[#This Row],[Player]],QB!B:O,11,FALSE)</f>
        <v>0.65767453134186415</v>
      </c>
      <c r="M35" s="272">
        <f>VLOOKUP(TableQBRanks3040[[#This Row],[Player]],QB!B:O,13,FALSE)</f>
        <v>87.369203460727817</v>
      </c>
      <c r="N35" s="273">
        <f>IF(VLOOKUP(TableQBRanks3040[[#This Row],[RK]],'Ranks w Proj'!$A:$N,14,FALSE)&lt;0,0,VLOOKUP(TableQBRanks3040[[#This Row],[RK]],'Ranks w Proj'!$A:$N,14,FALSE))</f>
        <v>0</v>
      </c>
      <c r="P35" s="22">
        <v>34</v>
      </c>
      <c r="Q35" s="22" t="str">
        <f>VLOOKUP(TableRBRanks3141[[#This Row],[RK]],Rankings!A:Q,7,FALSE)</f>
        <v>Melvin Gordon</v>
      </c>
      <c r="R35" s="22" t="str">
        <f>IFERROR(INDEX(TableRBCalcPts[TM],MATCH(TableRBRanks3141[[#This Row],[Player]],TableRBCalcPts[PLAYER],0)),"")</f>
        <v>DEN</v>
      </c>
      <c r="S35" s="22">
        <f>IFERROR(INDEX(TableRBCalcPts[BYE],MATCH(TableRBRanks3141[[#This Row],[RK]],TableRBCalcPts[RK],0)),"")</f>
        <v>11</v>
      </c>
      <c r="T35" s="279">
        <f>VLOOKUP(TableRBRanks3141[[#This Row],[Player]],RB!B:O,4,FALSE)</f>
        <v>156.70926103164786</v>
      </c>
      <c r="U35" s="279">
        <f>VLOOKUP(TableRBRanks3141[[#This Row],[Player]],RB!B:O,5,FALSE)</f>
        <v>699.74798185772386</v>
      </c>
      <c r="V35" s="279">
        <f>VLOOKUP(TableRBRanks3141[[#This Row],[Player]],RB!B:O,6,FALSE)</f>
        <v>6.1804935184044512</v>
      </c>
      <c r="W35" s="279">
        <f>VLOOKUP(TableRBRanks3141[[#This Row],[Player]],RB!B:O,7,FALSE)</f>
        <v>33.998839433115798</v>
      </c>
      <c r="X35" s="279">
        <f>VLOOKUP(TableRBRanks3141[[#This Row],[Player]],RB!B:O,8,FALSE)</f>
        <v>24.592360527838341</v>
      </c>
      <c r="Y35" s="279">
        <f>VLOOKUP(TableRBRanks3141[[#This Row],[Player]],RB!B:O,9,FALSE)</f>
        <v>167.01049901556337</v>
      </c>
      <c r="Z35" s="279">
        <f>VLOOKUP(TableRBRanks3141[[#This Row],[Player]],RB!B:O,10,FALSE)</f>
        <v>1.111362063116615</v>
      </c>
      <c r="AA35" s="272">
        <f>VLOOKUP(TableRBRanks3141[[#This Row],[Player]],RB!B:O,14,FALSE)</f>
        <v>130.42698157645512</v>
      </c>
      <c r="AB35" s="273">
        <f>IF(VLOOKUP(TableRBRanks3141[[#This Row],[RK]],'Ranks w Proj'!$P:$AB,13,FALSE)&lt;0,0,VLOOKUP(TableRBRanks3141[[#This Row],[RK]],'Ranks w Proj'!$P:$AB,13,FALSE))</f>
        <v>11.490191460082608</v>
      </c>
      <c r="AD35" s="22">
        <v>34</v>
      </c>
      <c r="AE35" s="274" t="str">
        <f>VLOOKUP(TableWRRanks3242[[#This Row],[RK]],Rankings!A:Q,11,FALSE)</f>
        <v>Robert Woods</v>
      </c>
      <c r="AF35" s="22" t="str">
        <f>IFERROR(INDEX(TableWRCalcPts[TM],MATCH(TableWRRanks3242[[#This Row],[Player]],TableWRCalcPts[PLAYER],0)),"")</f>
        <v>TEN</v>
      </c>
      <c r="AG35" s="22">
        <f>IFERROR(INDEX(TableWRCalcPts[BYE],MATCH(TableWRRanks3242[[#This Row],[RK]],TableWRCalcPts[RK],0)),"")</f>
        <v>11</v>
      </c>
      <c r="AH35" s="279">
        <f>VLOOKUP(TableWRRanks3242[[#This Row],[Player]],WR!B:O,4,FALSE)</f>
        <v>81.80833079993856</v>
      </c>
      <c r="AI35" s="279">
        <f>VLOOKUP(TableWRRanks3242[[#This Row],[Player]],WR!B:O,5,FALSE)</f>
        <v>0.57498826805970749</v>
      </c>
      <c r="AJ35" s="279">
        <f>VLOOKUP(TableWRRanks3242[[#This Row],[Player]],WR!B:O,6,FALSE)</f>
        <v>105.43963497741098</v>
      </c>
      <c r="AK35" s="279">
        <f>VLOOKUP(TableWRRanks3242[[#This Row],[Player]],WR!B:O,7,FALSE)</f>
        <v>72.584892944449663</v>
      </c>
      <c r="AL35" s="279">
        <f>VLOOKUP(TableWRRanks3242[[#This Row],[Player]],WR!B:O,8,FALSE)</f>
        <v>826.48313472293728</v>
      </c>
      <c r="AM35" s="279">
        <f>VLOOKUP(TableWRRanks3242[[#This Row],[Player]],WR!B:O,9,FALSE)</f>
        <v>4.4924392790375558</v>
      </c>
      <c r="AN35" s="272">
        <f>VLOOKUP(TableWRRanks3242[[#This Row],[Player]],WR!B:O,13,FALSE)</f>
        <v>121.23371183487117</v>
      </c>
      <c r="AO35" s="273">
        <f>IF(VLOOKUP(TableWRRanks3242[[#This Row],[RK]],'Ranks w Proj'!AD:AO,12,FALSE)&lt;0,0,VLOOKUP(TableWRRanks3242[[#This Row],[RK]],'Ranks w Proj'!AD:AO,12,FALSE))</f>
        <v>11.158024370938005</v>
      </c>
      <c r="AQ35" s="22">
        <v>34</v>
      </c>
      <c r="AR35" s="274" t="str">
        <f>VLOOKUP(TableTERanks3343[[#This Row],[RK]],Rankings!A:Q,15,FALSE)</f>
        <v>Jonnu Smith</v>
      </c>
      <c r="AS35" s="22" t="str">
        <f>IFERROR(INDEX(TableTECalcPts[TM],MATCH(TableTERanks3343[[#This Row],[Player]],TableTECalcPts[PLAYER],0)),"")</f>
        <v>NE</v>
      </c>
      <c r="AT35" s="22">
        <f>IFERROR(INDEX(TableTECalcPts[BYE],MATCH(TableTERanks3343[[#This Row],[RK]],TableTECalcPts[RK],0)),"")</f>
        <v>10</v>
      </c>
      <c r="AU35" s="279">
        <f>VLOOKUP(TableTERanks3343[[#This Row],[Player]],TE!B:O,4,FALSE)</f>
        <v>41.885031986195834</v>
      </c>
      <c r="AV35" s="279">
        <f>VLOOKUP(TableTERanks3343[[#This Row],[Player]],TE!B:O,5,FALSE)</f>
        <v>27.275532829410729</v>
      </c>
      <c r="AW35" s="279">
        <f>VLOOKUP(TableTERanks3343[[#This Row],[Player]],TE!B:O,6,FALSE)</f>
        <v>303.57668039134143</v>
      </c>
      <c r="AX35" s="279">
        <f>VLOOKUP(TableTERanks3343[[#This Row],[Player]],TE!B:O,7,FALSE)</f>
        <v>1.8547362323999297</v>
      </c>
      <c r="AY35" s="272">
        <f>VLOOKUP(TableTERanks3343[[#This Row],[Player]],TE!B:O,11,FALSE)</f>
        <v>41.486085433533724</v>
      </c>
      <c r="AZ35" s="273">
        <f>IF(VLOOKUP(TableTERanks3343[[#This Row],[RK]],'Ranks w Proj'!AQ:AZ,10,FALSE)&lt;0,0,VLOOKUP(TableTERanks3343[[#This Row],[RK]],'Ranks w Proj'!AQ:AZ,10,FALSE))</f>
        <v>0</v>
      </c>
    </row>
    <row r="36" spans="1:52" x14ac:dyDescent="0.3">
      <c r="A36" s="22">
        <v>35</v>
      </c>
      <c r="B36" s="22" t="str">
        <f>VLOOKUP(TableQBRanks3040[[#This Row],[RK]],Rankings!A:Q,3,FALSE)</f>
        <v>Geno Smith</v>
      </c>
      <c r="C36" s="22" t="str">
        <f>IFERROR(INDEX(TableQBCalcPts[TM],MATCH(TableQBRanks3040[[#This Row],[Player]],TableQBCalcPts[PLAYER],0)),"")</f>
        <v>SEA</v>
      </c>
      <c r="D36" s="22">
        <f>IFERROR(INDEX(TableQBCalcPts[BYE],MATCH(TableQBRanks3040[[#This Row],[RK]],TableQBCalcPts[RK],0)),"")</f>
        <v>14</v>
      </c>
      <c r="E36" s="279">
        <f>VLOOKUP(TableQBRanks3040[[#This Row],[Player]],QB!B:O,4,FALSE)</f>
        <v>232.70561599999996</v>
      </c>
      <c r="F36" s="279">
        <f>VLOOKUP(TableQBRanks3040[[#This Row],[Player]],QB!B:O,5,FALSE)</f>
        <v>150.76678049807032</v>
      </c>
      <c r="G36" s="279">
        <f>VLOOKUP(TableQBRanks3040[[#This Row],[Player]],QB!B:O,6,FALSE)</f>
        <v>1672.0035957235998</v>
      </c>
      <c r="H36" s="279">
        <f>VLOOKUP(TableQBRanks3040[[#This Row],[Player]],QB!B:O,7,FALSE)</f>
        <v>8.6633661477744344</v>
      </c>
      <c r="I36" s="279">
        <f>VLOOKUP(TableQBRanks3040[[#This Row],[Player]],QB!B:O,8,FALSE)</f>
        <v>3.1370041471525831</v>
      </c>
      <c r="J36" s="279">
        <f>VLOOKUP(TableQBRanks3040[[#This Row],[Player]],QB!B:O,9,FALSE)</f>
        <v>15.378041080599093</v>
      </c>
      <c r="K36" s="279">
        <f>VLOOKUP(TableQBRanks3040[[#This Row],[Player]],QB!B:O,10,FALSE)</f>
        <v>61.064923192057371</v>
      </c>
      <c r="L36" s="279">
        <f>VLOOKUP(TableQBRanks3040[[#This Row],[Player]],QB!B:O,11,FALSE)</f>
        <v>0.90730442375534648</v>
      </c>
      <c r="M36" s="272">
        <f>VLOOKUP(TableQBRanks3040[[#This Row],[Player]],QB!B:O,13,FALSE)</f>
        <v>106.80991898747439</v>
      </c>
      <c r="N36" s="273">
        <f>IF(VLOOKUP(TableQBRanks3040[[#This Row],[RK]],'Ranks w Proj'!$A:$N,14,FALSE)&lt;0,0,VLOOKUP(TableQBRanks3040[[#This Row],[RK]],'Ranks w Proj'!$A:$N,14,FALSE))</f>
        <v>0</v>
      </c>
      <c r="P36" s="22">
        <v>35</v>
      </c>
      <c r="Q36" s="22" t="str">
        <f>VLOOKUP(TableRBRanks3141[[#This Row],[RK]],Rankings!A:Q,7,FALSE)</f>
        <v>Rashaad Penny</v>
      </c>
      <c r="R36" s="22" t="str">
        <f>IFERROR(INDEX(TableRBCalcPts[TM],MATCH(TableRBRanks3141[[#This Row],[Player]],TableRBCalcPts[PLAYER],0)),"")</f>
        <v>SEA</v>
      </c>
      <c r="S36" s="22">
        <f>IFERROR(INDEX(TableRBCalcPts[BYE],MATCH(TableRBRanks3141[[#This Row],[RK]],TableRBCalcPts[RK],0)),"")</f>
        <v>9</v>
      </c>
      <c r="T36" s="279">
        <f>VLOOKUP(TableRBRanks3141[[#This Row],[Player]],RB!B:O,4,FALSE)</f>
        <v>135.7269802474585</v>
      </c>
      <c r="U36" s="279">
        <f>VLOOKUP(TableRBRanks3141[[#This Row],[Player]],RB!B:O,5,FALSE)</f>
        <v>652.84677499027532</v>
      </c>
      <c r="V36" s="279">
        <f>VLOOKUP(TableRBRanks3141[[#This Row],[Player]],RB!B:O,6,FALSE)</f>
        <v>5.2911679040614379</v>
      </c>
      <c r="W36" s="279">
        <f>VLOOKUP(TableRBRanks3141[[#This Row],[Player]],RB!B:O,7,FALSE)</f>
        <v>39.570281629442256</v>
      </c>
      <c r="X36" s="279">
        <f>VLOOKUP(TableRBRanks3141[[#This Row],[Player]],RB!B:O,8,FALSE)</f>
        <v>29.428418447816206</v>
      </c>
      <c r="Y36" s="279">
        <f>VLOOKUP(TableRBRanks3141[[#This Row],[Player]],RB!B:O,9,FALSE)</f>
        <v>204.34758155676522</v>
      </c>
      <c r="Z36" s="279">
        <f>VLOOKUP(TableRBRanks3141[[#This Row],[Player]],RB!B:O,10,FALSE)</f>
        <v>1.0888514825691995</v>
      </c>
      <c r="AA36" s="272">
        <f>VLOOKUP(TableRBRanks3141[[#This Row],[Player]],RB!B:O,14,FALSE)</f>
        <v>123.99955197448789</v>
      </c>
      <c r="AB36" s="273">
        <f>IF(VLOOKUP(TableRBRanks3141[[#This Row],[RK]],'Ranks w Proj'!$P:$AB,13,FALSE)&lt;0,0,VLOOKUP(TableRBRanks3141[[#This Row],[RK]],'Ranks w Proj'!$P:$AB,13,FALSE))</f>
        <v>11.249163228355876</v>
      </c>
      <c r="AD36" s="274">
        <v>35</v>
      </c>
      <c r="AE36" s="22" t="str">
        <f>VLOOKUP(TableWRRanks3242[[#This Row],[RK]],Rankings!A:Q,11,FALSE)</f>
        <v>DeVonta Smith</v>
      </c>
      <c r="AF36" s="22" t="str">
        <f>IFERROR(INDEX(TableWRCalcPts[TM],MATCH(TableWRRanks3242[[#This Row],[Player]],TableWRCalcPts[PLAYER],0)),"")</f>
        <v>PHI</v>
      </c>
      <c r="AG36" s="22">
        <f>IFERROR(INDEX(TableWRCalcPts[BYE],MATCH(TableWRRanks3242[[#This Row],[RK]],TableWRCalcPts[RK],0)),"")</f>
        <v>6</v>
      </c>
      <c r="AH36" s="279">
        <f>VLOOKUP(TableWRRanks3242[[#This Row],[Player]],WR!B:O,4,FALSE)</f>
        <v>0</v>
      </c>
      <c r="AI36" s="279">
        <f>VLOOKUP(TableWRRanks3242[[#This Row],[Player]],WR!B:O,5,FALSE)</f>
        <v>0</v>
      </c>
      <c r="AJ36" s="279">
        <f>VLOOKUP(TableWRRanks3242[[#This Row],[Player]],WR!B:O,6,FALSE)</f>
        <v>116.2867815738682</v>
      </c>
      <c r="AK36" s="279">
        <f>VLOOKUP(TableWRRanks3242[[#This Row],[Player]],WR!B:O,7,FALSE)</f>
        <v>69.795326300635693</v>
      </c>
      <c r="AL36" s="279">
        <f>VLOOKUP(TableWRRanks3242[[#This Row],[Player]],WR!B:O,8,FALSE)</f>
        <v>995.28135304706495</v>
      </c>
      <c r="AM36" s="279">
        <f>VLOOKUP(TableWRRanks3242[[#This Row],[Player]],WR!B:O,9,FALSE)</f>
        <v>7.0493279563642055</v>
      </c>
      <c r="AN36" s="272">
        <f>VLOOKUP(TableWRRanks3242[[#This Row],[Player]],WR!B:O,13,FALSE)</f>
        <v>141.82410304289172</v>
      </c>
      <c r="AO36" s="273">
        <f>IF(VLOOKUP(TableWRRanks3242[[#This Row],[RK]],'Ranks w Proj'!AD:AO,12,FALSE)&lt;0,0,VLOOKUP(TableWRRanks3242[[#This Row],[RK]],'Ranks w Proj'!AD:AO,12,FALSE))</f>
        <v>11.108642745795205</v>
      </c>
      <c r="AQ36" s="274">
        <v>35</v>
      </c>
      <c r="AR36" s="274" t="str">
        <f>VLOOKUP(TableTERanks3343[[#This Row],[RK]],Rankings!A:Q,15,FALSE)</f>
        <v>Geoff Swaim</v>
      </c>
      <c r="AS36" s="22" t="str">
        <f>IFERROR(INDEX(TableTECalcPts[TM],MATCH(TableTERanks3343[[#This Row],[Player]],TableTECalcPts[PLAYER],0)),"")</f>
        <v>TEN</v>
      </c>
      <c r="AT36" s="22">
        <f>IFERROR(INDEX(TableTECalcPts[BYE],MATCH(TableTERanks3343[[#This Row],[RK]],TableTECalcPts[RK],0)),"")</f>
        <v>11</v>
      </c>
      <c r="AU36" s="279">
        <f>VLOOKUP(TableTERanks3343[[#This Row],[Player]],TE!B:O,4,FALSE)</f>
        <v>43.059117948890346</v>
      </c>
      <c r="AV36" s="279">
        <f>VLOOKUP(TableTERanks3343[[#This Row],[Player]],TE!B:O,5,FALSE)</f>
        <v>29.021845497552096</v>
      </c>
      <c r="AW36" s="279">
        <f>VLOOKUP(TableTERanks3343[[#This Row],[Player]],TE!B:O,6,FALSE)</f>
        <v>233.81900049940919</v>
      </c>
      <c r="AX36" s="279">
        <f>VLOOKUP(TableTERanks3343[[#This Row],[Player]],TE!B:O,7,FALSE)</f>
        <v>2.4668568672919284</v>
      </c>
      <c r="AY36" s="272">
        <f>VLOOKUP(TableTERanks3343[[#This Row],[Player]],TE!B:O,11,FALSE)</f>
        <v>38.183041253692494</v>
      </c>
      <c r="AZ36" s="273">
        <f>IF(VLOOKUP(TableTERanks3343[[#This Row],[RK]],'Ranks w Proj'!AQ:AZ,10,FALSE)&lt;0,0,VLOOKUP(TableTERanks3343[[#This Row],[RK]],'Ranks w Proj'!AQ:AZ,10,FALSE))</f>
        <v>0</v>
      </c>
    </row>
    <row r="37" spans="1:52" x14ac:dyDescent="0.3">
      <c r="A37" s="22">
        <v>36</v>
      </c>
      <c r="B37" s="22" t="str">
        <f>VLOOKUP(TableQBRanks3040[[#This Row],[RK]],Rankings!A:Q,3,FALSE)</f>
        <v>Mitchell Trubisky</v>
      </c>
      <c r="C37" s="22" t="str">
        <f>IFERROR(INDEX(TableQBCalcPts[TM],MATCH(TableQBRanks3040[[#This Row],[Player]],TableQBCalcPts[PLAYER],0)),"")</f>
        <v>PIT</v>
      </c>
      <c r="D37" s="22">
        <f>IFERROR(INDEX(TableQBCalcPts[BYE],MATCH(TableQBRanks3040[[#This Row],[RK]],TableQBCalcPts[RK],0)),"")</f>
        <v>13</v>
      </c>
      <c r="E37" s="279">
        <f>VLOOKUP(TableQBRanks3040[[#This Row],[Player]],QB!B:O,4,FALSE)</f>
        <v>118.76412239999999</v>
      </c>
      <c r="F37" s="279">
        <f>VLOOKUP(TableQBRanks3040[[#This Row],[Player]],QB!B:O,5,FALSE)</f>
        <v>75.890274213599994</v>
      </c>
      <c r="G37" s="279">
        <f>VLOOKUP(TableQBRanks3040[[#This Row],[Player]],QB!B:O,6,FALSE)</f>
        <v>766.49176955735993</v>
      </c>
      <c r="H37" s="279">
        <f>VLOOKUP(TableQBRanks3040[[#This Row],[Player]],QB!B:O,7,FALSE)</f>
        <v>4.3257456301751995</v>
      </c>
      <c r="I37" s="279">
        <f>VLOOKUP(TableQBRanks3040[[#This Row],[Player]],QB!B:O,8,FALSE)</f>
        <v>1.3657874075999998</v>
      </c>
      <c r="J37" s="279">
        <f>VLOOKUP(TableQBRanks3040[[#This Row],[Player]],QB!B:O,9,FALSE)</f>
        <v>16.726711385027528</v>
      </c>
      <c r="K37" s="279">
        <f>VLOOKUP(TableQBRanks3040[[#This Row],[Player]],QB!B:O,10,FALSE)</f>
        <v>59.923489845585884</v>
      </c>
      <c r="L37" s="279">
        <f>VLOOKUP(TableQBRanks3040[[#This Row],[Player]],QB!B:O,11,FALSE)</f>
        <v>0.53525476432088093</v>
      </c>
      <c r="M37" s="272">
        <f>VLOOKUP(TableQBRanks3040[[#This Row],[Player]],QB!B:O,13,FALSE)</f>
        <v>54.43495605827907</v>
      </c>
      <c r="N37" s="273">
        <f>IF(VLOOKUP(TableQBRanks3040[[#This Row],[RK]],'Ranks w Proj'!$A:$N,14,FALSE)&lt;0,0,VLOOKUP(TableQBRanks3040[[#This Row],[RK]],'Ranks w Proj'!$A:$N,14,FALSE))</f>
        <v>0</v>
      </c>
      <c r="P37" s="22">
        <v>36</v>
      </c>
      <c r="Q37" s="22" t="str">
        <f>VLOOKUP(TableRBRanks3141[[#This Row],[RK]],Rankings!A:Q,7,FALSE)</f>
        <v>Cordarrelle Patterson</v>
      </c>
      <c r="R37" s="22" t="str">
        <f>IFERROR(INDEX(TableRBCalcPts[TM],MATCH(TableRBRanks3141[[#This Row],[Player]],TableRBCalcPts[PLAYER],0)),"")</f>
        <v>ATL</v>
      </c>
      <c r="S37" s="22">
        <f>IFERROR(INDEX(TableRBCalcPts[BYE],MATCH(TableRBRanks3141[[#This Row],[RK]],TableRBCalcPts[RK],0)),"")</f>
        <v>11</v>
      </c>
      <c r="T37" s="279">
        <f>VLOOKUP(TableRBRanks3141[[#This Row],[Player]],RB!B:O,4,FALSE)</f>
        <v>114.20472199534274</v>
      </c>
      <c r="U37" s="279">
        <f>VLOOKUP(TableRBRanks3141[[#This Row],[Player]],RB!B:O,5,FALSE)</f>
        <v>446.11019177669237</v>
      </c>
      <c r="V37" s="279">
        <f>VLOOKUP(TableRBRanks3141[[#This Row],[Player]],RB!B:O,6,FALSE)</f>
        <v>4.0660862757981384</v>
      </c>
      <c r="W37" s="279">
        <f>VLOOKUP(TableRBRanks3141[[#This Row],[Player]],RB!B:O,7,FALSE)</f>
        <v>67.338550612674524</v>
      </c>
      <c r="X37" s="279">
        <f>VLOOKUP(TableRBRanks3141[[#This Row],[Player]],RB!B:O,8,FALSE)</f>
        <v>50.867541132814331</v>
      </c>
      <c r="Y37" s="279">
        <f>VLOOKUP(TableRBRanks3141[[#This Row],[Player]],RB!B:O,9,FALSE)</f>
        <v>473.98077882062245</v>
      </c>
      <c r="Z37" s="279">
        <f>VLOOKUP(TableRBRanks3141[[#This Row],[Player]],RB!B:O,10,FALSE)</f>
        <v>3.2675368181686331</v>
      </c>
      <c r="AA37" s="272">
        <f>VLOOKUP(TableRBRanks3141[[#This Row],[Player]],RB!B:O,14,FALSE)</f>
        <v>136.0108356235321</v>
      </c>
      <c r="AB37" s="273">
        <f>IF(VLOOKUP(TableRBRanks3141[[#This Row],[RK]],'Ranks w Proj'!$P:$AB,13,FALSE)&lt;0,0,VLOOKUP(TableRBRanks3141[[#This Row],[RK]],'Ranks w Proj'!$P:$AB,13,FALSE))</f>
        <v>8.051686994405447</v>
      </c>
      <c r="AD37" s="22">
        <v>36</v>
      </c>
      <c r="AE37" s="274" t="str">
        <f>VLOOKUP(TableWRRanks3242[[#This Row],[RK]],Rankings!A:Q,11,FALSE)</f>
        <v>Tyler Lockett</v>
      </c>
      <c r="AF37" s="22" t="str">
        <f>IFERROR(INDEX(TableWRCalcPts[TM],MATCH(TableWRRanks3242[[#This Row],[Player]],TableWRCalcPts[PLAYER],0)),"")</f>
        <v>SEA</v>
      </c>
      <c r="AG37" s="22">
        <f>IFERROR(INDEX(TableWRCalcPts[BYE],MATCH(TableWRRanks3242[[#This Row],[RK]],TableWRCalcPts[RK],0)),"")</f>
        <v>6</v>
      </c>
      <c r="AH37" s="279">
        <f>VLOOKUP(TableWRRanks3242[[#This Row],[Player]],WR!B:O,4,FALSE)</f>
        <v>6.5535333416564399</v>
      </c>
      <c r="AI37" s="279">
        <f>VLOOKUP(TableWRRanks3242[[#This Row],[Player]],WR!B:O,5,FALSE)</f>
        <v>0</v>
      </c>
      <c r="AJ37" s="279">
        <f>VLOOKUP(TableWRRanks3242[[#This Row],[Player]],WR!B:O,6,FALSE)</f>
        <v>123.28217373724937</v>
      </c>
      <c r="AK37" s="279">
        <f>VLOOKUP(TableWRRanks3242[[#This Row],[Player]],WR!B:O,7,FALSE)</f>
        <v>80.996388145372833</v>
      </c>
      <c r="AL37" s="279">
        <f>VLOOKUP(TableWRRanks3242[[#This Row],[Player]],WR!B:O,8,FALSE)</f>
        <v>1047.2832987196707</v>
      </c>
      <c r="AM37" s="279">
        <f>VLOOKUP(TableWRRanks3242[[#This Row],[Player]],WR!B:O,9,FALSE)</f>
        <v>5.0780803335474474</v>
      </c>
      <c r="AN37" s="272">
        <f>VLOOKUP(TableWRRanks3242[[#This Row],[Player]],WR!B:O,13,FALSE)</f>
        <v>135.85216520741739</v>
      </c>
      <c r="AO37" s="273">
        <f>IF(VLOOKUP(TableWRRanks3242[[#This Row],[RK]],'Ranks w Proj'!AD:AO,12,FALSE)&lt;0,0,VLOOKUP(TableWRRanks3242[[#This Row],[RK]],'Ranks w Proj'!AD:AO,12,FALSE))</f>
        <v>11.092585323047938</v>
      </c>
      <c r="AQ37" s="22">
        <v>36</v>
      </c>
      <c r="AR37" s="274" t="str">
        <f>VLOOKUP(TableTERanks3343[[#This Row],[RK]],Rankings!A:Q,15,FALSE)</f>
        <v>Cade Otton</v>
      </c>
      <c r="AS37" s="22" t="str">
        <f>IFERROR(INDEX(TableTECalcPts[TM],MATCH(TableTERanks3343[[#This Row],[Player]],TableTECalcPts[PLAYER],0)),"")</f>
        <v>TB</v>
      </c>
      <c r="AT37" s="22">
        <f>IFERROR(INDEX(TableTECalcPts[BYE],MATCH(TableTERanks3343[[#This Row],[RK]],TableTECalcPts[RK],0)),"")</f>
        <v>6</v>
      </c>
      <c r="AU37" s="279">
        <f>VLOOKUP(TableTERanks3343[[#This Row],[Player]],TE!B:O,4,FALSE)</f>
        <v>37.491694053616513</v>
      </c>
      <c r="AV37" s="279">
        <f>VLOOKUP(TableTERanks3343[[#This Row],[Player]],TE!B:O,5,FALSE)</f>
        <v>23.394817089456705</v>
      </c>
      <c r="AW37" s="279">
        <f>VLOOKUP(TableTERanks3343[[#This Row],[Player]],TE!B:O,6,FALSE)</f>
        <v>252.43346447786581</v>
      </c>
      <c r="AX37" s="279">
        <f>VLOOKUP(TableTERanks3343[[#This Row],[Player]],TE!B:O,7,FALSE)</f>
        <v>2.2225076234983869</v>
      </c>
      <c r="AY37" s="272">
        <f>VLOOKUP(TableTERanks3343[[#This Row],[Player]],TE!B:O,11,FALSE)</f>
        <v>38.578392188776903</v>
      </c>
      <c r="AZ37" s="273">
        <f>IF(VLOOKUP(TableTERanks3343[[#This Row],[RK]],'Ranks w Proj'!AQ:AZ,10,FALSE)&lt;0,0,VLOOKUP(TableTERanks3343[[#This Row],[RK]],'Ranks w Proj'!AQ:AZ,10,FALSE))</f>
        <v>0</v>
      </c>
    </row>
    <row r="38" spans="1:52" x14ac:dyDescent="0.3">
      <c r="A38" s="22">
        <v>37</v>
      </c>
      <c r="B38" s="22" t="str">
        <f>VLOOKUP(TableQBRanks3040[[#This Row],[RK]],Rankings!A:Q,3,FALSE)</f>
        <v>Matt Corral</v>
      </c>
      <c r="C38" s="22" t="str">
        <f>IFERROR(INDEX(TableQBCalcPts[TM],MATCH(TableQBRanks3040[[#This Row],[Player]],TableQBCalcPts[PLAYER],0)),"")</f>
        <v>CAR</v>
      </c>
      <c r="D38" s="22">
        <f>IFERROR(INDEX(TableQBCalcPts[BYE],MATCH(TableQBRanks3040[[#This Row],[RK]],TableQBCalcPts[RK],0)),"")</f>
        <v>9</v>
      </c>
      <c r="E38" s="279">
        <f>VLOOKUP(TableQBRanks3040[[#This Row],[Player]],QB!B:O,4,FALSE)</f>
        <v>187.30111649999998</v>
      </c>
      <c r="F38" s="279">
        <f>VLOOKUP(TableQBRanks3040[[#This Row],[Player]],QB!B:O,5,FALSE)</f>
        <v>115.75208999699998</v>
      </c>
      <c r="G38" s="279">
        <f>VLOOKUP(TableQBRanks3040[[#This Row],[Player]],QB!B:O,6,FALSE)</f>
        <v>1222.5798242202841</v>
      </c>
      <c r="H38" s="279">
        <f>VLOOKUP(TableQBRanks3040[[#This Row],[Player]],QB!B:O,7,FALSE)</f>
        <v>6.17211809198397</v>
      </c>
      <c r="I38" s="279">
        <f>VLOOKUP(TableQBRanks3040[[#This Row],[Player]],QB!B:O,8,FALSE)</f>
        <v>3.083215315079495</v>
      </c>
      <c r="J38" s="279">
        <f>VLOOKUP(TableQBRanks3040[[#This Row],[Player]],QB!B:O,9,FALSE)</f>
        <v>12.204496060476657</v>
      </c>
      <c r="K38" s="279">
        <f>VLOOKUP(TableQBRanks3040[[#This Row],[Player]],QB!B:O,10,FALSE)</f>
        <v>54.554097390330654</v>
      </c>
      <c r="L38" s="279">
        <f>VLOOKUP(TableQBRanks3040[[#This Row],[Player]],QB!B:O,11,FALSE)</f>
        <v>0.52019163536457891</v>
      </c>
      <c r="M38" s="272">
        <f>VLOOKUP(TableQBRanks3040[[#This Row],[Player]],QB!B:O,13,FALSE)</f>
        <v>76.001794257808797</v>
      </c>
      <c r="N38" s="273">
        <f>IF(VLOOKUP(TableQBRanks3040[[#This Row],[RK]],'Ranks w Proj'!$A:$N,14,FALSE)&lt;0,0,VLOOKUP(TableQBRanks3040[[#This Row],[RK]],'Ranks w Proj'!$A:$N,14,FALSE))</f>
        <v>0</v>
      </c>
      <c r="P38" s="22">
        <v>37</v>
      </c>
      <c r="Q38" s="22" t="str">
        <f>VLOOKUP(TableRBRanks3141[[#This Row],[RK]],Rankings!A:Q,7,FALSE)</f>
        <v>Nyheim Hines</v>
      </c>
      <c r="R38" s="22" t="str">
        <f>IFERROR(INDEX(TableRBCalcPts[TM],MATCH(TableRBRanks3141[[#This Row],[Player]],TableRBCalcPts[PLAYER],0)),"")</f>
        <v>IND</v>
      </c>
      <c r="S38" s="22">
        <f>IFERROR(INDEX(TableRBCalcPts[BYE],MATCH(TableRBRanks3141[[#This Row],[RK]],TableRBCalcPts[RK],0)),"")</f>
        <v>10</v>
      </c>
      <c r="T38" s="279">
        <f>VLOOKUP(TableRBRanks3141[[#This Row],[Player]],RB!B:O,4,FALSE)</f>
        <v>61.463042714216698</v>
      </c>
      <c r="U38" s="279">
        <f>VLOOKUP(TableRBRanks3141[[#This Row],[Player]],RB!B:O,5,FALSE)</f>
        <v>291.67374068914313</v>
      </c>
      <c r="V38" s="279">
        <f>VLOOKUP(TableRBRanks3141[[#This Row],[Player]],RB!B:O,6,FALSE)</f>
        <v>1.7762819344408625</v>
      </c>
      <c r="W38" s="279">
        <f>VLOOKUP(TableRBRanks3141[[#This Row],[Player]],RB!B:O,7,FALSE)</f>
        <v>66.473389488393835</v>
      </c>
      <c r="X38" s="279">
        <f>VLOOKUP(TableRBRanks3141[[#This Row],[Player]],RB!B:O,8,FALSE)</f>
        <v>55.265976020650633</v>
      </c>
      <c r="Y38" s="279">
        <f>VLOOKUP(TableRBRanks3141[[#This Row],[Player]],RB!B:O,9,FALSE)</f>
        <v>445.44376672644415</v>
      </c>
      <c r="Z38" s="279">
        <f>VLOOKUP(TableRBRanks3141[[#This Row],[Player]],RB!B:O,10,FALSE)</f>
        <v>1.9895751367434227</v>
      </c>
      <c r="AA38" s="272">
        <f>VLOOKUP(TableRBRanks3141[[#This Row],[Player]],RB!B:O,14,FALSE)</f>
        <v>96.306893168664445</v>
      </c>
      <c r="AB38" s="273">
        <f>IF(VLOOKUP(TableRBRanks3141[[#This Row],[RK]],'Ranks w Proj'!$P:$AB,13,FALSE)&lt;0,0,VLOOKUP(TableRBRanks3141[[#This Row],[RK]],'Ranks w Proj'!$P:$AB,13,FALSE))</f>
        <v>7.2866098357977718</v>
      </c>
      <c r="AD38" s="22">
        <v>37</v>
      </c>
      <c r="AE38" s="274" t="str">
        <f>VLOOKUP(TableWRRanks3242[[#This Row],[RK]],Rankings!A:Q,11,FALSE)</f>
        <v>Hunter Renfrow</v>
      </c>
      <c r="AF38" s="22" t="str">
        <f>IFERROR(INDEX(TableWRCalcPts[TM],MATCH(TableWRRanks3242[[#This Row],[Player]],TableWRCalcPts[PLAYER],0)),"")</f>
        <v>LV</v>
      </c>
      <c r="AG38" s="22">
        <f>IFERROR(INDEX(TableWRCalcPts[BYE],MATCH(TableWRRanks3242[[#This Row],[RK]],TableWRCalcPts[RK],0)),"")</f>
        <v>13</v>
      </c>
      <c r="AH38" s="279">
        <f>VLOOKUP(TableWRRanks3242[[#This Row],[Player]],WR!B:O,4,FALSE)</f>
        <v>9.7218714167991465</v>
      </c>
      <c r="AI38" s="279">
        <f>VLOOKUP(TableWRRanks3242[[#This Row],[Player]],WR!B:O,5,FALSE)</f>
        <v>2.4991957369663618E-2</v>
      </c>
      <c r="AJ38" s="279">
        <f>VLOOKUP(TableWRRanks3242[[#This Row],[Player]],WR!B:O,6,FALSE)</f>
        <v>112.76794328999996</v>
      </c>
      <c r="AK38" s="279">
        <f>VLOOKUP(TableWRRanks3242[[#This Row],[Player]],WR!B:O,7,FALSE)</f>
        <v>85.624699340096967</v>
      </c>
      <c r="AL38" s="279">
        <f>VLOOKUP(TableWRRanks3242[[#This Row],[Player]],WR!B:O,8,FALSE)</f>
        <v>882.79065019639972</v>
      </c>
      <c r="AM38" s="279">
        <f>VLOOKUP(TableWRRanks3242[[#This Row],[Player]],WR!B:O,9,FALSE)</f>
        <v>7.1924747445681456</v>
      </c>
      <c r="AN38" s="272">
        <f>VLOOKUP(TableWRRanks3242[[#This Row],[Player]],WR!B:O,13,FALSE)</f>
        <v>132.55605237294674</v>
      </c>
      <c r="AO38" s="273">
        <f>IF(VLOOKUP(TableWRRanks3242[[#This Row],[RK]],'Ranks w Proj'!AD:AO,12,FALSE)&lt;0,0,VLOOKUP(TableWRRanks3242[[#This Row],[RK]],'Ranks w Proj'!AD:AO,12,FALSE))</f>
        <v>10.656607543736378</v>
      </c>
      <c r="AQ38" s="22">
        <v>37</v>
      </c>
      <c r="AR38" s="274" t="str">
        <f>VLOOKUP(TableTERanks3343[[#This Row],[RK]],Rankings!A:Q,15,FALSE)</f>
        <v>Harrison Bryant</v>
      </c>
      <c r="AS38" s="22" t="str">
        <f>IFERROR(INDEX(TableTECalcPts[TM],MATCH(TableTERanks3343[[#This Row],[Player]],TableTECalcPts[PLAYER],0)),"")</f>
        <v>CLE</v>
      </c>
      <c r="AT38" s="22">
        <f>IFERROR(INDEX(TableTECalcPts[BYE],MATCH(TableTERanks3343[[#This Row],[RK]],TableTECalcPts[RK],0)),"")</f>
        <v>9</v>
      </c>
      <c r="AU38" s="279">
        <f>VLOOKUP(TableTERanks3343[[#This Row],[Player]],TE!B:O,4,FALSE)</f>
        <v>34.86263901158329</v>
      </c>
      <c r="AV38" s="279">
        <f>VLOOKUP(TableTERanks3343[[#This Row],[Player]],TE!B:O,5,FALSE)</f>
        <v>21.775204326634924</v>
      </c>
      <c r="AW38" s="279">
        <f>VLOOKUP(TableTERanks3343[[#This Row],[Player]],TE!B:O,6,FALSE)</f>
        <v>232.12367812192829</v>
      </c>
      <c r="AX38" s="279">
        <f>VLOOKUP(TableTERanks3343[[#This Row],[Player]],TE!B:O,7,FALSE)</f>
        <v>2.4823732932363813</v>
      </c>
      <c r="AY38" s="272">
        <f>VLOOKUP(TableTERanks3343[[#This Row],[Player]],TE!B:O,11,FALSE)</f>
        <v>38.106607571611121</v>
      </c>
      <c r="AZ38" s="273">
        <f>IF(VLOOKUP(TableTERanks3343[[#This Row],[RK]],'Ranks w Proj'!AQ:AZ,10,FALSE)&lt;0,0,VLOOKUP(TableTERanks3343[[#This Row],[RK]],'Ranks w Proj'!AQ:AZ,10,FALSE))</f>
        <v>0</v>
      </c>
    </row>
    <row r="39" spans="1:52" x14ac:dyDescent="0.3">
      <c r="A39" s="22">
        <v>38</v>
      </c>
      <c r="B39" s="22" t="str">
        <f>VLOOKUP(TableQBRanks3040[[#This Row],[RK]],Rankings!A:Q,3,FALSE)</f>
        <v>Taysom Hill</v>
      </c>
      <c r="C39" s="22" t="str">
        <f>IFERROR(INDEX(TableQBCalcPts[TM],MATCH(TableQBRanks3040[[#This Row],[Player]],TableQBCalcPts[PLAYER],0)),"")</f>
        <v>NO</v>
      </c>
      <c r="D39" s="22">
        <f>IFERROR(INDEX(TableQBCalcPts[BYE],MATCH(TableQBRanks3040[[#This Row],[RK]],TableQBCalcPts[RK],0)),"")</f>
        <v>14</v>
      </c>
      <c r="E39" s="279">
        <f>VLOOKUP(TableQBRanks3040[[#This Row],[Player]],QB!B:O,4,FALSE)</f>
        <v>5.5146807999999998</v>
      </c>
      <c r="F39" s="279">
        <f>VLOOKUP(TableQBRanks3040[[#This Row],[Player]],QB!B:O,5,FALSE)</f>
        <v>3.3143231607999999</v>
      </c>
      <c r="G39" s="279">
        <f>VLOOKUP(TableQBRanks3040[[#This Row],[Player]],QB!B:O,6,FALSE)</f>
        <v>36.457554768800001</v>
      </c>
      <c r="H39" s="279">
        <f>VLOOKUP(TableQBRanks3040[[#This Row],[Player]],QB!B:O,7,FALSE)</f>
        <v>0.22095487738666666</v>
      </c>
      <c r="I39" s="279">
        <f>VLOOKUP(TableQBRanks3040[[#This Row],[Player]],QB!B:O,8,FALSE)</f>
        <v>0.16571615804000001</v>
      </c>
      <c r="J39" s="279">
        <f>VLOOKUP(TableQBRanks3040[[#This Row],[Player]],QB!B:O,9,FALSE)</f>
        <v>40.045120443136376</v>
      </c>
      <c r="K39" s="279">
        <f>VLOOKUP(TableQBRanks3040[[#This Row],[Player]],QB!B:O,10,FALSE)</f>
        <v>209.83643112203461</v>
      </c>
      <c r="L39" s="279">
        <f>VLOOKUP(TableQBRanks3040[[#This Row],[Player]],QB!B:O,11,FALSE)</f>
        <v>3.4438803581097281</v>
      </c>
      <c r="M39" s="272">
        <f>VLOOKUP(TableQBRanks3040[[#This Row],[Player]],QB!B:O,13,FALSE)</f>
        <v>43.6576146450805</v>
      </c>
      <c r="N39" s="273">
        <f>IF(VLOOKUP(TableQBRanks3040[[#This Row],[RK]],'Ranks w Proj'!$A:$N,14,FALSE)&lt;0,0,VLOOKUP(TableQBRanks3040[[#This Row],[RK]],'Ranks w Proj'!$A:$N,14,FALSE))</f>
        <v>0</v>
      </c>
      <c r="P39" s="22">
        <v>38</v>
      </c>
      <c r="Q39" s="22" t="str">
        <f>VLOOKUP(TableRBRanks3141[[#This Row],[RK]],Rankings!A:Q,7,FALSE)</f>
        <v>Gus Edwards</v>
      </c>
      <c r="R39" s="22" t="str">
        <f>IFERROR(INDEX(TableRBCalcPts[TM],MATCH(TableRBRanks3141[[#This Row],[Player]],TableRBCalcPts[PLAYER],0)),"")</f>
        <v>BAL</v>
      </c>
      <c r="S39" s="22">
        <f>IFERROR(INDEX(TableRBCalcPts[BYE],MATCH(TableRBRanks3141[[#This Row],[RK]],TableRBCalcPts[RK],0)),"")</f>
        <v>10</v>
      </c>
      <c r="T39" s="279">
        <f>VLOOKUP(TableRBRanks3141[[#This Row],[Player]],RB!B:O,4,FALSE)</f>
        <v>128.75132990103714</v>
      </c>
      <c r="U39" s="279">
        <f>VLOOKUP(TableRBRanks3141[[#This Row],[Player]],RB!B:O,5,FALSE)</f>
        <v>623.15643672101976</v>
      </c>
      <c r="V39" s="279">
        <f>VLOOKUP(TableRBRanks3141[[#This Row],[Player]],RB!B:O,6,FALSE)</f>
        <v>6.0513125053487453</v>
      </c>
      <c r="W39" s="279">
        <f>VLOOKUP(TableRBRanks3141[[#This Row],[Player]],RB!B:O,7,FALSE)</f>
        <v>19.470006810744145</v>
      </c>
      <c r="X39" s="279">
        <f>VLOOKUP(TableRBRanks3141[[#This Row],[Player]],RB!B:O,8,FALSE)</f>
        <v>14.485685067193645</v>
      </c>
      <c r="Y39" s="279">
        <f>VLOOKUP(TableRBRanks3141[[#This Row],[Player]],RB!B:O,9,FALSE)</f>
        <v>118.63776070031594</v>
      </c>
      <c r="Z39" s="279">
        <f>VLOOKUP(TableRBRanks3141[[#This Row],[Player]],RB!B:O,10,FALSE)</f>
        <v>0.86914110403161859</v>
      </c>
      <c r="AA39" s="272">
        <f>VLOOKUP(TableRBRanks3141[[#This Row],[Player]],RB!B:O,14,FALSE)</f>
        <v>115.70214139841576</v>
      </c>
      <c r="AB39" s="273">
        <f>IF(VLOOKUP(TableRBRanks3141[[#This Row],[RK]],'Ranks w Proj'!$P:$AB,13,FALSE)&lt;0,0,VLOOKUP(TableRBRanks3141[[#This Row],[RK]],'Ranks w Proj'!$P:$AB,13,FALSE))</f>
        <v>6.6882813135044792</v>
      </c>
      <c r="AD39" s="274">
        <v>38</v>
      </c>
      <c r="AE39" s="22" t="str">
        <f>VLOOKUP(TableWRRanks3242[[#This Row],[RK]],Rankings!A:Q,11,FALSE)</f>
        <v>Marquise Brown</v>
      </c>
      <c r="AF39" s="22" t="str">
        <f>IFERROR(INDEX(TableWRCalcPts[TM],MATCH(TableWRRanks3242[[#This Row],[Player]],TableWRCalcPts[PLAYER],0)),"")</f>
        <v>ARI</v>
      </c>
      <c r="AG39" s="22">
        <f>IFERROR(INDEX(TableWRCalcPts[BYE],MATCH(TableWRRanks3242[[#This Row],[RK]],TableWRCalcPts[RK],0)),"")</f>
        <v>11</v>
      </c>
      <c r="AH39" s="279">
        <f>VLOOKUP(TableWRRanks3242[[#This Row],[Player]],WR!B:O,4,FALSE)</f>
        <v>1.8748567297988012</v>
      </c>
      <c r="AI39" s="279">
        <f>VLOOKUP(TableWRRanks3242[[#This Row],[Player]],WR!B:O,5,FALSE)</f>
        <v>0</v>
      </c>
      <c r="AJ39" s="279">
        <f>VLOOKUP(TableWRRanks3242[[#This Row],[Player]],WR!B:O,6,FALSE)</f>
        <v>112.24613789999999</v>
      </c>
      <c r="AK39" s="279">
        <f>VLOOKUP(TableWRRanks3242[[#This Row],[Player]],WR!B:O,7,FALSE)</f>
        <v>72.163042055909997</v>
      </c>
      <c r="AL39" s="279">
        <f>VLOOKUP(TableWRRanks3242[[#This Row],[Player]],WR!B:O,8,FALSE)</f>
        <v>950.38726387633471</v>
      </c>
      <c r="AM39" s="279">
        <f>VLOOKUP(TableWRRanks3242[[#This Row],[Player]],WR!B:O,9,FALSE)</f>
        <v>6.0616955326964401</v>
      </c>
      <c r="AN39" s="272">
        <f>VLOOKUP(TableWRRanks3242[[#This Row],[Player]],WR!B:O,13,FALSE)</f>
        <v>131.59638525679199</v>
      </c>
      <c r="AO39" s="273">
        <f>IF(VLOOKUP(TableWRRanks3242[[#This Row],[RK]],'Ranks w Proj'!AD:AO,12,FALSE)&lt;0,0,VLOOKUP(TableWRRanks3242[[#This Row],[RK]],'Ranks w Proj'!AD:AO,12,FALSE))</f>
        <v>7.1070965015413279</v>
      </c>
      <c r="AQ39" s="274">
        <v>38</v>
      </c>
      <c r="AR39" s="22" t="str">
        <f>VLOOKUP(TableTERanks3343[[#This Row],[RK]],Rankings!A:Q,15,FALSE)</f>
        <v>O.J. Howard</v>
      </c>
      <c r="AS39" s="22" t="str">
        <f>IFERROR(INDEX(TableTECalcPts[TM],MATCH(TableTERanks3343[[#This Row],[Player]],TableTECalcPts[PLAYER],0)),"")</f>
        <v>BUF</v>
      </c>
      <c r="AT39" s="22">
        <f>IFERROR(INDEX(TableTECalcPts[BYE],MATCH(TableTERanks3343[[#This Row],[RK]],TableTECalcPts[RK],0)),"")</f>
        <v>7</v>
      </c>
      <c r="AU39" s="279">
        <f>VLOOKUP(TableTERanks3343[[#This Row],[Player]],TE!B:O,4,FALSE)</f>
        <v>34.241799563511762</v>
      </c>
      <c r="AV39" s="279">
        <f>VLOOKUP(TableTERanks3343[[#This Row],[Player]],TE!B:O,5,FALSE)</f>
        <v>22.016822817435578</v>
      </c>
      <c r="AW39" s="279">
        <f>VLOOKUP(TableTERanks3343[[#This Row],[Player]],TE!B:O,6,FALSE)</f>
        <v>230.36094321130582</v>
      </c>
      <c r="AX39" s="279">
        <f>VLOOKUP(TableTERanks3343[[#This Row],[Player]],TE!B:O,7,FALSE)</f>
        <v>2.0035308763866375</v>
      </c>
      <c r="AY39" s="272">
        <f>VLOOKUP(TableTERanks3343[[#This Row],[Player]],TE!B:O,11,FALSE)</f>
        <v>35.057279579450409</v>
      </c>
      <c r="AZ39" s="273">
        <f>IF(VLOOKUP(TableTERanks3343[[#This Row],[RK]],'Ranks w Proj'!AQ:AZ,10,FALSE)&lt;0,0,VLOOKUP(TableTERanks3343[[#This Row],[RK]],'Ranks w Proj'!AQ:AZ,10,FALSE))</f>
        <v>0</v>
      </c>
    </row>
    <row r="40" spans="1:52" x14ac:dyDescent="0.3">
      <c r="A40" s="22">
        <v>39</v>
      </c>
      <c r="B40" s="22" t="str">
        <f>VLOOKUP(TableQBRanks3040[[#This Row],[RK]],Rankings!A:Q,3,FALSE)</f>
        <v>Tyrod Taylor</v>
      </c>
      <c r="C40" s="22" t="str">
        <f>IFERROR(INDEX(TableQBCalcPts[TM],MATCH(TableQBRanks3040[[#This Row],[Player]],TableQBCalcPts[PLAYER],0)),"")</f>
        <v>NYG</v>
      </c>
      <c r="D40" s="22">
        <f>IFERROR(INDEX(TableQBCalcPts[BYE],MATCH(TableQBRanks3040[[#This Row],[RK]],TableQBCalcPts[RK],0)),"")</f>
        <v>9</v>
      </c>
      <c r="E40" s="279">
        <f>VLOOKUP(TableQBRanks3040[[#This Row],[Player]],QB!B:O,4,FALSE)</f>
        <v>60.473951999999983</v>
      </c>
      <c r="F40" s="279">
        <f>VLOOKUP(TableQBRanks3040[[#This Row],[Player]],QB!B:O,5,FALSE)</f>
        <v>36.528886997247362</v>
      </c>
      <c r="G40" s="279">
        <f>VLOOKUP(TableQBRanks3040[[#This Row],[Player]],QB!B:O,6,FALSE)</f>
        <v>397.06900166007881</v>
      </c>
      <c r="H40" s="279">
        <f>VLOOKUP(TableQBRanks3040[[#This Row],[Player]],QB!B:O,7,FALSE)</f>
        <v>2.2374683373879338</v>
      </c>
      <c r="I40" s="279">
        <f>VLOOKUP(TableQBRanks3040[[#This Row],[Player]],QB!B:O,8,FALSE)</f>
        <v>0.97713326257072664</v>
      </c>
      <c r="J40" s="279">
        <f>VLOOKUP(TableQBRanks3040[[#This Row],[Player]],QB!B:O,9,FALSE)</f>
        <v>5.5694923861184602</v>
      </c>
      <c r="K40" s="279">
        <f>VLOOKUP(TableQBRanks3040[[#This Row],[Player]],QB!B:O,10,FALSE)</f>
        <v>27.568987311286378</v>
      </c>
      <c r="L40" s="279">
        <f>VLOOKUP(TableQBRanks3040[[#This Row],[Player]],QB!B:O,11,FALSE)</f>
        <v>0.40020304570911097</v>
      </c>
      <c r="M40" s="272">
        <f>VLOOKUP(TableQBRanks3040[[#This Row],[Player]],QB!B:O,13,FALSE)</f>
        <v>28.036483896196742</v>
      </c>
      <c r="N40" s="273">
        <f>IF(VLOOKUP(TableQBRanks3040[[#This Row],[RK]],'Ranks w Proj'!$A:$N,14,FALSE)&lt;0,0,VLOOKUP(TableQBRanks3040[[#This Row],[RK]],'Ranks w Proj'!$A:$N,14,FALSE))</f>
        <v>0</v>
      </c>
      <c r="P40" s="22">
        <v>39</v>
      </c>
      <c r="Q40" s="22" t="str">
        <f>VLOOKUP(TableRBRanks3141[[#This Row],[RK]],Rankings!A:Q,7,FALSE)</f>
        <v>Rhamondre Stevenson</v>
      </c>
      <c r="R40" s="22" t="str">
        <f>IFERROR(INDEX(TableRBCalcPts[TM],MATCH(TableRBRanks3141[[#This Row],[Player]],TableRBCalcPts[PLAYER],0)),"")</f>
        <v>NE</v>
      </c>
      <c r="S40" s="22">
        <f>IFERROR(INDEX(TableRBCalcPts[BYE],MATCH(TableRBRanks3141[[#This Row],[RK]],TableRBCalcPts[RK],0)),"")</f>
        <v>8</v>
      </c>
      <c r="T40" s="279">
        <f>VLOOKUP(TableRBRanks3141[[#This Row],[Player]],RB!B:O,4,FALSE)</f>
        <v>154.69260919259062</v>
      </c>
      <c r="U40" s="279">
        <f>VLOOKUP(TableRBRanks3141[[#This Row],[Player]],RB!B:O,5,FALSE)</f>
        <v>696.11674136665783</v>
      </c>
      <c r="V40" s="279">
        <f>VLOOKUP(TableRBRanks3141[[#This Row],[Player]],RB!B:O,6,FALSE)</f>
        <v>5.5689339309332624</v>
      </c>
      <c r="W40" s="279">
        <f>VLOOKUP(TableRBRanks3141[[#This Row],[Player]],RB!B:O,7,FALSE)</f>
        <v>16.273380712915422</v>
      </c>
      <c r="X40" s="279">
        <f>VLOOKUP(TableRBRanks3141[[#This Row],[Player]],RB!B:O,8,FALSE)</f>
        <v>11.925133386424422</v>
      </c>
      <c r="Y40" s="279">
        <f>VLOOKUP(TableRBRanks3141[[#This Row],[Player]],RB!B:O,9,FALSE)</f>
        <v>92.062029743196533</v>
      </c>
      <c r="Z40" s="279">
        <f>VLOOKUP(TableRBRanks3141[[#This Row],[Player]],RB!B:O,10,FALSE)</f>
        <v>0.38160426836558153</v>
      </c>
      <c r="AA40" s="272">
        <f>VLOOKUP(TableRBRanks3141[[#This Row],[Player]],RB!B:O,14,FALSE)</f>
        <v>114.52110630677849</v>
      </c>
      <c r="AB40" s="273">
        <f>IF(VLOOKUP(TableRBRanks3141[[#This Row],[RK]],'Ranks w Proj'!$P:$AB,13,FALSE)&lt;0,0,VLOOKUP(TableRBRanks3141[[#This Row],[RK]],'Ranks w Proj'!$P:$AB,13,FALSE))</f>
        <v>4.2161572519104835</v>
      </c>
      <c r="AD40" s="22">
        <v>39</v>
      </c>
      <c r="AE40" s="22" t="str">
        <f>VLOOKUP(TableWRRanks3242[[#This Row],[RK]],Rankings!A:Q,11,FALSE)</f>
        <v>Allen Lazard</v>
      </c>
      <c r="AF40" s="22" t="str">
        <f>IFERROR(INDEX(TableWRCalcPts[TM],MATCH(TableWRRanks3242[[#This Row],[Player]],TableWRCalcPts[PLAYER],0)),"")</f>
        <v>GB</v>
      </c>
      <c r="AG40" s="22">
        <f>IFERROR(INDEX(TableWRCalcPts[BYE],MATCH(TableWRRanks3242[[#This Row],[RK]],TableWRCalcPts[RK],0)),"")</f>
        <v>7</v>
      </c>
      <c r="AH40" s="279">
        <f>VLOOKUP(TableWRRanks3242[[#This Row],[Player]],WR!B:O,4,FALSE)</f>
        <v>31.515852311690772</v>
      </c>
      <c r="AI40" s="279">
        <f>VLOOKUP(TableWRRanks3242[[#This Row],[Player]],WR!B:O,5,FALSE)</f>
        <v>2.4999486230776555E-2</v>
      </c>
      <c r="AJ40" s="279">
        <f>VLOOKUP(TableWRRanks3242[[#This Row],[Player]],WR!B:O,6,FALSE)</f>
        <v>98.355894739999982</v>
      </c>
      <c r="AK40" s="279">
        <f>VLOOKUP(TableWRRanks3242[[#This Row],[Player]],WR!B:O,7,FALSE)</f>
        <v>64.698507559972001</v>
      </c>
      <c r="AL40" s="279">
        <f>VLOOKUP(TableWRRanks3242[[#This Row],[Player]],WR!B:O,8,FALSE)</f>
        <v>843.02155350643511</v>
      </c>
      <c r="AM40" s="279">
        <f>VLOOKUP(TableWRRanks3242[[#This Row],[Player]],WR!B:O,9,FALSE)</f>
        <v>7.8932179223165839</v>
      </c>
      <c r="AN40" s="272">
        <f>VLOOKUP(TableWRRanks3242[[#This Row],[Player]],WR!B:O,13,FALSE)</f>
        <v>134.96304503309676</v>
      </c>
      <c r="AO40" s="273">
        <f>IF(VLOOKUP(TableWRRanks3242[[#This Row],[RK]],'Ranks w Proj'!AD:AO,12,FALSE)&lt;0,0,VLOOKUP(TableWRRanks3242[[#This Row],[RK]],'Ranks w Proj'!AD:AO,12,FALSE))</f>
        <v>6.799733505933828</v>
      </c>
      <c r="AQ40" s="22">
        <v>39</v>
      </c>
      <c r="AR40" s="274" t="str">
        <f>VLOOKUP(TableTERanks3343[[#This Row],[RK]],Rankings!A:Q,15,FALSE)</f>
        <v>Donald Parham</v>
      </c>
      <c r="AS40" s="22" t="str">
        <f>IFERROR(INDEX(TableTECalcPts[TM],MATCH(TableTERanks3343[[#This Row],[Player]],TableTECalcPts[PLAYER],0)),"")</f>
        <v>LAC</v>
      </c>
      <c r="AT40" s="22">
        <f>IFERROR(INDEX(TableTECalcPts[BYE],MATCH(TableTERanks3343[[#This Row],[RK]],TableTECalcPts[RK],0)),"")</f>
        <v>8</v>
      </c>
      <c r="AU40" s="279">
        <f>VLOOKUP(TableTERanks3343[[#This Row],[Player]],TE!B:O,4,FALSE)</f>
        <v>28.295766976540936</v>
      </c>
      <c r="AV40" s="279">
        <f>VLOOKUP(TableTERanks3343[[#This Row],[Player]],TE!B:O,5,FALSE)</f>
        <v>18.369941502547089</v>
      </c>
      <c r="AW40" s="279">
        <f>VLOOKUP(TableTERanks3343[[#This Row],[Player]],TE!B:O,6,FALSE)</f>
        <v>183.88311444049637</v>
      </c>
      <c r="AX40" s="279">
        <f>VLOOKUP(TableTERanks3343[[#This Row],[Player]],TE!B:O,7,FALSE)</f>
        <v>2.4053411572600738</v>
      </c>
      <c r="AY40" s="272">
        <f>VLOOKUP(TableTERanks3343[[#This Row],[Player]],TE!B:O,11,FALSE)</f>
        <v>32.820358387610085</v>
      </c>
      <c r="AZ40" s="273">
        <f>IF(VLOOKUP(TableTERanks3343[[#This Row],[RK]],'Ranks w Proj'!AQ:AZ,10,FALSE)&lt;0,0,VLOOKUP(TableTERanks3343[[#This Row],[RK]],'Ranks w Proj'!AQ:AZ,10,FALSE))</f>
        <v>0</v>
      </c>
    </row>
    <row r="41" spans="1:52" x14ac:dyDescent="0.3">
      <c r="A41" s="22">
        <v>40</v>
      </c>
      <c r="B41" s="22" t="str">
        <f>VLOOKUP(TableQBRanks3040[[#This Row],[RK]],Rankings!A:Q,3,FALSE)</f>
        <v>Gardner Minshew</v>
      </c>
      <c r="C41" s="22" t="str">
        <f>IFERROR(INDEX(TableQBCalcPts[TM],MATCH(TableQBRanks3040[[#This Row],[Player]],TableQBCalcPts[PLAYER],0)),"")</f>
        <v>PHI</v>
      </c>
      <c r="D41" s="22">
        <f>IFERROR(INDEX(TableQBCalcPts[BYE],MATCH(TableQBRanks3040[[#This Row],[RK]],TableQBCalcPts[RK],0)),"")</f>
        <v>7</v>
      </c>
      <c r="E41" s="279">
        <f>VLOOKUP(TableQBRanks3040[[#This Row],[Player]],QB!B:O,4,FALSE)</f>
        <v>30.111559250000028</v>
      </c>
      <c r="F41" s="279">
        <f>VLOOKUP(TableQBRanks3040[[#This Row],[Player]],QB!B:O,5,FALSE)</f>
        <v>19.105690323723408</v>
      </c>
      <c r="G41" s="279">
        <f>VLOOKUP(TableQBRanks3040[[#This Row],[Player]],QB!B:O,6,FALSE)</f>
        <v>231.35845360501807</v>
      </c>
      <c r="H41" s="279">
        <f>VLOOKUP(TableQBRanks3040[[#This Row],[Player]],QB!B:O,7,FALSE)</f>
        <v>1.6726322536379954</v>
      </c>
      <c r="I41" s="279">
        <f>VLOOKUP(TableQBRanks3040[[#This Row],[Player]],QB!B:O,8,FALSE)</f>
        <v>0.44889400943339258</v>
      </c>
      <c r="J41" s="279">
        <f>VLOOKUP(TableQBRanks3040[[#This Row],[Player]],QB!B:O,9,FALSE)</f>
        <v>6.7054995637414816</v>
      </c>
      <c r="K41" s="279">
        <f>VLOOKUP(TableQBRanks3040[[#This Row],[Player]],QB!B:O,10,FALSE)</f>
        <v>29.235978097912863</v>
      </c>
      <c r="L41" s="279">
        <f>VLOOKUP(TableQBRanks3040[[#This Row],[Player]],QB!B:O,11,FALSE)</f>
        <v>6.0948697960497469E-2</v>
      </c>
      <c r="M41" s="272">
        <f>VLOOKUP(TableQBRanks3040[[#This Row],[Player]],QB!B:O,13,FALSE)</f>
        <v>18.33636913744019</v>
      </c>
      <c r="N41" s="273">
        <f>IF(VLOOKUP(TableQBRanks3040[[#This Row],[RK]],'Ranks w Proj'!$A:$N,14,FALSE)&lt;0,0,VLOOKUP(TableQBRanks3040[[#This Row],[RK]],'Ranks w Proj'!$A:$N,14,FALSE))</f>
        <v>0</v>
      </c>
      <c r="P41" s="22">
        <v>40</v>
      </c>
      <c r="Q41" s="22" t="str">
        <f>VLOOKUP(TableRBRanks3141[[#This Row],[RK]],Rankings!A:Q,7,FALSE)</f>
        <v>Dameon Pierce</v>
      </c>
      <c r="R41" s="22" t="str">
        <f>IFERROR(INDEX(TableRBCalcPts[TM],MATCH(TableRBRanks3141[[#This Row],[Player]],TableRBCalcPts[PLAYER],0)),"")</f>
        <v>HOU</v>
      </c>
      <c r="S41" s="22">
        <f>IFERROR(INDEX(TableRBCalcPts[BYE],MATCH(TableRBRanks3141[[#This Row],[RK]],TableRBCalcPts[RK],0)),"")</f>
        <v>8</v>
      </c>
      <c r="T41" s="279">
        <f>VLOOKUP(TableRBRanks3141[[#This Row],[Player]],RB!B:O,4,FALSE)</f>
        <v>125.80847919949953</v>
      </c>
      <c r="U41" s="279">
        <f>VLOOKUP(TableRBRanks3141[[#This Row],[Player]],RB!B:O,5,FALSE)</f>
        <v>508.26625596597813</v>
      </c>
      <c r="V41" s="279">
        <f>VLOOKUP(TableRBRanks3141[[#This Row],[Player]],RB!B:O,6,FALSE)</f>
        <v>3.6987692884652859</v>
      </c>
      <c r="W41" s="279">
        <f>VLOOKUP(TableRBRanks3141[[#This Row],[Player]],RB!B:O,7,FALSE)</f>
        <v>31.743193110236035</v>
      </c>
      <c r="X41" s="279">
        <f>VLOOKUP(TableRBRanks3141[[#This Row],[Player]],RB!B:O,8,FALSE)</f>
        <v>22.159923110255779</v>
      </c>
      <c r="Y41" s="279">
        <f>VLOOKUP(TableRBRanks3141[[#This Row],[Player]],RB!B:O,9,FALSE)</f>
        <v>155.78425946509813</v>
      </c>
      <c r="Z41" s="279">
        <f>VLOOKUP(TableRBRanks3141[[#This Row],[Player]],RB!B:O,10,FALSE)</f>
        <v>0.59831792397690597</v>
      </c>
      <c r="AA41" s="272">
        <f>VLOOKUP(TableRBRanks3141[[#This Row],[Player]],RB!B:O,14,FALSE)</f>
        <v>92.187574817760776</v>
      </c>
      <c r="AB41" s="273">
        <f>IF(VLOOKUP(TableRBRanks3141[[#This Row],[RK]],'Ranks w Proj'!$P:$AB,13,FALSE)&lt;0,0,VLOOKUP(TableRBRanks3141[[#This Row],[RK]],'Ranks w Proj'!$P:$AB,13,FALSE))</f>
        <v>1.711855284795194</v>
      </c>
      <c r="AD41" s="22">
        <v>40</v>
      </c>
      <c r="AE41" s="274" t="str">
        <f>VLOOKUP(TableWRRanks3242[[#This Row],[RK]],Rankings!A:Q,11,FALSE)</f>
        <v>Garrett Wilson</v>
      </c>
      <c r="AF41" s="22" t="str">
        <f>IFERROR(INDEX(TableWRCalcPts[TM],MATCH(TableWRRanks3242[[#This Row],[Player]],TableWRCalcPts[PLAYER],0)),"")</f>
        <v>NYJ</v>
      </c>
      <c r="AG41" s="22">
        <f>IFERROR(INDEX(TableWRCalcPts[BYE],MATCH(TableWRRanks3242[[#This Row],[RK]],TableWRCalcPts[RK],0)),"")</f>
        <v>9</v>
      </c>
      <c r="AH41" s="279">
        <f>VLOOKUP(TableWRRanks3242[[#This Row],[Player]],WR!B:O,4,FALSE)</f>
        <v>6.0260090851023778</v>
      </c>
      <c r="AI41" s="279">
        <f>VLOOKUP(TableWRRanks3242[[#This Row],[Player]],WR!B:O,5,FALSE)</f>
        <v>0</v>
      </c>
      <c r="AJ41" s="279">
        <f>VLOOKUP(TableWRRanks3242[[#This Row],[Player]],WR!B:O,6,FALSE)</f>
        <v>108.35508378440773</v>
      </c>
      <c r="AK41" s="279">
        <f>VLOOKUP(TableWRRanks3242[[#This Row],[Player]],WR!B:O,7,FALSE)</f>
        <v>65.674016281729521</v>
      </c>
      <c r="AL41" s="279">
        <f>VLOOKUP(TableWRRanks3242[[#This Row],[Player]],WR!B:O,8,FALSE)</f>
        <v>858.35939280220487</v>
      </c>
      <c r="AM41" s="279">
        <f>VLOOKUP(TableWRRanks3242[[#This Row],[Player]],WR!B:O,9,FALSE)</f>
        <v>5.385269335101821</v>
      </c>
      <c r="AN41" s="272">
        <f>VLOOKUP(TableWRRanks3242[[#This Row],[Player]],WR!B:O,13,FALSE)</f>
        <v>118.75015619934166</v>
      </c>
      <c r="AO41" s="273">
        <f>IF(VLOOKUP(TableWRRanks3242[[#This Row],[RK]],'Ranks w Proj'!AD:AO,12,FALSE)&lt;0,0,VLOOKUP(TableWRRanks3242[[#This Row],[RK]],'Ranks w Proj'!AD:AO,12,FALSE))</f>
        <v>6.7363520492274684</v>
      </c>
      <c r="AQ41" s="22">
        <v>40</v>
      </c>
      <c r="AR41" s="274" t="str">
        <f>VLOOKUP(TableTERanks3343[[#This Row],[RK]],Rankings!A:Q,15,FALSE)</f>
        <v>Trey McBride</v>
      </c>
      <c r="AS41" s="22" t="str">
        <f>IFERROR(INDEX(TableTECalcPts[TM],MATCH(TableTERanks3343[[#This Row],[Player]],TableTECalcPts[PLAYER],0)),"")</f>
        <v>ARI</v>
      </c>
      <c r="AT41" s="22">
        <f>IFERROR(INDEX(TableTECalcPts[BYE],MATCH(TableTERanks3343[[#This Row],[RK]],TableTECalcPts[RK],0)),"")</f>
        <v>9</v>
      </c>
      <c r="AU41" s="279">
        <f>VLOOKUP(TableTERanks3343[[#This Row],[Player]],TE!B:O,4,FALSE)</f>
        <v>23.696406889999999</v>
      </c>
      <c r="AV41" s="279">
        <f>VLOOKUP(TableTERanks3343[[#This Row],[Player]],TE!B:O,5,FALSE)</f>
        <v>15.038322759144966</v>
      </c>
      <c r="AW41" s="279">
        <f>VLOOKUP(TableTERanks3343[[#This Row],[Player]],TE!B:O,6,FALSE)</f>
        <v>160.15813738489391</v>
      </c>
      <c r="AX41" s="279">
        <f>VLOOKUP(TableTERanks3343[[#This Row],[Player]],TE!B:O,7,FALSE)</f>
        <v>1.0008514347789137</v>
      </c>
      <c r="AY41" s="272">
        <f>VLOOKUP(TableTERanks3343[[#This Row],[Player]],TE!B:O,11,FALSE)</f>
        <v>22.020922347162873</v>
      </c>
      <c r="AZ41" s="273">
        <f>IF(VLOOKUP(TableTERanks3343[[#This Row],[RK]],'Ranks w Proj'!AQ:AZ,10,FALSE)&lt;0,0,VLOOKUP(TableTERanks3343[[#This Row],[RK]],'Ranks w Proj'!AQ:AZ,10,FALSE))</f>
        <v>0</v>
      </c>
    </row>
    <row r="42" spans="1:52" x14ac:dyDescent="0.3">
      <c r="A42" s="22">
        <v>41</v>
      </c>
      <c r="B42" s="22" t="str">
        <f>VLOOKUP(TableQBRanks3040[[#This Row],[RK]],Rankings!A:Q,3,FALSE)</f>
        <v>John Wolford</v>
      </c>
      <c r="C42" s="22" t="str">
        <f>IFERROR(INDEX(TableQBCalcPts[TM],MATCH(TableQBRanks3040[[#This Row],[Player]],TableQBCalcPts[PLAYER],0)),"")</f>
        <v>LAR</v>
      </c>
      <c r="D42" s="22">
        <f>IFERROR(INDEX(TableQBCalcPts[BYE],MATCH(TableQBRanks3040[[#This Row],[RK]],TableQBCalcPts[RK],0)),"")</f>
        <v>10</v>
      </c>
      <c r="E42" s="279">
        <f>VLOOKUP(TableQBRanks3040[[#This Row],[Player]],QB!B:O,4,FALSE)</f>
        <v>31.64491600000003</v>
      </c>
      <c r="F42" s="279">
        <f>VLOOKUP(TableQBRanks3040[[#This Row],[Player]],QB!B:O,5,FALSE)</f>
        <v>19.418155963271403</v>
      </c>
      <c r="G42" s="279">
        <f>VLOOKUP(TableQBRanks3040[[#This Row],[Player]],QB!B:O,6,FALSE)</f>
        <v>192.55396018820144</v>
      </c>
      <c r="H42" s="279">
        <f>VLOOKUP(TableQBRanks3040[[#This Row],[Player]],QB!B:O,7,FALSE)</f>
        <v>1.3613028161816281</v>
      </c>
      <c r="I42" s="279">
        <f>VLOOKUP(TableQBRanks3040[[#This Row],[Player]],QB!B:O,8,FALSE)</f>
        <v>0.4442618080657289</v>
      </c>
      <c r="J42" s="279">
        <f>VLOOKUP(TableQBRanks3040[[#This Row],[Player]],QB!B:O,9,FALSE)</f>
        <v>0</v>
      </c>
      <c r="K42" s="279">
        <f>VLOOKUP(TableQBRanks3040[[#This Row],[Player]],QB!B:O,10,FALSE)</f>
        <v>0</v>
      </c>
      <c r="L42" s="279">
        <f>VLOOKUP(TableQBRanks3040[[#This Row],[Player]],QB!B:O,11,FALSE)</f>
        <v>0</v>
      </c>
      <c r="M42" s="272">
        <f>VLOOKUP(TableQBRanks3040[[#This Row],[Player]],QB!B:O,13,FALSE)</f>
        <v>12.258846056123112</v>
      </c>
      <c r="N42" s="273">
        <f>IF(VLOOKUP(TableQBRanks3040[[#This Row],[RK]],'Ranks w Proj'!$A:$N,14,FALSE)&lt;0,0,VLOOKUP(TableQBRanks3040[[#This Row],[RK]],'Ranks w Proj'!$A:$N,14,FALSE))</f>
        <v>0</v>
      </c>
      <c r="P42" s="22">
        <v>41</v>
      </c>
      <c r="Q42" s="22" t="str">
        <f>VLOOKUP(TableRBRanks3141[[#This Row],[RK]],Rankings!A:Q,7,FALSE)</f>
        <v>Ronald Jones</v>
      </c>
      <c r="R42" s="22" t="str">
        <f>IFERROR(INDEX(TableRBCalcPts[TM],MATCH(TableRBRanks3141[[#This Row],[Player]],TableRBCalcPts[PLAYER],0)),"")</f>
        <v>KC</v>
      </c>
      <c r="S42" s="22">
        <f>IFERROR(INDEX(TableRBCalcPts[BYE],MATCH(TableRBRanks3141[[#This Row],[RK]],TableRBCalcPts[RK],0)),"")</f>
        <v>14</v>
      </c>
      <c r="T42" s="279">
        <f>VLOOKUP(TableRBRanks3141[[#This Row],[Player]],RB!B:O,4,FALSE)</f>
        <v>140.7401224588194</v>
      </c>
      <c r="U42" s="279">
        <f>VLOOKUP(TableRBRanks3141[[#This Row],[Player]],RB!B:O,5,FALSE)</f>
        <v>603.98690427815916</v>
      </c>
      <c r="V42" s="279">
        <f>VLOOKUP(TableRBRanks3141[[#This Row],[Player]],RB!B:O,6,FALSE)</f>
        <v>5.7281229840739494</v>
      </c>
      <c r="W42" s="279">
        <f>VLOOKUP(TableRBRanks3141[[#This Row],[Player]],RB!B:O,7,FALSE)</f>
        <v>26.016061206447002</v>
      </c>
      <c r="X42" s="279">
        <f>VLOOKUP(TableRBRanks3141[[#This Row],[Player]],RB!B:O,8,FALSE)</f>
        <v>17.486104265795024</v>
      </c>
      <c r="Y42" s="279">
        <f>VLOOKUP(TableRBRanks3141[[#This Row],[Player]],RB!B:O,9,FALSE)</f>
        <v>122.05300777524927</v>
      </c>
      <c r="Z42" s="279">
        <f>VLOOKUP(TableRBRanks3141[[#This Row],[Player]],RB!B:O,10,FALSE)</f>
        <v>0.4447790934447316</v>
      </c>
      <c r="AA42" s="272">
        <f>VLOOKUP(TableRBRanks3141[[#This Row],[Player]],RB!B:O,14,FALSE)</f>
        <v>109.64140367045293</v>
      </c>
      <c r="AB42" s="273">
        <f>IF(VLOOKUP(TableRBRanks3141[[#This Row],[RK]],'Ranks w Proj'!$P:$AB,13,FALSE)&lt;0,0,VLOOKUP(TableRBRanks3141[[#This Row],[RK]],'Ranks w Proj'!$P:$AB,13,FALSE))</f>
        <v>1.5311672634635136</v>
      </c>
      <c r="AD42" s="274">
        <v>41</v>
      </c>
      <c r="AE42" s="274" t="str">
        <f>VLOOKUP(TableWRRanks3242[[#This Row],[RK]],Rankings!A:Q,11,FALSE)</f>
        <v>Christian Kirk</v>
      </c>
      <c r="AF42" s="22" t="str">
        <f>IFERROR(INDEX(TableWRCalcPts[TM],MATCH(TableWRRanks3242[[#This Row],[Player]],TableWRCalcPts[PLAYER],0)),"")</f>
        <v>JAX</v>
      </c>
      <c r="AG42" s="22">
        <f>IFERROR(INDEX(TableWRCalcPts[BYE],MATCH(TableWRRanks3242[[#This Row],[RK]],TableWRCalcPts[RK],0)),"")</f>
        <v>6</v>
      </c>
      <c r="AH42" s="279">
        <f>VLOOKUP(TableWRRanks3242[[#This Row],[Player]],WR!B:O,4,FALSE)</f>
        <v>4.3736670038943073</v>
      </c>
      <c r="AI42" s="279">
        <f>VLOOKUP(TableWRRanks3242[[#This Row],[Player]],WR!B:O,5,FALSE)</f>
        <v>0</v>
      </c>
      <c r="AJ42" s="279">
        <f>VLOOKUP(TableWRRanks3242[[#This Row],[Player]],WR!B:O,6,FALSE)</f>
        <v>117.85839178766665</v>
      </c>
      <c r="AK42" s="279">
        <f>VLOOKUP(TableWRRanks3242[[#This Row],[Player]],WR!B:O,7,FALSE)</f>
        <v>76.784742249664816</v>
      </c>
      <c r="AL42" s="279">
        <f>VLOOKUP(TableWRRanks3242[[#This Row],[Player]],WR!B:O,8,FALSE)</f>
        <v>945.98802451587051</v>
      </c>
      <c r="AM42" s="279">
        <f>VLOOKUP(TableWRRanks3242[[#This Row],[Player]],WR!B:O,9,FALSE)</f>
        <v>4.8374387617288832</v>
      </c>
      <c r="AN42" s="272">
        <f>VLOOKUP(TableWRRanks3242[[#This Row],[Player]],WR!B:O,13,FALSE)</f>
        <v>124.06080172234979</v>
      </c>
      <c r="AO42" s="273">
        <f>IF(VLOOKUP(TableWRRanks3242[[#This Row],[RK]],'Ranks w Proj'!AD:AO,12,FALSE)&lt;0,0,VLOOKUP(TableWRRanks3242[[#This Row],[RK]],'Ranks w Proj'!AD:AO,12,FALSE))</f>
        <v>5.7754429239493268</v>
      </c>
      <c r="AQ42" s="274">
        <v>41</v>
      </c>
      <c r="AR42" s="274" t="str">
        <f>VLOOKUP(TableTERanks3343[[#This Row],[RK]],Rankings!A:Q,15,FALSE)</f>
        <v>Jordan Akins</v>
      </c>
      <c r="AS42" s="22" t="str">
        <f>IFERROR(INDEX(TableTECalcPts[TM],MATCH(TableTERanks3343[[#This Row],[Player]],TableTECalcPts[PLAYER],0)),"")</f>
        <v>NYG</v>
      </c>
      <c r="AT42" s="22">
        <f>IFERROR(INDEX(TableTECalcPts[BYE],MATCH(TableTERanks3343[[#This Row],[RK]],TableTECalcPts[RK],0)),"")</f>
        <v>6</v>
      </c>
      <c r="AU42" s="279">
        <f>VLOOKUP(TableTERanks3343[[#This Row],[Player]],TE!B:O,4,FALSE)</f>
        <v>32.661034338320015</v>
      </c>
      <c r="AV42" s="279">
        <f>VLOOKUP(TableTERanks3343[[#This Row],[Player]],TE!B:O,5,FALSE)</f>
        <v>21.464831767143913</v>
      </c>
      <c r="AW42" s="279">
        <f>VLOOKUP(TableTERanks3343[[#This Row],[Player]],TE!B:O,6,FALSE)</f>
        <v>227.74186504939689</v>
      </c>
      <c r="AX42" s="279">
        <f>VLOOKUP(TableTERanks3343[[#This Row],[Player]],TE!B:O,7,FALSE)</f>
        <v>1.3737492330972105</v>
      </c>
      <c r="AY42" s="272">
        <f>VLOOKUP(TableTERanks3343[[#This Row],[Player]],TE!B:O,11,FALSE)</f>
        <v>31.016681903522954</v>
      </c>
      <c r="AZ42" s="273">
        <f>IF(VLOOKUP(TableTERanks3343[[#This Row],[RK]],'Ranks w Proj'!AQ:AZ,10,FALSE)&lt;0,0,VLOOKUP(TableTERanks3343[[#This Row],[RK]],'Ranks w Proj'!AQ:AZ,10,FALSE))</f>
        <v>0</v>
      </c>
    </row>
    <row r="43" spans="1:52" x14ac:dyDescent="0.3">
      <c r="A43" s="22">
        <v>42</v>
      </c>
      <c r="B43" s="22" t="str">
        <f>VLOOKUP(TableQBRanks3040[[#This Row],[RK]],Rankings!A:Q,3,FALSE)</f>
        <v>Tyler Huntley</v>
      </c>
      <c r="C43" s="22" t="str">
        <f>IFERROR(INDEX(TableQBCalcPts[TM],MATCH(TableQBRanks3040[[#This Row],[Player]],TableQBCalcPts[PLAYER],0)),"")</f>
        <v>BAL</v>
      </c>
      <c r="D43" s="22">
        <f>IFERROR(INDEX(TableQBCalcPts[BYE],MATCH(TableQBRanks3040[[#This Row],[RK]],TableQBCalcPts[RK],0)),"")</f>
        <v>6</v>
      </c>
      <c r="E43" s="279">
        <f>VLOOKUP(TableQBRanks3040[[#This Row],[Player]],QB!B:O,4,FALSE)</f>
        <v>15.298500000000013</v>
      </c>
      <c r="F43" s="279">
        <f>VLOOKUP(TableQBRanks3040[[#This Row],[Player]],QB!B:O,5,FALSE)</f>
        <v>9.9622404650199137</v>
      </c>
      <c r="G43" s="279">
        <f>VLOOKUP(TableQBRanks3040[[#This Row],[Player]],QB!B:O,6,FALSE)</f>
        <v>101.71447514785332</v>
      </c>
      <c r="H43" s="279">
        <f>VLOOKUP(TableQBRanks3040[[#This Row],[Player]],QB!B:O,7,FALSE)</f>
        <v>0.51006671180901964</v>
      </c>
      <c r="I43" s="279">
        <f>VLOOKUP(TableQBRanks3040[[#This Row],[Player]],QB!B:O,8,FALSE)</f>
        <v>0.2004626835029093</v>
      </c>
      <c r="J43" s="279">
        <f>VLOOKUP(TableQBRanks3040[[#This Row],[Player]],QB!B:O,9,FALSE)</f>
        <v>9.7713062871322851</v>
      </c>
      <c r="K43" s="279">
        <f>VLOOKUP(TableQBRanks3040[[#This Row],[Player]],QB!B:O,10,FALSE)</f>
        <v>59.409542225764291</v>
      </c>
      <c r="L43" s="279">
        <f>VLOOKUP(TableQBRanks3040[[#This Row],[Player]],QB!B:O,11,FALSE)</f>
        <v>0.14656959430698427</v>
      </c>
      <c r="M43" s="272">
        <f>VLOOKUP(TableQBRanks3040[[#This Row],[Player]],QB!B:O,13,FALSE)</f>
        <v>12.528292274562727</v>
      </c>
      <c r="N43" s="273">
        <f>IF(VLOOKUP(TableQBRanks3040[[#This Row],[RK]],'Ranks w Proj'!$A:$N,14,FALSE)&lt;0,0,VLOOKUP(TableQBRanks3040[[#This Row],[RK]],'Ranks w Proj'!$A:$N,14,FALSE))</f>
        <v>0</v>
      </c>
      <c r="P43" s="22">
        <v>42</v>
      </c>
      <c r="Q43" s="22" t="str">
        <f>VLOOKUP(TableRBRanks3141[[#This Row],[RK]],Rankings!A:Q,7,FALSE)</f>
        <v>James Cook</v>
      </c>
      <c r="R43" s="22" t="str">
        <f>IFERROR(INDEX(TableRBCalcPts[TM],MATCH(TableRBRanks3141[[#This Row],[Player]],TableRBCalcPts[PLAYER],0)),"")</f>
        <v>BUF</v>
      </c>
      <c r="S43" s="22">
        <f>IFERROR(INDEX(TableRBCalcPts[BYE],MATCH(TableRBRanks3141[[#This Row],[RK]],TableRBCalcPts[RK],0)),"")</f>
        <v>14</v>
      </c>
      <c r="T43" s="279">
        <f>VLOOKUP(TableRBRanks3141[[#This Row],[Player]],RB!B:O,4,FALSE)</f>
        <v>93.061823458135095</v>
      </c>
      <c r="U43" s="279">
        <f>VLOOKUP(TableRBRanks3141[[#This Row],[Player]],RB!B:O,5,FALSE)</f>
        <v>391.05999794947365</v>
      </c>
      <c r="V43" s="279">
        <f>VLOOKUP(TableRBRanks3141[[#This Row],[Player]],RB!B:O,6,FALSE)</f>
        <v>2.7380026249973199</v>
      </c>
      <c r="W43" s="279">
        <f>VLOOKUP(TableRBRanks3141[[#This Row],[Player]],RB!B:O,7,FALSE)</f>
        <v>57.323995606519439</v>
      </c>
      <c r="X43" s="279">
        <f>VLOOKUP(TableRBRanks3141[[#This Row],[Player]],RB!B:O,8,FALSE)</f>
        <v>41.387924827907035</v>
      </c>
      <c r="Y43" s="279">
        <f>VLOOKUP(TableRBRanks3141[[#This Row],[Player]],RB!B:O,9,FALSE)</f>
        <v>327.37848538874465</v>
      </c>
      <c r="Z43" s="279">
        <f>VLOOKUP(TableRBRanks3141[[#This Row],[Player]],RB!B:O,10,FALSE)</f>
        <v>1.6969049179441886</v>
      </c>
      <c r="AA43" s="272">
        <f>VLOOKUP(TableRBRanks3141[[#This Row],[Player]],RB!B:O,14,FALSE)</f>
        <v>98.453293591470882</v>
      </c>
      <c r="AB43" s="273">
        <f>IF(VLOOKUP(TableRBRanks3141[[#This Row],[RK]],'Ranks w Proj'!$P:$AB,13,FALSE)&lt;0,0,VLOOKUP(TableRBRanks3141[[#This Row],[RK]],'Ranks w Proj'!$P:$AB,13,FALSE))</f>
        <v>0</v>
      </c>
      <c r="AD43" s="22">
        <v>42</v>
      </c>
      <c r="AE43" s="274" t="str">
        <f>VLOOKUP(TableWRRanks3242[[#This Row],[RK]],Rankings!A:Q,11,FALSE)</f>
        <v>Jameson Williams</v>
      </c>
      <c r="AF43" s="22" t="str">
        <f>IFERROR(INDEX(TableWRCalcPts[TM],MATCH(TableWRRanks3242[[#This Row],[Player]],TableWRCalcPts[PLAYER],0)),"")</f>
        <v>DET</v>
      </c>
      <c r="AG43" s="22">
        <f>IFERROR(INDEX(TableWRCalcPts[BYE],MATCH(TableWRRanks3242[[#This Row],[RK]],TableWRCalcPts[RK],0)),"")</f>
        <v>11</v>
      </c>
      <c r="AH43" s="279">
        <f>VLOOKUP(TableWRRanks3242[[#This Row],[Player]],WR!B:O,4,FALSE)</f>
        <v>1.250531709591405</v>
      </c>
      <c r="AI43" s="279">
        <f>VLOOKUP(TableWRRanks3242[[#This Row],[Player]],WR!B:O,5,FALSE)</f>
        <v>0</v>
      </c>
      <c r="AJ43" s="279">
        <f>VLOOKUP(TableWRRanks3242[[#This Row],[Player]],WR!B:O,6,FALSE)</f>
        <v>97.38815333292294</v>
      </c>
      <c r="AK43" s="279">
        <f>VLOOKUP(TableWRRanks3242[[#This Row],[Player]],WR!B:O,7,FALSE)</f>
        <v>56.91363680776017</v>
      </c>
      <c r="AL43" s="279">
        <f>VLOOKUP(TableWRRanks3242[[#This Row],[Player]],WR!B:O,8,FALSE)</f>
        <v>821.83291550405681</v>
      </c>
      <c r="AM43" s="279">
        <f>VLOOKUP(TableWRRanks3242[[#This Row],[Player]],WR!B:O,9,FALSE)</f>
        <v>4.6100045814285737</v>
      </c>
      <c r="AN43" s="272">
        <f>VLOOKUP(TableWRRanks3242[[#This Row],[Player]],WR!B:O,13,FALSE)</f>
        <v>109.96837220993626</v>
      </c>
      <c r="AO43" s="273">
        <f>IF(VLOOKUP(TableWRRanks3242[[#This Row],[RK]],'Ranks w Proj'!AD:AO,12,FALSE)&lt;0,0,VLOOKUP(TableWRRanks3242[[#This Row],[RK]],'Ranks w Proj'!AD:AO,12,FALSE))</f>
        <v>5.1540521551127743</v>
      </c>
      <c r="AQ43" s="22">
        <v>42</v>
      </c>
      <c r="AR43" s="274" t="str">
        <f>VLOOKUP(TableTERanks3343[[#This Row],[RK]],Rankings!A:Q,15,FALSE)</f>
        <v>Greg Dulcich</v>
      </c>
      <c r="AS43" s="22" t="str">
        <f>IFERROR(INDEX(TableTECalcPts[TM],MATCH(TableTERanks3343[[#This Row],[Player]],TableTECalcPts[PLAYER],0)),"")</f>
        <v>DEN</v>
      </c>
      <c r="AT43" s="22">
        <f>IFERROR(INDEX(TableTECalcPts[BYE],MATCH(TableTERanks3343[[#This Row],[RK]],TableTECalcPts[RK],0)),"")</f>
        <v>10</v>
      </c>
      <c r="AU43" s="279">
        <f>VLOOKUP(TableTERanks3343[[#This Row],[Player]],TE!B:O,4,FALSE)</f>
        <v>25.982203404877207</v>
      </c>
      <c r="AV43" s="279">
        <f>VLOOKUP(TableTERanks3343[[#This Row],[Player]],TE!B:O,5,FALSE)</f>
        <v>16.057001704214112</v>
      </c>
      <c r="AW43" s="279">
        <f>VLOOKUP(TableTERanks3343[[#This Row],[Player]],TE!B:O,6,FALSE)</f>
        <v>161.02014225113768</v>
      </c>
      <c r="AX43" s="279">
        <f>VLOOKUP(TableTERanks3343[[#This Row],[Player]],TE!B:O,7,FALSE)</f>
        <v>1.0587452098932997</v>
      </c>
      <c r="AY43" s="272">
        <f>VLOOKUP(TableTERanks3343[[#This Row],[Player]],TE!B:O,11,FALSE)</f>
        <v>22.454485484473569</v>
      </c>
      <c r="AZ43" s="273">
        <f>IF(VLOOKUP(TableTERanks3343[[#This Row],[RK]],'Ranks w Proj'!AQ:AZ,10,FALSE)&lt;0,0,VLOOKUP(TableTERanks3343[[#This Row],[RK]],'Ranks w Proj'!AQ:AZ,10,FALSE))</f>
        <v>0</v>
      </c>
    </row>
    <row r="44" spans="1:52" x14ac:dyDescent="0.3">
      <c r="A44" s="22">
        <v>43</v>
      </c>
      <c r="B44" s="22" t="str">
        <f>VLOOKUP(TableQBRanks3040[[#This Row],[RK]],Rankings!A:Q,3,FALSE)</f>
        <v>Kyle Allen</v>
      </c>
      <c r="C44" s="22" t="str">
        <f>IFERROR(INDEX(TableQBCalcPts[TM],MATCH(TableQBRanks3040[[#This Row],[Player]],TableQBCalcPts[PLAYER],0)),"")</f>
        <v>HOU</v>
      </c>
      <c r="D44" s="22">
        <f>IFERROR(INDEX(TableQBCalcPts[BYE],MATCH(TableQBRanks3040[[#This Row],[RK]],TableQBCalcPts[RK],0)),"")</f>
        <v>9</v>
      </c>
      <c r="E44" s="279">
        <f>VLOOKUP(TableQBRanks3040[[#This Row],[Player]],QB!B:O,4,FALSE)</f>
        <v>29.936400000000024</v>
      </c>
      <c r="F44" s="279">
        <f>VLOOKUP(TableQBRanks3040[[#This Row],[Player]],QB!B:O,5,FALSE)</f>
        <v>18.974355444102056</v>
      </c>
      <c r="G44" s="279">
        <f>VLOOKUP(TableQBRanks3040[[#This Row],[Player]],QB!B:O,6,FALSE)</f>
        <v>213.40380725291624</v>
      </c>
      <c r="H44" s="279">
        <f>VLOOKUP(TableQBRanks3040[[#This Row],[Player]],QB!B:O,7,FALSE)</f>
        <v>1.1574356820902254</v>
      </c>
      <c r="I44" s="279">
        <f>VLOOKUP(TableQBRanks3040[[#This Row],[Player]],QB!B:O,8,FALSE)</f>
        <v>0.51418792644611722</v>
      </c>
      <c r="J44" s="279">
        <f>VLOOKUP(TableQBRanks3040[[#This Row],[Player]],QB!B:O,9,FALSE)</f>
        <v>0.89975188546224483</v>
      </c>
      <c r="K44" s="279">
        <f>VLOOKUP(TableQBRanks3040[[#This Row],[Player]],QB!B:O,10,FALSE)</f>
        <v>3.572014985285112</v>
      </c>
      <c r="L44" s="279">
        <f>VLOOKUP(TableQBRanks3040[[#This Row],[Player]],QB!B:O,11,FALSE)</f>
        <v>0</v>
      </c>
      <c r="M44" s="272">
        <f>VLOOKUP(TableQBRanks3040[[#This Row],[Player]],QB!B:O,13,FALSE)</f>
        <v>12.49472066411383</v>
      </c>
      <c r="N44" s="273">
        <f>IF(VLOOKUP(TableQBRanks3040[[#This Row],[RK]],'Ranks w Proj'!$A:$N,14,FALSE)&lt;0,0,VLOOKUP(TableQBRanks3040[[#This Row],[RK]],'Ranks w Proj'!$A:$N,14,FALSE))</f>
        <v>0</v>
      </c>
      <c r="P44" s="22">
        <v>43</v>
      </c>
      <c r="Q44" s="22" t="str">
        <f>VLOOKUP(TableRBRanks3141[[#This Row],[RK]],Rankings!A:Q,7,FALSE)</f>
        <v>Tyler Allgeier</v>
      </c>
      <c r="R44" s="22" t="str">
        <f>IFERROR(INDEX(TableRBCalcPts[TM],MATCH(TableRBRanks3141[[#This Row],[Player]],TableRBCalcPts[PLAYER],0)),"")</f>
        <v>ATL</v>
      </c>
      <c r="S44" s="22">
        <f>IFERROR(INDEX(TableRBCalcPts[BYE],MATCH(TableRBRanks3141[[#This Row],[RK]],TableRBCalcPts[RK],0)),"")</f>
        <v>7</v>
      </c>
      <c r="T44" s="279">
        <f>VLOOKUP(TableRBRanks3141[[#This Row],[Player]],RB!B:O,4,FALSE)</f>
        <v>135.26374874625702</v>
      </c>
      <c r="U44" s="279">
        <f>VLOOKUP(TableRBRanks3141[[#This Row],[Player]],RB!B:O,5,FALSE)</f>
        <v>539.70235749756557</v>
      </c>
      <c r="V44" s="279">
        <f>VLOOKUP(TableRBRanks3141[[#This Row],[Player]],RB!B:O,6,FALSE)</f>
        <v>4.0308597126384589</v>
      </c>
      <c r="W44" s="279">
        <f>VLOOKUP(TableRBRanks3141[[#This Row],[Player]],RB!B:O,7,FALSE)</f>
        <v>26.546928606919771</v>
      </c>
      <c r="X44" s="279">
        <f>VLOOKUP(TableRBRanks3141[[#This Row],[Player]],RB!B:O,8,FALSE)</f>
        <v>16.910393522607894</v>
      </c>
      <c r="Y44" s="279">
        <f>VLOOKUP(TableRBRanks3141[[#This Row],[Player]],RB!B:O,9,FALSE)</f>
        <v>121.46152732935231</v>
      </c>
      <c r="Z44" s="279">
        <f>VLOOKUP(TableRBRanks3141[[#This Row],[Player]],RB!B:O,10,FALSE)</f>
        <v>0.60732872444969388</v>
      </c>
      <c r="AA44" s="272">
        <f>VLOOKUP(TableRBRanks3141[[#This Row],[Player]],RB!B:O,14,FALSE)</f>
        <v>93.945519105220711</v>
      </c>
      <c r="AB44" s="273">
        <f>IF(VLOOKUP(TableRBRanks3141[[#This Row],[RK]],'Ranks w Proj'!$P:$AB,13,FALSE)&lt;0,0,VLOOKUP(TableRBRanks3141[[#This Row],[RK]],'Ranks w Proj'!$P:$AB,13,FALSE))</f>
        <v>0</v>
      </c>
      <c r="AD44" s="22">
        <v>43</v>
      </c>
      <c r="AE44" s="274" t="str">
        <f>VLOOKUP(TableWRRanks3242[[#This Row],[RK]],Rankings!A:Q,11,FALSE)</f>
        <v>Treylon Burks</v>
      </c>
      <c r="AF44" s="22" t="str">
        <f>IFERROR(INDEX(TableWRCalcPts[TM],MATCH(TableWRRanks3242[[#This Row],[Player]],TableWRCalcPts[PLAYER],0)),"")</f>
        <v>TEN</v>
      </c>
      <c r="AG44" s="22">
        <f>IFERROR(INDEX(TableWRCalcPts[BYE],MATCH(TableWRRanks3242[[#This Row],[RK]],TableWRCalcPts[RK],0)),"")</f>
        <v>10</v>
      </c>
      <c r="AH44" s="279">
        <f>VLOOKUP(TableWRRanks3242[[#This Row],[Player]],WR!B:O,4,FALSE)</f>
        <v>18.199628658585521</v>
      </c>
      <c r="AI44" s="279">
        <f>VLOOKUP(TableWRRanks3242[[#This Row],[Player]],WR!B:O,5,FALSE)</f>
        <v>0</v>
      </c>
      <c r="AJ44" s="279">
        <f>VLOOKUP(TableWRRanks3242[[#This Row],[Player]],WR!B:O,6,FALSE)</f>
        <v>98.263115319262567</v>
      </c>
      <c r="AK44" s="279">
        <f>VLOOKUP(TableWRRanks3242[[#This Row],[Player]],WR!B:O,7,FALSE)</f>
        <v>59.999458213941729</v>
      </c>
      <c r="AL44" s="279">
        <f>VLOOKUP(TableWRRanks3242[[#This Row],[Player]],WR!B:O,8,FALSE)</f>
        <v>810.61390329330675</v>
      </c>
      <c r="AM44" s="279">
        <f>VLOOKUP(TableWRRanks3242[[#This Row],[Player]],WR!B:O,9,FALSE)</f>
        <v>5.0676727947573985</v>
      </c>
      <c r="AN44" s="272">
        <f>VLOOKUP(TableWRRanks3242[[#This Row],[Player]],WR!B:O,13,FALSE)</f>
        <v>113.28738996373363</v>
      </c>
      <c r="AO44" s="273">
        <f>IF(VLOOKUP(TableWRRanks3242[[#This Row],[RK]],'Ranks w Proj'!AD:AO,12,FALSE)&lt;0,0,VLOOKUP(TableWRRanks3242[[#This Row],[RK]],'Ranks w Proj'!AD:AO,12,FALSE))</f>
        <v>4.6056054306847409</v>
      </c>
      <c r="AQ44" s="22">
        <v>43</v>
      </c>
      <c r="AR44" s="274" t="str">
        <f>VLOOKUP(TableTERanks3343[[#This Row],[RK]],Rankings!A:Q,15,FALSE)</f>
        <v>Daniel Bellinger</v>
      </c>
      <c r="AS44" s="22" t="str">
        <f>IFERROR(INDEX(TableTECalcPts[TM],MATCH(TableTERanks3343[[#This Row],[Player]],TableTECalcPts[PLAYER],0)),"")</f>
        <v>NYG</v>
      </c>
      <c r="AT44" s="22">
        <f>IFERROR(INDEX(TableTECalcPts[BYE],MATCH(TableTERanks3343[[#This Row],[RK]],TableTECalcPts[RK],0)),"")</f>
        <v>6</v>
      </c>
      <c r="AU44" s="279">
        <f>VLOOKUP(TableTERanks3343[[#This Row],[Player]],TE!B:O,4,FALSE)</f>
        <v>22.983690830669641</v>
      </c>
      <c r="AV44" s="279">
        <f>VLOOKUP(TableTERanks3343[[#This Row],[Player]],TE!B:O,5,FALSE)</f>
        <v>14.203920933353837</v>
      </c>
      <c r="AW44" s="279">
        <f>VLOOKUP(TableTERanks3343[[#This Row],[Player]],TE!B:O,6,FALSE)</f>
        <v>148.71505217221468</v>
      </c>
      <c r="AX44" s="279">
        <f>VLOOKUP(TableTERanks3343[[#This Row],[Player]],TE!B:O,7,FALSE)</f>
        <v>1.1363136746683069</v>
      </c>
      <c r="AY44" s="272">
        <f>VLOOKUP(TableTERanks3343[[#This Row],[Player]],TE!B:O,11,FALSE)</f>
        <v>21.689387265231311</v>
      </c>
      <c r="AZ44" s="273">
        <f>IF(VLOOKUP(TableTERanks3343[[#This Row],[RK]],'Ranks w Proj'!AQ:AZ,10,FALSE)&lt;0,0,VLOOKUP(TableTERanks3343[[#This Row],[RK]],'Ranks w Proj'!AQ:AZ,10,FALSE))</f>
        <v>0</v>
      </c>
    </row>
    <row r="45" spans="1:52" x14ac:dyDescent="0.3">
      <c r="A45" s="22">
        <v>44</v>
      </c>
      <c r="B45" s="22" t="str">
        <f>VLOOKUP(TableQBRanks3040[[#This Row],[RK]],Rankings!A:Q,3,FALSE)</f>
        <v>Cooper Rush</v>
      </c>
      <c r="C45" s="22" t="str">
        <f>IFERROR(INDEX(TableQBCalcPts[TM],MATCH(TableQBRanks3040[[#This Row],[Player]],TableQBCalcPts[PLAYER],0)),"")</f>
        <v>DAL</v>
      </c>
      <c r="D45" s="22">
        <f>IFERROR(INDEX(TableQBCalcPts[BYE],MATCH(TableQBRanks3040[[#This Row],[RK]],TableQBCalcPts[RK],0)),"")</f>
        <v>7</v>
      </c>
      <c r="E45" s="279">
        <f>VLOOKUP(TableQBRanks3040[[#This Row],[Player]],QB!B:O,4,FALSE)</f>
        <v>26.121760000000023</v>
      </c>
      <c r="F45" s="279">
        <f>VLOOKUP(TableQBRanks3040[[#This Row],[Player]],QB!B:O,5,FALSE)</f>
        <v>16.386720373160585</v>
      </c>
      <c r="G45" s="279">
        <f>VLOOKUP(TableQBRanks3040[[#This Row],[Player]],QB!B:O,6,FALSE)</f>
        <v>176.6488456226711</v>
      </c>
      <c r="H45" s="279">
        <f>VLOOKUP(TableQBRanks3040[[#This Row],[Player]],QB!B:O,7,FALSE)</f>
        <v>1.2126173076138833</v>
      </c>
      <c r="I45" s="279">
        <f>VLOOKUP(TableQBRanks3040[[#This Row],[Player]],QB!B:O,8,FALSE)</f>
        <v>0.41448317241876798</v>
      </c>
      <c r="J45" s="279">
        <f>VLOOKUP(TableQBRanks3040[[#This Row],[Player]],QB!B:O,9,FALSE)</f>
        <v>4.201530115026606</v>
      </c>
      <c r="K45" s="279">
        <f>VLOOKUP(TableQBRanks3040[[#This Row],[Player]],QB!B:O,10,FALSE)</f>
        <v>11.753271204741239</v>
      </c>
      <c r="L45" s="279">
        <f>VLOOKUP(TableQBRanks3040[[#This Row],[Player]],QB!B:O,11,FALSE)</f>
        <v>0</v>
      </c>
      <c r="M45" s="272">
        <f>VLOOKUP(TableQBRanks3040[[#This Row],[Player]],QB!B:O,13,FALSE)</f>
        <v>12.262783830998966</v>
      </c>
      <c r="N45" s="273">
        <f>IF(VLOOKUP(TableQBRanks3040[[#This Row],[RK]],'Ranks w Proj'!$A:$N,14,FALSE)&lt;0,0,VLOOKUP(TableQBRanks3040[[#This Row],[RK]],'Ranks w Proj'!$A:$N,14,FALSE))</f>
        <v>0</v>
      </c>
      <c r="P45" s="22">
        <v>44</v>
      </c>
      <c r="Q45" s="22" t="str">
        <f>VLOOKUP(TableRBRanks3141[[#This Row],[RK]],Rankings!A:Q,7,FALSE)</f>
        <v>Kenneth Gainwell</v>
      </c>
      <c r="R45" s="22" t="str">
        <f>IFERROR(INDEX(TableRBCalcPts[TM],MATCH(TableRBRanks3141[[#This Row],[Player]],TableRBCalcPts[PLAYER],0)),"")</f>
        <v>PHI</v>
      </c>
      <c r="S45" s="22">
        <f>IFERROR(INDEX(TableRBCalcPts[BYE],MATCH(TableRBRanks3141[[#This Row],[RK]],TableRBCalcPts[RK],0)),"")</f>
        <v>7</v>
      </c>
      <c r="T45" s="279">
        <f>VLOOKUP(TableRBRanks3141[[#This Row],[Player]],RB!B:O,4,FALSE)</f>
        <v>72.323602437497414</v>
      </c>
      <c r="U45" s="279">
        <f>VLOOKUP(TableRBRanks3141[[#This Row],[Player]],RB!B:O,5,FALSE)</f>
        <v>311.71472650561384</v>
      </c>
      <c r="V45" s="279">
        <f>VLOOKUP(TableRBRanks3141[[#This Row],[Player]],RB!B:O,6,FALSE)</f>
        <v>3.2750936022534609</v>
      </c>
      <c r="W45" s="279">
        <f>VLOOKUP(TableRBRanks3141[[#This Row],[Player]],RB!B:O,7,FALSE)</f>
        <v>65.674918090941105</v>
      </c>
      <c r="X45" s="279">
        <f>VLOOKUP(TableRBRanks3141[[#This Row],[Player]],RB!B:O,8,FALSE)</f>
        <v>46.182602401549786</v>
      </c>
      <c r="Y45" s="279">
        <f>VLOOKUP(TableRBRanks3141[[#This Row],[Player]],RB!B:O,9,FALSE)</f>
        <v>355.60603849193336</v>
      </c>
      <c r="Z45" s="279">
        <f>VLOOKUP(TableRBRanks3141[[#This Row],[Player]],RB!B:O,10,FALSE)</f>
        <v>1.8473040960619915</v>
      </c>
      <c r="AA45" s="272">
        <f>VLOOKUP(TableRBRanks3141[[#This Row],[Player]],RB!B:O,14,FALSE)</f>
        <v>97.466462689647429</v>
      </c>
      <c r="AB45" s="273">
        <f>IF(VLOOKUP(TableRBRanks3141[[#This Row],[RK]],'Ranks w Proj'!$P:$AB,13,FALSE)&lt;0,0,VLOOKUP(TableRBRanks3141[[#This Row],[RK]],'Ranks w Proj'!$P:$AB,13,FALSE))</f>
        <v>0</v>
      </c>
      <c r="AD45" s="274">
        <v>44</v>
      </c>
      <c r="AE45" s="274" t="str">
        <f>VLOOKUP(TableWRRanks3242[[#This Row],[RK]],Rankings!A:Q,11,FALSE)</f>
        <v>Russell Gage</v>
      </c>
      <c r="AF45" s="22" t="str">
        <f>IFERROR(INDEX(TableWRCalcPts[TM],MATCH(TableWRRanks3242[[#This Row],[Player]],TableWRCalcPts[PLAYER],0)),"")</f>
        <v>TB</v>
      </c>
      <c r="AG45" s="22">
        <f>IFERROR(INDEX(TableWRCalcPts[BYE],MATCH(TableWRRanks3242[[#This Row],[RK]],TableWRCalcPts[RK],0)),"")</f>
        <v>9</v>
      </c>
      <c r="AH45" s="279">
        <f>VLOOKUP(TableWRRanks3242[[#This Row],[Player]],WR!B:O,4,FALSE)</f>
        <v>0.80002989236686917</v>
      </c>
      <c r="AI45" s="279">
        <f>VLOOKUP(TableWRRanks3242[[#This Row],[Player]],WR!B:O,5,FALSE)</f>
        <v>0</v>
      </c>
      <c r="AJ45" s="279">
        <f>VLOOKUP(TableWRRanks3242[[#This Row],[Player]],WR!B:O,6,FALSE)</f>
        <v>109.64552034548227</v>
      </c>
      <c r="AK45" s="279">
        <f>VLOOKUP(TableWRRanks3242[[#This Row],[Player]],WR!B:O,7,FALSE)</f>
        <v>74.756395019731798</v>
      </c>
      <c r="AL45" s="279">
        <f>VLOOKUP(TableWRRanks3242[[#This Row],[Player]],WR!B:O,8,FALSE)</f>
        <v>866.42661827869154</v>
      </c>
      <c r="AM45" s="279">
        <f>VLOOKUP(TableWRRanks3242[[#This Row],[Player]],WR!B:O,9,FALSE)</f>
        <v>5.5319732314601531</v>
      </c>
      <c r="AN45" s="272">
        <f>VLOOKUP(TableWRRanks3242[[#This Row],[Player]],WR!B:O,13,FALSE)</f>
        <v>119.91450420586676</v>
      </c>
      <c r="AO45" s="273">
        <f>IF(VLOOKUP(TableWRRanks3242[[#This Row],[RK]],'Ranks w Proj'!AD:AO,12,FALSE)&lt;0,0,VLOOKUP(TableWRRanks3242[[#This Row],[RK]],'Ranks w Proj'!AD:AO,12,FALSE))</f>
        <v>4.3895774012865445</v>
      </c>
      <c r="AQ45" s="274">
        <v>44</v>
      </c>
      <c r="AR45" s="22" t="str">
        <f>VLOOKUP(TableTERanks3343[[#This Row],[RK]],Rankings!A:Q,15,FALSE)</f>
        <v>Anthony Firkser</v>
      </c>
      <c r="AS45" s="22" t="str">
        <f>IFERROR(INDEX(TableTECalcPts[TM],MATCH(TableTERanks3343[[#This Row],[Player]],TableTECalcPts[PLAYER],0)),"")</f>
        <v>ATL</v>
      </c>
      <c r="AT45" s="22">
        <f>IFERROR(INDEX(TableTECalcPts[BYE],MATCH(TableTERanks3343[[#This Row],[RK]],TableTECalcPts[RK],0)),"")</f>
        <v>14</v>
      </c>
      <c r="AU45" s="279">
        <f>VLOOKUP(TableTERanks3343[[#This Row],[Player]],TE!B:O,4,FALSE)</f>
        <v>38.849163815004538</v>
      </c>
      <c r="AV45" s="279">
        <f>VLOOKUP(TableTERanks3343[[#This Row],[Player]],TE!B:O,5,FALSE)</f>
        <v>24.513822367267863</v>
      </c>
      <c r="AW45" s="279">
        <f>VLOOKUP(TableTERanks3343[[#This Row],[Player]],TE!B:O,6,FALSE)</f>
        <v>214.4810319290321</v>
      </c>
      <c r="AX45" s="279">
        <f>VLOOKUP(TableTERanks3343[[#This Row],[Player]],TE!B:O,7,FALSE)</f>
        <v>1.0786081841597859</v>
      </c>
      <c r="AY45" s="272">
        <f>VLOOKUP(TableTERanks3343[[#This Row],[Player]],TE!B:O,11,FALSE)</f>
        <v>27.919752297861926</v>
      </c>
      <c r="AZ45" s="273">
        <f>IF(VLOOKUP(TableTERanks3343[[#This Row],[RK]],'Ranks w Proj'!AQ:AZ,10,FALSE)&lt;0,0,VLOOKUP(TableTERanks3343[[#This Row],[RK]],'Ranks w Proj'!AQ:AZ,10,FALSE))</f>
        <v>0</v>
      </c>
    </row>
    <row r="46" spans="1:52" x14ac:dyDescent="0.3">
      <c r="A46" s="22">
        <v>45</v>
      </c>
      <c r="B46" s="22" t="str">
        <f>VLOOKUP(TableQBRanks3040[[#This Row],[RK]],Rankings!A:Q,3,FALSE)</f>
        <v>Teddy Bridgewater</v>
      </c>
      <c r="C46" s="22" t="str">
        <f>IFERROR(INDEX(TableQBCalcPts[TM],MATCH(TableQBRanks3040[[#This Row],[Player]],TableQBCalcPts[PLAYER],0)),"")</f>
        <v>MIA</v>
      </c>
      <c r="D46" s="22">
        <f>IFERROR(INDEX(TableQBCalcPts[BYE],MATCH(TableQBRanks3040[[#This Row],[RK]],TableQBCalcPts[RK],0)),"")</f>
        <v>14</v>
      </c>
      <c r="E46" s="279">
        <f>VLOOKUP(TableQBRanks3040[[#This Row],[Player]],QB!B:O,4,FALSE)</f>
        <v>18.899655300000013</v>
      </c>
      <c r="F46" s="279">
        <f>VLOOKUP(TableQBRanks3040[[#This Row],[Player]],QB!B:O,5,FALSE)</f>
        <v>12.487063830355419</v>
      </c>
      <c r="G46" s="279">
        <f>VLOOKUP(TableQBRanks3040[[#This Row],[Player]],QB!B:O,6,FALSE)</f>
        <v>135.85925447426698</v>
      </c>
      <c r="H46" s="279">
        <f>VLOOKUP(TableQBRanks3040[[#This Row],[Player]],QB!B:O,7,FALSE)</f>
        <v>1.0450131417500794</v>
      </c>
      <c r="I46" s="279">
        <f>VLOOKUP(TableQBRanks3040[[#This Row],[Player]],QB!B:O,8,FALSE)</f>
        <v>0.3352126278739308</v>
      </c>
      <c r="J46" s="279">
        <f>VLOOKUP(TableQBRanks3040[[#This Row],[Player]],QB!B:O,9,FALSE)</f>
        <v>2.1988549721774246</v>
      </c>
      <c r="K46" s="279">
        <f>VLOOKUP(TableQBRanks3040[[#This Row],[Player]],QB!B:O,10,FALSE)</f>
        <v>8.3114391117648285</v>
      </c>
      <c r="L46" s="279">
        <f>VLOOKUP(TableQBRanks3040[[#This Row],[Player]],QB!B:O,11,FALSE)</f>
        <v>8.3765903701997144E-2</v>
      </c>
      <c r="M46" s="272">
        <f>VLOOKUP(TableQBRanks3040[[#This Row],[Player]],QB!B:O,13,FALSE)</f>
        <v>10.277736823611601</v>
      </c>
      <c r="N46" s="273">
        <f>IF(VLOOKUP(TableQBRanks3040[[#This Row],[RK]],'Ranks w Proj'!$A:$N,14,FALSE)&lt;0,0,VLOOKUP(TableQBRanks3040[[#This Row],[RK]],'Ranks w Proj'!$A:$N,14,FALSE))</f>
        <v>0</v>
      </c>
      <c r="P46" s="22">
        <v>45</v>
      </c>
      <c r="Q46" s="22" t="str">
        <f>VLOOKUP(TableRBRanks3141[[#This Row],[RK]],Rankings!A:Q,7,FALSE)</f>
        <v>Khalil Herbert</v>
      </c>
      <c r="R46" s="22" t="str">
        <f>IFERROR(INDEX(TableRBCalcPts[TM],MATCH(TableRBRanks3141[[#This Row],[Player]],TableRBCalcPts[PLAYER],0)),"")</f>
        <v>CHI</v>
      </c>
      <c r="S46" s="22">
        <f>IFERROR(INDEX(TableRBCalcPts[BYE],MATCH(TableRBRanks3141[[#This Row],[RK]],TableRBCalcPts[RK],0)),"")</f>
        <v>7</v>
      </c>
      <c r="T46" s="279">
        <f>VLOOKUP(TableRBRanks3141[[#This Row],[Player]],RB!B:O,4,FALSE)</f>
        <v>113.42745725984751</v>
      </c>
      <c r="U46" s="279">
        <f>VLOOKUP(TableRBRanks3141[[#This Row],[Player]],RB!B:O,5,FALSE)</f>
        <v>476.3953204913596</v>
      </c>
      <c r="V46" s="279">
        <f>VLOOKUP(TableRBRanks3141[[#This Row],[Player]],RB!B:O,6,FALSE)</f>
        <v>3.6410213780411049</v>
      </c>
      <c r="W46" s="279">
        <f>VLOOKUP(TableRBRanks3141[[#This Row],[Player]],RB!B:O,7,FALSE)</f>
        <v>45.654533443862476</v>
      </c>
      <c r="X46" s="279">
        <f>VLOOKUP(TableRBRanks3141[[#This Row],[Player]],RB!B:O,8,FALSE)</f>
        <v>34.925718084554795</v>
      </c>
      <c r="Y46" s="279">
        <f>VLOOKUP(TableRBRanks3141[[#This Row],[Player]],RB!B:O,9,FALSE)</f>
        <v>266.8324861659986</v>
      </c>
      <c r="Z46" s="279">
        <f>VLOOKUP(TableRBRanks3141[[#This Row],[Player]],RB!B:O,10,FALSE)</f>
        <v>1.3621030052976371</v>
      </c>
      <c r="AA46" s="272">
        <f>VLOOKUP(TableRBRanks3141[[#This Row],[Player]],RB!B:O,14,FALSE)</f>
        <v>104.34152696576828</v>
      </c>
      <c r="AB46" s="273">
        <f>IF(VLOOKUP(TableRBRanks3141[[#This Row],[RK]],'Ranks w Proj'!$P:$AB,13,FALSE)&lt;0,0,VLOOKUP(TableRBRanks3141[[#This Row],[RK]],'Ranks w Proj'!$P:$AB,13,FALSE))</f>
        <v>0</v>
      </c>
      <c r="AD46" s="22">
        <v>45</v>
      </c>
      <c r="AE46" s="22" t="str">
        <f>VLOOKUP(TableWRRanks3242[[#This Row],[RK]],Rankings!A:Q,11,FALSE)</f>
        <v>Michael Gallup</v>
      </c>
      <c r="AF46" s="22" t="str">
        <f>IFERROR(INDEX(TableWRCalcPts[TM],MATCH(TableWRRanks3242[[#This Row],[Player]],TableWRCalcPts[PLAYER],0)),"")</f>
        <v>DAL</v>
      </c>
      <c r="AG46" s="22">
        <f>IFERROR(INDEX(TableWRCalcPts[BYE],MATCH(TableWRRanks3242[[#This Row],[RK]],TableWRCalcPts[RK],0)),"")</f>
        <v>10</v>
      </c>
      <c r="AH46" s="279">
        <f>VLOOKUP(TableWRRanks3242[[#This Row],[Player]],WR!B:O,4,FALSE)</f>
        <v>0</v>
      </c>
      <c r="AI46" s="279">
        <f>VLOOKUP(TableWRRanks3242[[#This Row],[Player]],WR!B:O,5,FALSE)</f>
        <v>0</v>
      </c>
      <c r="AJ46" s="279">
        <f>VLOOKUP(TableWRRanks3242[[#This Row],[Player]],WR!B:O,6,FALSE)</f>
        <v>107.07015746384266</v>
      </c>
      <c r="AK46" s="279">
        <f>VLOOKUP(TableWRRanks3242[[#This Row],[Player]],WR!B:O,7,FALSE)</f>
        <v>61.421880526807001</v>
      </c>
      <c r="AL46" s="279">
        <f>VLOOKUP(TableWRRanks3242[[#This Row],[Player]],WR!B:O,8,FALSE)</f>
        <v>816.29679220126502</v>
      </c>
      <c r="AM46" s="279">
        <f>VLOOKUP(TableWRRanks3242[[#This Row],[Player]],WR!B:O,9,FALSE)</f>
        <v>6.9406724995291915</v>
      </c>
      <c r="AN46" s="272">
        <f>VLOOKUP(TableWRRanks3242[[#This Row],[Player]],WR!B:O,13,FALSE)</f>
        <v>123.27371421730166</v>
      </c>
      <c r="AO46" s="273">
        <f>IF(VLOOKUP(TableWRRanks3242[[#This Row],[RK]],'Ranks w Proj'!AD:AO,12,FALSE)&lt;0,0,VLOOKUP(TableWRRanks3242[[#This Row],[RK]],'Ranks w Proj'!AD:AO,12,FALSE))</f>
        <v>3.2780128693741557</v>
      </c>
      <c r="AQ46" s="22">
        <v>45</v>
      </c>
      <c r="AR46" s="274" t="str">
        <f>VLOOKUP(TableTERanks3343[[#This Row],[RK]],Rankings!A:Q,15,FALSE)</f>
        <v>Tyler Conklin</v>
      </c>
      <c r="AS46" s="22" t="str">
        <f>IFERROR(INDEX(TableTECalcPts[TM],MATCH(TableTERanks3343[[#This Row],[Player]],TableTECalcPts[PLAYER],0)),"")</f>
        <v>NYJ</v>
      </c>
      <c r="AT46" s="22">
        <f>IFERROR(INDEX(TableTECalcPts[BYE],MATCH(TableTERanks3343[[#This Row],[RK]],TableTECalcPts[RK],0)),"")</f>
        <v>14</v>
      </c>
      <c r="AU46" s="279">
        <f>VLOOKUP(TableTERanks3343[[#This Row],[Player]],TE!B:O,4,FALSE)</f>
        <v>33.898797161602417</v>
      </c>
      <c r="AV46" s="279">
        <f>VLOOKUP(TableTERanks3343[[#This Row],[Player]],TE!B:O,5,FALSE)</f>
        <v>21.179968466569189</v>
      </c>
      <c r="AW46" s="279">
        <f>VLOOKUP(TableTERanks3343[[#This Row],[Player]],TE!B:O,6,FALSE)</f>
        <v>214.34128088168018</v>
      </c>
      <c r="AX46" s="279">
        <f>VLOOKUP(TableTERanks3343[[#This Row],[Player]],TE!B:O,7,FALSE)</f>
        <v>1.2707981079941513</v>
      </c>
      <c r="AY46" s="272">
        <f>VLOOKUP(TableTERanks3343[[#This Row],[Player]],TE!B:O,11,FALSE)</f>
        <v>29.058916736132929</v>
      </c>
      <c r="AZ46" s="273">
        <f>IF(VLOOKUP(TableTERanks3343[[#This Row],[RK]],'Ranks w Proj'!AQ:AZ,10,FALSE)&lt;0,0,VLOOKUP(TableTERanks3343[[#This Row],[RK]],'Ranks w Proj'!AQ:AZ,10,FALSE))</f>
        <v>0</v>
      </c>
    </row>
    <row r="47" spans="1:52" x14ac:dyDescent="0.3">
      <c r="A47" s="22">
        <v>46</v>
      </c>
      <c r="B47" s="22" t="str">
        <f>VLOOKUP(TableQBRanks3040[[#This Row],[RK]],Rankings!A:Q,3,FALSE)</f>
        <v>Malik Willis</v>
      </c>
      <c r="C47" s="22" t="str">
        <f>IFERROR(INDEX(TableQBCalcPts[TM],MATCH(TableQBRanks3040[[#This Row],[Player]],TableQBCalcPts[PLAYER],0)),"")</f>
        <v>TEN</v>
      </c>
      <c r="D47" s="22">
        <f>IFERROR(INDEX(TableQBCalcPts[BYE],MATCH(TableQBRanks3040[[#This Row],[RK]],TableQBCalcPts[RK],0)),"")</f>
        <v>9</v>
      </c>
      <c r="E47" s="279">
        <f>VLOOKUP(TableQBRanks3040[[#This Row],[Player]],QB!B:O,4,FALSE)</f>
        <v>16.556223000000013</v>
      </c>
      <c r="F47" s="279">
        <f>VLOOKUP(TableQBRanks3040[[#This Row],[Player]],QB!B:O,5,FALSE)</f>
        <v>9.6049920767179913</v>
      </c>
      <c r="G47" s="279">
        <f>VLOOKUP(TableQBRanks3040[[#This Row],[Player]],QB!B:O,6,FALSE)</f>
        <v>115.33964591038108</v>
      </c>
      <c r="H47" s="279">
        <f>VLOOKUP(TableQBRanks3040[[#This Row],[Player]],QB!B:O,7,FALSE)</f>
        <v>0.85436774748430444</v>
      </c>
      <c r="I47" s="279">
        <f>VLOOKUP(TableQBRanks3040[[#This Row],[Player]],QB!B:O,8,FALSE)</f>
        <v>0.36149862671125765</v>
      </c>
      <c r="J47" s="279">
        <f>VLOOKUP(TableQBRanks3040[[#This Row],[Player]],QB!B:O,9,FALSE)</f>
        <v>3.1499357293705712</v>
      </c>
      <c r="K47" s="279">
        <f>VLOOKUP(TableQBRanks3040[[#This Row],[Player]],QB!B:O,10,FALSE)</f>
        <v>19.919593564781515</v>
      </c>
      <c r="L47" s="279">
        <f>VLOOKUP(TableQBRanks3040[[#This Row],[Player]],QB!B:O,11,FALSE)</f>
        <v>0.13999714352758091</v>
      </c>
      <c r="M47" s="272">
        <f>VLOOKUP(TableQBRanks3040[[#This Row],[Player]],QB!B:O,13,FALSE)</f>
        <v>10.140001790573582</v>
      </c>
      <c r="N47" s="273">
        <f>IF(VLOOKUP(TableQBRanks3040[[#This Row],[RK]],'Ranks w Proj'!$A:$N,14,FALSE)&lt;0,0,VLOOKUP(TableQBRanks3040[[#This Row],[RK]],'Ranks w Proj'!$A:$N,14,FALSE))</f>
        <v>0</v>
      </c>
      <c r="P47" s="22">
        <v>46</v>
      </c>
      <c r="Q47" s="22" t="str">
        <f>VLOOKUP(TableRBRanks3141[[#This Row],[RK]],Rankings!A:Q,7,FALSE)</f>
        <v>James Robinson</v>
      </c>
      <c r="R47" s="22" t="str">
        <f>IFERROR(INDEX(TableRBCalcPts[TM],MATCH(TableRBRanks3141[[#This Row],[Player]],TableRBCalcPts[PLAYER],0)),"")</f>
        <v>JAX</v>
      </c>
      <c r="S47" s="22">
        <f>IFERROR(INDEX(TableRBCalcPts[BYE],MATCH(TableRBRanks3141[[#This Row],[RK]],TableRBCalcPts[RK],0)),"")</f>
        <v>6</v>
      </c>
      <c r="T47" s="279">
        <f>VLOOKUP(TableRBRanks3141[[#This Row],[Player]],RB!B:O,4,FALSE)</f>
        <v>94.952470605795838</v>
      </c>
      <c r="U47" s="279">
        <f>VLOOKUP(TableRBRanks3141[[#This Row],[Player]],RB!B:O,5,FALSE)</f>
        <v>442.97458424559198</v>
      </c>
      <c r="V47" s="279">
        <f>VLOOKUP(TableRBRanks3141[[#This Row],[Player]],RB!B:O,6,FALSE)</f>
        <v>3.7832048989261944</v>
      </c>
      <c r="W47" s="279">
        <f>VLOOKUP(TableRBRanks3141[[#This Row],[Player]],RB!B:O,7,FALSE)</f>
        <v>41.905205968948138</v>
      </c>
      <c r="X47" s="279">
        <f>VLOOKUP(TableRBRanks3141[[#This Row],[Player]],RB!B:O,8,FALSE)</f>
        <v>29.836506649891074</v>
      </c>
      <c r="Y47" s="279">
        <f>VLOOKUP(TableRBRanks3141[[#This Row],[Player]],RB!B:O,9,FALSE)</f>
        <v>220.79014920919397</v>
      </c>
      <c r="Z47" s="279">
        <f>VLOOKUP(TableRBRanks3141[[#This Row],[Player]],RB!B:O,10,FALSE)</f>
        <v>1.1636237593457519</v>
      </c>
      <c r="AA47" s="272">
        <f>VLOOKUP(TableRBRanks3141[[#This Row],[Player]],RB!B:O,14,FALSE)</f>
        <v>96.05744529511027</v>
      </c>
      <c r="AB47" s="273">
        <f>IF(VLOOKUP(TableRBRanks3141[[#This Row],[RK]],'Ranks w Proj'!$P:$AB,13,FALSE)&lt;0,0,VLOOKUP(TableRBRanks3141[[#This Row],[RK]],'Ranks w Proj'!$P:$AB,13,FALSE))</f>
        <v>0</v>
      </c>
      <c r="AD47" s="22">
        <v>46</v>
      </c>
      <c r="AE47" s="274" t="str">
        <f>VLOOKUP(TableWRRanks3242[[#This Row],[RK]],Rankings!A:Q,11,FALSE)</f>
        <v>Adam Thielen</v>
      </c>
      <c r="AF47" s="22" t="str">
        <f>IFERROR(INDEX(TableWRCalcPts[TM],MATCH(TableWRRanks3242[[#This Row],[Player]],TableWRCalcPts[PLAYER],0)),"")</f>
        <v>MIN</v>
      </c>
      <c r="AG47" s="22">
        <f>IFERROR(INDEX(TableWRCalcPts[BYE],MATCH(TableWRRanks3242[[#This Row],[RK]],TableWRCalcPts[RK],0)),"")</f>
        <v>6</v>
      </c>
      <c r="AH47" s="279">
        <f>VLOOKUP(TableWRRanks3242[[#This Row],[Player]],WR!B:O,4,FALSE)</f>
        <v>1.2499361274728533</v>
      </c>
      <c r="AI47" s="279">
        <f>VLOOKUP(TableWRRanks3242[[#This Row],[Player]],WR!B:O,5,FALSE)</f>
        <v>0</v>
      </c>
      <c r="AJ47" s="279">
        <f>VLOOKUP(TableWRRanks3242[[#This Row],[Player]],WR!B:O,6,FALSE)</f>
        <v>105.13703677285898</v>
      </c>
      <c r="AK47" s="279">
        <f>VLOOKUP(TableWRRanks3242[[#This Row],[Player]],WR!B:O,7,FALSE)</f>
        <v>70.327027341628721</v>
      </c>
      <c r="AL47" s="279">
        <f>VLOOKUP(TableWRRanks3242[[#This Row],[Player]],WR!B:O,8,FALSE)</f>
        <v>793.99213868698826</v>
      </c>
      <c r="AM47" s="279">
        <f>VLOOKUP(TableWRRanks3242[[#This Row],[Player]],WR!B:O,9,FALSE)</f>
        <v>7.3140108435293865</v>
      </c>
      <c r="AN47" s="272">
        <f>VLOOKUP(TableWRRanks3242[[#This Row],[Player]],WR!B:O,13,FALSE)</f>
        <v>123.40827254262244</v>
      </c>
      <c r="AO47" s="273">
        <f>IF(VLOOKUP(TableWRRanks3242[[#This Row],[RK]],'Ranks w Proj'!AD:AO,12,FALSE)&lt;0,0,VLOOKUP(TableWRRanks3242[[#This Row],[RK]],'Ranks w Proj'!AD:AO,12,FALSE))</f>
        <v>2.0324604332739602</v>
      </c>
      <c r="AQ47" s="22">
        <v>46</v>
      </c>
      <c r="AR47" s="22" t="str">
        <f>VLOOKUP(TableTERanks3343[[#This Row],[RK]],Rankings!A:Q,15,FALSE)</f>
        <v>Foster Moreau</v>
      </c>
      <c r="AS47" s="22" t="str">
        <f>IFERROR(INDEX(TableTECalcPts[TM],MATCH(TableTERanks3343[[#This Row],[Player]],TableTECalcPts[PLAYER],0)),"")</f>
        <v>LV</v>
      </c>
      <c r="AT47" s="22">
        <f>IFERROR(INDEX(TableTECalcPts[BYE],MATCH(TableTERanks3343[[#This Row],[RK]],TableTECalcPts[RK],0)),"")</f>
        <v>14</v>
      </c>
      <c r="AU47" s="279">
        <f>VLOOKUP(TableTERanks3343[[#This Row],[Player]],TE!B:O,4,FALSE)</f>
        <v>28.979471459999992</v>
      </c>
      <c r="AV47" s="279">
        <f>VLOOKUP(TableTERanks3343[[#This Row],[Player]],TE!B:O,5,FALSE)</f>
        <v>18.894615391919995</v>
      </c>
      <c r="AW47" s="279">
        <f>VLOOKUP(TableTERanks3343[[#This Row],[Player]],TE!B:O,6,FALSE)</f>
        <v>207.65182315720074</v>
      </c>
      <c r="AX47" s="279">
        <f>VLOOKUP(TableTERanks3343[[#This Row],[Player]],TE!B:O,7,FALSE)</f>
        <v>1.4737800005697597</v>
      </c>
      <c r="AY47" s="272">
        <f>VLOOKUP(TableTERanks3343[[#This Row],[Player]],TE!B:O,11,FALSE)</f>
        <v>29.607862319138633</v>
      </c>
      <c r="AZ47" s="273">
        <f>IF(VLOOKUP(TableTERanks3343[[#This Row],[RK]],'Ranks w Proj'!AQ:AZ,10,FALSE)&lt;0,0,VLOOKUP(TableTERanks3343[[#This Row],[RK]],'Ranks w Proj'!AQ:AZ,10,FALSE))</f>
        <v>0</v>
      </c>
    </row>
    <row r="48" spans="1:52" x14ac:dyDescent="0.3">
      <c r="A48" s="22">
        <v>47</v>
      </c>
      <c r="B48" s="22" t="str">
        <f>VLOOKUP(TableQBRanks3040[[#This Row],[RK]],Rankings!A:Q,3,FALSE)</f>
        <v>Trevor Siemian</v>
      </c>
      <c r="C48" s="22" t="str">
        <f>IFERROR(INDEX(TableQBCalcPts[TM],MATCH(TableQBRanks3040[[#This Row],[Player]],TableQBCalcPts[PLAYER],0)),"")</f>
        <v>CHI</v>
      </c>
      <c r="D48" s="22">
        <f>IFERROR(INDEX(TableQBCalcPts[BYE],MATCH(TableQBRanks3040[[#This Row],[RK]],TableQBCalcPts[RK],0)),"")</f>
        <v>11</v>
      </c>
      <c r="E48" s="279">
        <f>VLOOKUP(TableQBRanks3040[[#This Row],[Player]],QB!B:O,4,FALSE)</f>
        <v>29.253286500000026</v>
      </c>
      <c r="F48" s="279">
        <f>VLOOKUP(TableQBRanks3040[[#This Row],[Player]],QB!B:O,5,FALSE)</f>
        <v>17.79251888947347</v>
      </c>
      <c r="G48" s="279">
        <f>VLOOKUP(TableQBRanks3040[[#This Row],[Player]],QB!B:O,6,FALSE)</f>
        <v>194.82808183973449</v>
      </c>
      <c r="H48" s="279">
        <f>VLOOKUP(TableQBRanks3040[[#This Row],[Player]],QB!B:O,7,FALSE)</f>
        <v>1.0766852442387023</v>
      </c>
      <c r="I48" s="279">
        <f>VLOOKUP(TableQBRanks3040[[#This Row],[Player]],QB!B:O,8,FALSE)</f>
        <v>0.47030335142688978</v>
      </c>
      <c r="J48" s="279">
        <f>VLOOKUP(TableQBRanks3040[[#This Row],[Player]],QB!B:O,9,FALSE)</f>
        <v>1.1053533923819034</v>
      </c>
      <c r="K48" s="279">
        <f>VLOOKUP(TableQBRanks3040[[#This Row],[Player]],QB!B:O,10,FALSE)</f>
        <v>3.4818631860029958</v>
      </c>
      <c r="L48" s="279">
        <f>VLOOKUP(TableQBRanks3040[[#This Row],[Player]],QB!B:O,11,FALSE)</f>
        <v>0</v>
      </c>
      <c r="M48" s="272">
        <f>VLOOKUP(TableQBRanks3040[[#This Row],[Player]],QB!B:O,13,FALSE)</f>
        <v>11.507443866290711</v>
      </c>
      <c r="N48" s="273">
        <f>IF(VLOOKUP(TableQBRanks3040[[#This Row],[RK]],'Ranks w Proj'!$A:$N,14,FALSE)&lt;0,0,VLOOKUP(TableQBRanks3040[[#This Row],[RK]],'Ranks w Proj'!$A:$N,14,FALSE))</f>
        <v>0</v>
      </c>
      <c r="P48" s="22">
        <v>47</v>
      </c>
      <c r="Q48" s="22" t="str">
        <f>VLOOKUP(TableRBRanks3141[[#This Row],[RK]],Rankings!A:Q,7,FALSE)</f>
        <v>Isaiah Spiller</v>
      </c>
      <c r="R48" s="22" t="str">
        <f>IFERROR(INDEX(TableRBCalcPts[TM],MATCH(TableRBRanks3141[[#This Row],[Player]],TableRBCalcPts[PLAYER],0)),"")</f>
        <v>LAC</v>
      </c>
      <c r="S48" s="22">
        <f>IFERROR(INDEX(TableRBCalcPts[BYE],MATCH(TableRBRanks3141[[#This Row],[RK]],TableRBCalcPts[RK],0)),"")</f>
        <v>14</v>
      </c>
      <c r="T48" s="279">
        <f>VLOOKUP(TableRBRanks3141[[#This Row],[Player]],RB!B:O,4,FALSE)</f>
        <v>135.07183906465394</v>
      </c>
      <c r="U48" s="279">
        <f>VLOOKUP(TableRBRanks3141[[#This Row],[Player]],RB!B:O,5,FALSE)</f>
        <v>571.79329848445252</v>
      </c>
      <c r="V48" s="279">
        <f>VLOOKUP(TableRBRanks3141[[#This Row],[Player]],RB!B:O,6,FALSE)</f>
        <v>4.0386479880331532</v>
      </c>
      <c r="W48" s="279">
        <f>VLOOKUP(TableRBRanks3141[[#This Row],[Player]],RB!B:O,7,FALSE)</f>
        <v>35.70639180615148</v>
      </c>
      <c r="X48" s="279">
        <f>VLOOKUP(TableRBRanks3141[[#This Row],[Player]],RB!B:O,8,FALSE)</f>
        <v>23.994695293733798</v>
      </c>
      <c r="Y48" s="279">
        <f>VLOOKUP(TableRBRanks3141[[#This Row],[Player]],RB!B:O,9,FALSE)</f>
        <v>186.4387824323116</v>
      </c>
      <c r="Z48" s="279">
        <f>VLOOKUP(TableRBRanks3141[[#This Row],[Player]],RB!B:O,10,FALSE)</f>
        <v>0.7738482244257211</v>
      </c>
      <c r="AA48" s="272">
        <f>VLOOKUP(TableRBRanks3141[[#This Row],[Player]],RB!B:O,14,FALSE)</f>
        <v>104.69818536642967</v>
      </c>
      <c r="AB48" s="273">
        <f>IF(VLOOKUP(TableRBRanks3141[[#This Row],[RK]],'Ranks w Proj'!$P:$AB,13,FALSE)&lt;0,0,VLOOKUP(TableRBRanks3141[[#This Row],[RK]],'Ranks w Proj'!$P:$AB,13,FALSE))</f>
        <v>0</v>
      </c>
      <c r="AD48" s="274">
        <v>47</v>
      </c>
      <c r="AE48" s="274" t="str">
        <f>VLOOKUP(TableWRRanks3242[[#This Row],[RK]],Rankings!A:Q,11,FALSE)</f>
        <v>Brandon Aiyuk</v>
      </c>
      <c r="AF48" s="22" t="str">
        <f>IFERROR(INDEX(TableWRCalcPts[TM],MATCH(TableWRRanks3242[[#This Row],[Player]],TableWRCalcPts[PLAYER],0)),"")</f>
        <v>SF</v>
      </c>
      <c r="AG48" s="22">
        <f>IFERROR(INDEX(TableWRCalcPts[BYE],MATCH(TableWRRanks3242[[#This Row],[RK]],TableWRCalcPts[RK],0)),"")</f>
        <v>9</v>
      </c>
      <c r="AH48" s="279">
        <f>VLOOKUP(TableWRRanks3242[[#This Row],[Player]],WR!B:O,4,FALSE)</f>
        <v>13.530911410964601</v>
      </c>
      <c r="AI48" s="279">
        <f>VLOOKUP(TableWRRanks3242[[#This Row],[Player]],WR!B:O,5,FALSE)</f>
        <v>4.9147067888334645E-2</v>
      </c>
      <c r="AJ48" s="279">
        <f>VLOOKUP(TableWRRanks3242[[#This Row],[Player]],WR!B:O,6,FALSE)</f>
        <v>99.205332945876322</v>
      </c>
      <c r="AK48" s="279">
        <f>VLOOKUP(TableWRRanks3242[[#This Row],[Player]],WR!B:O,7,FALSE)</f>
        <v>60.249771112324581</v>
      </c>
      <c r="AL48" s="279">
        <f>VLOOKUP(TableWRRanks3242[[#This Row],[Player]],WR!B:O,8,FALSE)</f>
        <v>841.08680472805122</v>
      </c>
      <c r="AM48" s="279">
        <f>VLOOKUP(TableWRRanks3242[[#This Row],[Player]],WR!B:O,9,FALSE)</f>
        <v>5.4224794001092125</v>
      </c>
      <c r="AN48" s="272">
        <f>VLOOKUP(TableWRRanks3242[[#This Row],[Player]],WR!B:O,13,FALSE)</f>
        <v>118.29153042188688</v>
      </c>
      <c r="AO48" s="273">
        <f>IF(VLOOKUP(TableWRRanks3242[[#This Row],[RK]],'Ranks w Proj'!AD:AO,12,FALSE)&lt;0,0,VLOOKUP(TableWRRanks3242[[#This Row],[RK]],'Ranks w Proj'!AD:AO,12,FALSE))</f>
        <v>0.48530154517410867</v>
      </c>
      <c r="AQ48" s="274">
        <v>47</v>
      </c>
      <c r="AR48" s="274" t="str">
        <f>VLOOKUP(TableTERanks3343[[#This Row],[RK]],Rankings!A:Q,15,FALSE)</f>
        <v>Pharaoh Brown</v>
      </c>
      <c r="AS48" s="22" t="str">
        <f>IFERROR(INDEX(TableTECalcPts[TM],MATCH(TableTERanks3343[[#This Row],[Player]],TableTECalcPts[PLAYER],0)),"")</f>
        <v>HOU</v>
      </c>
      <c r="AT48" s="22">
        <f>IFERROR(INDEX(TableTECalcPts[BYE],MATCH(TableTERanks3343[[#This Row],[RK]],TableTECalcPts[RK],0)),"")</f>
        <v>13</v>
      </c>
      <c r="AU48" s="279">
        <f>VLOOKUP(TableTERanks3343[[#This Row],[Player]],TE!B:O,4,FALSE)</f>
        <v>29.939298881540047</v>
      </c>
      <c r="AV48" s="279">
        <f>VLOOKUP(TableTERanks3343[[#This Row],[Player]],TE!B:O,5,FALSE)</f>
        <v>20.179087446157993</v>
      </c>
      <c r="AW48" s="279">
        <f>VLOOKUP(TableTERanks3343[[#This Row],[Player]],TE!B:O,6,FALSE)</f>
        <v>204.81773757850362</v>
      </c>
      <c r="AX48" s="279">
        <f>VLOOKUP(TableTERanks3343[[#This Row],[Player]],TE!B:O,7,FALSE)</f>
        <v>1.3519988588925855</v>
      </c>
      <c r="AY48" s="272">
        <f>VLOOKUP(TableTERanks3343[[#This Row],[Player]],TE!B:O,11,FALSE)</f>
        <v>28.593766911205876</v>
      </c>
      <c r="AZ48" s="273">
        <f>IF(VLOOKUP(TableTERanks3343[[#This Row],[RK]],'Ranks w Proj'!AQ:AZ,10,FALSE)&lt;0,0,VLOOKUP(TableTERanks3343[[#This Row],[RK]],'Ranks w Proj'!AQ:AZ,10,FALSE))</f>
        <v>0</v>
      </c>
    </row>
    <row r="49" spans="1:52" x14ac:dyDescent="0.3">
      <c r="A49" s="22">
        <v>48</v>
      </c>
      <c r="B49" s="22" t="str">
        <f>VLOOKUP(TableQBRanks3040[[#This Row],[RK]],Rankings!A:Q,3,FALSE)</f>
        <v>Jimmy Garoppolo</v>
      </c>
      <c r="C49" s="22" t="str">
        <f>IFERROR(INDEX(TableQBCalcPts[TM],MATCH(TableQBRanks3040[[#This Row],[Player]],TableQBCalcPts[PLAYER],0)),"")</f>
        <v>SF</v>
      </c>
      <c r="D49" s="22">
        <f>IFERROR(INDEX(TableQBCalcPts[BYE],MATCH(TableQBRanks3040[[#This Row],[RK]],TableQBCalcPts[RK],0)),"")</f>
        <v>6</v>
      </c>
      <c r="E49" s="279">
        <f>VLOOKUP(TableQBRanks3040[[#This Row],[Player]],QB!B:O,4,FALSE)</f>
        <v>16.449082200000017</v>
      </c>
      <c r="F49" s="279">
        <f>VLOOKUP(TableQBRanks3040[[#This Row],[Player]],QB!B:O,5,FALSE)</f>
        <v>11.201824978200012</v>
      </c>
      <c r="G49" s="279">
        <f>VLOOKUP(TableQBRanks3040[[#This Row],[Player]],QB!B:O,6,FALSE)</f>
        <v>136.21419173491213</v>
      </c>
      <c r="H49" s="279">
        <f>VLOOKUP(TableQBRanks3040[[#This Row],[Player]],QB!B:O,7,FALSE)</f>
        <v>0.9964014665148806</v>
      </c>
      <c r="I49" s="279">
        <f>VLOOKUP(TableQBRanks3040[[#This Row],[Player]],QB!B:O,8,FALSE)</f>
        <v>0.47047664908440051</v>
      </c>
      <c r="J49" s="279">
        <f>VLOOKUP(TableQBRanks3040[[#This Row],[Player]],QB!B:O,9,FALSE)</f>
        <v>2.87592393428673</v>
      </c>
      <c r="K49" s="279">
        <f>VLOOKUP(TableQBRanks3040[[#This Row],[Player]],QB!B:O,10,FALSE)</f>
        <v>11.110734397402643</v>
      </c>
      <c r="L49" s="279">
        <f>VLOOKUP(TableQBRanks3040[[#This Row],[Player]],QB!B:O,11,FALSE)</f>
        <v>0.17830728392577727</v>
      </c>
      <c r="M49" s="272">
        <f>VLOOKUP(TableQBRanks3040[[#This Row],[Player]],QB!B:O,13,FALSE)</f>
        <v>10.674137380582136</v>
      </c>
      <c r="N49" s="273">
        <f>IF(VLOOKUP(TableQBRanks3040[[#This Row],[RK]],'Ranks w Proj'!$A:$N,14,FALSE)&lt;0,0,VLOOKUP(TableQBRanks3040[[#This Row],[RK]],'Ranks w Proj'!$A:$N,14,FALSE))</f>
        <v>0</v>
      </c>
      <c r="P49" s="22">
        <v>48</v>
      </c>
      <c r="Q49" s="22" t="str">
        <f>VLOOKUP(TableRBRanks3141[[#This Row],[RK]],Rankings!A:Q,7,FALSE)</f>
        <v>J.D. McKissic</v>
      </c>
      <c r="R49" s="22" t="str">
        <f>IFERROR(INDEX(TableRBCalcPts[TM],MATCH(TableRBRanks3141[[#This Row],[Player]],TableRBCalcPts[PLAYER],0)),"")</f>
        <v>WSH</v>
      </c>
      <c r="S49" s="22">
        <f>IFERROR(INDEX(TableRBCalcPts[BYE],MATCH(TableRBRanks3141[[#This Row],[RK]],TableRBCalcPts[RK],0)),"")</f>
        <v>11</v>
      </c>
      <c r="T49" s="279">
        <f>VLOOKUP(TableRBRanks3141[[#This Row],[Player]],RB!B:O,4,FALSE)</f>
        <v>40.239792833278976</v>
      </c>
      <c r="U49" s="279">
        <f>VLOOKUP(TableRBRanks3141[[#This Row],[Player]],RB!B:O,5,FALSE)</f>
        <v>176.10117439498976</v>
      </c>
      <c r="V49" s="279">
        <f>VLOOKUP(TableRBRanks3141[[#This Row],[Player]],RB!B:O,6,FALSE)</f>
        <v>1.5731518492636607</v>
      </c>
      <c r="W49" s="279">
        <f>VLOOKUP(TableRBRanks3141[[#This Row],[Player]],RB!B:O,7,FALSE)</f>
        <v>70.299489129730276</v>
      </c>
      <c r="X49" s="279">
        <f>VLOOKUP(TableRBRanks3141[[#This Row],[Player]],RB!B:O,8,FALSE)</f>
        <v>52.162220934259864</v>
      </c>
      <c r="Y49" s="279">
        <f>VLOOKUP(TableRBRanks3141[[#This Row],[Player]],RB!B:O,9,FALSE)</f>
        <v>462.67889968688496</v>
      </c>
      <c r="Z49" s="279">
        <f>VLOOKUP(TableRBRanks3141[[#This Row],[Player]],RB!B:O,10,FALSE)</f>
        <v>2.3472999420416936</v>
      </c>
      <c r="AA49" s="272">
        <f>VLOOKUP(TableRBRanks3141[[#This Row],[Player]],RB!B:O,14,FALSE)</f>
        <v>87.400718156019607</v>
      </c>
      <c r="AB49" s="273">
        <f>IF(VLOOKUP(TableRBRanks3141[[#This Row],[RK]],'Ranks w Proj'!$P:$AB,13,FALSE)&lt;0,0,VLOOKUP(TableRBRanks3141[[#This Row],[RK]],'Ranks w Proj'!$P:$AB,13,FALSE))</f>
        <v>0</v>
      </c>
      <c r="AD49" s="22">
        <v>48</v>
      </c>
      <c r="AE49" s="22" t="str">
        <f>VLOOKUP(TableWRRanks3242[[#This Row],[RK]],Rankings!A:Q,11,FALSE)</f>
        <v>Michael Thomas</v>
      </c>
      <c r="AF49" s="22" t="str">
        <f>IFERROR(INDEX(TableWRCalcPts[TM],MATCH(TableWRRanks3242[[#This Row],[Player]],TableWRCalcPts[PLAYER],0)),"")</f>
        <v>NO</v>
      </c>
      <c r="AG49" s="22">
        <f>IFERROR(INDEX(TableWRCalcPts[BYE],MATCH(TableWRRanks3242[[#This Row],[RK]],TableWRCalcPts[RK],0)),"")</f>
        <v>6</v>
      </c>
      <c r="AH49" s="279">
        <f>VLOOKUP(TableWRRanks3242[[#This Row],[Player]],WR!B:O,4,FALSE)</f>
        <v>0.29993392982193284</v>
      </c>
      <c r="AI49" s="279">
        <f>VLOOKUP(TableWRRanks3242[[#This Row],[Player]],WR!B:O,5,FALSE)</f>
        <v>0</v>
      </c>
      <c r="AJ49" s="279">
        <f>VLOOKUP(TableWRRanks3242[[#This Row],[Player]],WR!B:O,6,FALSE)</f>
        <v>103.08952747123809</v>
      </c>
      <c r="AK49" s="279">
        <f>VLOOKUP(TableWRRanks3242[[#This Row],[Player]],WR!B:O,7,FALSE)</f>
        <v>66.265948258511841</v>
      </c>
      <c r="AL49" s="279">
        <f>VLOOKUP(TableWRRanks3242[[#This Row],[Player]],WR!B:O,8,FALSE)</f>
        <v>805.13127134091894</v>
      </c>
      <c r="AM49" s="279">
        <f>VLOOKUP(TableWRRanks3242[[#This Row],[Player]],WR!B:O,9,FALSE)</f>
        <v>4.9036801711298761</v>
      </c>
      <c r="AN49" s="272">
        <f>VLOOKUP(TableWRRanks3242[[#This Row],[Player]],WR!B:O,13,FALSE)</f>
        <v>109.96520155385335</v>
      </c>
      <c r="AO49" s="273">
        <f>IF(VLOOKUP(TableWRRanks3242[[#This Row],[RK]],'Ranks w Proj'!AD:AO,12,FALSE)&lt;0,0,VLOOKUP(TableWRRanks3242[[#This Row],[RK]],'Ranks w Proj'!AD:AO,12,FALSE))</f>
        <v>0.46909243230902609</v>
      </c>
      <c r="AQ49" s="22">
        <v>48</v>
      </c>
      <c r="AR49" s="274" t="str">
        <f>VLOOKUP(TableTERanks3343[[#This Row],[RK]],Rankings!A:Q,15,FALSE)</f>
        <v>John Bates</v>
      </c>
      <c r="AS49" s="22" t="str">
        <f>IFERROR(INDEX(TableTECalcPts[TM],MATCH(TableTERanks3343[[#This Row],[Player]],TableTECalcPts[PLAYER],0)),"")</f>
        <v>WSH</v>
      </c>
      <c r="AT49" s="22">
        <f>IFERROR(INDEX(TableTECalcPts[BYE],MATCH(TableTERanks3343[[#This Row],[RK]],TableTECalcPts[RK],0)),"")</f>
        <v>11</v>
      </c>
      <c r="AU49" s="279">
        <f>VLOOKUP(TableTERanks3343[[#This Row],[Player]],TE!B:O,4,FALSE)</f>
        <v>29.599784896728533</v>
      </c>
      <c r="AV49" s="279">
        <f>VLOOKUP(TableTERanks3343[[#This Row],[Player]],TE!B:O,5,FALSE)</f>
        <v>19.00306190369972</v>
      </c>
      <c r="AW49" s="279">
        <f>VLOOKUP(TableTERanks3343[[#This Row],[Player]],TE!B:O,6,FALSE)</f>
        <v>223.8560692255827</v>
      </c>
      <c r="AX49" s="279">
        <f>VLOOKUP(TableTERanks3343[[#This Row],[Player]],TE!B:O,7,FALSE)</f>
        <v>0.9990193511791452</v>
      </c>
      <c r="AY49" s="272">
        <f>VLOOKUP(TableTERanks3343[[#This Row],[Player]],TE!B:O,11,FALSE)</f>
        <v>28.379723029633141</v>
      </c>
      <c r="AZ49" s="273">
        <f>IF(VLOOKUP(TableTERanks3343[[#This Row],[RK]],'Ranks w Proj'!AQ:AZ,10,FALSE)&lt;0,0,VLOOKUP(TableTERanks3343[[#This Row],[RK]],'Ranks w Proj'!AQ:AZ,10,FALSE))</f>
        <v>0</v>
      </c>
    </row>
    <row r="50" spans="1:52" x14ac:dyDescent="0.3">
      <c r="A50" s="22">
        <v>49</v>
      </c>
      <c r="B50" s="22" t="str">
        <f>VLOOKUP(TableQBRanks3040[[#This Row],[RK]],Rankings!A:Q,3,FALSE)</f>
        <v>Mike White</v>
      </c>
      <c r="C50" s="22" t="str">
        <f>IFERROR(INDEX(TableQBCalcPts[TM],MATCH(TableQBRanks3040[[#This Row],[Player]],TableQBCalcPts[PLAYER],0)),"")</f>
        <v>NYJ</v>
      </c>
      <c r="D50" s="22">
        <f>IFERROR(INDEX(TableQBCalcPts[BYE],MATCH(TableQBRanks3040[[#This Row],[RK]],TableQBCalcPts[RK],0)),"")</f>
        <v>10</v>
      </c>
      <c r="E50" s="279">
        <f>VLOOKUP(TableQBRanks3040[[#This Row],[Player]],QB!B:O,4,FALSE)</f>
        <v>24.20638720000002</v>
      </c>
      <c r="F50" s="279">
        <f>VLOOKUP(TableQBRanks3040[[#This Row],[Player]],QB!B:O,5,FALSE)</f>
        <v>14.765896192000012</v>
      </c>
      <c r="G50" s="279">
        <f>VLOOKUP(TableQBRanks3040[[#This Row],[Player]],QB!B:O,6,FALSE)</f>
        <v>168.17301055817157</v>
      </c>
      <c r="H50" s="279">
        <f>VLOOKUP(TableQBRanks3040[[#This Row],[Player]],QB!B:O,7,FALSE)</f>
        <v>1.1074422144000009</v>
      </c>
      <c r="I50" s="279">
        <f>VLOOKUP(TableQBRanks3040[[#This Row],[Player]],QB!B:O,8,FALSE)</f>
        <v>0.59063584768000055</v>
      </c>
      <c r="J50" s="279">
        <f>VLOOKUP(TableQBRanks3040[[#This Row],[Player]],QB!B:O,9,FALSE)</f>
        <v>0</v>
      </c>
      <c r="K50" s="279">
        <f>VLOOKUP(TableQBRanks3040[[#This Row],[Player]],QB!B:O,10,FALSE)</f>
        <v>0</v>
      </c>
      <c r="L50" s="279">
        <f>VLOOKUP(TableQBRanks3040[[#This Row],[Player]],QB!B:O,11,FALSE)</f>
        <v>0</v>
      </c>
      <c r="M50" s="272">
        <f>VLOOKUP(TableQBRanks3040[[#This Row],[Player]],QB!B:O,13,FALSE)</f>
        <v>9.9754175845668644</v>
      </c>
      <c r="N50" s="273">
        <f>IF(VLOOKUP(TableQBRanks3040[[#This Row],[RK]],'Ranks w Proj'!$A:$N,14,FALSE)&lt;0,0,VLOOKUP(TableQBRanks3040[[#This Row],[RK]],'Ranks w Proj'!$A:$N,14,FALSE))</f>
        <v>0</v>
      </c>
      <c r="P50" s="22">
        <v>49</v>
      </c>
      <c r="Q50" s="22" t="str">
        <f>VLOOKUP(TableRBRanks3141[[#This Row],[RK]],Rankings!A:Q,7,FALSE)</f>
        <v>Alexander Mattison</v>
      </c>
      <c r="R50" s="22" t="str">
        <f>IFERROR(INDEX(TableRBCalcPts[TM],MATCH(TableRBRanks3141[[#This Row],[Player]],TableRBCalcPts[PLAYER],0)),"")</f>
        <v>MIN</v>
      </c>
      <c r="S50" s="22">
        <f>IFERROR(INDEX(TableRBCalcPts[BYE],MATCH(TableRBRanks3141[[#This Row],[RK]],TableRBCalcPts[RK],0)),"")</f>
        <v>14</v>
      </c>
      <c r="T50" s="279">
        <f>VLOOKUP(TableRBRanks3141[[#This Row],[Player]],RB!B:O,4,FALSE)</f>
        <v>124.4426038541885</v>
      </c>
      <c r="U50" s="279">
        <f>VLOOKUP(TableRBRanks3141[[#This Row],[Player]],RB!B:O,5,FALSE)</f>
        <v>501.50369353237971</v>
      </c>
      <c r="V50" s="279">
        <f>VLOOKUP(TableRBRanks3141[[#This Row],[Player]],RB!B:O,6,FALSE)</f>
        <v>3.6710568136985606</v>
      </c>
      <c r="W50" s="279">
        <f>VLOOKUP(TableRBRanks3141[[#This Row],[Player]],RB!B:O,7,FALSE)</f>
        <v>39.866009605204383</v>
      </c>
      <c r="X50" s="279">
        <f>VLOOKUP(TableRBRanks3141[[#This Row],[Player]],RB!B:O,8,FALSE)</f>
        <v>30.768586213296743</v>
      </c>
      <c r="Y50" s="279">
        <f>VLOOKUP(TableRBRanks3141[[#This Row],[Player]],RB!B:O,9,FALSE)</f>
        <v>210.84012971241074</v>
      </c>
      <c r="Z50" s="279">
        <f>VLOOKUP(TableRBRanks3141[[#This Row],[Player]],RB!B:O,10,FALSE)</f>
        <v>1.1076691036786828</v>
      </c>
      <c r="AA50" s="272">
        <f>VLOOKUP(TableRBRanks3141[[#This Row],[Player]],RB!B:O,14,FALSE)</f>
        <v>99.906737828742521</v>
      </c>
      <c r="AB50" s="273">
        <f>IF(VLOOKUP(TableRBRanks3141[[#This Row],[RK]],'Ranks w Proj'!$P:$AB,13,FALSE)&lt;0,0,VLOOKUP(TableRBRanks3141[[#This Row],[RK]],'Ranks w Proj'!$P:$AB,13,FALSE))</f>
        <v>0</v>
      </c>
      <c r="AD50" s="22">
        <v>49</v>
      </c>
      <c r="AE50" s="274" t="str">
        <f>VLOOKUP(TableWRRanks3242[[#This Row],[RK]],Rankings!A:Q,11,FALSE)</f>
        <v>Christian Watson</v>
      </c>
      <c r="AF50" s="22" t="str">
        <f>IFERROR(INDEX(TableWRCalcPts[TM],MATCH(TableWRRanks3242[[#This Row],[Player]],TableWRCalcPts[PLAYER],0)),"")</f>
        <v>GB</v>
      </c>
      <c r="AG50" s="22">
        <f>IFERROR(INDEX(TableWRCalcPts[BYE],MATCH(TableWRRanks3242[[#This Row],[RK]],TableWRCalcPts[RK],0)),"")</f>
        <v>14</v>
      </c>
      <c r="AH50" s="279">
        <f>VLOOKUP(TableWRRanks3242[[#This Row],[Player]],WR!B:O,4,FALSE)</f>
        <v>10.449785244464598</v>
      </c>
      <c r="AI50" s="279">
        <f>VLOOKUP(TableWRRanks3242[[#This Row],[Player]],WR!B:O,5,FALSE)</f>
        <v>2.4999486230776559E-2</v>
      </c>
      <c r="AJ50" s="279">
        <f>VLOOKUP(TableWRRanks3242[[#This Row],[Player]],WR!B:O,6,FALSE)</f>
        <v>81.765743819999983</v>
      </c>
      <c r="AK50" s="279">
        <f>VLOOKUP(TableWRRanks3242[[#This Row],[Player]],WR!B:O,7,FALSE)</f>
        <v>49.917986602109991</v>
      </c>
      <c r="AL50" s="279">
        <f>VLOOKUP(TableWRRanks3242[[#This Row],[Player]],WR!B:O,8,FALSE)</f>
        <v>679.882977520738</v>
      </c>
      <c r="AM50" s="279">
        <f>VLOOKUP(TableWRRanks3242[[#This Row],[Player]],WR!B:O,9,FALSE)</f>
        <v>4.492618794189899</v>
      </c>
      <c r="AN50" s="272">
        <f>VLOOKUP(TableWRRanks3242[[#This Row],[Player]],WR!B:O,13,FALSE)</f>
        <v>96.138985959044319</v>
      </c>
      <c r="AO50" s="273">
        <f>IF(VLOOKUP(TableWRRanks3242[[#This Row],[RK]],'Ranks w Proj'!AD:AO,12,FALSE)&lt;0,0,VLOOKUP(TableWRRanks3242[[#This Row],[RK]],'Ranks w Proj'!AD:AO,12,FALSE))</f>
        <v>0.46759894760065934</v>
      </c>
      <c r="AQ50" s="22">
        <v>49</v>
      </c>
      <c r="AR50" s="22" t="str">
        <f>VLOOKUP(TableTERanks3343[[#This Row],[RK]],Rankings!A:Q,15,FALSE)</f>
        <v>Kylen Granson</v>
      </c>
      <c r="AS50" s="22" t="str">
        <f>IFERROR(INDEX(TableTECalcPts[TM],MATCH(TableTERanks3343[[#This Row],[Player]],TableTECalcPts[PLAYER],0)),"")</f>
        <v>IND</v>
      </c>
      <c r="AT50" s="22">
        <f>IFERROR(INDEX(TableTECalcPts[BYE],MATCH(TableTERanks3343[[#This Row],[RK]],TableTECalcPts[RK],0)),"")</f>
        <v>9</v>
      </c>
      <c r="AU50" s="279">
        <f>VLOOKUP(TableTERanks3343[[#This Row],[Player]],TE!B:O,4,FALSE)</f>
        <v>29.448516778737893</v>
      </c>
      <c r="AV50" s="279">
        <f>VLOOKUP(TableTERanks3343[[#This Row],[Player]],TE!B:O,5,FALSE)</f>
        <v>18.19918336926002</v>
      </c>
      <c r="AW50" s="279">
        <f>VLOOKUP(TableTERanks3343[[#This Row],[Player]],TE!B:O,6,FALSE)</f>
        <v>185.86325589332031</v>
      </c>
      <c r="AX50" s="279">
        <f>VLOOKUP(TableTERanks3343[[#This Row],[Player]],TE!B:O,7,FALSE)</f>
        <v>1.4745894760651237</v>
      </c>
      <c r="AY50" s="272">
        <f>VLOOKUP(TableTERanks3343[[#This Row],[Player]],TE!B:O,11,FALSE)</f>
        <v>27.433862445722774</v>
      </c>
      <c r="AZ50" s="273">
        <f>IF(VLOOKUP(TableTERanks3343[[#This Row],[RK]],'Ranks w Proj'!AQ:AZ,10,FALSE)&lt;0,0,VLOOKUP(TableTERanks3343[[#This Row],[RK]],'Ranks w Proj'!AQ:AZ,10,FALSE))</f>
        <v>0</v>
      </c>
    </row>
    <row r="51" spans="1:52" x14ac:dyDescent="0.3">
      <c r="A51" s="22">
        <v>50</v>
      </c>
      <c r="B51" s="22" t="str">
        <f>VLOOKUP(TableQBRanks3040[[#This Row],[RK]],Rankings!A:Q,3,FALSE)</f>
        <v>Taylor Heinicke</v>
      </c>
      <c r="C51" s="22" t="str">
        <f>IFERROR(INDEX(TableQBCalcPts[TM],MATCH(TableQBRanks3040[[#This Row],[Player]],TableQBCalcPts[PLAYER],0)),"")</f>
        <v>WSH</v>
      </c>
      <c r="D51" s="22">
        <f>IFERROR(INDEX(TableQBCalcPts[BYE],MATCH(TableQBRanks3040[[#This Row],[RK]],TableQBCalcPts[RK],0)),"")</f>
        <v>14</v>
      </c>
      <c r="E51" s="279">
        <f>VLOOKUP(TableQBRanks3040[[#This Row],[Player]],QB!B:O,4,FALSE)</f>
        <v>12.574772699999999</v>
      </c>
      <c r="F51" s="279">
        <f>VLOOKUP(TableQBRanks3040[[#This Row],[Player]],QB!B:O,5,FALSE)</f>
        <v>8.0855788460999989</v>
      </c>
      <c r="G51" s="279">
        <f>VLOOKUP(TableQBRanks3040[[#This Row],[Player]],QB!B:O,6,FALSE)</f>
        <v>93.145868307071979</v>
      </c>
      <c r="H51" s="279">
        <f>VLOOKUP(TableQBRanks3040[[#This Row],[Player]],QB!B:O,7,FALSE)</f>
        <v>0.71021976350878369</v>
      </c>
      <c r="I51" s="279">
        <f>VLOOKUP(TableQBRanks3040[[#This Row],[Player]],QB!B:O,8,FALSE)</f>
        <v>0.44231831762035007</v>
      </c>
      <c r="J51" s="279">
        <f>VLOOKUP(TableQBRanks3040[[#This Row],[Player]],QB!B:O,9,FALSE)</f>
        <v>4.7981462674587743</v>
      </c>
      <c r="K51" s="279">
        <f>VLOOKUP(TableQBRanks3040[[#This Row],[Player]],QB!B:O,10,FALSE)</f>
        <v>23.96574099215086</v>
      </c>
      <c r="L51" s="279">
        <f>VLOOKUP(TableQBRanks3040[[#This Row],[Player]],QB!B:O,11,FALSE)</f>
        <v>0.17493241600110115</v>
      </c>
      <c r="M51" s="272">
        <f>VLOOKUP(TableQBRanks3040[[#This Row],[Player]],QB!B:O,13,FALSE)</f>
        <v>9.1282457462990063</v>
      </c>
      <c r="N51" s="273">
        <f>IF(VLOOKUP(TableQBRanks3040[[#This Row],[RK]],'Ranks w Proj'!$A:$N,14,FALSE)&lt;0,0,VLOOKUP(TableQBRanks3040[[#This Row],[RK]],'Ranks w Proj'!$A:$N,14,FALSE))</f>
        <v>0</v>
      </c>
      <c r="P51" s="22">
        <v>50</v>
      </c>
      <c r="Q51" s="22" t="str">
        <f>VLOOKUP(TableRBRanks3141[[#This Row],[RK]],Rankings!A:Q,7,FALSE)</f>
        <v>Michael Carter</v>
      </c>
      <c r="R51" s="22" t="str">
        <f>IFERROR(INDEX(TableRBCalcPts[TM],MATCH(TableRBRanks3141[[#This Row],[Player]],TableRBCalcPts[PLAYER],0)),"")</f>
        <v>NYJ</v>
      </c>
      <c r="S51" s="22">
        <f>IFERROR(INDEX(TableRBCalcPts[BYE],MATCH(TableRBRanks3141[[#This Row],[RK]],TableRBCalcPts[RK],0)),"")</f>
        <v>6</v>
      </c>
      <c r="T51" s="279">
        <f>VLOOKUP(TableRBRanks3141[[#This Row],[Player]],RB!B:O,4,FALSE)</f>
        <v>98.016212340787916</v>
      </c>
      <c r="U51" s="279">
        <f>VLOOKUP(TableRBRanks3141[[#This Row],[Player]],RB!B:O,5,FALSE)</f>
        <v>416.56890244834864</v>
      </c>
      <c r="V51" s="279">
        <f>VLOOKUP(TableRBRanks3141[[#This Row],[Player]],RB!B:O,6,FALSE)</f>
        <v>2.5952665485568218</v>
      </c>
      <c r="W51" s="279">
        <f>VLOOKUP(TableRBRanks3141[[#This Row],[Player]],RB!B:O,7,FALSE)</f>
        <v>54.350622278824204</v>
      </c>
      <c r="X51" s="279">
        <f>VLOOKUP(TableRBRanks3141[[#This Row],[Player]],RB!B:O,8,FALSE)</f>
        <v>36.431222113495863</v>
      </c>
      <c r="Y51" s="279">
        <f>VLOOKUP(TableRBRanks3141[[#This Row],[Player]],RB!B:O,9,FALSE)</f>
        <v>277.34583630304451</v>
      </c>
      <c r="Z51" s="279">
        <f>VLOOKUP(TableRBRanks3141[[#This Row],[Player]],RB!B:O,10,FALSE)</f>
        <v>0.82454911824810306</v>
      </c>
      <c r="AA51" s="272">
        <f>VLOOKUP(TableRBRanks3141[[#This Row],[Player]],RB!B:O,14,FALSE)</f>
        <v>89.910367875968873</v>
      </c>
      <c r="AB51" s="273">
        <f>IF(VLOOKUP(TableRBRanks3141[[#This Row],[RK]],'Ranks w Proj'!$P:$AB,13,FALSE)&lt;0,0,VLOOKUP(TableRBRanks3141[[#This Row],[RK]],'Ranks w Proj'!$P:$AB,13,FALSE))</f>
        <v>0</v>
      </c>
      <c r="AD51" s="274">
        <v>50</v>
      </c>
      <c r="AE51" s="274" t="str">
        <f>VLOOKUP(TableWRRanks3242[[#This Row],[RK]],Rankings!A:Q,11,FALSE)</f>
        <v>Tim Patrick</v>
      </c>
      <c r="AF51" s="22" t="str">
        <f>IFERROR(INDEX(TableWRCalcPts[TM],MATCH(TableWRRanks3242[[#This Row],[Player]],TableWRCalcPts[PLAYER],0)),"")</f>
        <v>DEN</v>
      </c>
      <c r="AG51" s="22">
        <f>IFERROR(INDEX(TableWRCalcPts[BYE],MATCH(TableWRRanks3242[[#This Row],[RK]],TableWRCalcPts[RK],0)),"")</f>
        <v>14</v>
      </c>
      <c r="AH51" s="279">
        <f>VLOOKUP(TableWRRanks3242[[#This Row],[Player]],WR!B:O,4,FALSE)</f>
        <v>0</v>
      </c>
      <c r="AI51" s="279">
        <f>VLOOKUP(TableWRRanks3242[[#This Row],[Player]],WR!B:O,5,FALSE)</f>
        <v>0</v>
      </c>
      <c r="AJ51" s="279">
        <f>VLOOKUP(TableWRRanks3242[[#This Row],[Player]],WR!B:O,6,FALSE)</f>
        <v>87.394684180041523</v>
      </c>
      <c r="AK51" s="279">
        <f>VLOOKUP(TableWRRanks3242[[#This Row],[Player]],WR!B:O,7,FALSE)</f>
        <v>54.237141002133775</v>
      </c>
      <c r="AL51" s="279">
        <f>VLOOKUP(TableWRRanks3242[[#This Row],[Player]],WR!B:O,8,FALSE)</f>
        <v>735.55425273387016</v>
      </c>
      <c r="AM51" s="279">
        <f>VLOOKUP(TableWRRanks3242[[#This Row],[Player]],WR!B:O,9,FALSE)</f>
        <v>6.0745597922389827</v>
      </c>
      <c r="AN51" s="272">
        <f>VLOOKUP(TableWRRanks3242[[#This Row],[Player]],WR!B:O,13,FALSE)</f>
        <v>110.0027840268209</v>
      </c>
      <c r="AO51" s="273">
        <f>IF(VLOOKUP(TableWRRanks3242[[#This Row],[RK]],'Ranks w Proj'!AD:AO,12,FALSE)&lt;0,0,VLOOKUP(TableWRRanks3242[[#This Row],[RK]],'Ranks w Proj'!AD:AO,12,FALSE))</f>
        <v>0</v>
      </c>
      <c r="AQ51" s="274">
        <v>50</v>
      </c>
      <c r="AR51" s="22" t="str">
        <f>VLOOKUP(TableTERanks3343[[#This Row],[RK]],Rankings!A:Q,15,FALSE)</f>
        <v>Ian Thomas</v>
      </c>
      <c r="AS51" s="22" t="str">
        <f>IFERROR(INDEX(TableTECalcPts[TM],MATCH(TableTERanks3343[[#This Row],[Player]],TableTECalcPts[PLAYER],0)),"")</f>
        <v>CAR</v>
      </c>
      <c r="AT51" s="22">
        <f>IFERROR(INDEX(TableTECalcPts[BYE],MATCH(TableTERanks3343[[#This Row],[RK]],TableTECalcPts[RK],0)),"")</f>
        <v>13</v>
      </c>
      <c r="AU51" s="279">
        <f>VLOOKUP(TableTERanks3343[[#This Row],[Player]],TE!B:O,4,FALSE)</f>
        <v>31.585826964032936</v>
      </c>
      <c r="AV51" s="279">
        <f>VLOOKUP(TableTERanks3343[[#This Row],[Player]],TE!B:O,5,FALSE)</f>
        <v>18.926227516848535</v>
      </c>
      <c r="AW51" s="279">
        <f>VLOOKUP(TableTERanks3343[[#This Row],[Player]],TE!B:O,6,FALSE)</f>
        <v>199.95909769111532</v>
      </c>
      <c r="AX51" s="279">
        <f>VLOOKUP(TableTERanks3343[[#This Row],[Player]],TE!B:O,7,FALSE)</f>
        <v>0.85285219614490659</v>
      </c>
      <c r="AY51" s="272">
        <f>VLOOKUP(TableTERanks3343[[#This Row],[Player]],TE!B:O,11,FALSE)</f>
        <v>25.113022945980973</v>
      </c>
      <c r="AZ51" s="273">
        <f>IF(VLOOKUP(TableTERanks3343[[#This Row],[RK]],'Ranks w Proj'!AQ:AZ,10,FALSE)&lt;0,0,VLOOKUP(TableTERanks3343[[#This Row],[RK]],'Ranks w Proj'!AQ:AZ,10,FALSE))</f>
        <v>0</v>
      </c>
    </row>
    <row r="52" spans="1:52" x14ac:dyDescent="0.3">
      <c r="A52" s="22">
        <v>51</v>
      </c>
      <c r="B52" s="22" t="str">
        <f>VLOOKUP(TableQBRanks3040[[#This Row],[RK]],Rankings!A:Q,3,FALSE)</f>
        <v>Andy Dalton</v>
      </c>
      <c r="C52" s="22" t="str">
        <f>IFERROR(INDEX(TableQBCalcPts[TM],MATCH(TableQBRanks3040[[#This Row],[Player]],TableQBCalcPts[PLAYER],0)),"")</f>
        <v>NO</v>
      </c>
      <c r="D52" s="22">
        <f>IFERROR(INDEX(TableQBCalcPts[BYE],MATCH(TableQBRanks3040[[#This Row],[RK]],TableQBCalcPts[RK],0)),"")</f>
        <v>14</v>
      </c>
      <c r="E52" s="279">
        <f>VLOOKUP(TableQBRanks3040[[#This Row],[Player]],QB!B:O,4,FALSE)</f>
        <v>22.058723200000021</v>
      </c>
      <c r="F52" s="279">
        <f>VLOOKUP(TableQBRanks3040[[#This Row],[Player]],QB!B:O,5,FALSE)</f>
        <v>15.485223686400014</v>
      </c>
      <c r="G52" s="279">
        <f>VLOOKUP(TableQBRanks3040[[#This Row],[Player]],QB!B:O,6,FALSE)</f>
        <v>167.85982476057615</v>
      </c>
      <c r="H52" s="279">
        <f>VLOOKUP(TableQBRanks3040[[#This Row],[Player]],QB!B:O,7,FALSE)</f>
        <v>1.068480434361601</v>
      </c>
      <c r="I52" s="279">
        <f>VLOOKUP(TableQBRanks3040[[#This Row],[Player]],QB!B:O,8,FALSE)</f>
        <v>0.97556909224320087</v>
      </c>
      <c r="J52" s="279">
        <f>VLOOKUP(TableQBRanks3040[[#This Row],[Player]],QB!B:O,9,FALSE)</f>
        <v>0</v>
      </c>
      <c r="K52" s="279">
        <f>VLOOKUP(TableQBRanks3040[[#This Row],[Player]],QB!B:O,10,FALSE)</f>
        <v>0</v>
      </c>
      <c r="L52" s="279">
        <f>VLOOKUP(TableQBRanks3040[[#This Row],[Player]],QB!B:O,11,FALSE)</f>
        <v>0</v>
      </c>
      <c r="M52" s="272">
        <f>VLOOKUP(TableQBRanks3040[[#This Row],[Player]],QB!B:O,13,FALSE)</f>
        <v>9.0371765433830493</v>
      </c>
      <c r="N52" s="273">
        <f>IF(VLOOKUP(TableQBRanks3040[[#This Row],[RK]],'Ranks w Proj'!$A:$N,14,FALSE)&lt;0,0,VLOOKUP(TableQBRanks3040[[#This Row],[RK]],'Ranks w Proj'!$A:$N,14,FALSE))</f>
        <v>0</v>
      </c>
      <c r="P52" s="22">
        <v>51</v>
      </c>
      <c r="Q52" s="22" t="str">
        <f>VLOOKUP(TableRBRanks3141[[#This Row],[RK]],Rankings!A:Q,7,FALSE)</f>
        <v>Mark Ingram</v>
      </c>
      <c r="R52" s="22" t="str">
        <f>IFERROR(INDEX(TableRBCalcPts[TM],MATCH(TableRBRanks3141[[#This Row],[Player]],TableRBCalcPts[PLAYER],0)),"")</f>
        <v>NO</v>
      </c>
      <c r="S52" s="22">
        <f>IFERROR(INDEX(TableRBCalcPts[BYE],MATCH(TableRBRanks3141[[#This Row],[RK]],TableRBCalcPts[RK],0)),"")</f>
        <v>11</v>
      </c>
      <c r="T52" s="279">
        <f>VLOOKUP(TableRBRanks3141[[#This Row],[Player]],RB!B:O,4,FALSE)</f>
        <v>147.50797530319852</v>
      </c>
      <c r="U52" s="279">
        <f>VLOOKUP(TableRBRanks3141[[#This Row],[Player]],RB!B:O,5,FALSE)</f>
        <v>573.80602392944229</v>
      </c>
      <c r="V52" s="279">
        <f>VLOOKUP(TableRBRanks3141[[#This Row],[Player]],RB!B:O,6,FALSE)</f>
        <v>4.2187280936714782</v>
      </c>
      <c r="W52" s="279">
        <f>VLOOKUP(TableRBRanks3141[[#This Row],[Player]],RB!B:O,7,FALSE)</f>
        <v>26.491005123188867</v>
      </c>
      <c r="X52" s="279">
        <f>VLOOKUP(TableRBRanks3141[[#This Row],[Player]],RB!B:O,8,FALSE)</f>
        <v>19.627185695770631</v>
      </c>
      <c r="Y52" s="279">
        <f>VLOOKUP(TableRBRanks3141[[#This Row],[Player]],RB!B:O,9,FALSE)</f>
        <v>137.97911544126754</v>
      </c>
      <c r="Z52" s="279">
        <f>VLOOKUP(TableRBRanks3141[[#This Row],[Player]],RB!B:O,10,FALSE)</f>
        <v>0.8047146135265959</v>
      </c>
      <c r="AA52" s="272">
        <f>VLOOKUP(TableRBRanks3141[[#This Row],[Player]],RB!B:O,14,FALSE)</f>
        <v>101.31917018025943</v>
      </c>
      <c r="AB52" s="273">
        <f>IF(VLOOKUP(TableRBRanks3141[[#This Row],[RK]],'Ranks w Proj'!$P:$AB,13,FALSE)&lt;0,0,VLOOKUP(TableRBRanks3141[[#This Row],[RK]],'Ranks w Proj'!$P:$AB,13,FALSE))</f>
        <v>0</v>
      </c>
      <c r="AD52" s="22">
        <v>51</v>
      </c>
      <c r="AE52" s="274" t="str">
        <f>VLOOKUP(TableWRRanks3242[[#This Row],[RK]],Rankings!A:Q,11,FALSE)</f>
        <v>Kadarius Toney</v>
      </c>
      <c r="AF52" s="22" t="str">
        <f>IFERROR(INDEX(TableWRCalcPts[TM],MATCH(TableWRRanks3242[[#This Row],[Player]],TableWRCalcPts[PLAYER],0)),"")</f>
        <v>NYG</v>
      </c>
      <c r="AG52" s="22">
        <f>IFERROR(INDEX(TableWRCalcPts[BYE],MATCH(TableWRRanks3242[[#This Row],[RK]],TableWRCalcPts[RK],0)),"")</f>
        <v>9</v>
      </c>
      <c r="AH52" s="279">
        <f>VLOOKUP(TableWRRanks3242[[#This Row],[Player]],WR!B:O,4,FALSE)</f>
        <v>34.228866245693126</v>
      </c>
      <c r="AI52" s="279">
        <f>VLOOKUP(TableWRRanks3242[[#This Row],[Player]],WR!B:O,5,FALSE)</f>
        <v>2.5012690356819439E-2</v>
      </c>
      <c r="AJ52" s="279">
        <f>VLOOKUP(TableWRRanks3242[[#This Row],[Player]],WR!B:O,6,FALSE)</f>
        <v>90.120261414994133</v>
      </c>
      <c r="AK52" s="279">
        <f>VLOOKUP(TableWRRanks3242[[#This Row],[Player]],WR!B:O,7,FALSE)</f>
        <v>58.623230050453678</v>
      </c>
      <c r="AL52" s="279">
        <f>VLOOKUP(TableWRRanks3242[[#This Row],[Player]],WR!B:O,8,FALSE)</f>
        <v>702.30629600443513</v>
      </c>
      <c r="AM52" s="279">
        <f>VLOOKUP(TableWRRanks3242[[#This Row],[Player]],WR!B:O,9,FALSE)</f>
        <v>3.9863796434308503</v>
      </c>
      <c r="AN52" s="272">
        <f>VLOOKUP(TableWRRanks3242[[#This Row],[Player]],WR!B:O,13,FALSE)</f>
        <v>97.721870227738862</v>
      </c>
      <c r="AO52" s="273">
        <f>IF(VLOOKUP(TableWRRanks3242[[#This Row],[RK]],'Ranks w Proj'!AD:AO,12,FALSE)&lt;0,0,VLOOKUP(TableWRRanks3242[[#This Row],[RK]],'Ranks w Proj'!AD:AO,12,FALSE))</f>
        <v>0</v>
      </c>
      <c r="AQ52" s="22">
        <v>51</v>
      </c>
      <c r="AR52" s="274" t="str">
        <f>VLOOKUP(TableTERanks3343[[#This Row],[RK]],Rankings!A:Q,15,FALSE)</f>
        <v>Jelani Woods</v>
      </c>
      <c r="AS52" s="22" t="str">
        <f>IFERROR(INDEX(TableTECalcPts[TM],MATCH(TableTERanks3343[[#This Row],[Player]],TableTECalcPts[PLAYER],0)),"")</f>
        <v>IND</v>
      </c>
      <c r="AT52" s="22">
        <f>IFERROR(INDEX(TableTECalcPts[BYE],MATCH(TableTERanks3343[[#This Row],[RK]],TableTECalcPts[RK],0)),"")</f>
        <v>9</v>
      </c>
      <c r="AU52" s="279">
        <f>VLOOKUP(TableTERanks3343[[#This Row],[Player]],TE!B:O,4,FALSE)</f>
        <v>18.180756099389768</v>
      </c>
      <c r="AV52" s="279">
        <f>VLOOKUP(TableTERanks3343[[#This Row],[Player]],TE!B:O,5,FALSE)</f>
        <v>11.235707269422877</v>
      </c>
      <c r="AW52" s="279">
        <f>VLOOKUP(TableTERanks3343[[#This Row],[Player]],TE!B:O,6,FALSE)</f>
        <v>120.14582331268096</v>
      </c>
      <c r="AX52" s="279">
        <f>VLOOKUP(TableTERanks3343[[#This Row],[Player]],TE!B:O,7,FALSE)</f>
        <v>0.85950729297637485</v>
      </c>
      <c r="AY52" s="272">
        <f>VLOOKUP(TableTERanks3343[[#This Row],[Player]],TE!B:O,11,FALSE)</f>
        <v>17.171626089126345</v>
      </c>
      <c r="AZ52" s="273">
        <f>IF(VLOOKUP(TableTERanks3343[[#This Row],[RK]],'Ranks w Proj'!AQ:AZ,10,FALSE)&lt;0,0,VLOOKUP(TableTERanks3343[[#This Row],[RK]],'Ranks w Proj'!AQ:AZ,10,FALSE))</f>
        <v>0</v>
      </c>
    </row>
    <row r="53" spans="1:52" x14ac:dyDescent="0.3">
      <c r="A53" s="22">
        <v>52</v>
      </c>
      <c r="B53" s="22" t="str">
        <f>VLOOKUP(TableQBRanks3040[[#This Row],[RK]],Rankings!A:Q,3,FALSE)</f>
        <v>Colt McCoy</v>
      </c>
      <c r="C53" s="22" t="str">
        <f>IFERROR(INDEX(TableQBCalcPts[TM],MATCH(TableQBRanks3040[[#This Row],[Player]],TableQBCalcPts[PLAYER],0)),"")</f>
        <v>ARI</v>
      </c>
      <c r="D53" s="22">
        <f>IFERROR(INDEX(TableQBCalcPts[BYE],MATCH(TableQBRanks3040[[#This Row],[RK]],TableQBCalcPts[RK],0)),"")</f>
        <v>13</v>
      </c>
      <c r="E53" s="279">
        <f>VLOOKUP(TableQBRanks3040[[#This Row],[Player]],QB!B:O,4,FALSE)</f>
        <v>18.70768965000002</v>
      </c>
      <c r="F53" s="279">
        <f>VLOOKUP(TableQBRanks3040[[#This Row],[Player]],QB!B:O,5,FALSE)</f>
        <v>12.025147009606261</v>
      </c>
      <c r="G53" s="279">
        <f>VLOOKUP(TableQBRanks3040[[#This Row],[Player]],QB!B:O,6,FALSE)</f>
        <v>129.15007888317126</v>
      </c>
      <c r="H53" s="279">
        <f>VLOOKUP(TableQBRanks3040[[#This Row],[Player]],QB!B:O,7,FALSE)</f>
        <v>0.67628298084750083</v>
      </c>
      <c r="I53" s="279">
        <f>VLOOKUP(TableQBRanks3040[[#This Row],[Player]],QB!B:O,8,FALSE)</f>
        <v>0.27687900989618419</v>
      </c>
      <c r="J53" s="279">
        <f>VLOOKUP(TableQBRanks3040[[#This Row],[Player]],QB!B:O,9,FALSE)</f>
        <v>1.4998853838390409</v>
      </c>
      <c r="K53" s="279">
        <f>VLOOKUP(TableQBRanks3040[[#This Row],[Player]],QB!B:O,10,FALSE)</f>
        <v>5.7995568175109584</v>
      </c>
      <c r="L53" s="279">
        <f>VLOOKUP(TableQBRanks3040[[#This Row],[Player]],QB!B:O,11,FALSE)</f>
        <v>0</v>
      </c>
      <c r="M53" s="272">
        <f>VLOOKUP(TableQBRanks3040[[#This Row],[Player]],QB!B:O,13,FALSE)</f>
        <v>7.8973327406755809</v>
      </c>
      <c r="N53" s="273">
        <f>IF(VLOOKUP(TableQBRanks3040[[#This Row],[RK]],'Ranks w Proj'!$A:$N,14,FALSE)&lt;0,0,VLOOKUP(TableQBRanks3040[[#This Row],[RK]],'Ranks w Proj'!$A:$N,14,FALSE))</f>
        <v>0</v>
      </c>
      <c r="P53" s="22">
        <v>52</v>
      </c>
      <c r="Q53" s="22" t="str">
        <f>VLOOKUP(TableRBRanks3141[[#This Row],[RK]],Rankings!A:Q,7,FALSE)</f>
        <v>Jamaal Williams</v>
      </c>
      <c r="R53" s="22" t="str">
        <f>IFERROR(INDEX(TableRBCalcPts[TM],MATCH(TableRBRanks3141[[#This Row],[Player]],TableRBCalcPts[PLAYER],0)),"")</f>
        <v>DET</v>
      </c>
      <c r="S53" s="22">
        <f>IFERROR(INDEX(TableRBCalcPts[BYE],MATCH(TableRBRanks3141[[#This Row],[RK]],TableRBCalcPts[RK],0)),"")</f>
        <v>6</v>
      </c>
      <c r="T53" s="279">
        <f>VLOOKUP(TableRBRanks3141[[#This Row],[Player]],RB!B:O,4,FALSE)</f>
        <v>124.79179480544688</v>
      </c>
      <c r="U53" s="279">
        <f>VLOOKUP(TableRBRanks3141[[#This Row],[Player]],RB!B:O,5,FALSE)</f>
        <v>501.66301511789641</v>
      </c>
      <c r="V53" s="279">
        <f>VLOOKUP(TableRBRanks3141[[#This Row],[Player]],RB!B:O,6,FALSE)</f>
        <v>4.2803585618268274</v>
      </c>
      <c r="W53" s="279">
        <f>VLOOKUP(TableRBRanks3141[[#This Row],[Player]],RB!B:O,7,FALSE)</f>
        <v>32.884311515012946</v>
      </c>
      <c r="X53" s="279">
        <f>VLOOKUP(TableRBRanks3141[[#This Row],[Player]],RB!B:O,8,FALSE)</f>
        <v>24.729002259289736</v>
      </c>
      <c r="Y53" s="279">
        <f>VLOOKUP(TableRBRanks3141[[#This Row],[Player]],RB!B:O,9,FALSE)</f>
        <v>166.67347522761281</v>
      </c>
      <c r="Z53" s="279">
        <f>VLOOKUP(TableRBRanks3141[[#This Row],[Player]],RB!B:O,10,FALSE)</f>
        <v>0.66966113389752613</v>
      </c>
      <c r="AA53" s="272">
        <f>VLOOKUP(TableRBRanks3141[[#This Row],[Player]],RB!B:O,14,FALSE)</f>
        <v>96.533767208897046</v>
      </c>
      <c r="AB53" s="273">
        <f>IF(VLOOKUP(TableRBRanks3141[[#This Row],[RK]],'Ranks w Proj'!$P:$AB,13,FALSE)&lt;0,0,VLOOKUP(TableRBRanks3141[[#This Row],[RK]],'Ranks w Proj'!$P:$AB,13,FALSE))</f>
        <v>0</v>
      </c>
      <c r="AD53" s="22">
        <v>52</v>
      </c>
      <c r="AE53" s="274" t="str">
        <f>VLOOKUP(TableWRRanks3242[[#This Row],[RK]],Rankings!A:Q,11,FALSE)</f>
        <v>Jarvis Landry</v>
      </c>
      <c r="AF53" s="22" t="str">
        <f>IFERROR(INDEX(TableWRCalcPts[TM],MATCH(TableWRRanks3242[[#This Row],[Player]],TableWRCalcPts[PLAYER],0)),"")</f>
        <v>NO</v>
      </c>
      <c r="AG53" s="22">
        <f>IFERROR(INDEX(TableWRCalcPts[BYE],MATCH(TableWRRanks3242[[#This Row],[RK]],TableWRCalcPts[RK],0)),"")</f>
        <v>7</v>
      </c>
      <c r="AH53" s="279">
        <f>VLOOKUP(TableWRRanks3242[[#This Row],[Player]],WR!B:O,4,FALSE)</f>
        <v>18.629229641162276</v>
      </c>
      <c r="AI53" s="279">
        <f>VLOOKUP(TableWRRanks3242[[#This Row],[Player]],WR!B:O,5,FALSE)</f>
        <v>0.29993392982193284</v>
      </c>
      <c r="AJ53" s="279">
        <f>VLOOKUP(TableWRRanks3242[[#This Row],[Player]],WR!B:O,6,FALSE)</f>
        <v>96.474156724420652</v>
      </c>
      <c r="AK53" s="279">
        <f>VLOOKUP(TableWRRanks3242[[#This Row],[Player]],WR!B:O,7,FALSE)</f>
        <v>61.145320531937813</v>
      </c>
      <c r="AL53" s="279">
        <f>VLOOKUP(TableWRRanks3242[[#This Row],[Player]],WR!B:O,8,FALSE)</f>
        <v>739.53742062999549</v>
      </c>
      <c r="AM53" s="279">
        <f>VLOOKUP(TableWRRanks3242[[#This Row],[Player]],WR!B:O,9,FALSE)</f>
        <v>3.7910098729801445</v>
      </c>
      <c r="AN53" s="272">
        <f>VLOOKUP(TableWRRanks3242[[#This Row],[Player]],WR!B:O,13,FALSE)</f>
        <v>100.36232784392826</v>
      </c>
      <c r="AO53" s="273">
        <f>IF(VLOOKUP(TableWRRanks3242[[#This Row],[RK]],'Ranks w Proj'!AD:AO,12,FALSE)&lt;0,0,VLOOKUP(TableWRRanks3242[[#This Row],[RK]],'Ranks w Proj'!AD:AO,12,FALSE))</f>
        <v>0</v>
      </c>
      <c r="AQ53" s="22">
        <v>52</v>
      </c>
      <c r="AR53" s="274" t="str">
        <f>VLOOKUP(TableTERanks3343[[#This Row],[RK]],Rankings!A:Q,15,FALSE)</f>
        <v>Will Dissly</v>
      </c>
      <c r="AS53" s="22" t="str">
        <f>IFERROR(INDEX(TableTECalcPts[TM],MATCH(TableTERanks3343[[#This Row],[Player]],TableTECalcPts[PLAYER],0)),"")</f>
        <v>SEA</v>
      </c>
      <c r="AT53" s="22">
        <f>IFERROR(INDEX(TableTECalcPts[BYE],MATCH(TableTERanks3343[[#This Row],[RK]],TableTECalcPts[RK],0)),"")</f>
        <v>10</v>
      </c>
      <c r="AU53" s="279">
        <f>VLOOKUP(TableTERanks3343[[#This Row],[Player]],TE!B:O,4,FALSE)</f>
        <v>28.513879409451036</v>
      </c>
      <c r="AV53" s="279">
        <f>VLOOKUP(TableTERanks3343[[#This Row],[Player]],TE!B:O,5,FALSE)</f>
        <v>18.305910580867565</v>
      </c>
      <c r="AW53" s="279">
        <f>VLOOKUP(TableTERanks3343[[#This Row],[Player]],TE!B:O,6,FALSE)</f>
        <v>190.56452914683135</v>
      </c>
      <c r="AX53" s="279">
        <f>VLOOKUP(TableTERanks3343[[#This Row],[Player]],TE!B:O,7,FALSE)</f>
        <v>0.94979718444263006</v>
      </c>
      <c r="AY53" s="272">
        <f>VLOOKUP(TableTERanks3343[[#This Row],[Player]],TE!B:O,11,FALSE)</f>
        <v>24.755236021338916</v>
      </c>
      <c r="AZ53" s="273">
        <f>IF(VLOOKUP(TableTERanks3343[[#This Row],[RK]],'Ranks w Proj'!AQ:AZ,10,FALSE)&lt;0,0,VLOOKUP(TableTERanks3343[[#This Row],[RK]],'Ranks w Proj'!AQ:AZ,10,FALSE))</f>
        <v>0</v>
      </c>
    </row>
    <row r="54" spans="1:52" x14ac:dyDescent="0.3">
      <c r="A54" s="22">
        <v>53</v>
      </c>
      <c r="B54" s="22" t="str">
        <f>VLOOKUP(TableQBRanks3040[[#This Row],[RK]],Rankings!A:Q,3,FALSE)</f>
        <v>Tim Boyle</v>
      </c>
      <c r="C54" s="22" t="str">
        <f>IFERROR(INDEX(TableQBCalcPts[TM],MATCH(TableQBRanks3040[[#This Row],[Player]],TableQBCalcPts[PLAYER],0)),"")</f>
        <v>DET</v>
      </c>
      <c r="D54" s="22">
        <f>IFERROR(INDEX(TableQBCalcPts[BYE],MATCH(TableQBRanks3040[[#This Row],[RK]],TableQBCalcPts[RK],0)),"")</f>
        <v>6</v>
      </c>
      <c r="E54" s="279">
        <f>VLOOKUP(TableQBRanks3040[[#This Row],[Player]],QB!B:O,4,FALSE)</f>
        <v>18.979374600000014</v>
      </c>
      <c r="F54" s="279">
        <f>VLOOKUP(TableQBRanks3040[[#This Row],[Player]],QB!B:O,5,FALSE)</f>
        <v>12.097806291208267</v>
      </c>
      <c r="G54" s="279">
        <f>VLOOKUP(TableQBRanks3040[[#This Row],[Player]],QB!B:O,6,FALSE)</f>
        <v>123.15566804450015</v>
      </c>
      <c r="H54" s="279">
        <f>VLOOKUP(TableQBRanks3040[[#This Row],[Player]],QB!B:O,7,FALSE)</f>
        <v>0.68957495859887119</v>
      </c>
      <c r="I54" s="279">
        <f>VLOOKUP(TableQBRanks3040[[#This Row],[Player]],QB!B:O,8,FALSE)</f>
        <v>0.30204703770224323</v>
      </c>
      <c r="J54" s="279">
        <f>VLOOKUP(TableQBRanks3040[[#This Row],[Player]],QB!B:O,9,FALSE)</f>
        <v>1.2005104412077487</v>
      </c>
      <c r="K54" s="279">
        <f>VLOOKUP(TableQBRanks3040[[#This Row],[Player]],QB!B:O,10,FALSE)</f>
        <v>4.0517227390761521</v>
      </c>
      <c r="L54" s="279">
        <f>VLOOKUP(TableQBRanks3040[[#This Row],[Player]],QB!B:O,11,FALSE)</f>
        <v>0</v>
      </c>
      <c r="M54" s="272">
        <f>VLOOKUP(TableQBRanks3040[[#This Row],[Player]],QB!B:O,13,FALSE)</f>
        <v>7.4856047546786204</v>
      </c>
      <c r="N54" s="273">
        <f>IF(VLOOKUP(TableQBRanks3040[[#This Row],[RK]],'Ranks w Proj'!$A:$N,14,FALSE)&lt;0,0,VLOOKUP(TableQBRanks3040[[#This Row],[RK]],'Ranks w Proj'!$A:$N,14,FALSE))</f>
        <v>0</v>
      </c>
      <c r="P54" s="22">
        <v>53</v>
      </c>
      <c r="Q54" s="22" t="str">
        <f>VLOOKUP(TableRBRanks3141[[#This Row],[RK]],Rankings!A:Q,7,FALSE)</f>
        <v>Rachaad White</v>
      </c>
      <c r="R54" s="22" t="str">
        <f>IFERROR(INDEX(TableRBCalcPts[TM],MATCH(TableRBRanks3141[[#This Row],[Player]],TableRBCalcPts[PLAYER],0)),"")</f>
        <v>TB</v>
      </c>
      <c r="S54" s="22">
        <f>IFERROR(INDEX(TableRBCalcPts[BYE],MATCH(TableRBRanks3141[[#This Row],[RK]],TableRBCalcPts[RK],0)),"")</f>
        <v>10</v>
      </c>
      <c r="T54" s="279">
        <f>VLOOKUP(TableRBRanks3141[[#This Row],[Player]],RB!B:O,4,FALSE)</f>
        <v>81.55266913902355</v>
      </c>
      <c r="U54" s="279">
        <f>VLOOKUP(TableRBRanks3141[[#This Row],[Player]],RB!B:O,5,FALSE)</f>
        <v>350.67647729780123</v>
      </c>
      <c r="V54" s="279">
        <f>VLOOKUP(TableRBRanks3141[[#This Row],[Player]],RB!B:O,6,FALSE)</f>
        <v>3.0990014272828947</v>
      </c>
      <c r="W54" s="279">
        <f>VLOOKUP(TableRBRanks3141[[#This Row],[Player]],RB!B:O,7,FALSE)</f>
        <v>45.272989045876542</v>
      </c>
      <c r="X54" s="279">
        <f>VLOOKUP(TableRBRanks3141[[#This Row],[Player]],RB!B:O,8,FALSE)</f>
        <v>32.343023374374205</v>
      </c>
      <c r="Y54" s="279">
        <f>VLOOKUP(TableRBRanks3141[[#This Row],[Player]],RB!B:O,9,FALSE)</f>
        <v>236.42750086667542</v>
      </c>
      <c r="Z54" s="279">
        <f>VLOOKUP(TableRBRanks3141[[#This Row],[Player]],RB!B:O,10,FALSE)</f>
        <v>1.2937209349749683</v>
      </c>
      <c r="AA54" s="272">
        <f>VLOOKUP(TableRBRanks3141[[#This Row],[Player]],RB!B:O,14,FALSE)</f>
        <v>85.06673198999485</v>
      </c>
      <c r="AB54" s="273">
        <f>IF(VLOOKUP(TableRBRanks3141[[#This Row],[RK]],'Ranks w Proj'!$P:$AB,13,FALSE)&lt;0,0,VLOOKUP(TableRBRanks3141[[#This Row],[RK]],'Ranks w Proj'!$P:$AB,13,FALSE))</f>
        <v>0</v>
      </c>
      <c r="AD54" s="274">
        <v>53</v>
      </c>
      <c r="AE54" s="274" t="str">
        <f>VLOOKUP(TableWRRanks3242[[#This Row],[RK]],Rankings!A:Q,11,FALSE)</f>
        <v>Chris Olave</v>
      </c>
      <c r="AF54" s="22" t="str">
        <f>IFERROR(INDEX(TableWRCalcPts[TM],MATCH(TableWRRanks3242[[#This Row],[Player]],TableWRCalcPts[PLAYER],0)),"")</f>
        <v>NO</v>
      </c>
      <c r="AG54" s="22">
        <f>IFERROR(INDEX(TableWRCalcPts[BYE],MATCH(TableWRRanks3242[[#This Row],[RK]],TableWRCalcPts[RK],0)),"")</f>
        <v>8</v>
      </c>
      <c r="AH54" s="279">
        <f>VLOOKUP(TableWRRanks3242[[#This Row],[Player]],WR!B:O,4,FALSE)</f>
        <v>2.2994934619681522</v>
      </c>
      <c r="AI54" s="279">
        <f>VLOOKUP(TableWRRanks3242[[#This Row],[Player]],WR!B:O,5,FALSE)</f>
        <v>0</v>
      </c>
      <c r="AJ54" s="279">
        <f>VLOOKUP(TableWRRanks3242[[#This Row],[Player]],WR!B:O,6,FALSE)</f>
        <v>93.717752246580076</v>
      </c>
      <c r="AK54" s="279">
        <f>VLOOKUP(TableWRRanks3242[[#This Row],[Player]],WR!B:O,7,FALSE)</f>
        <v>56.614894132159023</v>
      </c>
      <c r="AL54" s="279">
        <f>VLOOKUP(TableWRRanks3242[[#This Row],[Player]],WR!B:O,8,FALSE)</f>
        <v>822.46772930428835</v>
      </c>
      <c r="AM54" s="279">
        <f>VLOOKUP(TableWRRanks3242[[#This Row],[Player]],WR!B:O,9,FALSE)</f>
        <v>4.4159617423084034</v>
      </c>
      <c r="AN54" s="272">
        <f>VLOOKUP(TableWRRanks3242[[#This Row],[Player]],WR!B:O,13,FALSE)</f>
        <v>108.97249273047609</v>
      </c>
      <c r="AO54" s="273">
        <f>IF(VLOOKUP(TableWRRanks3242[[#This Row],[RK]],'Ranks w Proj'!AD:AO,12,FALSE)&lt;0,0,VLOOKUP(TableWRRanks3242[[#This Row],[RK]],'Ranks w Proj'!AD:AO,12,FALSE))</f>
        <v>0</v>
      </c>
      <c r="AQ54" s="274">
        <v>53</v>
      </c>
      <c r="AR54" s="274" t="str">
        <f>VLOOKUP(TableTERanks3343[[#This Row],[RK]],Rankings!A:Q,15,FALSE)</f>
        <v>Nick Boyle</v>
      </c>
      <c r="AS54" s="22" t="str">
        <f>IFERROR(INDEX(TableTECalcPts[TM],MATCH(TableTERanks3343[[#This Row],[Player]],TableTECalcPts[PLAYER],0)),"")</f>
        <v>BAL</v>
      </c>
      <c r="AT54" s="22">
        <f>IFERROR(INDEX(TableTECalcPts[BYE],MATCH(TableTERanks3343[[#This Row],[RK]],TableTECalcPts[RK],0)),"")</f>
        <v>14</v>
      </c>
      <c r="AU54" s="279">
        <f>VLOOKUP(TableTERanks3343[[#This Row],[Player]],TE!B:O,4,FALSE)</f>
        <v>20.415279575469579</v>
      </c>
      <c r="AV54" s="279">
        <f>VLOOKUP(TableTERanks3343[[#This Row],[Player]],TE!B:O,5,FALSE)</f>
        <v>13.310762283206167</v>
      </c>
      <c r="AW54" s="279">
        <f>VLOOKUP(TableTERanks3343[[#This Row],[Player]],TE!B:O,6,FALSE)</f>
        <v>131.90965422657311</v>
      </c>
      <c r="AX54" s="279">
        <f>VLOOKUP(TableTERanks3343[[#This Row],[Player]],TE!B:O,7,FALSE)</f>
        <v>1.3177654660374105</v>
      </c>
      <c r="AY54" s="272">
        <f>VLOOKUP(TableTERanks3343[[#This Row],[Player]],TE!B:O,11,FALSE)</f>
        <v>21.097558218881776</v>
      </c>
      <c r="AZ54" s="273">
        <f>IF(VLOOKUP(TableTERanks3343[[#This Row],[RK]],'Ranks w Proj'!AQ:AZ,10,FALSE)&lt;0,0,VLOOKUP(TableTERanks3343[[#This Row],[RK]],'Ranks w Proj'!AQ:AZ,10,FALSE))</f>
        <v>0</v>
      </c>
    </row>
    <row r="55" spans="1:52" x14ac:dyDescent="0.3">
      <c r="A55" s="22">
        <v>54</v>
      </c>
      <c r="B55" s="22" t="str">
        <f>VLOOKUP(TableQBRanks3040[[#This Row],[RK]],Rankings!A:Q,3,FALSE)</f>
        <v>Brett Rypien</v>
      </c>
      <c r="C55" s="22" t="str">
        <f>IFERROR(INDEX(TableQBCalcPts[TM],MATCH(TableQBRanks3040[[#This Row],[Player]],TableQBCalcPts[PLAYER],0)),"")</f>
        <v>DEN</v>
      </c>
      <c r="D55" s="22">
        <f>IFERROR(INDEX(TableQBCalcPts[BYE],MATCH(TableQBRanks3040[[#This Row],[RK]],TableQBCalcPts[RK],0)),"")</f>
        <v>9</v>
      </c>
      <c r="E55" s="279">
        <f>VLOOKUP(TableQBRanks3040[[#This Row],[Player]],QB!B:O,4,FALSE)</f>
        <v>11.810495600000008</v>
      </c>
      <c r="F55" s="279">
        <f>VLOOKUP(TableQBRanks3040[[#This Row],[Player]],QB!B:O,5,FALSE)</f>
        <v>6.9515781757767527</v>
      </c>
      <c r="G55" s="279">
        <f>VLOOKUP(TableQBRanks3040[[#This Row],[Player]],QB!B:O,6,FALSE)</f>
        <v>78.701206541874527</v>
      </c>
      <c r="H55" s="279">
        <f>VLOOKUP(TableQBRanks3040[[#This Row],[Player]],QB!B:O,7,FALSE)</f>
        <v>0.57698098858947056</v>
      </c>
      <c r="I55" s="279">
        <f>VLOOKUP(TableQBRanks3040[[#This Row],[Player]],QB!B:O,8,FALSE)</f>
        <v>0.16826705791652816</v>
      </c>
      <c r="J55" s="279">
        <f>VLOOKUP(TableQBRanks3040[[#This Row],[Player]],QB!B:O,9,FALSE)</f>
        <v>0.8002451711914611</v>
      </c>
      <c r="K55" s="279">
        <f>VLOOKUP(TableQBRanks3040[[#This Row],[Player]],QB!B:O,10,FALSE)</f>
        <v>2.9258964071687799</v>
      </c>
      <c r="L55" s="279">
        <f>VLOOKUP(TableQBRanks3040[[#This Row],[Player]],QB!B:O,11,FALSE)</f>
        <v>2.5007661599733166E-2</v>
      </c>
      <c r="M55" s="272">
        <f>VLOOKUP(TableQBRanks3040[[#This Row],[Player]],QB!B:O,13,FALSE)</f>
        <v>5.5620737105150848</v>
      </c>
      <c r="N55" s="273">
        <f>IF(VLOOKUP(TableQBRanks3040[[#This Row],[RK]],'Ranks w Proj'!$A:$N,14,FALSE)&lt;0,0,VLOOKUP(TableQBRanks3040[[#This Row],[RK]],'Ranks w Proj'!$A:$N,14,FALSE))</f>
        <v>0</v>
      </c>
      <c r="P55" s="22">
        <v>54</v>
      </c>
      <c r="Q55" s="22" t="str">
        <f>VLOOKUP(TableRBRanks3141[[#This Row],[RK]],Rankings!A:Q,7,FALSE)</f>
        <v>Marlon Mack</v>
      </c>
      <c r="R55" s="22" t="str">
        <f>IFERROR(INDEX(TableRBCalcPts[TM],MATCH(TableRBRanks3141[[#This Row],[Player]],TableRBCalcPts[PLAYER],0)),"")</f>
        <v>HOU</v>
      </c>
      <c r="S55" s="22">
        <f>IFERROR(INDEX(TableRBCalcPts[BYE],MATCH(TableRBRanks3141[[#This Row],[RK]],TableRBCalcPts[RK],0)),"")</f>
        <v>7</v>
      </c>
      <c r="T55" s="279">
        <f>VLOOKUP(TableRBRanks3141[[#This Row],[Player]],RB!B:O,4,FALSE)</f>
        <v>136.61411544976326</v>
      </c>
      <c r="U55" s="279">
        <f>VLOOKUP(TableRBRanks3141[[#This Row],[Player]],RB!B:O,5,FALSE)</f>
        <v>549.18874410804824</v>
      </c>
      <c r="V55" s="279">
        <f>VLOOKUP(TableRBRanks3141[[#This Row],[Player]],RB!B:O,6,FALSE)</f>
        <v>4.0847620519479211</v>
      </c>
      <c r="W55" s="279">
        <f>VLOOKUP(TableRBRanks3141[[#This Row],[Player]],RB!B:O,7,FALSE)</f>
        <v>23.951439105232041</v>
      </c>
      <c r="X55" s="279">
        <f>VLOOKUP(TableRBRanks3141[[#This Row],[Player]],RB!B:O,8,FALSE)</f>
        <v>17.746392550596923</v>
      </c>
      <c r="Y55" s="279">
        <f>VLOOKUP(TableRBRanks3141[[#This Row],[Player]],RB!B:O,9,FALSE)</f>
        <v>121.91771682260087</v>
      </c>
      <c r="Z55" s="279">
        <f>VLOOKUP(TableRBRanks3141[[#This Row],[Player]],RB!B:O,10,FALSE)</f>
        <v>0.23070310315775999</v>
      </c>
      <c r="AA55" s="272">
        <f>VLOOKUP(TableRBRanks3141[[#This Row],[Player]],RB!B:O,14,FALSE)</f>
        <v>93.003437023698993</v>
      </c>
      <c r="AB55" s="273">
        <f>IF(VLOOKUP(TableRBRanks3141[[#This Row],[RK]],'Ranks w Proj'!$P:$AB,13,FALSE)&lt;0,0,VLOOKUP(TableRBRanks3141[[#This Row],[RK]],'Ranks w Proj'!$P:$AB,13,FALSE))</f>
        <v>0</v>
      </c>
      <c r="AD55" s="22">
        <v>54</v>
      </c>
      <c r="AE55" s="22" t="str">
        <f>VLOOKUP(TableWRRanks3242[[#This Row],[RK]],Rankings!A:Q,11,FALSE)</f>
        <v>Tyler Boyd</v>
      </c>
      <c r="AF55" s="22" t="str">
        <f>IFERROR(INDEX(TableWRCalcPts[TM],MATCH(TableWRRanks3242[[#This Row],[Player]],TableWRCalcPts[PLAYER],0)),"")</f>
        <v>CIN</v>
      </c>
      <c r="AG55" s="22">
        <f>IFERROR(INDEX(TableWRCalcPts[BYE],MATCH(TableWRRanks3242[[#This Row],[RK]],TableWRCalcPts[RK],0)),"")</f>
        <v>11</v>
      </c>
      <c r="AH55" s="279">
        <f>VLOOKUP(TableWRRanks3242[[#This Row],[Player]],WR!B:O,4,FALSE)</f>
        <v>15.553242873994213</v>
      </c>
      <c r="AI55" s="279">
        <f>VLOOKUP(TableWRRanks3242[[#This Row],[Player]],WR!B:O,5,FALSE)</f>
        <v>0</v>
      </c>
      <c r="AJ55" s="279">
        <f>VLOOKUP(TableWRRanks3242[[#This Row],[Player]],WR!B:O,6,FALSE)</f>
        <v>100.70898859525614</v>
      </c>
      <c r="AK55" s="279">
        <f>VLOOKUP(TableWRRanks3242[[#This Row],[Player]],WR!B:O,7,FALSE)</f>
        <v>71.634303587805704</v>
      </c>
      <c r="AL55" s="279">
        <f>VLOOKUP(TableWRRanks3242[[#This Row],[Player]],WR!B:O,8,FALSE)</f>
        <v>850.29918358725365</v>
      </c>
      <c r="AM55" s="279">
        <f>VLOOKUP(TableWRRanks3242[[#This Row],[Player]],WR!B:O,9,FALSE)</f>
        <v>4.8910741951336316</v>
      </c>
      <c r="AN55" s="272">
        <f>VLOOKUP(TableWRRanks3242[[#This Row],[Player]],WR!B:O,13,FALSE)</f>
        <v>115.93168781692657</v>
      </c>
      <c r="AO55" s="273">
        <f>IF(VLOOKUP(TableWRRanks3242[[#This Row],[RK]],'Ranks w Proj'!AD:AO,12,FALSE)&lt;0,0,VLOOKUP(TableWRRanks3242[[#This Row],[RK]],'Ranks w Proj'!AD:AO,12,FALSE))</f>
        <v>0</v>
      </c>
      <c r="AQ55" s="22">
        <v>54</v>
      </c>
      <c r="AR55" s="22" t="str">
        <f>VLOOKUP(TableTERanks3343[[#This Row],[RK]],Rankings!A:Q,15,FALSE)</f>
        <v>James O'Shaughnessy</v>
      </c>
      <c r="AS55" s="22" t="str">
        <f>IFERROR(INDEX(TableTECalcPts[TM],MATCH(TableTERanks3343[[#This Row],[Player]],TableTECalcPts[PLAYER],0)),"")</f>
        <v>CHI</v>
      </c>
      <c r="AT55" s="22">
        <f>IFERROR(INDEX(TableTECalcPts[BYE],MATCH(TableTERanks3343[[#This Row],[RK]],TableTECalcPts[RK],0)),"")</f>
        <v>14</v>
      </c>
      <c r="AU55" s="279">
        <f>VLOOKUP(TableTERanks3343[[#This Row],[Player]],TE!B:O,4,FALSE)</f>
        <v>23.99789578459438</v>
      </c>
      <c r="AV55" s="279">
        <f>VLOOKUP(TableTERanks3343[[#This Row],[Player]],TE!B:O,5,FALSE)</f>
        <v>14.571522320405707</v>
      </c>
      <c r="AW55" s="279">
        <f>VLOOKUP(TableTERanks3343[[#This Row],[Player]],TE!B:O,6,FALSE)</f>
        <v>155.84190498683435</v>
      </c>
      <c r="AX55" s="279">
        <f>VLOOKUP(TableTERanks3343[[#This Row],[Player]],TE!B:O,7,FALSE)</f>
        <v>0.71149166568914779</v>
      </c>
      <c r="AY55" s="272">
        <f>VLOOKUP(TableTERanks3343[[#This Row],[Player]],TE!B:O,11,FALSE)</f>
        <v>19.853140492818323</v>
      </c>
      <c r="AZ55" s="273">
        <f>IF(VLOOKUP(TableTERanks3343[[#This Row],[RK]],'Ranks w Proj'!AQ:AZ,10,FALSE)&lt;0,0,VLOOKUP(TableTERanks3343[[#This Row],[RK]],'Ranks w Proj'!AQ:AZ,10,FALSE))</f>
        <v>0</v>
      </c>
    </row>
    <row r="56" spans="1:52" x14ac:dyDescent="0.3">
      <c r="A56" s="22">
        <v>55</v>
      </c>
      <c r="B56" s="22" t="str">
        <f>VLOOKUP(TableQBRanks3040[[#This Row],[RK]],Rankings!A:Q,3,FALSE)</f>
        <v>Nick Mullens</v>
      </c>
      <c r="C56" s="22" t="str">
        <f>IFERROR(INDEX(TableQBCalcPts[TM],MATCH(TableQBRanks3040[[#This Row],[Player]],TableQBCalcPts[PLAYER],0)),"")</f>
        <v>LV</v>
      </c>
      <c r="D56" s="22">
        <f>IFERROR(INDEX(TableQBCalcPts[BYE],MATCH(TableQBRanks3040[[#This Row],[RK]],TableQBCalcPts[RK],0)),"")</f>
        <v>6</v>
      </c>
      <c r="E56" s="279">
        <f>VLOOKUP(TableQBRanks3040[[#This Row],[Player]],QB!B:O,4,FALSE)</f>
        <v>12.599770200000009</v>
      </c>
      <c r="F56" s="279">
        <f>VLOOKUP(TableQBRanks3040[[#This Row],[Player]],QB!B:O,5,FALSE)</f>
        <v>8.1268517790000061</v>
      </c>
      <c r="G56" s="279">
        <f>VLOOKUP(TableQBRanks3040[[#This Row],[Player]],QB!B:O,6,FALSE)</f>
        <v>81.59678102447451</v>
      </c>
      <c r="H56" s="279">
        <f>VLOOKUP(TableQBRanks3040[[#This Row],[Player]],QB!B:O,7,FALSE)</f>
        <v>0.52824536563500046</v>
      </c>
      <c r="I56" s="279">
        <f>VLOOKUP(TableQBRanks3040[[#This Row],[Player]],QB!B:O,8,FALSE)</f>
        <v>0.17854460780618633</v>
      </c>
      <c r="J56" s="279">
        <f>VLOOKUP(TableQBRanks3040[[#This Row],[Player]],QB!B:O,9,FALSE)</f>
        <v>0</v>
      </c>
      <c r="K56" s="279">
        <f>VLOOKUP(TableQBRanks3040[[#This Row],[Player]],QB!B:O,10,FALSE)</f>
        <v>0</v>
      </c>
      <c r="L56" s="279">
        <f>VLOOKUP(TableQBRanks3040[[#This Row],[Player]],QB!B:O,11,FALSE)</f>
        <v>0</v>
      </c>
      <c r="M56" s="272">
        <f>VLOOKUP(TableQBRanks3040[[#This Row],[Player]],QB!B:O,13,FALSE)</f>
        <v>5.0197634879066095</v>
      </c>
      <c r="N56" s="273">
        <f>IF(VLOOKUP(TableQBRanks3040[[#This Row],[RK]],'Ranks w Proj'!$A:$N,14,FALSE)&lt;0,0,VLOOKUP(TableQBRanks3040[[#This Row],[RK]],'Ranks w Proj'!$A:$N,14,FALSE))</f>
        <v>0</v>
      </c>
      <c r="P56" s="22">
        <v>55</v>
      </c>
      <c r="Q56" s="22" t="str">
        <f>VLOOKUP(TableRBRanks3141[[#This Row],[RK]],Rankings!A:Q,7,FALSE)</f>
        <v>Raheem Mostert</v>
      </c>
      <c r="R56" s="22" t="str">
        <f>IFERROR(INDEX(TableRBCalcPts[TM],MATCH(TableRBRanks3141[[#This Row],[Player]],TableRBCalcPts[PLAYER],0)),"")</f>
        <v>MIA</v>
      </c>
      <c r="S56" s="22">
        <f>IFERROR(INDEX(TableRBCalcPts[BYE],MATCH(TableRBRanks3141[[#This Row],[RK]],TableRBCalcPts[RK],0)),"")</f>
        <v>14</v>
      </c>
      <c r="T56" s="279">
        <f>VLOOKUP(TableRBRanks3141[[#This Row],[Player]],RB!B:O,4,FALSE)</f>
        <v>114.34045855322607</v>
      </c>
      <c r="U56" s="279">
        <f>VLOOKUP(TableRBRanks3141[[#This Row],[Player]],RB!B:O,5,FALSE)</f>
        <v>485.94694885121078</v>
      </c>
      <c r="V56" s="279">
        <f>VLOOKUP(TableRBRanks3141[[#This Row],[Player]],RB!B:O,6,FALSE)</f>
        <v>3.7503670405458154</v>
      </c>
      <c r="W56" s="279">
        <f>VLOOKUP(TableRBRanks3141[[#This Row],[Player]],RB!B:O,7,FALSE)</f>
        <v>27.719494439999991</v>
      </c>
      <c r="X56" s="279">
        <f>VLOOKUP(TableRBRanks3141[[#This Row],[Player]],RB!B:O,8,FALSE)</f>
        <v>19.461857046323992</v>
      </c>
      <c r="Y56" s="279">
        <f>VLOOKUP(TableRBRanks3141[[#This Row],[Player]],RB!B:O,9,FALSE)</f>
        <v>154.13790780688601</v>
      </c>
      <c r="Z56" s="279">
        <f>VLOOKUP(TableRBRanks3141[[#This Row],[Player]],RB!B:O,10,FALSE)</f>
        <v>1.0493952054211653</v>
      </c>
      <c r="AA56" s="272">
        <f>VLOOKUP(TableRBRanks3141[[#This Row],[Player]],RB!B:O,14,FALSE)</f>
        <v>92.80705914161156</v>
      </c>
      <c r="AB56" s="273">
        <f>IF(VLOOKUP(TableRBRanks3141[[#This Row],[RK]],'Ranks w Proj'!$P:$AB,13,FALSE)&lt;0,0,VLOOKUP(TableRBRanks3141[[#This Row],[RK]],'Ranks w Proj'!$P:$AB,13,FALSE))</f>
        <v>0</v>
      </c>
      <c r="AD56" s="22">
        <v>55</v>
      </c>
      <c r="AE56" s="22" t="str">
        <f>VLOOKUP(TableWRRanks3242[[#This Row],[RK]],Rankings!A:Q,11,FALSE)</f>
        <v>Kenny Golladay</v>
      </c>
      <c r="AF56" s="22" t="str">
        <f>IFERROR(INDEX(TableWRCalcPts[TM],MATCH(TableWRRanks3242[[#This Row],[Player]],TableWRCalcPts[PLAYER],0)),"")</f>
        <v>NYG</v>
      </c>
      <c r="AG56" s="22">
        <f>IFERROR(INDEX(TableWRCalcPts[BYE],MATCH(TableWRRanks3242[[#This Row],[RK]],TableWRCalcPts[RK],0)),"")</f>
        <v>9</v>
      </c>
      <c r="AH56" s="279">
        <f>VLOOKUP(TableWRRanks3242[[#This Row],[Player]],WR!B:O,4,FALSE)</f>
        <v>0</v>
      </c>
      <c r="AI56" s="279">
        <f>VLOOKUP(TableWRRanks3242[[#This Row],[Player]],WR!B:O,5,FALSE)</f>
        <v>0</v>
      </c>
      <c r="AJ56" s="279">
        <f>VLOOKUP(TableWRRanks3242[[#This Row],[Player]],WR!B:O,6,FALSE)</f>
        <v>97.983103014960051</v>
      </c>
      <c r="AK56" s="279">
        <f>VLOOKUP(TableWRRanks3242[[#This Row],[Player]],WR!B:O,7,FALSE)</f>
        <v>53.434351263667089</v>
      </c>
      <c r="AL56" s="279">
        <f>VLOOKUP(TableWRRanks3242[[#This Row],[Player]],WR!B:O,8,FALSE)</f>
        <v>781.2102154748128</v>
      </c>
      <c r="AM56" s="279">
        <f>VLOOKUP(TableWRRanks3242[[#This Row],[Player]],WR!B:O,9,FALSE)</f>
        <v>4.3816168036207017</v>
      </c>
      <c r="AN56" s="272">
        <f>VLOOKUP(TableWRRanks3242[[#This Row],[Player]],WR!B:O,13,FALSE)</f>
        <v>104.4107223692055</v>
      </c>
      <c r="AO56" s="273">
        <f>IF(VLOOKUP(TableWRRanks3242[[#This Row],[RK]],'Ranks w Proj'!AD:AO,12,FALSE)&lt;0,0,VLOOKUP(TableWRRanks3242[[#This Row],[RK]],'Ranks w Proj'!AD:AO,12,FALSE))</f>
        <v>0</v>
      </c>
      <c r="AQ56" s="22">
        <v>55</v>
      </c>
      <c r="AR56" s="274" t="str">
        <f>VLOOKUP(TableTERanks3343[[#This Row],[RK]],Rankings!A:Q,15,FALSE)</f>
        <v>Brock Wright</v>
      </c>
      <c r="AS56" s="22" t="str">
        <f>IFERROR(INDEX(TableTECalcPts[TM],MATCH(TableTERanks3343[[#This Row],[Player]],TableTECalcPts[PLAYER],0)),"")</f>
        <v>DET</v>
      </c>
      <c r="AT56" s="22">
        <f>IFERROR(INDEX(TableTECalcPts[BYE],MATCH(TableTERanks3343[[#This Row],[RK]],TableTECalcPts[RK],0)),"")</f>
        <v>6</v>
      </c>
      <c r="AU56" s="279">
        <f>VLOOKUP(TableTERanks3343[[#This Row],[Player]],TE!B:O,4,FALSE)</f>
        <v>21.501280605970003</v>
      </c>
      <c r="AV56" s="279">
        <f>VLOOKUP(TableTERanks3343[[#This Row],[Player]],TE!B:O,5,FALSE)</f>
        <v>14.018834955092442</v>
      </c>
      <c r="AW56" s="279">
        <f>VLOOKUP(TableTERanks3343[[#This Row],[Player]],TE!B:O,6,FALSE)</f>
        <v>137.15603263775628</v>
      </c>
      <c r="AX56" s="279">
        <f>VLOOKUP(TableTERanks3343[[#This Row],[Player]],TE!B:O,7,FALSE)</f>
        <v>0.98131844685647107</v>
      </c>
      <c r="AY56" s="272">
        <f>VLOOKUP(TableTERanks3343[[#This Row],[Player]],TE!B:O,11,FALSE)</f>
        <v>19.603513944914454</v>
      </c>
      <c r="AZ56" s="273">
        <f>IF(VLOOKUP(TableTERanks3343[[#This Row],[RK]],'Ranks w Proj'!AQ:AZ,10,FALSE)&lt;0,0,VLOOKUP(TableTERanks3343[[#This Row],[RK]],'Ranks w Proj'!AQ:AZ,10,FALSE))</f>
        <v>0</v>
      </c>
    </row>
    <row r="57" spans="1:52" x14ac:dyDescent="0.3">
      <c r="A57" s="22">
        <v>56</v>
      </c>
      <c r="B57" s="22" t="str">
        <f>VLOOKUP(TableQBRanks3040[[#This Row],[RK]],Rankings!A:Q,3,FALSE)</f>
        <v>Brian Hoyer</v>
      </c>
      <c r="C57" s="22" t="str">
        <f>IFERROR(INDEX(TableQBCalcPts[TM],MATCH(TableQBRanks3040[[#This Row],[Player]],TableQBCalcPts[PLAYER],0)),"")</f>
        <v>NE</v>
      </c>
      <c r="D57" s="22">
        <f>IFERROR(INDEX(TableQBCalcPts[BYE],MATCH(TableQBRanks3040[[#This Row],[RK]],TableQBCalcPts[RK],0)),"")</f>
        <v>10</v>
      </c>
      <c r="E57" s="279">
        <f>VLOOKUP(TableQBRanks3040[[#This Row],[Player]],QB!B:O,4,FALSE)</f>
        <v>10.502707200000009</v>
      </c>
      <c r="F57" s="279">
        <f>VLOOKUP(TableQBRanks3040[[#This Row],[Player]],QB!B:O,5,FALSE)</f>
        <v>6.6945545498947432</v>
      </c>
      <c r="G57" s="279">
        <f>VLOOKUP(TableQBRanks3040[[#This Row],[Player]],QB!B:O,6,FALSE)</f>
        <v>73.640100048842172</v>
      </c>
      <c r="H57" s="279">
        <f>VLOOKUP(TableQBRanks3040[[#This Row],[Player]],QB!B:O,7,FALSE)</f>
        <v>0.5379182602105268</v>
      </c>
      <c r="I57" s="279">
        <f>VLOOKUP(TableQBRanks3040[[#This Row],[Player]],QB!B:O,8,FALSE)</f>
        <v>0.22417949117739641</v>
      </c>
      <c r="J57" s="279">
        <f>VLOOKUP(TableQBRanks3040[[#This Row],[Player]],QB!B:O,9,FALSE)</f>
        <v>0</v>
      </c>
      <c r="K57" s="279">
        <f>VLOOKUP(TableQBRanks3040[[#This Row],[Player]],QB!B:O,10,FALSE)</f>
        <v>0</v>
      </c>
      <c r="L57" s="279">
        <f>VLOOKUP(TableQBRanks3040[[#This Row],[Player]],QB!B:O,11,FALSE)</f>
        <v>0</v>
      </c>
      <c r="M57" s="272">
        <f>VLOOKUP(TableQBRanks3040[[#This Row],[Player]],QB!B:O,13,FALSE)</f>
        <v>4.6489180604410008</v>
      </c>
      <c r="N57" s="273">
        <f>IF(VLOOKUP(TableQBRanks3040[[#This Row],[RK]],'Ranks w Proj'!$A:$N,14,FALSE)&lt;0,0,VLOOKUP(TableQBRanks3040[[#This Row],[RK]],'Ranks w Proj'!$A:$N,14,FALSE))</f>
        <v>0</v>
      </c>
      <c r="P57" s="22">
        <v>56</v>
      </c>
      <c r="Q57" s="22" t="str">
        <f>VLOOKUP(TableRBRanks3141[[#This Row],[RK]],Rankings!A:Q,7,FALSE)</f>
        <v>James White</v>
      </c>
      <c r="R57" s="22" t="str">
        <f>IFERROR(INDEX(TableRBCalcPts[TM],MATCH(TableRBRanks3141[[#This Row],[Player]],TableRBCalcPts[PLAYER],0)),"")</f>
        <v>NE</v>
      </c>
      <c r="S57" s="22">
        <f>IFERROR(INDEX(TableRBCalcPts[BYE],MATCH(TableRBRanks3141[[#This Row],[RK]],TableRBCalcPts[RK],0)),"")</f>
        <v>11</v>
      </c>
      <c r="T57" s="279">
        <f>VLOOKUP(TableRBRanks3141[[#This Row],[Player]],RB!B:O,4,FALSE)</f>
        <v>38.039071892760639</v>
      </c>
      <c r="U57" s="279">
        <f>VLOOKUP(TableRBRanks3141[[#This Row],[Player]],RB!B:O,5,FALSE)</f>
        <v>151.39550613318735</v>
      </c>
      <c r="V57" s="279">
        <f>VLOOKUP(TableRBRanks3141[[#This Row],[Player]],RB!B:O,6,FALSE)</f>
        <v>1.3865858465498844</v>
      </c>
      <c r="W57" s="279">
        <f>VLOOKUP(TableRBRanks3141[[#This Row],[Player]],RB!B:O,7,FALSE)</f>
        <v>61.943836262065162</v>
      </c>
      <c r="X57" s="279">
        <f>VLOOKUP(TableRBRanks3141[[#This Row],[Player]],RB!B:O,8,FALSE)</f>
        <v>48.749799138245287</v>
      </c>
      <c r="Y57" s="279">
        <f>VLOOKUP(TableRBRanks3141[[#This Row],[Player]],RB!B:O,9,FALSE)</f>
        <v>392.92338105425705</v>
      </c>
      <c r="Z57" s="279">
        <f>VLOOKUP(TableRBRanks3141[[#This Row],[Player]],RB!B:O,10,FALSE)</f>
        <v>2.3881553119191361</v>
      </c>
      <c r="AA57" s="272">
        <f>VLOOKUP(TableRBRanks3141[[#This Row],[Player]],RB!B:O,14,FALSE)</f>
        <v>77.080335669558565</v>
      </c>
      <c r="AB57" s="273">
        <f>IF(VLOOKUP(TableRBRanks3141[[#This Row],[RK]],'Ranks w Proj'!$P:$AB,13,FALSE)&lt;0,0,VLOOKUP(TableRBRanks3141[[#This Row],[RK]],'Ranks w Proj'!$P:$AB,13,FALSE))</f>
        <v>0</v>
      </c>
      <c r="AD57" s="274">
        <v>56</v>
      </c>
      <c r="AE57" s="274" t="str">
        <f>VLOOKUP(TableWRRanks3242[[#This Row],[RK]],Rankings!A:Q,11,FALSE)</f>
        <v>Skyy Moore</v>
      </c>
      <c r="AF57" s="22" t="str">
        <f>IFERROR(INDEX(TableWRCalcPts[TM],MATCH(TableWRRanks3242[[#This Row],[Player]],TableWRCalcPts[PLAYER],0)),"")</f>
        <v>KC</v>
      </c>
      <c r="AG57" s="22">
        <f>IFERROR(INDEX(TableWRCalcPts[BYE],MATCH(TableWRRanks3242[[#This Row],[RK]],TableWRCalcPts[RK],0)),"")</f>
        <v>13</v>
      </c>
      <c r="AH57" s="279">
        <f>VLOOKUP(TableWRRanks3242[[#This Row],[Player]],WR!B:O,4,FALSE)</f>
        <v>1.3744072094170741</v>
      </c>
      <c r="AI57" s="279">
        <f>VLOOKUP(TableWRRanks3242[[#This Row],[Player]],WR!B:O,5,FALSE)</f>
        <v>0</v>
      </c>
      <c r="AJ57" s="279">
        <f>VLOOKUP(TableWRRanks3242[[#This Row],[Player]],WR!B:O,6,FALSE)</f>
        <v>87.633048274347814</v>
      </c>
      <c r="AK57" s="279">
        <f>VLOOKUP(TableWRRanks3242[[#This Row],[Player]],WR!B:O,7,FALSE)</f>
        <v>53.535029190799079</v>
      </c>
      <c r="AL57" s="279">
        <f>VLOOKUP(TableWRRanks3242[[#This Row],[Player]],WR!B:O,8,FALSE)</f>
        <v>637.06684737050909</v>
      </c>
      <c r="AM57" s="279">
        <f>VLOOKUP(TableWRRanks3242[[#This Row],[Player]],WR!B:O,9,FALSE)</f>
        <v>5.2485082231459765</v>
      </c>
      <c r="AN57" s="272">
        <f>VLOOKUP(TableWRRanks3242[[#This Row],[Player]],WR!B:O,13,FALSE)</f>
        <v>95.335174796868472</v>
      </c>
      <c r="AO57" s="273">
        <f>IF(VLOOKUP(TableWRRanks3242[[#This Row],[RK]],'Ranks w Proj'!AD:AO,12,FALSE)&lt;0,0,VLOOKUP(TableWRRanks3242[[#This Row],[RK]],'Ranks w Proj'!AD:AO,12,FALSE))</f>
        <v>0</v>
      </c>
      <c r="AQ57" s="274">
        <v>56</v>
      </c>
      <c r="AR57" s="274" t="str">
        <f>VLOOKUP(TableTERanks3343[[#This Row],[RK]],Rankings!A:Q,15,FALSE)</f>
        <v>Josiah Deguara</v>
      </c>
      <c r="AS57" s="22" t="str">
        <f>IFERROR(INDEX(TableTECalcPts[TM],MATCH(TableTERanks3343[[#This Row],[Player]],TableTECalcPts[PLAYER],0)),"")</f>
        <v>GB</v>
      </c>
      <c r="AT57" s="22">
        <f>IFERROR(INDEX(TableTECalcPts[BYE],MATCH(TableTERanks3343[[#This Row],[RK]],TableTECalcPts[RK],0)),"")</f>
        <v>11</v>
      </c>
      <c r="AU57" s="279">
        <f>VLOOKUP(TableTERanks3343[[#This Row],[Player]],TE!B:O,4,FALSE)</f>
        <v>20.145183259999996</v>
      </c>
      <c r="AV57" s="279">
        <f>VLOOKUP(TableTERanks3343[[#This Row],[Player]],TE!B:O,5,FALSE)</f>
        <v>12.449723254679997</v>
      </c>
      <c r="AW57" s="279">
        <f>VLOOKUP(TableTERanks3343[[#This Row],[Player]],TE!B:O,6,FALSE)</f>
        <v>130.38151317585604</v>
      </c>
      <c r="AX57" s="279">
        <f>VLOOKUP(TableTERanks3343[[#This Row],[Player]],TE!B:O,7,FALSE)</f>
        <v>1.2191130013996798</v>
      </c>
      <c r="AY57" s="272">
        <f>VLOOKUP(TableTERanks3343[[#This Row],[Player]],TE!B:O,11,FALSE)</f>
        <v>20.352829325983684</v>
      </c>
      <c r="AZ57" s="273">
        <f>IF(VLOOKUP(TableTERanks3343[[#This Row],[RK]],'Ranks w Proj'!AQ:AZ,10,FALSE)&lt;0,0,VLOOKUP(TableTERanks3343[[#This Row],[RK]],'Ranks w Proj'!AQ:AZ,10,FALSE))</f>
        <v>0</v>
      </c>
    </row>
    <row r="58" spans="1:52" x14ac:dyDescent="0.3">
      <c r="A58" s="22">
        <v>57</v>
      </c>
      <c r="B58" s="22" t="str">
        <f>VLOOKUP(TableQBRanks3040[[#This Row],[RK]],Rankings!A:Q,3,FALSE)</f>
        <v>Nick Foles</v>
      </c>
      <c r="C58" s="22" t="str">
        <f>IFERROR(INDEX(TableQBCalcPts[TM],MATCH(TableQBRanks3040[[#This Row],[Player]],TableQBCalcPts[PLAYER],0)),"")</f>
        <v>IND</v>
      </c>
      <c r="D58" s="22">
        <f>IFERROR(INDEX(TableQBCalcPts[BYE],MATCH(TableQBRanks3040[[#This Row],[RK]],TableQBCalcPts[RK],0)),"")</f>
        <v>14</v>
      </c>
      <c r="E58" s="279">
        <f>VLOOKUP(TableQBRanks3040[[#This Row],[Player]],QB!B:O,4,FALSE)</f>
        <v>11.366136000000012</v>
      </c>
      <c r="F58" s="279">
        <f>VLOOKUP(TableQBRanks3040[[#This Row],[Player]],QB!B:O,5,FALSE)</f>
        <v>6.4297080014047188</v>
      </c>
      <c r="G58" s="279">
        <f>VLOOKUP(TableQBRanks3040[[#This Row],[Player]],QB!B:O,6,FALSE)</f>
        <v>73.877344936140219</v>
      </c>
      <c r="H58" s="279">
        <f>VLOOKUP(TableQBRanks3040[[#This Row],[Player]],QB!B:O,7,FALSE)</f>
        <v>0.44073270056188585</v>
      </c>
      <c r="I58" s="279">
        <f>VLOOKUP(TableQBRanks3040[[#This Row],[Player]],QB!B:O,8,FALSE)</f>
        <v>0.13434948629437438</v>
      </c>
      <c r="J58" s="279">
        <f>VLOOKUP(TableQBRanks3040[[#This Row],[Player]],QB!B:O,9,FALSE)</f>
        <v>0</v>
      </c>
      <c r="K58" s="279">
        <f>VLOOKUP(TableQBRanks3040[[#This Row],[Player]],QB!B:O,10,FALSE)</f>
        <v>0</v>
      </c>
      <c r="L58" s="279">
        <f>VLOOKUP(TableQBRanks3040[[#This Row],[Player]],QB!B:O,11,FALSE)</f>
        <v>0</v>
      </c>
      <c r="M58" s="272">
        <f>VLOOKUP(TableQBRanks3040[[#This Row],[Player]],QB!B:O,13,FALSE)</f>
        <v>4.449325627104403</v>
      </c>
      <c r="N58" s="273">
        <f>IF(VLOOKUP(TableQBRanks3040[[#This Row],[RK]],'Ranks w Proj'!$A:$N,14,FALSE)&lt;0,0,VLOOKUP(TableQBRanks3040[[#This Row],[RK]],'Ranks w Proj'!$A:$N,14,FALSE))</f>
        <v>0</v>
      </c>
      <c r="P58" s="22">
        <v>57</v>
      </c>
      <c r="Q58" s="22" t="str">
        <f>VLOOKUP(TableRBRanks3141[[#This Row],[RK]],Rankings!A:Q,7,FALSE)</f>
        <v>Darrell Henderson</v>
      </c>
      <c r="R58" s="22" t="str">
        <f>IFERROR(INDEX(TableRBCalcPts[TM],MATCH(TableRBRanks3141[[#This Row],[Player]],TableRBCalcPts[PLAYER],0)),"")</f>
        <v>LAR</v>
      </c>
      <c r="S58" s="22">
        <f>IFERROR(INDEX(TableRBCalcPts[BYE],MATCH(TableRBRanks3141[[#This Row],[RK]],TableRBCalcPts[RK],0)),"")</f>
        <v>13</v>
      </c>
      <c r="T58" s="279">
        <f>VLOOKUP(TableRBRanks3141[[#This Row],[Player]],RB!B:O,4,FALSE)</f>
        <v>96.503091224277711</v>
      </c>
      <c r="U58" s="279">
        <f>VLOOKUP(TableRBRanks3141[[#This Row],[Player]],RB!B:O,5,FALSE)</f>
        <v>437.15900324597806</v>
      </c>
      <c r="V58" s="279">
        <f>VLOOKUP(TableRBRanks3141[[#This Row],[Player]],RB!B:O,6,FALSE)</f>
        <v>3.5090672805230461</v>
      </c>
      <c r="W58" s="279">
        <f>VLOOKUP(TableRBRanks3141[[#This Row],[Player]],RB!B:O,7,FALSE)</f>
        <v>32.289468157138785</v>
      </c>
      <c r="X58" s="279">
        <f>VLOOKUP(TableRBRanks3141[[#This Row],[Player]],RB!B:O,8,FALSE)</f>
        <v>23.669096894871732</v>
      </c>
      <c r="Y58" s="279">
        <f>VLOOKUP(TableRBRanks3141[[#This Row],[Player]],RB!B:O,9,FALSE)</f>
        <v>157.72580132642193</v>
      </c>
      <c r="Z58" s="279">
        <f>VLOOKUP(TableRBRanks3141[[#This Row],[Player]],RB!B:O,10,FALSE)</f>
        <v>1.3728076199025605</v>
      </c>
      <c r="AA58" s="272">
        <f>VLOOKUP(TableRBRanks3141[[#This Row],[Player]],RB!B:O,14,FALSE)</f>
        <v>88.779729859793633</v>
      </c>
      <c r="AB58" s="273">
        <f>IF(VLOOKUP(TableRBRanks3141[[#This Row],[RK]],'Ranks w Proj'!$P:$AB,13,FALSE)&lt;0,0,VLOOKUP(TableRBRanks3141[[#This Row],[RK]],'Ranks w Proj'!$P:$AB,13,FALSE))</f>
        <v>0</v>
      </c>
      <c r="AD58" s="22">
        <v>57</v>
      </c>
      <c r="AE58" s="22" t="str">
        <f>VLOOKUP(TableWRRanks3242[[#This Row],[RK]],Rankings!A:Q,11,FALSE)</f>
        <v>Marvin Jones</v>
      </c>
      <c r="AF58" s="22" t="str">
        <f>IFERROR(INDEX(TableWRCalcPts[TM],MATCH(TableWRRanks3242[[#This Row],[Player]],TableWRCalcPts[PLAYER],0)),"")</f>
        <v>JAX</v>
      </c>
      <c r="AG58" s="22">
        <f>IFERROR(INDEX(TableWRCalcPts[BYE],MATCH(TableWRRanks3242[[#This Row],[RK]],TableWRCalcPts[RK],0)),"")</f>
        <v>14</v>
      </c>
      <c r="AH58" s="279">
        <f>VLOOKUP(TableWRRanks3242[[#This Row],[Player]],WR!B:O,4,FALSE)</f>
        <v>0</v>
      </c>
      <c r="AI58" s="279">
        <f>VLOOKUP(TableWRRanks3242[[#This Row],[Player]],WR!B:O,5,FALSE)</f>
        <v>0</v>
      </c>
      <c r="AJ58" s="279">
        <f>VLOOKUP(TableWRRanks3242[[#This Row],[Player]],WR!B:O,6,FALSE)</f>
        <v>98.870095332987006</v>
      </c>
      <c r="AK58" s="279">
        <f>VLOOKUP(TableWRRanks3242[[#This Row],[Player]],WR!B:O,7,FALSE)</f>
        <v>60.607142708309773</v>
      </c>
      <c r="AL58" s="279">
        <f>VLOOKUP(TableWRRanks3242[[#This Row],[Player]],WR!B:O,8,FALSE)</f>
        <v>723.64928393721868</v>
      </c>
      <c r="AM58" s="279">
        <f>VLOOKUP(TableWRRanks3242[[#This Row],[Player]],WR!B:O,9,FALSE)</f>
        <v>5.5758571291644987</v>
      </c>
      <c r="AN58" s="272">
        <f>VLOOKUP(TableWRRanks3242[[#This Row],[Player]],WR!B:O,13,FALSE)</f>
        <v>105.82007116870886</v>
      </c>
      <c r="AO58" s="273">
        <f>IF(VLOOKUP(TableWRRanks3242[[#This Row],[RK]],'Ranks w Proj'!AD:AO,12,FALSE)&lt;0,0,VLOOKUP(TableWRRanks3242[[#This Row],[RK]],'Ranks w Proj'!AD:AO,12,FALSE))</f>
        <v>0</v>
      </c>
      <c r="AQ58" s="22">
        <v>57</v>
      </c>
      <c r="AR58" s="274" t="str">
        <f>VLOOKUP(TableTERanks3343[[#This Row],[RK]],Rankings!A:Q,15,FALSE)</f>
        <v>Hunter Long</v>
      </c>
      <c r="AS58" s="22" t="str">
        <f>IFERROR(INDEX(TableTECalcPts[TM],MATCH(TableTERanks3343[[#This Row],[Player]],TableTECalcPts[PLAYER],0)),"")</f>
        <v>MIA</v>
      </c>
      <c r="AT58" s="22">
        <f>IFERROR(INDEX(TableTECalcPts[BYE],MATCH(TableTERanks3343[[#This Row],[RK]],TableTECalcPts[RK],0)),"")</f>
        <v>10</v>
      </c>
      <c r="AU58" s="279">
        <f>VLOOKUP(TableTERanks3343[[#This Row],[Player]],TE!B:O,4,FALSE)</f>
        <v>19.529643809999996</v>
      </c>
      <c r="AV58" s="279">
        <f>VLOOKUP(TableTERanks3343[[#This Row],[Player]],TE!B:O,5,FALSE)</f>
        <v>13.328981900324997</v>
      </c>
      <c r="AW58" s="279">
        <f>VLOOKUP(TableTERanks3343[[#This Row],[Player]],TE!B:O,6,FALSE)</f>
        <v>133.6896884602597</v>
      </c>
      <c r="AX58" s="279">
        <f>VLOOKUP(TableTERanks3343[[#This Row],[Player]],TE!B:O,7,FALSE)</f>
        <v>0.95968669682339969</v>
      </c>
      <c r="AY58" s="272">
        <f>VLOOKUP(TableTERanks3343[[#This Row],[Player]],TE!B:O,11,FALSE)</f>
        <v>19.12708902696637</v>
      </c>
      <c r="AZ58" s="273">
        <f>IF(VLOOKUP(TableTERanks3343[[#This Row],[RK]],'Ranks w Proj'!AQ:AZ,10,FALSE)&lt;0,0,VLOOKUP(TableTERanks3343[[#This Row],[RK]],'Ranks w Proj'!AQ:AZ,10,FALSE))</f>
        <v>0</v>
      </c>
    </row>
    <row r="59" spans="1:52" x14ac:dyDescent="0.3">
      <c r="A59" s="22">
        <v>58</v>
      </c>
      <c r="B59" s="22" t="str">
        <f>VLOOKUP(TableQBRanks3040[[#This Row],[RK]],Rankings!A:Q,3,FALSE)</f>
        <v>Jordan Love</v>
      </c>
      <c r="C59" s="22" t="str">
        <f>IFERROR(INDEX(TableQBCalcPts[TM],MATCH(TableQBRanks3040[[#This Row],[Player]],TableQBCalcPts[PLAYER],0)),"")</f>
        <v>GB</v>
      </c>
      <c r="D59" s="22">
        <f>IFERROR(INDEX(TableQBCalcPts[BYE],MATCH(TableQBRanks3040[[#This Row],[RK]],TableQBCalcPts[RK],0)),"")</f>
        <v>14</v>
      </c>
      <c r="E59" s="279">
        <f>VLOOKUP(TableQBRanks3040[[#This Row],[Player]],QB!B:O,4,FALSE)</f>
        <v>5.9250539000000044</v>
      </c>
      <c r="F59" s="279">
        <f>VLOOKUP(TableQBRanks3040[[#This Row],[Player]],QB!B:O,5,FALSE)</f>
        <v>3.6012734522123306</v>
      </c>
      <c r="G59" s="279">
        <f>VLOOKUP(TableQBRanks3040[[#This Row],[Player]],QB!B:O,6,FALSE)</f>
        <v>39.28989336363653</v>
      </c>
      <c r="H59" s="279">
        <f>VLOOKUP(TableQBRanks3040[[#This Row],[Player]],QB!B:O,7,FALSE)</f>
        <v>0.30854834661250868</v>
      </c>
      <c r="I59" s="279">
        <f>VLOOKUP(TableQBRanks3040[[#This Row],[Player]],QB!B:O,8,FALSE)</f>
        <v>0.10502073286668255</v>
      </c>
      <c r="J59" s="279">
        <f>VLOOKUP(TableQBRanks3040[[#This Row],[Player]],QB!B:O,9,FALSE)</f>
        <v>2.7249439991546445</v>
      </c>
      <c r="K59" s="279">
        <f>VLOOKUP(TableQBRanks3040[[#This Row],[Player]],QB!B:O,10,FALSE)</f>
        <v>11.639760789049562</v>
      </c>
      <c r="L59" s="279">
        <f>VLOOKUP(TableQBRanks3040[[#This Row],[Player]],QB!B:O,11,FALSE)</f>
        <v>5.9998766953863726E-2</v>
      </c>
      <c r="M59" s="272">
        <f>VLOOKUP(TableQBRanks3040[[#This Row],[Player]],QB!B:O,13,FALSE)</f>
        <v>4.1197163358902698</v>
      </c>
      <c r="N59" s="273">
        <f>IF(VLOOKUP(TableQBRanks3040[[#This Row],[RK]],'Ranks w Proj'!$A:$N,14,FALSE)&lt;0,0,VLOOKUP(TableQBRanks3040[[#This Row],[RK]],'Ranks w Proj'!$A:$N,14,FALSE))</f>
        <v>0</v>
      </c>
      <c r="P59" s="22">
        <v>58</v>
      </c>
      <c r="Q59" s="22" t="str">
        <f>VLOOKUP(TableRBRanks3141[[#This Row],[RK]],Rankings!A:Q,7,FALSE)</f>
        <v>Rex Burkhead</v>
      </c>
      <c r="R59" s="22" t="str">
        <f>IFERROR(INDEX(TableRBCalcPts[TM],MATCH(TableRBRanks3141[[#This Row],[Player]],TableRBCalcPts[PLAYER],0)),"")</f>
        <v>HOU</v>
      </c>
      <c r="S59" s="22">
        <f>IFERROR(INDEX(TableRBCalcPts[BYE],MATCH(TableRBRanks3141[[#This Row],[RK]],TableRBCalcPts[RK],0)),"")</f>
        <v>10</v>
      </c>
      <c r="T59" s="279">
        <f>VLOOKUP(TableRBRanks3141[[#This Row],[Player]],RB!B:O,4,FALSE)</f>
        <v>72.166213528547274</v>
      </c>
      <c r="U59" s="279">
        <f>VLOOKUP(TableRBRanks3141[[#This Row],[Player]],RB!B:O,5,FALSE)</f>
        <v>284.74453602331931</v>
      </c>
      <c r="V59" s="279">
        <f>VLOOKUP(TableRBRanks3141[[#This Row],[Player]],RB!B:O,6,FALSE)</f>
        <v>2.0350872215050333</v>
      </c>
      <c r="W59" s="279">
        <f>VLOOKUP(TableRBRanks3141[[#This Row],[Player]],RB!B:O,7,FALSE)</f>
        <v>49.440054905198672</v>
      </c>
      <c r="X59" s="279">
        <f>VLOOKUP(TableRBRanks3141[[#This Row],[Player]],RB!B:O,8,FALSE)</f>
        <v>35.695719641553438</v>
      </c>
      <c r="Y59" s="279">
        <f>VLOOKUP(TableRBRanks3141[[#This Row],[Player]],RB!B:O,9,FALSE)</f>
        <v>267.00398291881976</v>
      </c>
      <c r="Z59" s="279">
        <f>VLOOKUP(TableRBRanks3141[[#This Row],[Player]],RB!B:O,10,FALSE)</f>
        <v>1.4278287856621377</v>
      </c>
      <c r="AA59" s="272">
        <f>VLOOKUP(TableRBRanks3141[[#This Row],[Player]],RB!B:O,14,FALSE)</f>
        <v>75.952347937216942</v>
      </c>
      <c r="AB59" s="273">
        <f>IF(VLOOKUP(TableRBRanks3141[[#This Row],[RK]],'Ranks w Proj'!$P:$AB,13,FALSE)&lt;0,0,VLOOKUP(TableRBRanks3141[[#This Row],[RK]],'Ranks w Proj'!$P:$AB,13,FALSE))</f>
        <v>0</v>
      </c>
      <c r="AD59" s="22">
        <v>58</v>
      </c>
      <c r="AE59" s="274" t="str">
        <f>VLOOKUP(TableWRRanks3242[[#This Row],[RK]],Rankings!A:Q,11,FALSE)</f>
        <v>Alec Pierce</v>
      </c>
      <c r="AF59" s="22" t="str">
        <f>IFERROR(INDEX(TableWRCalcPts[TM],MATCH(TableWRRanks3242[[#This Row],[Player]],TableWRCalcPts[PLAYER],0)),"")</f>
        <v>IND</v>
      </c>
      <c r="AG59" s="22">
        <f>IFERROR(INDEX(TableWRCalcPts[BYE],MATCH(TableWRRanks3242[[#This Row],[RK]],TableWRCalcPts[RK],0)),"")</f>
        <v>14</v>
      </c>
      <c r="AH59" s="279">
        <f>VLOOKUP(TableWRRanks3242[[#This Row],[Player]],WR!B:O,4,FALSE)</f>
        <v>3.8731150143991542</v>
      </c>
      <c r="AI59" s="279">
        <f>VLOOKUP(TableWRRanks3242[[#This Row],[Player]],WR!B:O,5,FALSE)</f>
        <v>0</v>
      </c>
      <c r="AJ59" s="279">
        <f>VLOOKUP(TableWRRanks3242[[#This Row],[Player]],WR!B:O,6,FALSE)</f>
        <v>93.176375009372563</v>
      </c>
      <c r="AK59" s="279">
        <f>VLOOKUP(TableWRRanks3242[[#This Row],[Player]],WR!B:O,7,FALSE)</f>
        <v>57.815940693315682</v>
      </c>
      <c r="AL59" s="279">
        <f>VLOOKUP(TableWRRanks3242[[#This Row],[Player]],WR!B:O,8,FALSE)</f>
        <v>755.65434486163599</v>
      </c>
      <c r="AM59" s="279">
        <f>VLOOKUP(TableWRRanks3242[[#This Row],[Player]],WR!B:O,9,FALSE)</f>
        <v>4.2444085740126756</v>
      </c>
      <c r="AN59" s="272">
        <f>VLOOKUP(TableWRRanks3242[[#This Row],[Player]],WR!B:O,13,FALSE)</f>
        <v>101.41919743167956</v>
      </c>
      <c r="AO59" s="273">
        <f>IF(VLOOKUP(TableWRRanks3242[[#This Row],[RK]],'Ranks w Proj'!AD:AO,12,FALSE)&lt;0,0,VLOOKUP(TableWRRanks3242[[#This Row],[RK]],'Ranks w Proj'!AD:AO,12,FALSE))</f>
        <v>0</v>
      </c>
      <c r="AQ59" s="22">
        <v>58</v>
      </c>
      <c r="AR59" s="22" t="str">
        <f>VLOOKUP(TableTERanks3343[[#This Row],[RK]],Rankings!A:Q,15,FALSE)</f>
        <v>Maxx Williams</v>
      </c>
      <c r="AS59" s="22" t="str">
        <f>IFERROR(INDEX(TableTECalcPts[TM],MATCH(TableTERanks3343[[#This Row],[Player]],TableTECalcPts[PLAYER],0)),"")</f>
        <v>ARI</v>
      </c>
      <c r="AT59" s="22">
        <f>IFERROR(INDEX(TableTECalcPts[BYE],MATCH(TableTERanks3343[[#This Row],[RK]],TableTECalcPts[RK],0)),"")</f>
        <v>13</v>
      </c>
      <c r="AU59" s="279">
        <f>VLOOKUP(TableTERanks3343[[#This Row],[Player]],TE!B:O,4,FALSE)</f>
        <v>17.460510340000003</v>
      </c>
      <c r="AV59" s="279">
        <f>VLOOKUP(TableTERanks3343[[#This Row],[Player]],TE!B:O,5,FALSE)</f>
        <v>11.384252741680003</v>
      </c>
      <c r="AW59" s="279">
        <f>VLOOKUP(TableTERanks3343[[#This Row],[Player]],TE!B:O,6,FALSE)</f>
        <v>126.02367785039763</v>
      </c>
      <c r="AX59" s="279">
        <f>VLOOKUP(TableTERanks3343[[#This Row],[Player]],TE!B:O,7,FALSE)</f>
        <v>0.77404730374425734</v>
      </c>
      <c r="AY59" s="272">
        <f>VLOOKUP(TableTERanks3343[[#This Row],[Player]],TE!B:O,11,FALSE)</f>
        <v>17.246651607505306</v>
      </c>
      <c r="AZ59" s="273">
        <f>IF(VLOOKUP(TableTERanks3343[[#This Row],[RK]],'Ranks w Proj'!AQ:AZ,10,FALSE)&lt;0,0,VLOOKUP(TableTERanks3343[[#This Row],[RK]],'Ranks w Proj'!AQ:AZ,10,FALSE))</f>
        <v>0</v>
      </c>
    </row>
    <row r="60" spans="1:52" x14ac:dyDescent="0.3">
      <c r="A60" s="22">
        <v>59</v>
      </c>
      <c r="B60" s="22" t="str">
        <f>VLOOKUP(TableQBRanks3040[[#This Row],[RK]],Rankings!A:Q,3,FALSE)</f>
        <v>Kyle Trask</v>
      </c>
      <c r="C60" s="22" t="str">
        <f>IFERROR(INDEX(TableQBCalcPts[TM],MATCH(TableQBRanks3040[[#This Row],[Player]],TableQBCalcPts[PLAYER],0)),"")</f>
        <v>TB</v>
      </c>
      <c r="D60" s="22">
        <f>IFERROR(INDEX(TableQBCalcPts[BYE],MATCH(TableQBRanks3040[[#This Row],[RK]],TableQBCalcPts[RK],0)),"")</f>
        <v>7</v>
      </c>
      <c r="E60" s="279">
        <f>VLOOKUP(TableQBRanks3040[[#This Row],[Player]],QB!B:O,4,FALSE)</f>
        <v>7.0770700000000062</v>
      </c>
      <c r="F60" s="279">
        <f>VLOOKUP(TableQBRanks3040[[#This Row],[Player]],QB!B:O,5,FALSE)</f>
        <v>4.367179272151902</v>
      </c>
      <c r="G60" s="279">
        <f>VLOOKUP(TableQBRanks3040[[#This Row],[Player]],QB!B:O,6,FALSE)</f>
        <v>43.746445358649822</v>
      </c>
      <c r="H60" s="279">
        <f>VLOOKUP(TableQBRanks3040[[#This Row],[Player]],QB!B:O,7,FALSE)</f>
        <v>0.34762747006329142</v>
      </c>
      <c r="I60" s="279">
        <f>VLOOKUP(TableQBRanks3040[[#This Row],[Player]],QB!B:O,8,FALSE)</f>
        <v>9.6741312990706693E-2</v>
      </c>
      <c r="J60" s="279">
        <f>VLOOKUP(TableQBRanks3040[[#This Row],[Player]],QB!B:O,9,FALSE)</f>
        <v>0</v>
      </c>
      <c r="K60" s="279">
        <f>VLOOKUP(TableQBRanks3040[[#This Row],[Player]],QB!B:O,10,FALSE)</f>
        <v>0</v>
      </c>
      <c r="L60" s="279">
        <f>VLOOKUP(TableQBRanks3040[[#This Row],[Player]],QB!B:O,11,FALSE)</f>
        <v>0</v>
      </c>
      <c r="M60" s="272">
        <f>VLOOKUP(TableQBRanks3040[[#This Row],[Player]],QB!B:O,13,FALSE)</f>
        <v>2.9468850686177452</v>
      </c>
      <c r="N60" s="273">
        <f>IF(VLOOKUP(TableQBRanks3040[[#This Row],[RK]],'Ranks w Proj'!$A:$N,14,FALSE)&lt;0,0,VLOOKUP(TableQBRanks3040[[#This Row],[RK]],'Ranks w Proj'!$A:$N,14,FALSE))</f>
        <v>0</v>
      </c>
      <c r="P60" s="22">
        <v>59</v>
      </c>
      <c r="Q60" s="22" t="str">
        <f>VLOOKUP(TableRBRanks3141[[#This Row],[RK]],Rankings!A:Q,7,FALSE)</f>
        <v>Darrel Williams</v>
      </c>
      <c r="R60" s="22" t="str">
        <f>IFERROR(INDEX(TableRBCalcPts[TM],MATCH(TableRBRanks3141[[#This Row],[Player]],TableRBCalcPts[PLAYER],0)),"")</f>
        <v>ARI</v>
      </c>
      <c r="S60" s="22">
        <f>IFERROR(INDEX(TableRBCalcPts[BYE],MATCH(TableRBRanks3141[[#This Row],[RK]],TableRBCalcPts[RK],0)),"")</f>
        <v>6</v>
      </c>
      <c r="T60" s="279">
        <f>VLOOKUP(TableRBRanks3141[[#This Row],[Player]],RB!B:O,4,FALSE)</f>
        <v>102.31889289675634</v>
      </c>
      <c r="U60" s="279">
        <f>VLOOKUP(TableRBRanks3141[[#This Row],[Player]],RB!B:O,5,FALSE)</f>
        <v>432.80891695327938</v>
      </c>
      <c r="V60" s="279">
        <f>VLOOKUP(TableRBRanks3141[[#This Row],[Player]],RB!B:O,6,FALSE)</f>
        <v>3.7506209475200207</v>
      </c>
      <c r="W60" s="279">
        <f>VLOOKUP(TableRBRanks3141[[#This Row],[Player]],RB!B:O,7,FALSE)</f>
        <v>21.825637925000002</v>
      </c>
      <c r="X60" s="279">
        <f>VLOOKUP(TableRBRanks3141[[#This Row],[Player]],RB!B:O,8,FALSE)</f>
        <v>16.078947459347503</v>
      </c>
      <c r="Y60" s="279">
        <f>VLOOKUP(TableRBRanks3141[[#This Row],[Player]],RB!B:O,9,FALSE)</f>
        <v>129.75710599693437</v>
      </c>
      <c r="Z60" s="279">
        <f>VLOOKUP(TableRBRanks3141[[#This Row],[Player]],RB!B:O,10,FALSE)</f>
        <v>0.88507967666133036</v>
      </c>
      <c r="AA60" s="272">
        <f>VLOOKUP(TableRBRanks3141[[#This Row],[Player]],RB!B:O,14,FALSE)</f>
        <v>84.070806040109474</v>
      </c>
      <c r="AB60" s="273">
        <f>IF(VLOOKUP(TableRBRanks3141[[#This Row],[RK]],'Ranks w Proj'!$P:$AB,13,FALSE)&lt;0,0,VLOOKUP(TableRBRanks3141[[#This Row],[RK]],'Ranks w Proj'!$P:$AB,13,FALSE))</f>
        <v>0</v>
      </c>
      <c r="AD60" s="274">
        <v>59</v>
      </c>
      <c r="AE60" s="274" t="str">
        <f>VLOOKUP(TableWRRanks3242[[#This Row],[RK]],Rankings!A:Q,11,FALSE)</f>
        <v>Mecole Hardman</v>
      </c>
      <c r="AF60" s="22" t="str">
        <f>IFERROR(INDEX(TableWRCalcPts[TM],MATCH(TableWRRanks3242[[#This Row],[Player]],TableWRCalcPts[PLAYER],0)),"")</f>
        <v>KC</v>
      </c>
      <c r="AG60" s="22">
        <f>IFERROR(INDEX(TableWRCalcPts[BYE],MATCH(TableWRRanks3242[[#This Row],[RK]],TableWRCalcPts[RK],0)),"")</f>
        <v>13</v>
      </c>
      <c r="AH60" s="279">
        <f>VLOOKUP(TableWRRanks3242[[#This Row],[Player]],WR!B:O,4,FALSE)</f>
        <v>56.772513653281116</v>
      </c>
      <c r="AI60" s="279">
        <f>VLOOKUP(TableWRRanks3242[[#This Row],[Player]],WR!B:O,5,FALSE)</f>
        <v>0.4498059958092242</v>
      </c>
      <c r="AJ60" s="279">
        <f>VLOOKUP(TableWRRanks3242[[#This Row],[Player]],WR!B:O,6,FALSE)</f>
        <v>82.155982757201059</v>
      </c>
      <c r="AK60" s="279">
        <f>VLOOKUP(TableWRRanks3242[[#This Row],[Player]],WR!B:O,7,FALSE)</f>
        <v>57.008036435221811</v>
      </c>
      <c r="AL60" s="279">
        <f>VLOOKUP(TableWRRanks3242[[#This Row],[Player]],WR!B:O,8,FALSE)</f>
        <v>680.10587467219614</v>
      </c>
      <c r="AM60" s="279">
        <f>VLOOKUP(TableWRRanks3242[[#This Row],[Player]],WR!B:O,9,FALSE)</f>
        <v>5.0167072062995191</v>
      </c>
      <c r="AN60" s="272">
        <f>VLOOKUP(TableWRRanks3242[[#This Row],[Player]],WR!B:O,13,FALSE)</f>
        <v>106.4869180452002</v>
      </c>
      <c r="AO60" s="273">
        <f>IF(VLOOKUP(TableWRRanks3242[[#This Row],[RK]],'Ranks w Proj'!AD:AO,12,FALSE)&lt;0,0,VLOOKUP(TableWRRanks3242[[#This Row],[RK]],'Ranks w Proj'!AD:AO,12,FALSE))</f>
        <v>0</v>
      </c>
      <c r="AQ60" s="274">
        <v>59</v>
      </c>
      <c r="AR60" s="274" t="str">
        <f>VLOOKUP(TableTERanks3343[[#This Row],[RK]],Rankings!A:Q,15,FALSE)</f>
        <v>Drew Sample</v>
      </c>
      <c r="AS60" s="22" t="str">
        <f>IFERROR(INDEX(TableTECalcPts[TM],MATCH(TableTERanks3343[[#This Row],[Player]],TableTECalcPts[PLAYER],0)),"")</f>
        <v>CIN</v>
      </c>
      <c r="AT60" s="22">
        <f>IFERROR(INDEX(TableTECalcPts[BYE],MATCH(TableTERanks3343[[#This Row],[RK]],TableTECalcPts[RK],0)),"")</f>
        <v>14</v>
      </c>
      <c r="AU60" s="279">
        <f>VLOOKUP(TableTERanks3343[[#This Row],[Player]],TE!B:O,4,FALSE)</f>
        <v>18.765650048805494</v>
      </c>
      <c r="AV60" s="279">
        <f>VLOOKUP(TableTERanks3343[[#This Row],[Player]],TE!B:O,5,FALSE)</f>
        <v>12.535454232602071</v>
      </c>
      <c r="AW60" s="279">
        <f>VLOOKUP(TableTERanks3343[[#This Row],[Player]],TE!B:O,6,FALSE)</f>
        <v>122.72209693717426</v>
      </c>
      <c r="AX60" s="279">
        <f>VLOOKUP(TableTERanks3343[[#This Row],[Player]],TE!B:O,7,FALSE)</f>
        <v>1.0028363386081656</v>
      </c>
      <c r="AY60" s="272">
        <f>VLOOKUP(TableTERanks3343[[#This Row],[Player]],TE!B:O,11,FALSE)</f>
        <v>18.28922772536642</v>
      </c>
      <c r="AZ60" s="273">
        <f>IF(VLOOKUP(TableTERanks3343[[#This Row],[RK]],'Ranks w Proj'!AQ:AZ,10,FALSE)&lt;0,0,VLOOKUP(TableTERanks3343[[#This Row],[RK]],'Ranks w Proj'!AQ:AZ,10,FALSE))</f>
        <v>0</v>
      </c>
    </row>
    <row r="61" spans="1:52" x14ac:dyDescent="0.3">
      <c r="A61" s="22">
        <v>60</v>
      </c>
      <c r="B61" s="22" t="str">
        <f>VLOOKUP(TableQBRanks3040[[#This Row],[RK]],Rankings!A:Q,3,FALSE)</f>
        <v>Case Keenum</v>
      </c>
      <c r="C61" s="22" t="str">
        <f>IFERROR(INDEX(TableQBCalcPts[TM],MATCH(TableQBRanks3040[[#This Row],[Player]],TableQBCalcPts[PLAYER],0)),"")</f>
        <v>BUF</v>
      </c>
      <c r="D61" s="22">
        <f>IFERROR(INDEX(TableQBCalcPts[BYE],MATCH(TableQBRanks3040[[#This Row],[RK]],TableQBCalcPts[RK],0)),"")</f>
        <v>9</v>
      </c>
      <c r="E61" s="279">
        <f>VLOOKUP(TableQBRanks3040[[#This Row],[Player]],QB!B:O,4,FALSE)</f>
        <v>6.5853161500000059</v>
      </c>
      <c r="F61" s="279">
        <f>VLOOKUP(TableQBRanks3040[[#This Row],[Player]],QB!B:O,5,FALSE)</f>
        <v>4.368299701908632</v>
      </c>
      <c r="G61" s="279">
        <f>VLOOKUP(TableQBRanks3040[[#This Row],[Player]],QB!B:O,6,FALSE)</f>
        <v>46.260293843212409</v>
      </c>
      <c r="H61" s="279">
        <f>VLOOKUP(TableQBRanks3040[[#This Row],[Player]],QB!B:O,7,FALSE)</f>
        <v>0.37200896910894371</v>
      </c>
      <c r="I61" s="279">
        <f>VLOOKUP(TableQBRanks3040[[#This Row],[Player]],QB!B:O,8,FALSE)</f>
        <v>0.10583638724706224</v>
      </c>
      <c r="J61" s="279">
        <f>VLOOKUP(TableQBRanks3040[[#This Row],[Player]],QB!B:O,9,FALSE)</f>
        <v>0.83370743920929435</v>
      </c>
      <c r="K61" s="279">
        <f>VLOOKUP(TableQBRanks3040[[#This Row],[Player]],QB!B:O,10,FALSE)</f>
        <v>3.2014365665636904</v>
      </c>
      <c r="L61" s="279">
        <f>VLOOKUP(TableQBRanks3040[[#This Row],[Player]],QB!B:O,11,FALSE)</f>
        <v>0</v>
      </c>
      <c r="M61" s="272">
        <f>VLOOKUP(TableQBRanks3040[[#This Row],[Player]],QB!B:O,13,FALSE)</f>
        <v>3.446918512326516</v>
      </c>
      <c r="N61" s="273">
        <f>IF(VLOOKUP(TableQBRanks3040[[#This Row],[RK]],'Ranks w Proj'!$A:$N,14,FALSE)&lt;0,0,VLOOKUP(TableQBRanks3040[[#This Row],[RK]],'Ranks w Proj'!$A:$N,14,FALSE))</f>
        <v>0</v>
      </c>
      <c r="P61" s="22">
        <v>60</v>
      </c>
      <c r="Q61" s="22" t="str">
        <f>VLOOKUP(TableRBRanks3141[[#This Row],[RK]],Rankings!A:Q,7,FALSE)</f>
        <v>Damien Williams</v>
      </c>
      <c r="R61" s="22" t="str">
        <f>IFERROR(INDEX(TableRBCalcPts[TM],MATCH(TableRBRanks3141[[#This Row],[Player]],TableRBCalcPts[PLAYER],0)),"")</f>
        <v>ATL</v>
      </c>
      <c r="S61" s="22">
        <f>IFERROR(INDEX(TableRBCalcPts[BYE],MATCH(TableRBRanks3141[[#This Row],[RK]],TableRBCalcPts[RK],0)),"")</f>
        <v>14</v>
      </c>
      <c r="T61" s="279">
        <f>VLOOKUP(TableRBRanks3141[[#This Row],[Player]],RB!B:O,4,FALSE)</f>
        <v>84.6410882873285</v>
      </c>
      <c r="U61" s="279">
        <f>VLOOKUP(TableRBRanks3141[[#This Row],[Player]],RB!B:O,5,FALSE)</f>
        <v>347.02846197804683</v>
      </c>
      <c r="V61" s="279">
        <f>VLOOKUP(TableRBRanks3141[[#This Row],[Player]],RB!B:O,6,FALSE)</f>
        <v>2.5984814104209852</v>
      </c>
      <c r="W61" s="279">
        <f>VLOOKUP(TableRBRanks3141[[#This Row],[Player]],RB!B:O,7,FALSE)</f>
        <v>34.964247433504084</v>
      </c>
      <c r="X61" s="279">
        <f>VLOOKUP(TableRBRanks3141[[#This Row],[Player]],RB!B:O,8,FALSE)</f>
        <v>27.146241707372571</v>
      </c>
      <c r="Y61" s="279">
        <f>VLOOKUP(TableRBRanks3141[[#This Row],[Player]],RB!B:O,9,FALSE)</f>
        <v>184.34204883345504</v>
      </c>
      <c r="Z61" s="279">
        <f>VLOOKUP(TableRBRanks3141[[#This Row],[Player]],RB!B:O,10,FALSE)</f>
        <v>1.1705125842535893</v>
      </c>
      <c r="AA61" s="272">
        <f>VLOOKUP(TableRBRanks3141[[#This Row],[Player]],RB!B:O,14,FALSE)</f>
        <v>75.751015049197633</v>
      </c>
      <c r="AB61" s="273">
        <f>IF(VLOOKUP(TableRBRanks3141[[#This Row],[RK]],'Ranks w Proj'!$P:$AB,13,FALSE)&lt;0,0,VLOOKUP(TableRBRanks3141[[#This Row],[RK]],'Ranks w Proj'!$P:$AB,13,FALSE))</f>
        <v>0</v>
      </c>
      <c r="AD61" s="22">
        <v>60</v>
      </c>
      <c r="AE61" s="22" t="str">
        <f>VLOOKUP(TableWRRanks3242[[#This Row],[RK]],Rankings!A:Q,11,FALSE)</f>
        <v>Chase Claypool</v>
      </c>
      <c r="AF61" s="22" t="str">
        <f>IFERROR(INDEX(TableWRCalcPts[TM],MATCH(TableWRRanks3242[[#This Row],[Player]],TableWRCalcPts[PLAYER],0)),"")</f>
        <v>PIT</v>
      </c>
      <c r="AG61" s="22">
        <f>IFERROR(INDEX(TableWRCalcPts[BYE],MATCH(TableWRRanks3242[[#This Row],[RK]],TableWRCalcPts[RK],0)),"")</f>
        <v>14</v>
      </c>
      <c r="AH61" s="279">
        <f>VLOOKUP(TableWRRanks3242[[#This Row],[Player]],WR!B:O,4,FALSE)</f>
        <v>97.468731355937607</v>
      </c>
      <c r="AI61" s="279">
        <f>VLOOKUP(TableWRRanks3242[[#This Row],[Player]],WR!B:O,5,FALSE)</f>
        <v>0.46371939895209363</v>
      </c>
      <c r="AJ61" s="279">
        <f>VLOOKUP(TableWRRanks3242[[#This Row],[Player]],WR!B:O,6,FALSE)</f>
        <v>102.26899713527055</v>
      </c>
      <c r="AK61" s="279">
        <f>VLOOKUP(TableWRRanks3242[[#This Row],[Player]],WR!B:O,7,FALSE)</f>
        <v>54.632098269661533</v>
      </c>
      <c r="AL61" s="279">
        <f>VLOOKUP(TableWRRanks3242[[#This Row],[Player]],WR!B:O,8,FALSE)</f>
        <v>760.47880791368857</v>
      </c>
      <c r="AM61" s="279">
        <f>VLOOKUP(TableWRRanks3242[[#This Row],[Player]],WR!B:O,9,FALSE)</f>
        <v>3.0593975031010459</v>
      </c>
      <c r="AN61" s="272">
        <f>VLOOKUP(TableWRRanks3242[[#This Row],[Player]],WR!B:O,13,FALSE)</f>
        <v>106.93345533928145</v>
      </c>
      <c r="AO61" s="273">
        <f>IF(VLOOKUP(TableWRRanks3242[[#This Row],[RK]],'Ranks w Proj'!AD:AO,12,FALSE)&lt;0,0,VLOOKUP(TableWRRanks3242[[#This Row],[RK]],'Ranks w Proj'!AD:AO,12,FALSE))</f>
        <v>0</v>
      </c>
      <c r="AQ61" s="22">
        <v>60</v>
      </c>
      <c r="AR61" s="274" t="str">
        <f>VLOOKUP(TableTERanks3343[[#This Row],[RK]],Rankings!A:Q,15,FALSE)</f>
        <v>Marcedes Lewis</v>
      </c>
      <c r="AS61" s="22" t="str">
        <f>IFERROR(INDEX(TableTECalcPts[TM],MATCH(TableTERanks3343[[#This Row],[Player]],TableTECalcPts[PLAYER],0)),"")</f>
        <v>GB</v>
      </c>
      <c r="AT61" s="22">
        <f>IFERROR(INDEX(TableTECalcPts[BYE],MATCH(TableTERanks3343[[#This Row],[RK]],TableTECalcPts[RK],0)),"")</f>
        <v>14</v>
      </c>
      <c r="AU61" s="279">
        <f>VLOOKUP(TableTERanks3343[[#This Row],[Player]],TE!B:O,4,FALSE)</f>
        <v>17.775161699999991</v>
      </c>
      <c r="AV61" s="279">
        <f>VLOOKUP(TableTERanks3343[[#This Row],[Player]],TE!B:O,5,FALSE)</f>
        <v>10.700647343399995</v>
      </c>
      <c r="AW61" s="279">
        <f>VLOOKUP(TableTERanks3343[[#This Row],[Player]],TE!B:O,6,FALSE)</f>
        <v>107.43449932773594</v>
      </c>
      <c r="AX61" s="279">
        <f>VLOOKUP(TableTERanks3343[[#This Row],[Player]],TE!B:O,7,FALSE)</f>
        <v>0.98445955559279952</v>
      </c>
      <c r="AY61" s="272">
        <f>VLOOKUP(TableTERanks3343[[#This Row],[Player]],TE!B:O,11,FALSE)</f>
        <v>16.650207266330391</v>
      </c>
      <c r="AZ61" s="273">
        <f>IF(VLOOKUP(TableTERanks3343[[#This Row],[RK]],'Ranks w Proj'!AQ:AZ,10,FALSE)&lt;0,0,VLOOKUP(TableTERanks3343[[#This Row],[RK]],'Ranks w Proj'!AQ:AZ,10,FALSE))</f>
        <v>0</v>
      </c>
    </row>
    <row r="62" spans="1:52" x14ac:dyDescent="0.3">
      <c r="A62" s="22">
        <v>61</v>
      </c>
      <c r="B62" s="22" t="str">
        <f>VLOOKUP(TableQBRanks3040[[#This Row],[RK]],Rankings!A:Q,3,FALSE)</f>
        <v>Mason Rudolph</v>
      </c>
      <c r="C62" s="22" t="str">
        <f>IFERROR(INDEX(TableQBCalcPts[TM],MATCH(TableQBRanks3040[[#This Row],[Player]],TableQBCalcPts[PLAYER],0)),"")</f>
        <v>PIT</v>
      </c>
      <c r="D62" s="22">
        <f>IFERROR(INDEX(TableQBCalcPts[BYE],MATCH(TableQBRanks3040[[#This Row],[RK]],TableQBCalcPts[RK],0)),"")</f>
        <v>11</v>
      </c>
      <c r="E62" s="279">
        <f>VLOOKUP(TableQBRanks3040[[#This Row],[Player]],QB!B:O,4,FALSE)</f>
        <v>13.196013600000011</v>
      </c>
      <c r="F62" s="279">
        <f>VLOOKUP(TableQBRanks3040[[#This Row],[Player]],QB!B:O,5,FALSE)</f>
        <v>8.2079204592000075</v>
      </c>
      <c r="G62" s="279">
        <f>VLOOKUP(TableQBRanks3040[[#This Row],[Player]],QB!B:O,6,FALSE)</f>
        <v>69.767323903200065</v>
      </c>
      <c r="H62" s="279">
        <f>VLOOKUP(TableQBRanks3040[[#This Row],[Player]],QB!B:O,7,FALSE)</f>
        <v>0.39398018204160035</v>
      </c>
      <c r="I62" s="279">
        <f>VLOOKUP(TableQBRanks3040[[#This Row],[Player]],QB!B:O,8,FALSE)</f>
        <v>0.47605938663360048</v>
      </c>
      <c r="J62" s="279">
        <f>VLOOKUP(TableQBRanks3040[[#This Row],[Player]],QB!B:O,9,FALSE)</f>
        <v>0</v>
      </c>
      <c r="K62" s="279">
        <f>VLOOKUP(TableQBRanks3040[[#This Row],[Player]],QB!B:O,10,FALSE)</f>
        <v>0</v>
      </c>
      <c r="L62" s="279">
        <f>VLOOKUP(TableQBRanks3040[[#This Row],[Player]],QB!B:O,11,FALSE)</f>
        <v>0</v>
      </c>
      <c r="M62" s="272">
        <f>VLOOKUP(TableQBRanks3040[[#This Row],[Player]],QB!B:O,13,FALSE)</f>
        <v>3.4144949110272025</v>
      </c>
      <c r="N62" s="273">
        <f>IF(VLOOKUP(TableQBRanks3040[[#This Row],[RK]],'Ranks w Proj'!$A:$N,14,FALSE)&lt;0,0,VLOOKUP(TableQBRanks3040[[#This Row],[RK]],'Ranks w Proj'!$A:$N,14,FALSE))</f>
        <v>0</v>
      </c>
      <c r="P62" s="22">
        <v>61</v>
      </c>
      <c r="Q62" s="22" t="str">
        <f>VLOOKUP(TableRBRanks3141[[#This Row],[RK]],Rankings!A:Q,7,FALSE)</f>
        <v>Chris Evans</v>
      </c>
      <c r="R62" s="22" t="str">
        <f>IFERROR(INDEX(TableRBCalcPts[TM],MATCH(TableRBRanks3141[[#This Row],[Player]],TableRBCalcPts[PLAYER],0)),"")</f>
        <v>CIN</v>
      </c>
      <c r="S62" s="22">
        <f>IFERROR(INDEX(TableRBCalcPts[BYE],MATCH(TableRBRanks3141[[#This Row],[RK]],TableRBCalcPts[RK],0)),"")</f>
        <v>10</v>
      </c>
      <c r="T62" s="279">
        <f>VLOOKUP(TableRBRanks3141[[#This Row],[Player]],RB!B:O,4,FALSE)</f>
        <v>66.279535150341914</v>
      </c>
      <c r="U62" s="279">
        <f>VLOOKUP(TableRBRanks3141[[#This Row],[Player]],RB!B:O,5,FALSE)</f>
        <v>274.34533016958886</v>
      </c>
      <c r="V62" s="279">
        <f>VLOOKUP(TableRBRanks3141[[#This Row],[Player]],RB!B:O,6,FALSE)</f>
        <v>1.8558269842095736</v>
      </c>
      <c r="W62" s="279">
        <f>VLOOKUP(TableRBRanks3141[[#This Row],[Player]],RB!B:O,7,FALSE)</f>
        <v>33.152648419556371</v>
      </c>
      <c r="X62" s="279">
        <f>VLOOKUP(TableRBRanks3141[[#This Row],[Player]],RB!B:O,8,FALSE)</f>
        <v>22.016673815427385</v>
      </c>
      <c r="Y62" s="279">
        <f>VLOOKUP(TableRBRanks3141[[#This Row],[Player]],RB!B:O,9,FALSE)</f>
        <v>170.66607267687289</v>
      </c>
      <c r="Z62" s="279">
        <f>VLOOKUP(TableRBRanks3141[[#This Row],[Player]],RB!B:O,10,FALSE)</f>
        <v>1.2549504074793609</v>
      </c>
      <c r="AA62" s="272">
        <f>VLOOKUP(TableRBRanks3141[[#This Row],[Player]],RB!B:O,14,FALSE)</f>
        <v>63.165804634779782</v>
      </c>
      <c r="AB62" s="273">
        <f>IF(VLOOKUP(TableRBRanks3141[[#This Row],[RK]],'Ranks w Proj'!$P:$AB,13,FALSE)&lt;0,0,VLOOKUP(TableRBRanks3141[[#This Row],[RK]],'Ranks w Proj'!$P:$AB,13,FALSE))</f>
        <v>0</v>
      </c>
      <c r="AD62" s="22">
        <v>61</v>
      </c>
      <c r="AE62" s="274" t="str">
        <f>VLOOKUP(TableWRRanks3242[[#This Row],[RK]],Rankings!A:Q,11,FALSE)</f>
        <v>Robbie Anderson</v>
      </c>
      <c r="AF62" s="22" t="str">
        <f>IFERROR(INDEX(TableWRCalcPts[TM],MATCH(TableWRRanks3242[[#This Row],[Player]],TableWRCalcPts[PLAYER],0)),"")</f>
        <v>CAR</v>
      </c>
      <c r="AG62" s="22">
        <f>IFERROR(INDEX(TableWRCalcPts[BYE],MATCH(TableWRRanks3242[[#This Row],[RK]],TableWRCalcPts[RK],0)),"")</f>
        <v>9</v>
      </c>
      <c r="AH62" s="279">
        <f>VLOOKUP(TableWRRanks3242[[#This Row],[Player]],WR!B:O,4,FALSE)</f>
        <v>27.87726981289369</v>
      </c>
      <c r="AI62" s="279">
        <f>VLOOKUP(TableWRRanks3242[[#This Row],[Player]],WR!B:O,5,FALSE)</f>
        <v>2.5009213238681677E-2</v>
      </c>
      <c r="AJ62" s="279">
        <f>VLOOKUP(TableWRRanks3242[[#This Row],[Player]],WR!B:O,6,FALSE)</f>
        <v>106.71375233814331</v>
      </c>
      <c r="AK62" s="279">
        <f>VLOOKUP(TableWRRanks3242[[#This Row],[Player]],WR!B:O,7,FALSE)</f>
        <v>55.490055592093888</v>
      </c>
      <c r="AL62" s="279">
        <f>VLOOKUP(TableWRRanks3242[[#This Row],[Player]],WR!B:O,8,FALSE)</f>
        <v>692.05183139774715</v>
      </c>
      <c r="AM62" s="279">
        <f>VLOOKUP(TableWRRanks3242[[#This Row],[Player]],WR!B:O,9,FALSE)</f>
        <v>4.4800054754688707</v>
      </c>
      <c r="AN62" s="272">
        <f>VLOOKUP(TableWRRanks3242[[#This Row],[Player]],WR!B:O,13,FALSE)</f>
        <v>99.022998253309396</v>
      </c>
      <c r="AO62" s="273">
        <f>IF(VLOOKUP(TableWRRanks3242[[#This Row],[RK]],'Ranks w Proj'!AD:AO,12,FALSE)&lt;0,0,VLOOKUP(TableWRRanks3242[[#This Row],[RK]],'Ranks w Proj'!AD:AO,12,FALSE))</f>
        <v>0</v>
      </c>
      <c r="AQ62" s="22">
        <v>61</v>
      </c>
      <c r="AR62" s="274" t="str">
        <f>VLOOKUP(TableTERanks3343[[#This Row],[RK]],Rankings!A:Q,15,FALSE)</f>
        <v>Ryan Griffin</v>
      </c>
      <c r="AS62" s="22" t="str">
        <f>IFERROR(INDEX(TableTECalcPts[TM],MATCH(TableTERanks3343[[#This Row],[Player]],TableTECalcPts[PLAYER],0)),"")</f>
        <v>CHI</v>
      </c>
      <c r="AT62" s="22">
        <f>IFERROR(INDEX(TableTECalcPts[BYE],MATCH(TableTERanks3343[[#This Row],[RK]],TableTECalcPts[RK],0)),"")</f>
        <v>14</v>
      </c>
      <c r="AU62" s="279">
        <f>VLOOKUP(TableTERanks3343[[#This Row],[Player]],TE!B:O,4,FALSE)</f>
        <v>17.559435939947107</v>
      </c>
      <c r="AV62" s="279">
        <f>VLOOKUP(TableTERanks3343[[#This Row],[Player]],TE!B:O,5,FALSE)</f>
        <v>10.588339871788106</v>
      </c>
      <c r="AW62" s="279">
        <f>VLOOKUP(TableTERanks3343[[#This Row],[Player]],TE!B:O,6,FALSE)</f>
        <v>121.9722206098712</v>
      </c>
      <c r="AX62" s="279">
        <f>VLOOKUP(TableTERanks3343[[#This Row],[Player]],TE!B:O,7,FALSE)</f>
        <v>0.7510792602793479</v>
      </c>
      <c r="AY62" s="272">
        <f>VLOOKUP(TableTERanks3343[[#This Row],[Player]],TE!B:O,11,FALSE)</f>
        <v>16.703697622663206</v>
      </c>
      <c r="AZ62" s="273">
        <f>IF(VLOOKUP(TableTERanks3343[[#This Row],[RK]],'Ranks w Proj'!AQ:AZ,10,FALSE)&lt;0,0,VLOOKUP(TableTERanks3343[[#This Row],[RK]],'Ranks w Proj'!AQ:AZ,10,FALSE))</f>
        <v>0</v>
      </c>
    </row>
    <row r="63" spans="1:52" x14ac:dyDescent="0.3">
      <c r="A63" s="22">
        <v>62</v>
      </c>
      <c r="B63" s="22" t="str">
        <f>VLOOKUP(TableQBRanks3040[[#This Row],[RK]],Rankings!A:Q,3,FALSE)</f>
        <v>Chase Daniel</v>
      </c>
      <c r="C63" s="22" t="str">
        <f>IFERROR(INDEX(TableQBCalcPts[TM],MATCH(TableQBRanks3040[[#This Row],[Player]],TableQBCalcPts[PLAYER],0)),"")</f>
        <v>LAC</v>
      </c>
      <c r="D63" s="22">
        <f>IFERROR(INDEX(TableQBCalcPts[BYE],MATCH(TableQBRanks3040[[#This Row],[RK]],TableQBCalcPts[RK],0)),"")</f>
        <v>8</v>
      </c>
      <c r="E63" s="279">
        <f>VLOOKUP(TableQBRanks3040[[#This Row],[Player]],QB!B:O,4,FALSE)</f>
        <v>6.9009765000000067</v>
      </c>
      <c r="F63" s="279">
        <f>VLOOKUP(TableQBRanks3040[[#This Row],[Player]],QB!B:O,5,FALSE)</f>
        <v>4.0724876447204776</v>
      </c>
      <c r="G63" s="279">
        <f>VLOOKUP(TableQBRanks3040[[#This Row],[Player]],QB!B:O,6,FALSE)</f>
        <v>45.897800100391699</v>
      </c>
      <c r="H63" s="279">
        <f>VLOOKUP(TableQBRanks3040[[#This Row],[Player]],QB!B:O,7,FALSE)</f>
        <v>0.32130717646674889</v>
      </c>
      <c r="I63" s="279">
        <f>VLOOKUP(TableQBRanks3040[[#This Row],[Player]],QB!B:O,8,FALSE)</f>
        <v>9.7480755556701978E-2</v>
      </c>
      <c r="J63" s="279">
        <f>VLOOKUP(TableQBRanks3040[[#This Row],[Player]],QB!B:O,9,FALSE)</f>
        <v>0</v>
      </c>
      <c r="K63" s="279">
        <f>VLOOKUP(TableQBRanks3040[[#This Row],[Player]],QB!B:O,10,FALSE)</f>
        <v>0</v>
      </c>
      <c r="L63" s="279">
        <f>VLOOKUP(TableQBRanks3040[[#This Row],[Player]],QB!B:O,11,FALSE)</f>
        <v>0</v>
      </c>
      <c r="M63" s="272">
        <f>VLOOKUP(TableQBRanks3040[[#This Row],[Player]],QB!B:O,13,FALSE)</f>
        <v>2.9261791987692596</v>
      </c>
      <c r="N63" s="273">
        <f>IF(VLOOKUP(TableQBRanks3040[[#This Row],[RK]],'Ranks w Proj'!$A:$N,14,FALSE)&lt;0,0,VLOOKUP(TableQBRanks3040[[#This Row],[RK]],'Ranks w Proj'!$A:$N,14,FALSE))</f>
        <v>0</v>
      </c>
      <c r="P63" s="22">
        <v>62</v>
      </c>
      <c r="Q63" s="22" t="str">
        <f>VLOOKUP(TableRBRanks3141[[#This Row],[RK]],Rankings!A:Q,7,FALSE)</f>
        <v>Kenyan Drake</v>
      </c>
      <c r="R63" s="22" t="str">
        <f>IFERROR(INDEX(TableRBCalcPts[TM],MATCH(TableRBRanks3141[[#This Row],[Player]],TableRBCalcPts[PLAYER],0)),"")</f>
        <v>LV</v>
      </c>
      <c r="S63" s="22">
        <f>IFERROR(INDEX(TableRBCalcPts[BYE],MATCH(TableRBRanks3141[[#This Row],[RK]],TableRBCalcPts[RK],0)),"")</f>
        <v>6</v>
      </c>
      <c r="T63" s="279">
        <f>VLOOKUP(TableRBRanks3141[[#This Row],[Player]],RB!B:O,4,FALSE)</f>
        <v>53.614128284876564</v>
      </c>
      <c r="U63" s="279">
        <f>VLOOKUP(TableRBRanks3141[[#This Row],[Player]],RB!B:O,5,FALSE)</f>
        <v>220.55501226205058</v>
      </c>
      <c r="V63" s="279">
        <f>VLOOKUP(TableRBRanks3141[[#This Row],[Player]],RB!B:O,6,FALSE)</f>
        <v>1.8228803616858034</v>
      </c>
      <c r="W63" s="279">
        <f>VLOOKUP(TableRBRanks3141[[#This Row],[Player]],RB!B:O,7,FALSE)</f>
        <v>36.53933357999999</v>
      </c>
      <c r="X63" s="279">
        <f>VLOOKUP(TableRBRanks3141[[#This Row],[Player]],RB!B:O,8,FALSE)</f>
        <v>25.182908703335993</v>
      </c>
      <c r="Y63" s="279">
        <f>VLOOKUP(TableRBRanks3141[[#This Row],[Player]],RB!B:O,9,FALSE)</f>
        <v>216.06935667462284</v>
      </c>
      <c r="Z63" s="279">
        <f>VLOOKUP(TableRBRanks3141[[#This Row],[Player]],RB!B:O,10,FALSE)</f>
        <v>0.92573338564500551</v>
      </c>
      <c r="AA63" s="272">
        <f>VLOOKUP(TableRBRanks3141[[#This Row],[Player]],RB!B:O,14,FALSE)</f>
        <v>60.154119377652194</v>
      </c>
      <c r="AB63" s="273">
        <f>IF(VLOOKUP(TableRBRanks3141[[#This Row],[RK]],'Ranks w Proj'!$P:$AB,13,FALSE)&lt;0,0,VLOOKUP(TableRBRanks3141[[#This Row],[RK]],'Ranks w Proj'!$P:$AB,13,FALSE))</f>
        <v>0</v>
      </c>
      <c r="AD63" s="274">
        <v>62</v>
      </c>
      <c r="AE63" s="22" t="str">
        <f>VLOOKUP(TableWRRanks3242[[#This Row],[RK]],Rankings!A:Q,11,FALSE)</f>
        <v>Jahan Dotson</v>
      </c>
      <c r="AF63" s="22" t="str">
        <f>IFERROR(INDEX(TableWRCalcPts[TM],MATCH(TableWRRanks3242[[#This Row],[Player]],TableWRCalcPts[PLAYER],0)),"")</f>
        <v>WSH</v>
      </c>
      <c r="AG63" s="22">
        <f>IFERROR(INDEX(TableWRCalcPts[BYE],MATCH(TableWRRanks3242[[#This Row],[RK]],TableWRCalcPts[RK],0)),"")</f>
        <v>9</v>
      </c>
      <c r="AH63" s="279">
        <f>VLOOKUP(TableWRRanks3242[[#This Row],[Player]],WR!B:O,4,FALSE)</f>
        <v>28.74270916662784</v>
      </c>
      <c r="AI63" s="279">
        <f>VLOOKUP(TableWRRanks3242[[#This Row],[Player]],WR!B:O,5,FALSE)</f>
        <v>0</v>
      </c>
      <c r="AJ63" s="279">
        <f>VLOOKUP(TableWRRanks3242[[#This Row],[Player]],WR!B:O,6,FALSE)</f>
        <v>93.115989987625184</v>
      </c>
      <c r="AK63" s="279">
        <f>VLOOKUP(TableWRRanks3242[[#This Row],[Player]],WR!B:O,7,FALSE)</f>
        <v>56.303950415197562</v>
      </c>
      <c r="AL63" s="279">
        <f>VLOOKUP(TableWRRanks3242[[#This Row],[Player]],WR!B:O,8,FALSE)</f>
        <v>694.22770861938591</v>
      </c>
      <c r="AM63" s="279">
        <f>VLOOKUP(TableWRRanks3242[[#This Row],[Player]],WR!B:O,9,FALSE)</f>
        <v>4.2791002315550148</v>
      </c>
      <c r="AN63" s="272">
        <f>VLOOKUP(TableWRRanks3242[[#This Row],[Player]],WR!B:O,13,FALSE)</f>
        <v>97.971643167931461</v>
      </c>
      <c r="AO63" s="273">
        <f>IF(VLOOKUP(TableWRRanks3242[[#This Row],[RK]],'Ranks w Proj'!AD:AO,12,FALSE)&lt;0,0,VLOOKUP(TableWRRanks3242[[#This Row],[RK]],'Ranks w Proj'!AD:AO,12,FALSE))</f>
        <v>0</v>
      </c>
      <c r="AQ63" s="274">
        <v>62</v>
      </c>
      <c r="AR63" s="274" t="str">
        <f>VLOOKUP(TableTERanks3343[[#This Row],[RK]],Rankings!A:Q,15,FALSE)</f>
        <v>Brycen Hopkins</v>
      </c>
      <c r="AS63" s="22" t="str">
        <f>IFERROR(INDEX(TableTECalcPts[TM],MATCH(TableTERanks3343[[#This Row],[Player]],TableTECalcPts[PLAYER],0)),"")</f>
        <v>LAR</v>
      </c>
      <c r="AT63" s="22">
        <f>IFERROR(INDEX(TableTECalcPts[BYE],MATCH(TableTERanks3343[[#This Row],[RK]],TableTECalcPts[RK],0)),"")</f>
        <v>7</v>
      </c>
      <c r="AU63" s="279">
        <f>VLOOKUP(TableTERanks3343[[#This Row],[Player]],TE!B:O,4,FALSE)</f>
        <v>14.561917012042981</v>
      </c>
      <c r="AV63" s="279">
        <f>VLOOKUP(TableTERanks3343[[#This Row],[Player]],TE!B:O,5,FALSE)</f>
        <v>9.0496713492534795</v>
      </c>
      <c r="AW63" s="279">
        <f>VLOOKUP(TableTERanks3343[[#This Row],[Player]],TE!B:O,6,FALSE)</f>
        <v>105.19827555489842</v>
      </c>
      <c r="AX63" s="279">
        <f>VLOOKUP(TableTERanks3343[[#This Row],[Player]],TE!B:O,7,FALSE)</f>
        <v>0.7538592422388406</v>
      </c>
      <c r="AY63" s="272">
        <f>VLOOKUP(TableTERanks3343[[#This Row],[Player]],TE!B:O,11,FALSE)</f>
        <v>15.042983008922885</v>
      </c>
      <c r="AZ63" s="273">
        <f>IF(VLOOKUP(TableTERanks3343[[#This Row],[RK]],'Ranks w Proj'!AQ:AZ,10,FALSE)&lt;0,0,VLOOKUP(TableTERanks3343[[#This Row],[RK]],'Ranks w Proj'!AQ:AZ,10,FALSE))</f>
        <v>0</v>
      </c>
    </row>
    <row r="64" spans="1:52" x14ac:dyDescent="0.3">
      <c r="A64" s="22">
        <v>63</v>
      </c>
      <c r="B64" s="22" t="str">
        <f>VLOOKUP(TableQBRanks3040[[#This Row],[RK]],Rankings!A:Q,3,FALSE)</f>
        <v>Chad Henne</v>
      </c>
      <c r="C64" s="22" t="str">
        <f>IFERROR(INDEX(TableQBCalcPts[TM],MATCH(TableQBRanks3040[[#This Row],[Player]],TableQBCalcPts[PLAYER],0)),"")</f>
        <v>KC</v>
      </c>
      <c r="D64" s="22">
        <f>IFERROR(INDEX(TableQBCalcPts[BYE],MATCH(TableQBRanks3040[[#This Row],[RK]],TableQBCalcPts[RK],0)),"")</f>
        <v>10</v>
      </c>
      <c r="E64" s="279">
        <f>VLOOKUP(TableQBRanks3040[[#This Row],[Player]],QB!B:O,4,FALSE)</f>
        <v>6.8489564500000055</v>
      </c>
      <c r="F64" s="279">
        <f>VLOOKUP(TableQBRanks3040[[#This Row],[Player]],QB!B:O,5,FALSE)</f>
        <v>4.4195626551236087</v>
      </c>
      <c r="G64" s="279">
        <f>VLOOKUP(TableQBRanks3040[[#This Row],[Player]],QB!B:O,6,FALSE)</f>
        <v>44.177882517857704</v>
      </c>
      <c r="H64" s="279">
        <f>VLOOKUP(TableQBRanks3040[[#This Row],[Player]],QB!B:O,7,FALSE)</f>
        <v>0.3045337761119577</v>
      </c>
      <c r="I64" s="279">
        <f>VLOOKUP(TableQBRanks3040[[#This Row],[Player]],QB!B:O,8,FALSE)</f>
        <v>8.1639759779470564E-2</v>
      </c>
      <c r="J64" s="279">
        <f>VLOOKUP(TableQBRanks3040[[#This Row],[Player]],QB!B:O,9,FALSE)</f>
        <v>0</v>
      </c>
      <c r="K64" s="279">
        <f>VLOOKUP(TableQBRanks3040[[#This Row],[Player]],QB!B:O,10,FALSE)</f>
        <v>0</v>
      </c>
      <c r="L64" s="279">
        <f>VLOOKUP(TableQBRanks3040[[#This Row],[Player]],QB!B:O,11,FALSE)</f>
        <v>0</v>
      </c>
      <c r="M64" s="272">
        <f>VLOOKUP(TableQBRanks3040[[#This Row],[Player]],QB!B:O,13,FALSE)</f>
        <v>2.8219708856031982</v>
      </c>
      <c r="N64" s="273">
        <f>IF(VLOOKUP(TableQBRanks3040[[#This Row],[RK]],'Ranks w Proj'!$A:$N,14,FALSE)&lt;0,0,VLOOKUP(TableQBRanks3040[[#This Row],[RK]],'Ranks w Proj'!$A:$N,14,FALSE))</f>
        <v>0</v>
      </c>
      <c r="P64" s="22">
        <v>63</v>
      </c>
      <c r="Q64" s="22" t="str">
        <f>VLOOKUP(TableRBRanks3141[[#This Row],[RK]],Rankings!A:Q,7,FALSE)</f>
        <v>Zamir White</v>
      </c>
      <c r="R64" s="22" t="str">
        <f>IFERROR(INDEX(TableRBCalcPts[TM],MATCH(TableRBRanks3141[[#This Row],[Player]],TableRBCalcPts[PLAYER],0)),"")</f>
        <v>LV</v>
      </c>
      <c r="S64" s="22">
        <f>IFERROR(INDEX(TableRBCalcPts[BYE],MATCH(TableRBRanks3141[[#This Row],[RK]],TableRBCalcPts[RK],0)),"")</f>
        <v>7</v>
      </c>
      <c r="T64" s="279">
        <f>VLOOKUP(TableRBRanks3141[[#This Row],[Player]],RB!B:O,4,FALSE)</f>
        <v>71.631991069138351</v>
      </c>
      <c r="U64" s="279">
        <f>VLOOKUP(TableRBRanks3141[[#This Row],[Player]],RB!B:O,5,FALSE)</f>
        <v>306.58492177591216</v>
      </c>
      <c r="V64" s="279">
        <f>VLOOKUP(TableRBRanks3141[[#This Row],[Player]],RB!B:O,6,FALSE)</f>
        <v>2.6288940722373777</v>
      </c>
      <c r="W64" s="279">
        <f>VLOOKUP(TableRBRanks3141[[#This Row],[Player]],RB!B:O,7,FALSE)</f>
        <v>13.859747219999996</v>
      </c>
      <c r="X64" s="279">
        <f>VLOOKUP(TableRBRanks3141[[#This Row],[Player]],RB!B:O,8,FALSE)</f>
        <v>9.3155140996679968</v>
      </c>
      <c r="Y64" s="279">
        <f>VLOOKUP(TableRBRanks3141[[#This Row],[Player]],RB!B:O,9,FALSE)</f>
        <v>71.506942238747072</v>
      </c>
      <c r="Z64" s="279">
        <f>VLOOKUP(TableRBRanks3141[[#This Row],[Player]],RB!B:O,10,FALSE)</f>
        <v>0.2422033665913679</v>
      </c>
      <c r="AA64" s="272">
        <f>VLOOKUP(TableRBRanks3141[[#This Row],[Player]],RB!B:O,14,FALSE)</f>
        <v>55.035771034438397</v>
      </c>
      <c r="AB64" s="273">
        <f>IF(VLOOKUP(TableRBRanks3141[[#This Row],[RK]],'Ranks w Proj'!$P:$AB,13,FALSE)&lt;0,0,VLOOKUP(TableRBRanks3141[[#This Row],[RK]],'Ranks w Proj'!$P:$AB,13,FALSE))</f>
        <v>0</v>
      </c>
      <c r="AD64" s="22">
        <v>63</v>
      </c>
      <c r="AE64" s="22" t="str">
        <f>VLOOKUP(TableWRRanks3242[[#This Row],[RK]],Rankings!A:Q,11,FALSE)</f>
        <v>Jakobi Meyers</v>
      </c>
      <c r="AF64" s="22" t="str">
        <f>IFERROR(INDEX(TableWRCalcPts[TM],MATCH(TableWRRanks3242[[#This Row],[Player]],TableWRCalcPts[PLAYER],0)),"")</f>
        <v>NE</v>
      </c>
      <c r="AG64" s="22">
        <f>IFERROR(INDEX(TableWRCalcPts[BYE],MATCH(TableWRRanks3242[[#This Row],[RK]],TableWRCalcPts[RK],0)),"")</f>
        <v>14</v>
      </c>
      <c r="AH64" s="279">
        <f>VLOOKUP(TableWRRanks3242[[#This Row],[Player]],WR!B:O,4,FALSE)</f>
        <v>2.5010567217710751</v>
      </c>
      <c r="AI64" s="279">
        <f>VLOOKUP(TableWRRanks3242[[#This Row],[Player]],WR!B:O,5,FALSE)</f>
        <v>0</v>
      </c>
      <c r="AJ64" s="279">
        <f>VLOOKUP(TableWRRanks3242[[#This Row],[Player]],WR!B:O,6,FALSE)</f>
        <v>102.0635266298471</v>
      </c>
      <c r="AK64" s="279">
        <f>VLOOKUP(TableWRRanks3242[[#This Row],[Player]],WR!B:O,7,FALSE)</f>
        <v>69.11510106251032</v>
      </c>
      <c r="AL64" s="279">
        <f>VLOOKUP(TableWRRanks3242[[#This Row],[Player]],WR!B:O,8,FALSE)</f>
        <v>732.17435054513896</v>
      </c>
      <c r="AM64" s="279">
        <f>VLOOKUP(TableWRRanks3242[[#This Row],[Player]],WR!B:O,9,FALSE)</f>
        <v>2.9047619557395667</v>
      </c>
      <c r="AN64" s="272">
        <f>VLOOKUP(TableWRRanks3242[[#This Row],[Player]],WR!B:O,13,FALSE)</f>
        <v>90.896112461128411</v>
      </c>
      <c r="AO64" s="273">
        <f>IF(VLOOKUP(TableWRRanks3242[[#This Row],[RK]],'Ranks w Proj'!AD:AO,12,FALSE)&lt;0,0,VLOOKUP(TableWRRanks3242[[#This Row],[RK]],'Ranks w Proj'!AD:AO,12,FALSE))</f>
        <v>0</v>
      </c>
      <c r="AQ64" s="22">
        <v>63</v>
      </c>
      <c r="AR64" s="22" t="str">
        <f>VLOOKUP(TableTERanks3343[[#This Row],[RK]],Rankings!A:Q,15,FALSE)</f>
        <v>Nick Vannett</v>
      </c>
      <c r="AS64" s="22" t="str">
        <f>IFERROR(INDEX(TableTECalcPts[TM],MATCH(TableTERanks3343[[#This Row],[Player]],TableTECalcPts[PLAYER],0)),"")</f>
        <v>NO</v>
      </c>
      <c r="AT64" s="22">
        <f>IFERROR(INDEX(TableTECalcPts[BYE],MATCH(TableTERanks3343[[#This Row],[RK]],TableTECalcPts[RK],0)),"")</f>
        <v>14</v>
      </c>
      <c r="AU64" s="279">
        <f>VLOOKUP(TableTERanks3343[[#This Row],[Player]],TE!B:O,4,FALSE)</f>
        <v>13.749376781285058</v>
      </c>
      <c r="AV64" s="279">
        <f>VLOOKUP(TableTERanks3343[[#This Row],[Player]],TE!B:O,5,FALSE)</f>
        <v>8.0708841706143293</v>
      </c>
      <c r="AW64" s="279">
        <f>VLOOKUP(TableTERanks3343[[#This Row],[Player]],TE!B:O,6,FALSE)</f>
        <v>110.08686008717946</v>
      </c>
      <c r="AX64" s="279">
        <f>VLOOKUP(TableTERanks3343[[#This Row],[Player]],TE!B:O,7,FALSE)</f>
        <v>0.6456707336491464</v>
      </c>
      <c r="AY64" s="272">
        <f>VLOOKUP(TableTERanks3343[[#This Row],[Player]],TE!B:O,11,FALSE)</f>
        <v>14.882710410612825</v>
      </c>
      <c r="AZ64" s="273">
        <f>IF(VLOOKUP(TableTERanks3343[[#This Row],[RK]],'Ranks w Proj'!AQ:AZ,10,FALSE)&lt;0,0,VLOOKUP(TableTERanks3343[[#This Row],[RK]],'Ranks w Proj'!AQ:AZ,10,FALSE))</f>
        <v>0</v>
      </c>
    </row>
    <row r="65" spans="1:52" x14ac:dyDescent="0.3">
      <c r="A65" s="22">
        <v>64</v>
      </c>
      <c r="B65" s="22" t="str">
        <f>VLOOKUP(TableQBRanks3040[[#This Row],[RK]],Rankings!A:Q,3,FALSE)</f>
        <v>Brandon Allen</v>
      </c>
      <c r="C65" s="22" t="str">
        <f>IFERROR(INDEX(TableQBCalcPts[TM],MATCH(TableQBRanks3040[[#This Row],[Player]],TableQBCalcPts[PLAYER],0)),"")</f>
        <v>CIN</v>
      </c>
      <c r="D65" s="22">
        <f>IFERROR(INDEX(TableQBCalcPts[BYE],MATCH(TableQBRanks3040[[#This Row],[RK]],TableQBCalcPts[RK],0)),"")</f>
        <v>8</v>
      </c>
      <c r="E65" s="279">
        <f>VLOOKUP(TableQBRanks3040[[#This Row],[Player]],QB!B:O,4,FALSE)</f>
        <v>6.2573742000000063</v>
      </c>
      <c r="F65" s="279">
        <f>VLOOKUP(TableQBRanks3040[[#This Row],[Player]],QB!B:O,5,FALSE)</f>
        <v>3.7397932164900691</v>
      </c>
      <c r="G65" s="279">
        <f>VLOOKUP(TableQBRanks3040[[#This Row],[Player]],QB!B:O,6,FALSE)</f>
        <v>37.933523311632968</v>
      </c>
      <c r="H65" s="279">
        <f>VLOOKUP(TableQBRanks3040[[#This Row],[Player]],QB!B:O,7,FALSE)</f>
        <v>0.26579311394416105</v>
      </c>
      <c r="I65" s="279">
        <f>VLOOKUP(TableQBRanks3040[[#This Row],[Player]],QB!B:O,8,FALSE)</f>
        <v>7.3323542490030577E-2</v>
      </c>
      <c r="J65" s="279">
        <f>VLOOKUP(TableQBRanks3040[[#This Row],[Player]],QB!B:O,9,FALSE)</f>
        <v>1.2330949218433878</v>
      </c>
      <c r="K65" s="279">
        <f>VLOOKUP(TableQBRanks3040[[#This Row],[Player]],QB!B:O,10,FALSE)</f>
        <v>4.1925227342675182</v>
      </c>
      <c r="L65" s="279">
        <f>VLOOKUP(TableQBRanks3040[[#This Row],[Player]],QB!B:O,11,FALSE)</f>
        <v>0</v>
      </c>
      <c r="M65" s="272">
        <f>VLOOKUP(TableQBRanks3040[[#This Row],[Player]],QB!B:O,13,FALSE)</f>
        <v>2.8531185766886535</v>
      </c>
      <c r="N65" s="273">
        <f>IF(VLOOKUP(TableQBRanks3040[[#This Row],[RK]],'Ranks w Proj'!$A:$N,14,FALSE)&lt;0,0,VLOOKUP(TableQBRanks3040[[#This Row],[RK]],'Ranks w Proj'!$A:$N,14,FALSE))</f>
        <v>0</v>
      </c>
      <c r="P65" s="22">
        <v>64</v>
      </c>
      <c r="Q65" s="22" t="str">
        <f>VLOOKUP(TableRBRanks3141[[#This Row],[RK]],Rankings!A:Q,7,FALSE)</f>
        <v>D'Onta Foreman</v>
      </c>
      <c r="R65" s="22" t="str">
        <f>IFERROR(INDEX(TableRBCalcPts[TM],MATCH(TableRBRanks3141[[#This Row],[Player]],TableRBCalcPts[PLAYER],0)),"")</f>
        <v>CAR</v>
      </c>
      <c r="S65" s="22">
        <f>IFERROR(INDEX(TableRBCalcPts[BYE],MATCH(TableRBRanks3141[[#This Row],[RK]],TableRBCalcPts[RK],0)),"")</f>
        <v>9</v>
      </c>
      <c r="T65" s="279">
        <f>VLOOKUP(TableRBRanks3141[[#This Row],[Player]],RB!B:O,4,FALSE)</f>
        <v>57.528041712930914</v>
      </c>
      <c r="U65" s="279">
        <f>VLOOKUP(TableRBRanks3141[[#This Row],[Player]],RB!B:O,5,FALSE)</f>
        <v>234.71441018875814</v>
      </c>
      <c r="V65" s="279">
        <f>VLOOKUP(TableRBRanks3141[[#This Row],[Player]],RB!B:O,6,FALSE)</f>
        <v>1.7430996639018068</v>
      </c>
      <c r="W65" s="279">
        <f>VLOOKUP(TableRBRanks3141[[#This Row],[Player]],RB!B:O,7,FALSE)</f>
        <v>20.593882030168011</v>
      </c>
      <c r="X65" s="279">
        <f>VLOOKUP(TableRBRanks3141[[#This Row],[Player]],RB!B:O,8,FALSE)</f>
        <v>14.654606452667556</v>
      </c>
      <c r="Y65" s="279">
        <f>VLOOKUP(TableRBRanks3141[[#This Row],[Player]],RB!B:O,9,FALSE)</f>
        <v>92.417468216432098</v>
      </c>
      <c r="Z65" s="279">
        <f>VLOOKUP(TableRBRanks3141[[#This Row],[Player]],RB!B:O,10,FALSE)</f>
        <v>0.29652095442207543</v>
      </c>
      <c r="AA65" s="272">
        <f>VLOOKUP(TableRBRanks3141[[#This Row],[Player]],RB!B:O,14,FALSE)</f>
        <v>44.950911550462322</v>
      </c>
      <c r="AB65" s="273">
        <f>IF(VLOOKUP(TableRBRanks3141[[#This Row],[RK]],'Ranks w Proj'!$P:$AB,13,FALSE)&lt;0,0,VLOOKUP(TableRBRanks3141[[#This Row],[RK]],'Ranks w Proj'!$P:$AB,13,FALSE))</f>
        <v>0</v>
      </c>
      <c r="AD65" s="22">
        <v>64</v>
      </c>
      <c r="AE65" s="22" t="str">
        <f>VLOOKUP(TableWRRanks3242[[#This Row],[RK]],Rankings!A:Q,11,FALSE)</f>
        <v>George Pickens</v>
      </c>
      <c r="AF65" s="22" t="str">
        <f>IFERROR(INDEX(TableWRCalcPts[TM],MATCH(TableWRRanks3242[[#This Row],[Player]],TableWRCalcPts[PLAYER],0)),"")</f>
        <v>PIT</v>
      </c>
      <c r="AG65" s="22">
        <f>IFERROR(INDEX(TableWRCalcPts[BYE],MATCH(TableWRRanks3242[[#This Row],[RK]],TableWRCalcPts[RK],0)),"")</f>
        <v>8</v>
      </c>
      <c r="AH65" s="279">
        <f>VLOOKUP(TableWRRanks3242[[#This Row],[Player]],WR!B:O,4,FALSE)</f>
        <v>0</v>
      </c>
      <c r="AI65" s="279">
        <f>VLOOKUP(TableWRRanks3242[[#This Row],[Player]],WR!B:O,5,FALSE)</f>
        <v>0</v>
      </c>
      <c r="AJ65" s="279">
        <f>VLOOKUP(TableWRRanks3242[[#This Row],[Player]],WR!B:O,6,FALSE)</f>
        <v>96.990597283127542</v>
      </c>
      <c r="AK65" s="279">
        <f>VLOOKUP(TableWRRanks3242[[#This Row],[Player]],WR!B:O,7,FALSE)</f>
        <v>57.418433591611503</v>
      </c>
      <c r="AL65" s="279">
        <f>VLOOKUP(TableWRRanks3242[[#This Row],[Player]],WR!B:O,8,FALSE)</f>
        <v>752.75566438602675</v>
      </c>
      <c r="AM65" s="279">
        <f>VLOOKUP(TableWRRanks3242[[#This Row],[Player]],WR!B:O,9,FALSE)</f>
        <v>3.5599428826799131</v>
      </c>
      <c r="AN65" s="272">
        <f>VLOOKUP(TableWRRanks3242[[#This Row],[Player]],WR!B:O,13,FALSE)</f>
        <v>96.635223734682157</v>
      </c>
      <c r="AO65" s="273">
        <f>IF(VLOOKUP(TableWRRanks3242[[#This Row],[RK]],'Ranks w Proj'!AD:AO,12,FALSE)&lt;0,0,VLOOKUP(TableWRRanks3242[[#This Row],[RK]],'Ranks w Proj'!AD:AO,12,FALSE))</f>
        <v>0</v>
      </c>
      <c r="AQ65" s="22">
        <v>64</v>
      </c>
      <c r="AR65" s="22" t="str">
        <f>VLOOKUP(TableTERanks3343[[#This Row],[RK]],Rankings!A:Q,15,FALSE)</f>
        <v>Noah Gray</v>
      </c>
      <c r="AS65" s="22" t="str">
        <f>IFERROR(INDEX(TableTECalcPts[TM],MATCH(TableTERanks3343[[#This Row],[Player]],TableTECalcPts[PLAYER],0)),"")</f>
        <v>KC</v>
      </c>
      <c r="AT65" s="22">
        <f>IFERROR(INDEX(TableTECalcPts[BYE],MATCH(TableTERanks3343[[#This Row],[RK]],TableTECalcPts[RK],0)),"")</f>
        <v>8</v>
      </c>
      <c r="AU65" s="279">
        <f>VLOOKUP(TableTERanks3343[[#This Row],[Player]],TE!B:O,4,FALSE)</f>
        <v>15.061930172153525</v>
      </c>
      <c r="AV65" s="279">
        <f>VLOOKUP(TableTERanks3343[[#This Row],[Player]],TE!B:O,5,FALSE)</f>
        <v>9.7580482338789487</v>
      </c>
      <c r="AW65" s="279">
        <f>VLOOKUP(TableTERanks3343[[#This Row],[Player]],TE!B:O,6,FALSE)</f>
        <v>92.217272862055452</v>
      </c>
      <c r="AX65" s="279">
        <f>VLOOKUP(TableTERanks3343[[#This Row],[Player]],TE!B:O,7,FALSE)</f>
        <v>0.77489029824584055</v>
      </c>
      <c r="AY65" s="272">
        <f>VLOOKUP(TableTERanks3343[[#This Row],[Player]],TE!B:O,11,FALSE)</f>
        <v>13.871069075680589</v>
      </c>
      <c r="AZ65" s="273">
        <f>IF(VLOOKUP(TableTERanks3343[[#This Row],[RK]],'Ranks w Proj'!AQ:AZ,10,FALSE)&lt;0,0,VLOOKUP(TableTERanks3343[[#This Row],[RK]],'Ranks w Proj'!AQ:AZ,10,FALSE))</f>
        <v>0</v>
      </c>
    </row>
    <row r="66" spans="1:52" x14ac:dyDescent="0.3">
      <c r="A66" s="22">
        <v>65</v>
      </c>
      <c r="B66" s="22" t="str">
        <f>VLOOKUP(TableQBRanks3040[[#This Row],[RK]],Rankings!A:Q,3,FALSE)</f>
        <v>Kellen Mond</v>
      </c>
      <c r="C66" s="22" t="str">
        <f>IFERROR(INDEX(TableQBCalcPts[TM],MATCH(TableQBRanks3040[[#This Row],[Player]],TableQBCalcPts[PLAYER],0)),"")</f>
        <v>MIN</v>
      </c>
      <c r="D66" s="22">
        <f>IFERROR(INDEX(TableQBCalcPts[BYE],MATCH(TableQBRanks3040[[#This Row],[RK]],TableQBCalcPts[RK],0)),"")</f>
        <v>11</v>
      </c>
      <c r="E66" s="279">
        <f>VLOOKUP(TableQBRanks3040[[#This Row],[Player]],QB!B:O,4,FALSE)</f>
        <v>6.0089445000000046</v>
      </c>
      <c r="F66" s="279">
        <f>VLOOKUP(TableQBRanks3040[[#This Row],[Player]],QB!B:O,5,FALSE)</f>
        <v>3.663484297927464</v>
      </c>
      <c r="G66" s="279">
        <f>VLOOKUP(TableQBRanks3040[[#This Row],[Player]],QB!B:O,6,FALSE)</f>
        <v>36.468792699481888</v>
      </c>
      <c r="H66" s="279">
        <f>VLOOKUP(TableQBRanks3040[[#This Row],[Player]],QB!B:O,7,FALSE)</f>
        <v>0.22831913471502613</v>
      </c>
      <c r="I66" s="279">
        <f>VLOOKUP(TableQBRanks3040[[#This Row],[Player]],QB!B:O,8,FALSE)</f>
        <v>9.2799832532417054E-2</v>
      </c>
      <c r="J66" s="279">
        <f>VLOOKUP(TableQBRanks3040[[#This Row],[Player]],QB!B:O,9,FALSE)</f>
        <v>0</v>
      </c>
      <c r="K66" s="279">
        <f>VLOOKUP(TableQBRanks3040[[#This Row],[Player]],QB!B:O,10,FALSE)</f>
        <v>0</v>
      </c>
      <c r="L66" s="279">
        <f>VLOOKUP(TableQBRanks3040[[#This Row],[Player]],QB!B:O,11,FALSE)</f>
        <v>0</v>
      </c>
      <c r="M66" s="272">
        <f>VLOOKUP(TableQBRanks3040[[#This Row],[Player]],QB!B:O,13,FALSE)</f>
        <v>2.1864285817745461</v>
      </c>
      <c r="N66" s="273">
        <f>IF(VLOOKUP(TableQBRanks3040[[#This Row],[RK]],'Ranks w Proj'!$A:$N,14,FALSE)&lt;0,0,VLOOKUP(TableQBRanks3040[[#This Row],[RK]],'Ranks w Proj'!$A:$N,14,FALSE))</f>
        <v>0</v>
      </c>
      <c r="P66" s="22">
        <v>65</v>
      </c>
      <c r="Q66" s="22" t="str">
        <f>VLOOKUP(TableRBRanks3141[[#This Row],[RK]],Rankings!A:Q,7,FALSE)</f>
        <v>Matt Breida</v>
      </c>
      <c r="R66" s="22" t="str">
        <f>IFERROR(INDEX(TableRBCalcPts[TM],MATCH(TableRBRanks3141[[#This Row],[Player]],TableRBCalcPts[PLAYER],0)),"")</f>
        <v>NYG</v>
      </c>
      <c r="S66" s="22">
        <f>IFERROR(INDEX(TableRBCalcPts[BYE],MATCH(TableRBRanks3141[[#This Row],[RK]],TableRBCalcPts[RK],0)),"")</f>
        <v>6</v>
      </c>
      <c r="T66" s="279">
        <f>VLOOKUP(TableRBRanks3141[[#This Row],[Player]],RB!B:O,4,FALSE)</f>
        <v>64.513846414237705</v>
      </c>
      <c r="U66" s="279">
        <f>VLOOKUP(TableRBRanks3141[[#This Row],[Player]],RB!B:O,5,FALSE)</f>
        <v>274.82898572465263</v>
      </c>
      <c r="V66" s="279">
        <f>VLOOKUP(TableRBRanks3141[[#This Row],[Player]],RB!B:O,6,FALSE)</f>
        <v>1.5160753907345861</v>
      </c>
      <c r="W66" s="279">
        <f>VLOOKUP(TableRBRanks3141[[#This Row],[Player]],RB!B:O,7,FALSE)</f>
        <v>29.032030522951128</v>
      </c>
      <c r="X66" s="279">
        <f>VLOOKUP(TableRBRanks3141[[#This Row],[Player]],RB!B:O,8,FALSE)</f>
        <v>19.773715989182016</v>
      </c>
      <c r="Y66" s="279">
        <f>VLOOKUP(TableRBRanks3141[[#This Row],[Player]],RB!B:O,9,FALSE)</f>
        <v>142.96396660178598</v>
      </c>
      <c r="Z66" s="279">
        <f>VLOOKUP(TableRBRanks3141[[#This Row],[Player]],RB!B:O,10,FALSE)</f>
        <v>0.9446366336704477</v>
      </c>
      <c r="AA66" s="272">
        <f>VLOOKUP(TableRBRanks3141[[#This Row],[Player]],RB!B:O,14,FALSE)</f>
        <v>56.543567379074069</v>
      </c>
      <c r="AB66" s="273">
        <f>IF(VLOOKUP(TableRBRanks3141[[#This Row],[RK]],'Ranks w Proj'!$P:$AB,13,FALSE)&lt;0,0,VLOOKUP(TableRBRanks3141[[#This Row],[RK]],'Ranks w Proj'!$P:$AB,13,FALSE))</f>
        <v>0</v>
      </c>
      <c r="AD66" s="274">
        <v>65</v>
      </c>
      <c r="AE66" s="22" t="str">
        <f>VLOOKUP(TableWRRanks3242[[#This Row],[RK]],Rankings!A:Q,11,FALSE)</f>
        <v>Van Jefferson</v>
      </c>
      <c r="AF66" s="22" t="str">
        <f>IFERROR(INDEX(TableWRCalcPts[TM],MATCH(TableWRRanks3242[[#This Row],[Player]],TableWRCalcPts[PLAYER],0)),"")</f>
        <v>LAR</v>
      </c>
      <c r="AG66" s="22">
        <f>IFERROR(INDEX(TableWRCalcPts[BYE],MATCH(TableWRRanks3242[[#This Row],[RK]],TableWRCalcPts[RK],0)),"")</f>
        <v>13</v>
      </c>
      <c r="AH66" s="279">
        <f>VLOOKUP(TableWRRanks3242[[#This Row],[Player]],WR!B:O,4,FALSE)</f>
        <v>16.029171056059134</v>
      </c>
      <c r="AI66" s="279">
        <f>VLOOKUP(TableWRRanks3242[[#This Row],[Player]],WR!B:O,5,FALSE)</f>
        <v>2.500650710773656E-2</v>
      </c>
      <c r="AJ66" s="279">
        <f>VLOOKUP(TableWRRanks3242[[#This Row],[Player]],WR!B:O,6,FALSE)</f>
        <v>84.205867939205092</v>
      </c>
      <c r="AK66" s="279">
        <f>VLOOKUP(TableWRRanks3242[[#This Row],[Player]],WR!B:O,7,FALSE)</f>
        <v>45.597477489079559</v>
      </c>
      <c r="AL66" s="279">
        <f>VLOOKUP(TableWRRanks3242[[#This Row],[Player]],WR!B:O,8,FALSE)</f>
        <v>702.65712810671596</v>
      </c>
      <c r="AM66" s="279">
        <f>VLOOKUP(TableWRRanks3242[[#This Row],[Player]],WR!B:O,9,FALSE)</f>
        <v>5.7908796411131043</v>
      </c>
      <c r="AN66" s="272">
        <f>VLOOKUP(TableWRRanks3242[[#This Row],[Player]],WR!B:O,13,FALSE)</f>
        <v>106.76394680560256</v>
      </c>
      <c r="AO66" s="273">
        <f>IF(VLOOKUP(TableWRRanks3242[[#This Row],[RK]],'Ranks w Proj'!AD:AO,12,FALSE)&lt;0,0,VLOOKUP(TableWRRanks3242[[#This Row],[RK]],'Ranks w Proj'!AD:AO,12,FALSE))</f>
        <v>0</v>
      </c>
      <c r="AQ66" s="274">
        <v>65</v>
      </c>
      <c r="AR66" s="22" t="str">
        <f>VLOOKUP(TableTERanks3343[[#This Row],[RK]],Rankings!A:Q,15,FALSE)</f>
        <v>Tre' McKitty</v>
      </c>
      <c r="AS66" s="22" t="str">
        <f>IFERROR(INDEX(TableTECalcPts[TM],MATCH(TableTERanks3343[[#This Row],[Player]],TableTECalcPts[PLAYER],0)),"")</f>
        <v>LAC</v>
      </c>
      <c r="AT66" s="22">
        <f>IFERROR(INDEX(TableTECalcPts[BYE],MATCH(TableTERanks3343[[#This Row],[RK]],TableTECalcPts[RK],0)),"")</f>
        <v>8</v>
      </c>
      <c r="AU66" s="279">
        <f>VLOOKUP(TableTERanks3343[[#This Row],[Player]],TE!B:O,4,FALSE)</f>
        <v>13.112672501323846</v>
      </c>
      <c r="AV66" s="279">
        <f>VLOOKUP(TableTERanks3343[[#This Row],[Player]],TE!B:O,5,FALSE)</f>
        <v>8.5494624708631477</v>
      </c>
      <c r="AW66" s="279">
        <f>VLOOKUP(TableTERanks3343[[#This Row],[Player]],TE!B:O,6,FALSE)</f>
        <v>93.189140932408307</v>
      </c>
      <c r="AX66" s="279">
        <f>VLOOKUP(TableTERanks3343[[#This Row],[Player]],TE!B:O,7,FALSE)</f>
        <v>0.73941297045302901</v>
      </c>
      <c r="AY66" s="272">
        <f>VLOOKUP(TableTERanks3343[[#This Row],[Player]],TE!B:O,11,FALSE)</f>
        <v>13.755391915959006</v>
      </c>
      <c r="AZ66" s="273">
        <f>IF(VLOOKUP(TableTERanks3343[[#This Row],[RK]],'Ranks w Proj'!AQ:AZ,10,FALSE)&lt;0,0,VLOOKUP(TableTERanks3343[[#This Row],[RK]],'Ranks w Proj'!AQ:AZ,10,FALSE))</f>
        <v>0</v>
      </c>
    </row>
    <row r="67" spans="1:52" x14ac:dyDescent="0.3">
      <c r="A67" s="22">
        <v>66</v>
      </c>
      <c r="B67" s="22" t="str">
        <f>VLOOKUP(TableQBRanks3040[[#This Row],[RK]],Rankings!A:Q,3,FALSE)</f>
        <v>C.J. Beathard</v>
      </c>
      <c r="C67" s="22" t="str">
        <f>IFERROR(INDEX(TableQBCalcPts[TM],MATCH(TableQBRanks3040[[#This Row],[Player]],TableQBCalcPts[PLAYER],0)),"")</f>
        <v>JAX</v>
      </c>
      <c r="D67" s="22">
        <f>IFERROR(INDEX(TableQBCalcPts[BYE],MATCH(TableQBRanks3040[[#This Row],[RK]],TableQBCalcPts[RK],0)),"")</f>
        <v>7</v>
      </c>
      <c r="E67" s="279">
        <f>VLOOKUP(TableQBRanks3040[[#This Row],[Player]],QB!B:O,4,FALSE)</f>
        <v>6.5448000000000057</v>
      </c>
      <c r="F67" s="279">
        <f>VLOOKUP(TableQBRanks3040[[#This Row],[Player]],QB!B:O,5,FALSE)</f>
        <v>3.9538060540540583</v>
      </c>
      <c r="G67" s="279">
        <f>VLOOKUP(TableQBRanks3040[[#This Row],[Player]],QB!B:O,6,FALSE)</f>
        <v>43.056947928648697</v>
      </c>
      <c r="H67" s="279">
        <f>VLOOKUP(TableQBRanks3040[[#This Row],[Player]],QB!B:O,7,FALSE)</f>
        <v>0.25304358745945976</v>
      </c>
      <c r="I67" s="279">
        <f>VLOOKUP(TableQBRanks3040[[#This Row],[Player]],QB!B:O,8,FALSE)</f>
        <v>9.51050645434625E-2</v>
      </c>
      <c r="J67" s="279">
        <f>VLOOKUP(TableQBRanks3040[[#This Row],[Player]],QB!B:O,9,FALSE)</f>
        <v>0</v>
      </c>
      <c r="K67" s="279">
        <f>VLOOKUP(TableQBRanks3040[[#This Row],[Player]],QB!B:O,10,FALSE)</f>
        <v>0</v>
      </c>
      <c r="L67" s="279">
        <f>VLOOKUP(TableQBRanks3040[[#This Row],[Player]],QB!B:O,11,FALSE)</f>
        <v>0</v>
      </c>
      <c r="M67" s="272">
        <f>VLOOKUP(TableQBRanks3040[[#This Row],[Player]],QB!B:O,13,FALSE)</f>
        <v>2.544242137896862</v>
      </c>
      <c r="N67" s="273">
        <f>IF(VLOOKUP(TableQBRanks3040[[#This Row],[RK]],'Ranks w Proj'!$A:$N,14,FALSE)&lt;0,0,VLOOKUP(TableQBRanks3040[[#This Row],[RK]],'Ranks w Proj'!$A:$N,14,FALSE))</f>
        <v>0</v>
      </c>
      <c r="P67" s="22">
        <v>66</v>
      </c>
      <c r="Q67" s="22" t="str">
        <f>VLOOKUP(TableRBRanks3141[[#This Row],[RK]],Rankings!A:Q,7,FALSE)</f>
        <v>Boston Scott</v>
      </c>
      <c r="R67" s="22" t="str">
        <f>IFERROR(INDEX(TableRBCalcPts[TM],MATCH(TableRBRanks3141[[#This Row],[Player]],TableRBCalcPts[PLAYER],0)),"")</f>
        <v>PHI</v>
      </c>
      <c r="S67" s="22">
        <f>IFERROR(INDEX(TableRBCalcPts[BYE],MATCH(TableRBRanks3141[[#This Row],[RK]],TableRBCalcPts[RK],0)),"")</f>
        <v>14</v>
      </c>
      <c r="T67" s="279">
        <f>VLOOKUP(TableRBRanks3141[[#This Row],[Player]],RB!B:O,4,FALSE)</f>
        <v>63.702245855544078</v>
      </c>
      <c r="U67" s="279">
        <f>VLOOKUP(TableRBRanks3141[[#This Row],[Player]],RB!B:O,5,FALSE)</f>
        <v>271.37156734461774</v>
      </c>
      <c r="V67" s="279">
        <f>VLOOKUP(TableRBRanks3141[[#This Row],[Player]],RB!B:O,6,FALSE)</f>
        <v>3.5179622512685285</v>
      </c>
      <c r="W67" s="279">
        <f>VLOOKUP(TableRBRanks3141[[#This Row],[Player]],RB!B:O,7,FALSE)</f>
        <v>20.485754266899061</v>
      </c>
      <c r="X67" s="279">
        <f>VLOOKUP(TableRBRanks3141[[#This Row],[Player]],RB!B:O,8,FALSE)</f>
        <v>13.745941113089271</v>
      </c>
      <c r="Y67" s="279">
        <f>VLOOKUP(TableRBRanks3141[[#This Row],[Player]],RB!B:O,9,FALSE)</f>
        <v>93.060021335614366</v>
      </c>
      <c r="Z67" s="279">
        <f>VLOOKUP(TableRBRanks3141[[#This Row],[Player]],RB!B:O,10,FALSE)</f>
        <v>0.28866476337487473</v>
      </c>
      <c r="AA67" s="272">
        <f>VLOOKUP(TableRBRanks3141[[#This Row],[Player]],RB!B:O,14,FALSE)</f>
        <v>59.282920955883633</v>
      </c>
      <c r="AB67" s="273">
        <f>IF(VLOOKUP(TableRBRanks3141[[#This Row],[RK]],'Ranks w Proj'!$P:$AB,13,FALSE)&lt;0,0,VLOOKUP(TableRBRanks3141[[#This Row],[RK]],'Ranks w Proj'!$P:$AB,13,FALSE))</f>
        <v>0</v>
      </c>
      <c r="AD67" s="22">
        <v>66</v>
      </c>
      <c r="AE67" s="274" t="str">
        <f>VLOOKUP(TableWRRanks3242[[#This Row],[RK]],Rankings!A:Q,11,FALSE)</f>
        <v>Rondale Moore</v>
      </c>
      <c r="AF67" s="22" t="str">
        <f>IFERROR(INDEX(TableWRCalcPts[TM],MATCH(TableWRRanks3242[[#This Row],[Player]],TableWRCalcPts[PLAYER],0)),"")</f>
        <v>ARI</v>
      </c>
      <c r="AG67" s="22">
        <f>IFERROR(INDEX(TableWRCalcPts[BYE],MATCH(TableWRRanks3242[[#This Row],[RK]],TableWRCalcPts[RK],0)),"")</f>
        <v>10</v>
      </c>
      <c r="AH67" s="279">
        <f>VLOOKUP(TableWRRanks3242[[#This Row],[Player]],WR!B:O,4,FALSE)</f>
        <v>86.113240615590598</v>
      </c>
      <c r="AI67" s="279">
        <f>VLOOKUP(TableWRRanks3242[[#This Row],[Player]],WR!B:O,5,FALSE)</f>
        <v>0.42601817124974628</v>
      </c>
      <c r="AJ67" s="279">
        <f>VLOOKUP(TableWRRanks3242[[#This Row],[Player]],WR!B:O,6,FALSE)</f>
        <v>77.32511722000001</v>
      </c>
      <c r="AK67" s="279">
        <f>VLOOKUP(TableWRRanks3242[[#This Row],[Player]],WR!B:O,7,FALSE)</f>
        <v>55.909214886669737</v>
      </c>
      <c r="AL67" s="279">
        <f>VLOOKUP(TableWRRanks3242[[#This Row],[Player]],WR!B:O,8,FALSE)</f>
        <v>616.11954805110042</v>
      </c>
      <c r="AM67" s="279">
        <f>VLOOKUP(TableWRRanks3242[[#This Row],[Player]],WR!B:O,9,FALSE)</f>
        <v>3.3007582994099187</v>
      </c>
      <c r="AN67" s="272">
        <f>VLOOKUP(TableWRRanks3242[[#This Row],[Player]],WR!B:O,13,FALSE)</f>
        <v>92.583937690627096</v>
      </c>
      <c r="AO67" s="273">
        <f>IF(VLOOKUP(TableWRRanks3242[[#This Row],[RK]],'Ranks w Proj'!AD:AO,12,FALSE)&lt;0,0,VLOOKUP(TableWRRanks3242[[#This Row],[RK]],'Ranks w Proj'!AD:AO,12,FALSE))</f>
        <v>0</v>
      </c>
      <c r="AQ67" s="22">
        <v>66</v>
      </c>
      <c r="AR67" s="22" t="str">
        <f>VLOOKUP(TableTERanks3343[[#This Row],[RK]],Rankings!A:Q,15,FALSE)</f>
        <v>Jacob Harris</v>
      </c>
      <c r="AS67" s="22" t="str">
        <f>IFERROR(INDEX(TableTECalcPts[TM],MATCH(TableTERanks3343[[#This Row],[Player]],TableTECalcPts[PLAYER],0)),"")</f>
        <v>LAR</v>
      </c>
      <c r="AT67" s="22">
        <f>IFERROR(INDEX(TableTECalcPts[BYE],MATCH(TableTERanks3343[[#This Row],[RK]],TableTECalcPts[RK],0)),"")</f>
        <v>7</v>
      </c>
      <c r="AU67" s="279">
        <f>VLOOKUP(TableTERanks3343[[#This Row],[Player]],TE!B:O,4,FALSE)</f>
        <v>13.295663358821855</v>
      </c>
      <c r="AV67" s="279">
        <f>VLOOKUP(TableTERanks3343[[#This Row],[Player]],TE!B:O,5,FALSE)</f>
        <v>8.5358158763636318</v>
      </c>
      <c r="AW67" s="279">
        <f>VLOOKUP(TableTERanks3343[[#This Row],[Player]],TE!B:O,6,FALSE)</f>
        <v>90.700302033197232</v>
      </c>
      <c r="AX67" s="279">
        <f>VLOOKUP(TableTERanks3343[[#This Row],[Player]],TE!B:O,7,FALSE)</f>
        <v>0.76822342887272688</v>
      </c>
      <c r="AY67" s="272">
        <f>VLOOKUP(TableTERanks3343[[#This Row],[Player]],TE!B:O,11,FALSE)</f>
        <v>13.679370776556084</v>
      </c>
      <c r="AZ67" s="273">
        <f>IF(VLOOKUP(TableTERanks3343[[#This Row],[RK]],'Ranks w Proj'!AQ:AZ,10,FALSE)&lt;0,0,VLOOKUP(TableTERanks3343[[#This Row],[RK]],'Ranks w Proj'!AQ:AZ,10,FALSE))</f>
        <v>0</v>
      </c>
    </row>
    <row r="68" spans="1:52" x14ac:dyDescent="0.3">
      <c r="A68" s="22">
        <v>67</v>
      </c>
      <c r="B68" s="22">
        <f>VLOOKUP(TableQBRanks3040[[#This Row],[RK]],Rankings!A:Q,3,FALSE)</f>
        <v>0</v>
      </c>
      <c r="C68" s="22" t="str">
        <f>IFERROR(INDEX(TableQBCalcPts[TM],MATCH(TableQBRanks3040[[#This Row],[Player]],TableQBCalcPts[PLAYER],0)),"")</f>
        <v/>
      </c>
      <c r="D68" s="22" t="str">
        <f>IFERROR(INDEX(TableQBCalcPts[BYE],MATCH(TableQBRanks3040[[#This Row],[RK]],TableQBCalcPts[RK],0)),"")</f>
        <v/>
      </c>
      <c r="E68" s="279">
        <f>VLOOKUP(TableQBRanks3040[[#This Row],[Player]],QB!B:O,4,FALSE)</f>
        <v>0</v>
      </c>
      <c r="F68" s="279">
        <f>VLOOKUP(TableQBRanks3040[[#This Row],[Player]],QB!B:O,5,FALSE)</f>
        <v>0</v>
      </c>
      <c r="G68" s="279">
        <f>VLOOKUP(TableQBRanks3040[[#This Row],[Player]],QB!B:O,6,FALSE)</f>
        <v>0</v>
      </c>
      <c r="H68" s="279">
        <f>VLOOKUP(TableQBRanks3040[[#This Row],[Player]],QB!B:O,7,FALSE)</f>
        <v>0</v>
      </c>
      <c r="I68" s="279">
        <f>VLOOKUP(TableQBRanks3040[[#This Row],[Player]],QB!B:O,8,FALSE)</f>
        <v>0</v>
      </c>
      <c r="J68" s="279">
        <f>VLOOKUP(TableQBRanks3040[[#This Row],[Player]],QB!B:O,9,FALSE)</f>
        <v>0</v>
      </c>
      <c r="K68" s="279">
        <f>VLOOKUP(TableQBRanks3040[[#This Row],[Player]],QB!B:O,10,FALSE)</f>
        <v>0</v>
      </c>
      <c r="L68" s="279">
        <f>VLOOKUP(TableQBRanks3040[[#This Row],[Player]],QB!B:O,11,FALSE)</f>
        <v>0</v>
      </c>
      <c r="M68" s="272">
        <f>VLOOKUP(TableQBRanks3040[[#This Row],[Player]],QB!B:O,13,FALSE)</f>
        <v>0</v>
      </c>
      <c r="N68" s="273" t="e">
        <f>IF(VLOOKUP(TableQBRanks3040[[#This Row],[RK]],'Ranks w Proj'!$A:$N,14,FALSE)&lt;0,0,VLOOKUP(TableQBRanks3040[[#This Row],[RK]],'Ranks w Proj'!$A:$N,14,FALSE))</f>
        <v>#VALUE!</v>
      </c>
      <c r="P68" s="22">
        <v>67</v>
      </c>
      <c r="Q68" s="22" t="str">
        <f>VLOOKUP(TableRBRanks3141[[#This Row],[RK]],Rankings!A:Q,7,FALSE)</f>
        <v>Brian Robinson</v>
      </c>
      <c r="R68" s="22" t="str">
        <f>IFERROR(INDEX(TableRBCalcPts[TM],MATCH(TableRBRanks3141[[#This Row],[Player]],TableRBCalcPts[PLAYER],0)),"")</f>
        <v>WSH</v>
      </c>
      <c r="S68" s="22">
        <f>IFERROR(INDEX(TableRBCalcPts[BYE],MATCH(TableRBRanks3141[[#This Row],[RK]],TableRBCalcPts[RK],0)),"")</f>
        <v>11</v>
      </c>
      <c r="T68" s="279">
        <f>VLOOKUP(TableRBRanks3141[[#This Row],[Player]],RB!B:O,4,FALSE)</f>
        <v>61.022982538379111</v>
      </c>
      <c r="U68" s="279">
        <f>VLOOKUP(TableRBRanks3141[[#This Row],[Player]],RB!B:O,5,FALSE)</f>
        <v>261.22973819067295</v>
      </c>
      <c r="V68" s="279">
        <f>VLOOKUP(TableRBRanks3141[[#This Row],[Player]],RB!B:O,6,FALSE)</f>
        <v>2.2200930731297781</v>
      </c>
      <c r="W68" s="279">
        <f>VLOOKUP(TableRBRanks3141[[#This Row],[Player]],RB!B:O,7,FALSE)</f>
        <v>19.116527745803847</v>
      </c>
      <c r="X68" s="279">
        <f>VLOOKUP(TableRBRanks3141[[#This Row],[Player]],RB!B:O,8,FALSE)</f>
        <v>14.031531365420022</v>
      </c>
      <c r="Y68" s="279">
        <f>VLOOKUP(TableRBRanks3141[[#This Row],[Player]],RB!B:O,9,FALSE)</f>
        <v>103.83333210410817</v>
      </c>
      <c r="Z68" s="279">
        <f>VLOOKUP(TableRBRanks3141[[#This Row],[Player]],RB!B:O,10,FALSE)</f>
        <v>0.4349774723280207</v>
      </c>
      <c r="AA68" s="272">
        <f>VLOOKUP(TableRBRanks3141[[#This Row],[Player]],RB!B:O,14,FALSE)</f>
        <v>52.436730302224909</v>
      </c>
      <c r="AB68" s="273">
        <f>IF(VLOOKUP(TableRBRanks3141[[#This Row],[RK]],'Ranks w Proj'!$P:$AB,13,FALSE)&lt;0,0,VLOOKUP(TableRBRanks3141[[#This Row],[RK]],'Ranks w Proj'!$P:$AB,13,FALSE))</f>
        <v>0</v>
      </c>
      <c r="AD68" s="22">
        <v>67</v>
      </c>
      <c r="AE68" s="22" t="str">
        <f>VLOOKUP(TableWRRanks3242[[#This Row],[RK]],Rankings!A:Q,11,FALSE)</f>
        <v>John Metchie</v>
      </c>
      <c r="AF68" s="22" t="str">
        <f>IFERROR(INDEX(TableWRCalcPts[TM],MATCH(TableWRRanks3242[[#This Row],[Player]],TableWRCalcPts[PLAYER],0)),"")</f>
        <v>HOU</v>
      </c>
      <c r="AG68" s="22">
        <f>IFERROR(INDEX(TableWRCalcPts[BYE],MATCH(TableWRRanks3242[[#This Row],[RK]],TableWRCalcPts[RK],0)),"")</f>
        <v>6</v>
      </c>
      <c r="AH68" s="279">
        <f>VLOOKUP(TableWRRanks3242[[#This Row],[Player]],WR!B:O,4,FALSE)</f>
        <v>0</v>
      </c>
      <c r="AI68" s="279">
        <f>VLOOKUP(TableWRRanks3242[[#This Row],[Player]],WR!B:O,5,FALSE)</f>
        <v>0</v>
      </c>
      <c r="AJ68" s="279">
        <f>VLOOKUP(TableWRRanks3242[[#This Row],[Player]],WR!B:O,6,FALSE)</f>
        <v>87.9585166095939</v>
      </c>
      <c r="AK68" s="279">
        <f>VLOOKUP(TableWRRanks3242[[#This Row],[Player]],WR!B:O,7,FALSE)</f>
        <v>57.648011785927842</v>
      </c>
      <c r="AL68" s="279">
        <f>VLOOKUP(TableWRRanks3242[[#This Row],[Player]],WR!B:O,8,FALSE)</f>
        <v>680.82301919180782</v>
      </c>
      <c r="AM68" s="279">
        <f>VLOOKUP(TableWRRanks3242[[#This Row],[Player]],WR!B:O,9,FALSE)</f>
        <v>3.6318247425134542</v>
      </c>
      <c r="AN68" s="272">
        <f>VLOOKUP(TableWRRanks3242[[#This Row],[Player]],WR!B:O,13,FALSE)</f>
        <v>89.873250374261502</v>
      </c>
      <c r="AO68" s="273">
        <f>IF(VLOOKUP(TableWRRanks3242[[#This Row],[RK]],'Ranks w Proj'!AD:AO,12,FALSE)&lt;0,0,VLOOKUP(TableWRRanks3242[[#This Row],[RK]],'Ranks w Proj'!AD:AO,12,FALSE))</f>
        <v>0</v>
      </c>
      <c r="AQ68" s="22">
        <v>67</v>
      </c>
      <c r="AR68" s="22" t="str">
        <f>VLOOKUP(TableTERanks3343[[#This Row],[RK]],Rankings!A:Q,15,FALSE)</f>
        <v>Tyree Jackson</v>
      </c>
      <c r="AS68" s="22" t="str">
        <f>IFERROR(INDEX(TableTECalcPts[TM],MATCH(TableTERanks3343[[#This Row],[Player]],TableTECalcPts[PLAYER],0)),"")</f>
        <v>PHI</v>
      </c>
      <c r="AT68" s="22">
        <f>IFERROR(INDEX(TableTECalcPts[BYE],MATCH(TableTERanks3343[[#This Row],[RK]],TableTECalcPts[RK],0)),"")</f>
        <v>7</v>
      </c>
      <c r="AU68" s="279">
        <f>VLOOKUP(TableTERanks3343[[#This Row],[Player]],TE!B:O,4,FALSE)</f>
        <v>14.346443153706881</v>
      </c>
      <c r="AV68" s="279">
        <f>VLOOKUP(TableTERanks3343[[#This Row],[Player]],TE!B:O,5,FALSE)</f>
        <v>8.5791730059167151</v>
      </c>
      <c r="AW68" s="279">
        <f>VLOOKUP(TableTERanks3343[[#This Row],[Player]],TE!B:O,6,FALSE)</f>
        <v>85.027733489859585</v>
      </c>
      <c r="AX68" s="279">
        <f>VLOOKUP(TableTERanks3343[[#This Row],[Player]],TE!B:O,7,FALSE)</f>
        <v>0.68011564033314831</v>
      </c>
      <c r="AY68" s="272">
        <f>VLOOKUP(TableTERanks3343[[#This Row],[Player]],TE!B:O,11,FALSE)</f>
        <v>12.58346719098485</v>
      </c>
      <c r="AZ68" s="273">
        <f>IF(VLOOKUP(TableTERanks3343[[#This Row],[RK]],'Ranks w Proj'!AQ:AZ,10,FALSE)&lt;0,0,VLOOKUP(TableTERanks3343[[#This Row],[RK]],'Ranks w Proj'!AQ:AZ,10,FALSE))</f>
        <v>0</v>
      </c>
    </row>
    <row r="69" spans="1:52" x14ac:dyDescent="0.3">
      <c r="A69" s="22">
        <v>68</v>
      </c>
      <c r="B69" s="274">
        <f>VLOOKUP(TableQBRanks3040[[#This Row],[RK]],Rankings!A:Q,3,FALSE)</f>
        <v>0</v>
      </c>
      <c r="C69" s="274" t="str">
        <f>IFERROR(INDEX(TableQBCalcPts[TM],MATCH(TableQBRanks3040[[#This Row],[Player]],TableQBCalcPts[PLAYER],0)),"")</f>
        <v/>
      </c>
      <c r="D69" s="274" t="str">
        <f>IFERROR(INDEX(TableQBCalcPts[BYE],MATCH(TableQBRanks3040[[#This Row],[RK]],TableQBCalcPts[RK],0)),"")</f>
        <v/>
      </c>
      <c r="E69" s="279">
        <f>VLOOKUP(TableQBRanks3040[[#This Row],[Player]],QB!B:O,4,FALSE)</f>
        <v>0</v>
      </c>
      <c r="F69" s="279">
        <f>VLOOKUP(TableQBRanks3040[[#This Row],[Player]],QB!B:O,5,FALSE)</f>
        <v>0</v>
      </c>
      <c r="G69" s="279">
        <f>VLOOKUP(TableQBRanks3040[[#This Row],[Player]],QB!B:O,6,FALSE)</f>
        <v>0</v>
      </c>
      <c r="H69" s="279">
        <f>VLOOKUP(TableQBRanks3040[[#This Row],[Player]],QB!B:O,7,FALSE)</f>
        <v>0</v>
      </c>
      <c r="I69" s="279">
        <f>VLOOKUP(TableQBRanks3040[[#This Row],[Player]],QB!B:O,8,FALSE)</f>
        <v>0</v>
      </c>
      <c r="J69" s="279">
        <f>VLOOKUP(TableQBRanks3040[[#This Row],[Player]],QB!B:O,9,FALSE)</f>
        <v>0</v>
      </c>
      <c r="K69" s="279">
        <f>VLOOKUP(TableQBRanks3040[[#This Row],[Player]],QB!B:O,10,FALSE)</f>
        <v>0</v>
      </c>
      <c r="L69" s="279">
        <f>VLOOKUP(TableQBRanks3040[[#This Row],[Player]],QB!B:O,11,FALSE)</f>
        <v>0</v>
      </c>
      <c r="M69" s="272">
        <f>VLOOKUP(TableQBRanks3040[[#This Row],[Player]],QB!B:O,13,FALSE)</f>
        <v>0</v>
      </c>
      <c r="N69" s="273" t="e">
        <f>IF(VLOOKUP(TableQBRanks3040[[#This Row],[RK]],'Ranks w Proj'!$A:$N,14,FALSE)&lt;0,0,VLOOKUP(TableQBRanks3040[[#This Row],[RK]],'Ranks w Proj'!$A:$N,14,FALSE))</f>
        <v>#VALUE!</v>
      </c>
      <c r="P69" s="22">
        <v>68</v>
      </c>
      <c r="Q69" s="22" t="str">
        <f>VLOOKUP(TableRBRanks3141[[#This Row],[RK]],Rankings!A:Q,7,FALSE)</f>
        <v>Hassan Haskins</v>
      </c>
      <c r="R69" s="22" t="str">
        <f>IFERROR(INDEX(TableRBCalcPts[TM],MATCH(TableRBRanks3141[[#This Row],[Player]],TableRBCalcPts[PLAYER],0)),"")</f>
        <v>TEN</v>
      </c>
      <c r="S69" s="22">
        <f>IFERROR(INDEX(TableRBCalcPts[BYE],MATCH(TableRBRanks3141[[#This Row],[RK]],TableRBCalcPts[RK],0)),"")</f>
        <v>13</v>
      </c>
      <c r="T69" s="279">
        <f>VLOOKUP(TableRBRanks3141[[#This Row],[Player]],RB!B:O,4,FALSE)</f>
        <v>54.634421150704284</v>
      </c>
      <c r="U69" s="279">
        <f>VLOOKUP(TableRBRanks3141[[#This Row],[Player]],RB!B:O,5,FALSE)</f>
        <v>227.27919198692982</v>
      </c>
      <c r="V69" s="279">
        <f>VLOOKUP(TableRBRanks3141[[#This Row],[Player]],RB!B:O,6,FALSE)</f>
        <v>1.671813287211551</v>
      </c>
      <c r="W69" s="279">
        <f>VLOOKUP(TableRBRanks3141[[#This Row],[Player]],RB!B:O,7,FALSE)</f>
        <v>14.262321172131504</v>
      </c>
      <c r="X69" s="279">
        <f>VLOOKUP(TableRBRanks3141[[#This Row],[Player]],RB!B:O,8,FALSE)</f>
        <v>9.8167556627781138</v>
      </c>
      <c r="Y69" s="279">
        <f>VLOOKUP(TableRBRanks3141[[#This Row],[Player]],RB!B:O,9,FALSE)</f>
        <v>69.468499822921956</v>
      </c>
      <c r="Z69" s="279">
        <f>VLOOKUP(TableRBRanks3141[[#This Row],[Player]],RB!B:O,10,FALSE)</f>
        <v>0.18933939157966428</v>
      </c>
      <c r="AA69" s="272">
        <f>VLOOKUP(TableRBRanks3141[[#This Row],[Player]],RB!B:O,14,FALSE)</f>
        <v>40.841685253732471</v>
      </c>
      <c r="AB69" s="273">
        <f>IF(VLOOKUP(TableRBRanks3141[[#This Row],[RK]],'Ranks w Proj'!$P:$AB,13,FALSE)&lt;0,0,VLOOKUP(TableRBRanks3141[[#This Row],[RK]],'Ranks w Proj'!$P:$AB,13,FALSE))</f>
        <v>0</v>
      </c>
      <c r="AD69" s="274">
        <v>68</v>
      </c>
      <c r="AE69" s="274" t="str">
        <f>VLOOKUP(TableWRRanks3242[[#This Row],[RK]],Rankings!A:Q,11,FALSE)</f>
        <v>Byron Pringle</v>
      </c>
      <c r="AF69" s="22" t="str">
        <f>IFERROR(INDEX(TableWRCalcPts[TM],MATCH(TableWRRanks3242[[#This Row],[Player]],TableWRCalcPts[PLAYER],0)),"")</f>
        <v>CHI</v>
      </c>
      <c r="AG69" s="22">
        <f>IFERROR(INDEX(TableWRCalcPts[BYE],MATCH(TableWRRanks3242[[#This Row],[RK]],TableWRCalcPts[RK],0)),"")</f>
        <v>10</v>
      </c>
      <c r="AH69" s="279">
        <f>VLOOKUP(TableWRRanks3242[[#This Row],[Player]],WR!B:O,4,FALSE)</f>
        <v>0</v>
      </c>
      <c r="AI69" s="279">
        <f>VLOOKUP(TableWRRanks3242[[#This Row],[Player]],WR!B:O,5,FALSE)</f>
        <v>0</v>
      </c>
      <c r="AJ69" s="279">
        <f>VLOOKUP(TableWRRanks3242[[#This Row],[Player]],WR!B:O,6,FALSE)</f>
        <v>84.285292511746107</v>
      </c>
      <c r="AK69" s="279">
        <f>VLOOKUP(TableWRRanks3242[[#This Row],[Player]],WR!B:O,7,FALSE)</f>
        <v>52.998591931385953</v>
      </c>
      <c r="AL69" s="279">
        <f>VLOOKUP(TableWRRanks3242[[#This Row],[Player]],WR!B:O,8,FALSE)</f>
        <v>623.26344111309879</v>
      </c>
      <c r="AM69" s="279">
        <f>VLOOKUP(TableWRRanks3242[[#This Row],[Player]],WR!B:O,9,FALSE)</f>
        <v>4.1064797127260952</v>
      </c>
      <c r="AN69" s="272">
        <f>VLOOKUP(TableWRRanks3242[[#This Row],[Player]],WR!B:O,13,FALSE)</f>
        <v>86.965222387666444</v>
      </c>
      <c r="AO69" s="273">
        <f>IF(VLOOKUP(TableWRRanks3242[[#This Row],[RK]],'Ranks w Proj'!AD:AO,12,FALSE)&lt;0,0,VLOOKUP(TableWRRanks3242[[#This Row],[RK]],'Ranks w Proj'!AD:AO,12,FALSE))</f>
        <v>0</v>
      </c>
      <c r="AQ69" s="274">
        <v>68</v>
      </c>
      <c r="AR69" s="274" t="str">
        <f>VLOOKUP(TableTERanks3343[[#This Row],[RK]],Rankings!A:Q,15,FALSE)</f>
        <v>Chris Manhertz</v>
      </c>
      <c r="AS69" s="22" t="str">
        <f>IFERROR(INDEX(TableTECalcPts[TM],MATCH(TableTERanks3343[[#This Row],[Player]],TableTECalcPts[PLAYER],0)),"")</f>
        <v>JAX</v>
      </c>
      <c r="AT69" s="22">
        <f>IFERROR(INDEX(TableTECalcPts[BYE],MATCH(TableTERanks3343[[#This Row],[RK]],TableTECalcPts[RK],0)),"")</f>
        <v>11</v>
      </c>
      <c r="AU69" s="279">
        <f>VLOOKUP(TableTERanks3343[[#This Row],[Player]],TE!B:O,4,FALSE)</f>
        <v>12.893146125440278</v>
      </c>
      <c r="AV69" s="279">
        <f>VLOOKUP(TableTERanks3343[[#This Row],[Player]],TE!B:O,5,FALSE)</f>
        <v>7.6327425062606444</v>
      </c>
      <c r="AW69" s="279">
        <f>VLOOKUP(TableTERanks3343[[#This Row],[Player]],TE!B:O,6,FALSE)</f>
        <v>81.370746207544869</v>
      </c>
      <c r="AX69" s="279">
        <f>VLOOKUP(TableTERanks3343[[#This Row],[Player]],TE!B:O,7,FALSE)</f>
        <v>0.59029362340171898</v>
      </c>
      <c r="AY69" s="272">
        <f>VLOOKUP(TableTERanks3343[[#This Row],[Player]],TE!B:O,11,FALSE)</f>
        <v>11.678836361164802</v>
      </c>
      <c r="AZ69" s="273">
        <f>IF(VLOOKUP(TableTERanks3343[[#This Row],[RK]],'Ranks w Proj'!AQ:AZ,10,FALSE)&lt;0,0,VLOOKUP(TableTERanks3343[[#This Row],[RK]],'Ranks w Proj'!AQ:AZ,10,FALSE))</f>
        <v>0</v>
      </c>
    </row>
    <row r="70" spans="1:52" x14ac:dyDescent="0.3">
      <c r="A70" s="22">
        <v>69</v>
      </c>
      <c r="B70" s="274">
        <f>VLOOKUP(TableQBRanks3040[[#This Row],[RK]],Rankings!A:Q,3,FALSE)</f>
        <v>0</v>
      </c>
      <c r="C70" s="274" t="str">
        <f>IFERROR(INDEX(TableQBCalcPts[TM],MATCH(TableQBRanks3040[[#This Row],[Player]],TableQBCalcPts[PLAYER],0)),"")</f>
        <v/>
      </c>
      <c r="D70" s="274" t="str">
        <f>IFERROR(INDEX(TableQBCalcPts[BYE],MATCH(TableQBRanks3040[[#This Row],[RK]],TableQBCalcPts[RK],0)),"")</f>
        <v/>
      </c>
      <c r="E70" s="279">
        <f>VLOOKUP(TableQBRanks3040[[#This Row],[Player]],QB!B:O,4,FALSE)</f>
        <v>0</v>
      </c>
      <c r="F70" s="279">
        <f>VLOOKUP(TableQBRanks3040[[#This Row],[Player]],QB!B:O,5,FALSE)</f>
        <v>0</v>
      </c>
      <c r="G70" s="279">
        <f>VLOOKUP(TableQBRanks3040[[#This Row],[Player]],QB!B:O,6,FALSE)</f>
        <v>0</v>
      </c>
      <c r="H70" s="279">
        <f>VLOOKUP(TableQBRanks3040[[#This Row],[Player]],QB!B:O,7,FALSE)</f>
        <v>0</v>
      </c>
      <c r="I70" s="279">
        <f>VLOOKUP(TableQBRanks3040[[#This Row],[Player]],QB!B:O,8,FALSE)</f>
        <v>0</v>
      </c>
      <c r="J70" s="279">
        <f>VLOOKUP(TableQBRanks3040[[#This Row],[Player]],QB!B:O,9,FALSE)</f>
        <v>0</v>
      </c>
      <c r="K70" s="279">
        <f>VLOOKUP(TableQBRanks3040[[#This Row],[Player]],QB!B:O,10,FALSE)</f>
        <v>0</v>
      </c>
      <c r="L70" s="279">
        <f>VLOOKUP(TableQBRanks3040[[#This Row],[Player]],QB!B:O,11,FALSE)</f>
        <v>0</v>
      </c>
      <c r="M70" s="272">
        <f>VLOOKUP(TableQBRanks3040[[#This Row],[Player]],QB!B:O,13,FALSE)</f>
        <v>0</v>
      </c>
      <c r="N70" s="273" t="e">
        <f>IF(VLOOKUP(TableQBRanks3040[[#This Row],[RK]],'Ranks w Proj'!$A:$N,14,FALSE)&lt;0,0,VLOOKUP(TableQBRanks3040[[#This Row],[RK]],'Ranks w Proj'!$A:$N,14,FALSE))</f>
        <v>#VALUE!</v>
      </c>
      <c r="P70" s="22">
        <v>69</v>
      </c>
      <c r="Q70" s="22" t="str">
        <f>VLOOKUP(TableRBRanks3141[[#This Row],[RK]],Rankings!A:Q,7,FALSE)</f>
        <v>Dontrell Hilliard</v>
      </c>
      <c r="R70" s="22" t="str">
        <f>IFERROR(INDEX(TableRBCalcPts[TM],MATCH(TableRBRanks3141[[#This Row],[Player]],TableRBCalcPts[PLAYER],0)),"")</f>
        <v>TEN</v>
      </c>
      <c r="S70" s="22">
        <f>IFERROR(INDEX(TableRBCalcPts[BYE],MATCH(TableRBRanks3141[[#This Row],[RK]],TableRBCalcPts[RK],0)),"")</f>
        <v>6</v>
      </c>
      <c r="T70" s="279">
        <f>VLOOKUP(TableRBRanks3141[[#This Row],[Player]],RB!B:O,4,FALSE)</f>
        <v>27.587678006791272</v>
      </c>
      <c r="U70" s="279">
        <f>VLOOKUP(TableRBRanks3141[[#This Row],[Player]],RB!B:O,5,FALSE)</f>
        <v>147.68563851371997</v>
      </c>
      <c r="V70" s="279">
        <f>VLOOKUP(TableRBRanks3141[[#This Row],[Player]],RB!B:O,6,FALSE)</f>
        <v>0.74463552311786929</v>
      </c>
      <c r="W70" s="279">
        <f>VLOOKUP(TableRBRanks3141[[#This Row],[Player]],RB!B:O,7,FALSE)</f>
        <v>39.746878106667999</v>
      </c>
      <c r="X70" s="279">
        <f>VLOOKUP(TableRBRanks3141[[#This Row],[Player]],RB!B:O,8,FALSE)</f>
        <v>29.889652336214336</v>
      </c>
      <c r="Y70" s="279">
        <f>VLOOKUP(TableRBRanks3141[[#This Row],[Player]],RB!B:O,9,FALSE)</f>
        <v>178.17193969571079</v>
      </c>
      <c r="Z70" s="279">
        <f>VLOOKUP(TableRBRanks3141[[#This Row],[Player]],RB!B:O,10,FALSE)</f>
        <v>0.64737936757585801</v>
      </c>
      <c r="AA70" s="272">
        <f>VLOOKUP(TableRBRanks3141[[#This Row],[Player]],RB!B:O,14,FALSE)</f>
        <v>40.937847165105438</v>
      </c>
      <c r="AB70" s="273">
        <f>IF(VLOOKUP(TableRBRanks3141[[#This Row],[RK]],'Ranks w Proj'!$P:$AB,13,FALSE)&lt;0,0,VLOOKUP(TableRBRanks3141[[#This Row],[RK]],'Ranks w Proj'!$P:$AB,13,FALSE))</f>
        <v>0</v>
      </c>
      <c r="AD70" s="22">
        <v>69</v>
      </c>
      <c r="AE70" s="22" t="str">
        <f>VLOOKUP(TableWRRanks3242[[#This Row],[RK]],Rankings!A:Q,11,FALSE)</f>
        <v>Curtis Samuel</v>
      </c>
      <c r="AF70" s="22" t="str">
        <f>IFERROR(INDEX(TableWRCalcPts[TM],MATCH(TableWRRanks3242[[#This Row],[Player]],TableWRCalcPts[PLAYER],0)),"")</f>
        <v>WSH</v>
      </c>
      <c r="AG70" s="22">
        <f>IFERROR(INDEX(TableWRCalcPts[BYE],MATCH(TableWRRanks3242[[#This Row],[RK]],TableWRCalcPts[RK],0)),"")</f>
        <v>14</v>
      </c>
      <c r="AH70" s="279">
        <f>VLOOKUP(TableWRRanks3242[[#This Row],[Player]],WR!B:O,4,FALSE)</f>
        <v>83.79355726222289</v>
      </c>
      <c r="AI70" s="279">
        <f>VLOOKUP(TableWRRanks3242[[#This Row],[Player]],WR!B:O,5,FALSE)</f>
        <v>0.81903437293204873</v>
      </c>
      <c r="AJ70" s="279">
        <f>VLOOKUP(TableWRRanks3242[[#This Row],[Player]],WR!B:O,6,FALSE)</f>
        <v>80.166084095306445</v>
      </c>
      <c r="AK70" s="279">
        <f>VLOOKUP(TableWRRanks3242[[#This Row],[Player]],WR!B:O,7,FALSE)</f>
        <v>49.847271090461547</v>
      </c>
      <c r="AL70" s="279">
        <f>VLOOKUP(TableWRRanks3242[[#This Row],[Player]],WR!B:O,8,FALSE)</f>
        <v>539.34747319879398</v>
      </c>
      <c r="AM70" s="279">
        <f>VLOOKUP(TableWRRanks3242[[#This Row],[Player]],WR!B:O,9,FALSE)</f>
        <v>3.339767163060924</v>
      </c>
      <c r="AN70" s="272">
        <f>VLOOKUP(TableWRRanks3242[[#This Row],[Player]],WR!B:O,13,FALSE)</f>
        <v>87.266912262059535</v>
      </c>
      <c r="AO70" s="273">
        <f>IF(VLOOKUP(TableWRRanks3242[[#This Row],[RK]],'Ranks w Proj'!AD:AO,12,FALSE)&lt;0,0,VLOOKUP(TableWRRanks3242[[#This Row],[RK]],'Ranks w Proj'!AD:AO,12,FALSE))</f>
        <v>0</v>
      </c>
      <c r="AQ70" s="22">
        <v>69</v>
      </c>
      <c r="AR70" s="22" t="str">
        <f>VLOOKUP(TableTERanks3343[[#This Row],[RK]],Rankings!A:Q,15,FALSE)</f>
        <v>Nick Eubanks</v>
      </c>
      <c r="AS70" s="22" t="str">
        <f>IFERROR(INDEX(TableTECalcPts[TM],MATCH(TableTERanks3343[[#This Row],[Player]],TableTECalcPts[PLAYER],0)),"")</f>
        <v>CIN</v>
      </c>
      <c r="AT70" s="22">
        <f>IFERROR(INDEX(TableTECalcPts[BYE],MATCH(TableTERanks3343[[#This Row],[RK]],TableTECalcPts[RK],0)),"")</f>
        <v>10</v>
      </c>
      <c r="AU70" s="279">
        <f>VLOOKUP(TableTERanks3343[[#This Row],[Player]],TE!B:O,4,FALSE)</f>
        <v>11.884911697576813</v>
      </c>
      <c r="AV70" s="279">
        <f>VLOOKUP(TableTERanks3343[[#This Row],[Player]],TE!B:O,5,FALSE)</f>
        <v>7.2890163441238585</v>
      </c>
      <c r="AW70" s="279">
        <f>VLOOKUP(TableTERanks3343[[#This Row],[Player]],TE!B:O,6,FALSE)</f>
        <v>77.142089641977506</v>
      </c>
      <c r="AX70" s="279">
        <f>VLOOKUP(TableTERanks3343[[#This Row],[Player]],TE!B:O,7,FALSE)</f>
        <v>0.60741802867698813</v>
      </c>
      <c r="AY70" s="272">
        <f>VLOOKUP(TableTERanks3343[[#This Row],[Player]],TE!B:O,11,FALSE)</f>
        <v>11.358717136259679</v>
      </c>
      <c r="AZ70" s="273">
        <f>IF(VLOOKUP(TableTERanks3343[[#This Row],[RK]],'Ranks w Proj'!AQ:AZ,10,FALSE)&lt;0,0,VLOOKUP(TableTERanks3343[[#This Row],[RK]],'Ranks w Proj'!AQ:AZ,10,FALSE))</f>
        <v>0</v>
      </c>
    </row>
    <row r="71" spans="1:52" x14ac:dyDescent="0.3">
      <c r="A71" s="22">
        <v>70</v>
      </c>
      <c r="B71" s="274">
        <f>VLOOKUP(TableQBRanks3040[[#This Row],[RK]],Rankings!A:Q,3,FALSE)</f>
        <v>0</v>
      </c>
      <c r="C71" s="274" t="str">
        <f>IFERROR(INDEX(TableQBCalcPts[TM],MATCH(TableQBRanks3040[[#This Row],[Player]],TableQBCalcPts[PLAYER],0)),"")</f>
        <v/>
      </c>
      <c r="D71" s="274" t="str">
        <f>IFERROR(INDEX(TableQBCalcPts[BYE],MATCH(TableQBRanks3040[[#This Row],[RK]],TableQBCalcPts[RK],0)),"")</f>
        <v/>
      </c>
      <c r="E71" s="279">
        <f>VLOOKUP(TableQBRanks3040[[#This Row],[Player]],QB!B:O,4,FALSE)</f>
        <v>0</v>
      </c>
      <c r="F71" s="279">
        <f>VLOOKUP(TableQBRanks3040[[#This Row],[Player]],QB!B:O,5,FALSE)</f>
        <v>0</v>
      </c>
      <c r="G71" s="279">
        <f>VLOOKUP(TableQBRanks3040[[#This Row],[Player]],QB!B:O,6,FALSE)</f>
        <v>0</v>
      </c>
      <c r="H71" s="279">
        <f>VLOOKUP(TableQBRanks3040[[#This Row],[Player]],QB!B:O,7,FALSE)</f>
        <v>0</v>
      </c>
      <c r="I71" s="279">
        <f>VLOOKUP(TableQBRanks3040[[#This Row],[Player]],QB!B:O,8,FALSE)</f>
        <v>0</v>
      </c>
      <c r="J71" s="279">
        <f>VLOOKUP(TableQBRanks3040[[#This Row],[Player]],QB!B:O,9,FALSE)</f>
        <v>0</v>
      </c>
      <c r="K71" s="279">
        <f>VLOOKUP(TableQBRanks3040[[#This Row],[Player]],QB!B:O,10,FALSE)</f>
        <v>0</v>
      </c>
      <c r="L71" s="279">
        <f>VLOOKUP(TableQBRanks3040[[#This Row],[Player]],QB!B:O,11,FALSE)</f>
        <v>0</v>
      </c>
      <c r="M71" s="272">
        <f>VLOOKUP(TableQBRanks3040[[#This Row],[Player]],QB!B:O,13,FALSE)</f>
        <v>0</v>
      </c>
      <c r="N71" s="273" t="e">
        <f>IF(VLOOKUP(TableQBRanks3040[[#This Row],[RK]],'Ranks w Proj'!$A:$N,14,FALSE)&lt;0,0,VLOOKUP(TableQBRanks3040[[#This Row],[RK]],'Ranks w Proj'!$A:$N,14,FALSE))</f>
        <v>#VALUE!</v>
      </c>
      <c r="P71" s="22">
        <v>70</v>
      </c>
      <c r="Q71" s="22" t="str">
        <f>VLOOKUP(TableRBRanks3141[[#This Row],[RK]],Rankings!A:Q,7,FALSE)</f>
        <v>Brandon Bolden</v>
      </c>
      <c r="R71" s="22" t="str">
        <f>IFERROR(INDEX(TableRBCalcPts[TM],MATCH(TableRBRanks3141[[#This Row],[Player]],TableRBCalcPts[PLAYER],0)),"")</f>
        <v>LV</v>
      </c>
      <c r="S71" s="22">
        <f>IFERROR(INDEX(TableRBCalcPts[BYE],MATCH(TableRBRanks3141[[#This Row],[RK]],TableRBCalcPts[RK],0)),"")</f>
        <v>11</v>
      </c>
      <c r="T71" s="279">
        <f>VLOOKUP(TableRBRanks3141[[#This Row],[Player]],RB!B:O,4,FALSE)</f>
        <v>40.430326247611831</v>
      </c>
      <c r="U71" s="279">
        <f>VLOOKUP(TableRBRanks3141[[#This Row],[Player]],RB!B:O,5,FALSE)</f>
        <v>171.02028002739806</v>
      </c>
      <c r="V71" s="279">
        <f>VLOOKUP(TableRBRanks3141[[#This Row],[Player]],RB!B:O,6,FALSE)</f>
        <v>0.98649996044172872</v>
      </c>
      <c r="W71" s="279">
        <f>VLOOKUP(TableRBRanks3141[[#This Row],[Player]],RB!B:O,7,FALSE)</f>
        <v>28.349482949999992</v>
      </c>
      <c r="X71" s="279">
        <f>VLOOKUP(TableRBRanks3141[[#This Row],[Player]],RB!B:O,8,FALSE)</f>
        <v>19.361029238205873</v>
      </c>
      <c r="Y71" s="279">
        <f>VLOOKUP(TableRBRanks3141[[#This Row],[Player]],RB!B:O,9,FALSE)</f>
        <v>167.86012349524492</v>
      </c>
      <c r="Z71" s="279">
        <f>VLOOKUP(TableRBRanks3141[[#This Row],[Player]],RB!B:O,10,FALSE)</f>
        <v>0.59304616906433805</v>
      </c>
      <c r="AA71" s="272">
        <f>VLOOKUP(TableRBRanks3141[[#This Row],[Player]],RB!B:O,14,FALSE)</f>
        <v>43.365317129300699</v>
      </c>
      <c r="AB71" s="273">
        <f>IF(VLOOKUP(TableRBRanks3141[[#This Row],[RK]],'Ranks w Proj'!$P:$AB,13,FALSE)&lt;0,0,VLOOKUP(TableRBRanks3141[[#This Row],[RK]],'Ranks w Proj'!$P:$AB,13,FALSE))</f>
        <v>0</v>
      </c>
      <c r="AD71" s="22">
        <v>70</v>
      </c>
      <c r="AE71" s="274" t="str">
        <f>VLOOKUP(TableWRRanks3242[[#This Row],[RK]],Rankings!A:Q,11,FALSE)</f>
        <v>DeVante Parker</v>
      </c>
      <c r="AF71" s="22" t="str">
        <f>IFERROR(INDEX(TableWRCalcPts[TM],MATCH(TableWRRanks3242[[#This Row],[Player]],TableWRCalcPts[PLAYER],0)),"")</f>
        <v>NE</v>
      </c>
      <c r="AG71" s="22">
        <f>IFERROR(INDEX(TableWRCalcPts[BYE],MATCH(TableWRRanks3242[[#This Row],[RK]],TableWRCalcPts[RK],0)),"")</f>
        <v>14</v>
      </c>
      <c r="AH71" s="279">
        <f>VLOOKUP(TableWRRanks3242[[#This Row],[Player]],WR!B:O,4,FALSE)</f>
        <v>0</v>
      </c>
      <c r="AI71" s="279">
        <f>VLOOKUP(TableWRRanks3242[[#This Row],[Player]],WR!B:O,5,FALSE)</f>
        <v>0</v>
      </c>
      <c r="AJ71" s="279">
        <f>VLOOKUP(TableWRRanks3242[[#This Row],[Player]],WR!B:O,6,FALSE)</f>
        <v>80.317008034711606</v>
      </c>
      <c r="AK71" s="279">
        <f>VLOOKUP(TableWRRanks3242[[#This Row],[Player]],WR!B:O,7,FALSE)</f>
        <v>48.792582381087307</v>
      </c>
      <c r="AL71" s="279">
        <f>VLOOKUP(TableWRRanks3242[[#This Row],[Player]],WR!B:O,8,FALSE)</f>
        <v>655.77230720181342</v>
      </c>
      <c r="AM71" s="279">
        <f>VLOOKUP(TableWRRanks3242[[#This Row],[Player]],WR!B:O,9,FALSE)</f>
        <v>3.6381348321608065</v>
      </c>
      <c r="AN71" s="272">
        <f>VLOOKUP(TableWRRanks3242[[#This Row],[Player]],WR!B:O,13,FALSE)</f>
        <v>87.406039713146185</v>
      </c>
      <c r="AO71" s="273">
        <f>IF(VLOOKUP(TableWRRanks3242[[#This Row],[RK]],'Ranks w Proj'!AD:AO,12,FALSE)&lt;0,0,VLOOKUP(TableWRRanks3242[[#This Row],[RK]],'Ranks w Proj'!AD:AO,12,FALSE))</f>
        <v>0</v>
      </c>
      <c r="AQ71" s="22">
        <v>70</v>
      </c>
      <c r="AR71" s="22" t="str">
        <f>VLOOKUP(TableTERanks3343[[#This Row],[RK]],Rankings!A:Q,15,FALSE)</f>
        <v>Zach Gentry</v>
      </c>
      <c r="AS71" s="22" t="str">
        <f>IFERROR(INDEX(TableTECalcPts[TM],MATCH(TableTERanks3343[[#This Row],[Player]],TableTECalcPts[PLAYER],0)),"")</f>
        <v>PIT</v>
      </c>
      <c r="AT71" s="22">
        <f>IFERROR(INDEX(TableTECalcPts[BYE],MATCH(TableTERanks3343[[#This Row],[RK]],TableTECalcPts[RK],0)),"")</f>
        <v>9</v>
      </c>
      <c r="AU71" s="279">
        <f>VLOOKUP(TableTERanks3343[[#This Row],[Player]],TE!B:O,4,FALSE)</f>
        <v>13.196684142840397</v>
      </c>
      <c r="AV71" s="279">
        <f>VLOOKUP(TableTERanks3343[[#This Row],[Player]],TE!B:O,5,FALSE)</f>
        <v>7.9034941331471131</v>
      </c>
      <c r="AW71" s="279">
        <f>VLOOKUP(TableTERanks3343[[#This Row],[Player]],TE!B:O,6,FALSE)</f>
        <v>79.667220862122903</v>
      </c>
      <c r="AX71" s="279">
        <f>VLOOKUP(TableTERanks3343[[#This Row],[Player]],TE!B:O,7,FALSE)</f>
        <v>0.47457260983191052</v>
      </c>
      <c r="AY71" s="272">
        <f>VLOOKUP(TableTERanks3343[[#This Row],[Player]],TE!B:O,11,FALSE)</f>
        <v>10.814157745203755</v>
      </c>
      <c r="AZ71" s="273">
        <f>IF(VLOOKUP(TableTERanks3343[[#This Row],[RK]],'Ranks w Proj'!AQ:AZ,10,FALSE)&lt;0,0,VLOOKUP(TableTERanks3343[[#This Row],[RK]],'Ranks w Proj'!AQ:AZ,10,FALSE))</f>
        <v>0</v>
      </c>
    </row>
    <row r="72" spans="1:52" x14ac:dyDescent="0.3">
      <c r="A72" s="22">
        <v>71</v>
      </c>
      <c r="B72" s="274">
        <f>VLOOKUP(TableQBRanks3040[[#This Row],[RK]],Rankings!A:Q,3,FALSE)</f>
        <v>0</v>
      </c>
      <c r="C72" s="274" t="str">
        <f>IFERROR(INDEX(TableQBCalcPts[TM],MATCH(TableQBRanks3040[[#This Row],[Player]],TableQBCalcPts[PLAYER],0)),"")</f>
        <v/>
      </c>
      <c r="D72" s="274" t="str">
        <f>IFERROR(INDEX(TableQBCalcPts[BYE],MATCH(TableQBRanks3040[[#This Row],[RK]],TableQBCalcPts[RK],0)),"")</f>
        <v/>
      </c>
      <c r="E72" s="279">
        <f>VLOOKUP(TableQBRanks3040[[#This Row],[Player]],QB!B:O,4,FALSE)</f>
        <v>0</v>
      </c>
      <c r="F72" s="279">
        <f>VLOOKUP(TableQBRanks3040[[#This Row],[Player]],QB!B:O,5,FALSE)</f>
        <v>0</v>
      </c>
      <c r="G72" s="279">
        <f>VLOOKUP(TableQBRanks3040[[#This Row],[Player]],QB!B:O,6,FALSE)</f>
        <v>0</v>
      </c>
      <c r="H72" s="279">
        <f>VLOOKUP(TableQBRanks3040[[#This Row],[Player]],QB!B:O,7,FALSE)</f>
        <v>0</v>
      </c>
      <c r="I72" s="279">
        <f>VLOOKUP(TableQBRanks3040[[#This Row],[Player]],QB!B:O,8,FALSE)</f>
        <v>0</v>
      </c>
      <c r="J72" s="279">
        <f>VLOOKUP(TableQBRanks3040[[#This Row],[Player]],QB!B:O,9,FALSE)</f>
        <v>0</v>
      </c>
      <c r="K72" s="279">
        <f>VLOOKUP(TableQBRanks3040[[#This Row],[Player]],QB!B:O,10,FALSE)</f>
        <v>0</v>
      </c>
      <c r="L72" s="279">
        <f>VLOOKUP(TableQBRanks3040[[#This Row],[Player]],QB!B:O,11,FALSE)</f>
        <v>0</v>
      </c>
      <c r="M72" s="272">
        <f>VLOOKUP(TableQBRanks3040[[#This Row],[Player]],QB!B:O,13,FALSE)</f>
        <v>0</v>
      </c>
      <c r="N72" s="273" t="e">
        <f>IF(VLOOKUP(TableQBRanks3040[[#This Row],[RK]],'Ranks w Proj'!$A:$N,14,FALSE)&lt;0,0,VLOOKUP(TableQBRanks3040[[#This Row],[RK]],'Ranks w Proj'!$A:$N,14,FALSE))</f>
        <v>#VALUE!</v>
      </c>
      <c r="P72" s="22">
        <v>71</v>
      </c>
      <c r="Q72" s="22" t="str">
        <f>VLOOKUP(TableRBRanks3141[[#This Row],[RK]],Rankings!A:Q,7,FALSE)</f>
        <v>Giovani Bernard</v>
      </c>
      <c r="R72" s="22" t="str">
        <f>IFERROR(INDEX(TableRBCalcPts[TM],MATCH(TableRBRanks3141[[#This Row],[Player]],TableRBCalcPts[PLAYER],0)),"")</f>
        <v>TB</v>
      </c>
      <c r="S72" s="22">
        <f>IFERROR(INDEX(TableRBCalcPts[BYE],MATCH(TableRBRanks3141[[#This Row],[RK]],TableRBCalcPts[RK],0)),"")</f>
        <v>6</v>
      </c>
      <c r="T72" s="279">
        <f>VLOOKUP(TableRBRanks3141[[#This Row],[Player]],RB!B:O,4,FALSE)</f>
        <v>37.727636657772578</v>
      </c>
      <c r="U72" s="279">
        <f>VLOOKUP(TableRBRanks3141[[#This Row],[Player]],RB!B:O,5,FALSE)</f>
        <v>159.68557101766075</v>
      </c>
      <c r="V72" s="279">
        <f>VLOOKUP(TableRBRanks3141[[#This Row],[Player]],RB!B:O,6,FALSE)</f>
        <v>1.0393697459218001</v>
      </c>
      <c r="W72" s="279">
        <f>VLOOKUP(TableRBRanks3141[[#This Row],[Player]],RB!B:O,7,FALSE)</f>
        <v>29.986581474048769</v>
      </c>
      <c r="X72" s="279">
        <f>VLOOKUP(TableRBRanks3141[[#This Row],[Player]],RB!B:O,8,FALSE)</f>
        <v>19.497475184969673</v>
      </c>
      <c r="Y72" s="279">
        <f>VLOOKUP(TableRBRanks3141[[#This Row],[Player]],RB!B:O,9,FALSE)</f>
        <v>139.40694757253317</v>
      </c>
      <c r="Z72" s="279">
        <f>VLOOKUP(TableRBRanks3141[[#This Row],[Player]],RB!B:O,10,FALSE)</f>
        <v>0.93558134199032195</v>
      </c>
      <c r="AA72" s="272">
        <f>VLOOKUP(TableRBRanks3141[[#This Row],[Player]],RB!B:O,14,FALSE)</f>
        <v>41.758958386492125</v>
      </c>
      <c r="AB72" s="273">
        <f>IF(VLOOKUP(TableRBRanks3141[[#This Row],[RK]],'Ranks w Proj'!$P:$AB,13,FALSE)&lt;0,0,VLOOKUP(TableRBRanks3141[[#This Row],[RK]],'Ranks w Proj'!$P:$AB,13,FALSE))</f>
        <v>0</v>
      </c>
      <c r="AD72" s="274">
        <v>71</v>
      </c>
      <c r="AE72" s="22" t="str">
        <f>VLOOKUP(TableWRRanks3242[[#This Row],[RK]],Rankings!A:Q,11,FALSE)</f>
        <v>Cedrick Wilson</v>
      </c>
      <c r="AF72" s="22" t="str">
        <f>IFERROR(INDEX(TableWRCalcPts[TM],MATCH(TableWRRanks3242[[#This Row],[Player]],TableWRCalcPts[PLAYER],0)),"")</f>
        <v>MIA</v>
      </c>
      <c r="AG72" s="22">
        <f>IFERROR(INDEX(TableWRCalcPts[BYE],MATCH(TableWRRanks3242[[#This Row],[RK]],TableWRCalcPts[RK],0)),"")</f>
        <v>8</v>
      </c>
      <c r="AH72" s="279">
        <f>VLOOKUP(TableWRRanks3242[[#This Row],[Player]],WR!B:O,4,FALSE)</f>
        <v>3.1011953184007708</v>
      </c>
      <c r="AI72" s="279">
        <f>VLOOKUP(TableWRRanks3242[[#This Row],[Player]],WR!B:O,5,FALSE)</f>
        <v>0</v>
      </c>
      <c r="AJ72" s="279">
        <f>VLOOKUP(TableWRRanks3242[[#This Row],[Player]],WR!B:O,6,FALSE)</f>
        <v>73.708655669999999</v>
      </c>
      <c r="AK72" s="279">
        <f>VLOOKUP(TableWRRanks3242[[#This Row],[Player]],WR!B:O,7,FALSE)</f>
        <v>46.547016055604999</v>
      </c>
      <c r="AL72" s="279">
        <f>VLOOKUP(TableWRRanks3242[[#This Row],[Player]],WR!B:O,8,FALSE)</f>
        <v>573.45923780505359</v>
      </c>
      <c r="AM72" s="279">
        <f>VLOOKUP(TableWRRanks3242[[#This Row],[Player]],WR!B:O,9,FALSE)</f>
        <v>4.35820464227311</v>
      </c>
      <c r="AN72" s="272">
        <f>VLOOKUP(TableWRRanks3242[[#This Row],[Player]],WR!B:O,13,FALSE)</f>
        <v>83.805271165984095</v>
      </c>
      <c r="AO72" s="273">
        <f>IF(VLOOKUP(TableWRRanks3242[[#This Row],[RK]],'Ranks w Proj'!AD:AO,12,FALSE)&lt;0,0,VLOOKUP(TableWRRanks3242[[#This Row],[RK]],'Ranks w Proj'!AD:AO,12,FALSE))</f>
        <v>0</v>
      </c>
      <c r="AQ72" s="274">
        <v>71</v>
      </c>
      <c r="AR72" s="22" t="str">
        <f>VLOOKUP(TableTERanks3343[[#This Row],[RK]],Rankings!A:Q,15,FALSE)</f>
        <v>Blake Bell</v>
      </c>
      <c r="AS72" s="22" t="str">
        <f>IFERROR(INDEX(TableTECalcPts[TM],MATCH(TableTERanks3343[[#This Row],[Player]],TableTECalcPts[PLAYER],0)),"")</f>
        <v>KC</v>
      </c>
      <c r="AT72" s="22">
        <f>IFERROR(INDEX(TableTECalcPts[BYE],MATCH(TableTERanks3343[[#This Row],[RK]],TableTECalcPts[RK],0)),"")</f>
        <v>10</v>
      </c>
      <c r="AU72" s="279">
        <f>VLOOKUP(TableTERanks3343[[#This Row],[Player]],TE!B:O,4,FALSE)</f>
        <v>11.638764223936816</v>
      </c>
      <c r="AV72" s="279">
        <f>VLOOKUP(TableTERanks3343[[#This Row],[Player]],TE!B:O,5,FALSE)</f>
        <v>7.2985027767704347</v>
      </c>
      <c r="AW72" s="279">
        <f>VLOOKUP(TableTERanks3343[[#This Row],[Player]],TE!B:O,6,FALSE)</f>
        <v>70.67423426507186</v>
      </c>
      <c r="AX72" s="279">
        <f>VLOOKUP(TableTERanks3343[[#This Row],[Player]],TE!B:O,7,FALSE)</f>
        <v>0.54008920548101214</v>
      </c>
      <c r="AY72" s="272">
        <f>VLOOKUP(TableTERanks3343[[#This Row],[Player]],TE!B:O,11,FALSE)</f>
        <v>10.307958659393259</v>
      </c>
      <c r="AZ72" s="273">
        <f>IF(VLOOKUP(TableTERanks3343[[#This Row],[RK]],'Ranks w Proj'!AQ:AZ,10,FALSE)&lt;0,0,VLOOKUP(TableTERanks3343[[#This Row],[RK]],'Ranks w Proj'!AQ:AZ,10,FALSE))</f>
        <v>0</v>
      </c>
    </row>
    <row r="73" spans="1:52" x14ac:dyDescent="0.3">
      <c r="A73" s="22">
        <v>72</v>
      </c>
      <c r="B73" s="274">
        <f>VLOOKUP(TableQBRanks3040[[#This Row],[RK]],Rankings!A:Q,3,FALSE)</f>
        <v>0</v>
      </c>
      <c r="C73" s="274" t="str">
        <f>IFERROR(INDEX(TableQBCalcPts[TM],MATCH(TableQBRanks3040[[#This Row],[Player]],TableQBCalcPts[PLAYER],0)),"")</f>
        <v/>
      </c>
      <c r="D73" s="274" t="str">
        <f>IFERROR(INDEX(TableQBCalcPts[BYE],MATCH(TableQBRanks3040[[#This Row],[RK]],TableQBCalcPts[RK],0)),"")</f>
        <v/>
      </c>
      <c r="E73" s="279">
        <f>VLOOKUP(TableQBRanks3040[[#This Row],[Player]],QB!B:O,4,FALSE)</f>
        <v>0</v>
      </c>
      <c r="F73" s="279">
        <f>VLOOKUP(TableQBRanks3040[[#This Row],[Player]],QB!B:O,5,FALSE)</f>
        <v>0</v>
      </c>
      <c r="G73" s="279">
        <f>VLOOKUP(TableQBRanks3040[[#This Row],[Player]],QB!B:O,6,FALSE)</f>
        <v>0</v>
      </c>
      <c r="H73" s="279">
        <f>VLOOKUP(TableQBRanks3040[[#This Row],[Player]],QB!B:O,7,FALSE)</f>
        <v>0</v>
      </c>
      <c r="I73" s="279">
        <f>VLOOKUP(TableQBRanks3040[[#This Row],[Player]],QB!B:O,8,FALSE)</f>
        <v>0</v>
      </c>
      <c r="J73" s="279">
        <f>VLOOKUP(TableQBRanks3040[[#This Row],[Player]],QB!B:O,9,FALSE)</f>
        <v>0</v>
      </c>
      <c r="K73" s="279">
        <f>VLOOKUP(TableQBRanks3040[[#This Row],[Player]],QB!B:O,10,FALSE)</f>
        <v>0</v>
      </c>
      <c r="L73" s="279">
        <f>VLOOKUP(TableQBRanks3040[[#This Row],[Player]],QB!B:O,11,FALSE)</f>
        <v>0</v>
      </c>
      <c r="M73" s="272">
        <f>VLOOKUP(TableQBRanks3040[[#This Row],[Player]],QB!B:O,13,FALSE)</f>
        <v>0</v>
      </c>
      <c r="N73" s="273" t="e">
        <f>IF(VLOOKUP(TableQBRanks3040[[#This Row],[RK]],'Ranks w Proj'!$A:$N,14,FALSE)&lt;0,0,VLOOKUP(TableQBRanks3040[[#This Row],[RK]],'Ranks w Proj'!$A:$N,14,FALSE))</f>
        <v>#VALUE!</v>
      </c>
      <c r="P73" s="22">
        <v>72</v>
      </c>
      <c r="Q73" s="22" t="str">
        <f>VLOOKUP(TableRBRanks3141[[#This Row],[RK]],Rankings!A:Q,7,FALSE)</f>
        <v>Sony Michel</v>
      </c>
      <c r="R73" s="22" t="str">
        <f>IFERROR(INDEX(TableRBCalcPts[TM],MATCH(TableRBRanks3141[[#This Row],[Player]],TableRBCalcPts[PLAYER],0)),"")</f>
        <v>MIA</v>
      </c>
      <c r="S73" s="22">
        <f>IFERROR(INDEX(TableRBCalcPts[BYE],MATCH(TableRBRanks3141[[#This Row],[RK]],TableRBCalcPts[RK],0)),"")</f>
        <v>6</v>
      </c>
      <c r="T73" s="279">
        <f>VLOOKUP(TableRBRanks3141[[#This Row],[Player]],RB!B:O,4,FALSE)</f>
        <v>78.719008003951799</v>
      </c>
      <c r="U73" s="279">
        <f>VLOOKUP(TableRBRanks3141[[#This Row],[Player]],RB!B:O,5,FALSE)</f>
        <v>291.35665647320633</v>
      </c>
      <c r="V73" s="279">
        <f>VLOOKUP(TableRBRanks3141[[#This Row],[Player]],RB!B:O,6,FALSE)</f>
        <v>2.4166735457213204</v>
      </c>
      <c r="W73" s="279">
        <f>VLOOKUP(TableRBRanks3141[[#This Row],[Player]],RB!B:O,7,FALSE)</f>
        <v>7.5598621199999982</v>
      </c>
      <c r="X73" s="279">
        <f>VLOOKUP(TableRBRanks3141[[#This Row],[Player]],RB!B:O,8,FALSE)</f>
        <v>5.0053847096519988</v>
      </c>
      <c r="Y73" s="279">
        <f>VLOOKUP(TableRBRanks3141[[#This Row],[Player]],RB!B:O,9,FALSE)</f>
        <v>35.788500674011793</v>
      </c>
      <c r="Z73" s="279">
        <f>VLOOKUP(TableRBRanks3141[[#This Row],[Player]],RB!B:O,10,FALSE)</f>
        <v>0.14673179803487968</v>
      </c>
      <c r="AA73" s="272">
        <f>VLOOKUP(TableRBRanks3141[[#This Row],[Player]],RB!B:O,14,FALSE)</f>
        <v>48.094947777259016</v>
      </c>
      <c r="AB73" s="273">
        <f>IF(VLOOKUP(TableRBRanks3141[[#This Row],[RK]],'Ranks w Proj'!$P:$AB,13,FALSE)&lt;0,0,VLOOKUP(TableRBRanks3141[[#This Row],[RK]],'Ranks w Proj'!$P:$AB,13,FALSE))</f>
        <v>0</v>
      </c>
      <c r="AD73" s="22">
        <v>72</v>
      </c>
      <c r="AE73" s="22" t="str">
        <f>VLOOKUP(TableWRRanks3242[[#This Row],[RK]],Rankings!A:Q,11,FALSE)</f>
        <v>Donovan Peoples-Jones</v>
      </c>
      <c r="AF73" s="22" t="str">
        <f>IFERROR(INDEX(TableWRCalcPts[TM],MATCH(TableWRRanks3242[[#This Row],[Player]],TableWRCalcPts[PLAYER],0)),"")</f>
        <v>CLE</v>
      </c>
      <c r="AG73" s="22">
        <f>IFERROR(INDEX(TableWRCalcPts[BYE],MATCH(TableWRRanks3242[[#This Row],[RK]],TableWRCalcPts[RK],0)),"")</f>
        <v>8</v>
      </c>
      <c r="AH73" s="279">
        <f>VLOOKUP(TableWRRanks3242[[#This Row],[Player]],WR!B:O,4,FALSE)</f>
        <v>0</v>
      </c>
      <c r="AI73" s="279">
        <f>VLOOKUP(TableWRRanks3242[[#This Row],[Player]],WR!B:O,5,FALSE)</f>
        <v>0</v>
      </c>
      <c r="AJ73" s="279">
        <f>VLOOKUP(TableWRRanks3242[[#This Row],[Player]],WR!B:O,6,FALSE)</f>
        <v>65.729876588092353</v>
      </c>
      <c r="AK73" s="279">
        <f>VLOOKUP(TableWRRanks3242[[#This Row],[Player]],WR!B:O,7,FALSE)</f>
        <v>39.589104669008023</v>
      </c>
      <c r="AL73" s="279">
        <f>VLOOKUP(TableWRRanks3242[[#This Row],[Player]],WR!B:O,8,FALSE)</f>
        <v>626.29963586370695</v>
      </c>
      <c r="AM73" s="279">
        <f>VLOOKUP(TableWRRanks3242[[#This Row],[Player]],WR!B:O,9,FALSE)</f>
        <v>3.8401431528937784</v>
      </c>
      <c r="AN73" s="272">
        <f>VLOOKUP(TableWRRanks3242[[#This Row],[Player]],WR!B:O,13,FALSE)</f>
        <v>85.670822503733376</v>
      </c>
      <c r="AO73" s="273">
        <f>IF(VLOOKUP(TableWRRanks3242[[#This Row],[RK]],'Ranks w Proj'!AD:AO,12,FALSE)&lt;0,0,VLOOKUP(TableWRRanks3242[[#This Row],[RK]],'Ranks w Proj'!AD:AO,12,FALSE))</f>
        <v>0</v>
      </c>
      <c r="AQ73" s="22">
        <v>72</v>
      </c>
      <c r="AR73" s="22" t="str">
        <f>VLOOKUP(TableTERanks3343[[#This Row],[RK]],Rankings!A:Q,15,FALSE)</f>
        <v>Charlie Kolar</v>
      </c>
      <c r="AS73" s="22" t="str">
        <f>IFERROR(INDEX(TableTECalcPts[TM],MATCH(TableTERanks3343[[#This Row],[Player]],TableTECalcPts[PLAYER],0)),"")</f>
        <v>BAL</v>
      </c>
      <c r="AT73" s="22">
        <f>IFERROR(INDEX(TableTECalcPts[BYE],MATCH(TableTERanks3343[[#This Row],[RK]],TableTECalcPts[RK],0)),"")</f>
        <v>8</v>
      </c>
      <c r="AU73" s="279">
        <f>VLOOKUP(TableTERanks3343[[#This Row],[Player]],TE!B:O,4,FALSE)</f>
        <v>11.219585386642633</v>
      </c>
      <c r="AV73" s="279">
        <f>VLOOKUP(TableTERanks3343[[#This Row],[Player]],TE!B:O,5,FALSE)</f>
        <v>6.9337037689451471</v>
      </c>
      <c r="AW73" s="279">
        <f>VLOOKUP(TableTERanks3343[[#This Row],[Player]],TE!B:O,6,FALSE)</f>
        <v>74.068270849437567</v>
      </c>
      <c r="AX73" s="279">
        <f>VLOOKUP(TableTERanks3343[[#This Row],[Player]],TE!B:O,7,FALSE)</f>
        <v>0.48535926382616035</v>
      </c>
      <c r="AY73" s="272">
        <f>VLOOKUP(TableTERanks3343[[#This Row],[Player]],TE!B:O,11,FALSE)</f>
        <v>10.31898266790072</v>
      </c>
      <c r="AZ73" s="273">
        <f>IF(VLOOKUP(TableTERanks3343[[#This Row],[RK]],'Ranks w Proj'!AQ:AZ,10,FALSE)&lt;0,0,VLOOKUP(TableTERanks3343[[#This Row],[RK]],'Ranks w Proj'!AQ:AZ,10,FALSE))</f>
        <v>0</v>
      </c>
    </row>
    <row r="74" spans="1:52" x14ac:dyDescent="0.3">
      <c r="A74" s="22">
        <v>73</v>
      </c>
      <c r="B74" s="274">
        <f>VLOOKUP(TableQBRanks3040[[#This Row],[RK]],Rankings!A:Q,3,FALSE)</f>
        <v>0</v>
      </c>
      <c r="C74" s="274" t="str">
        <f>IFERROR(INDEX(TableQBCalcPts[TM],MATCH(TableQBRanks3040[[#This Row],[Player]],TableQBCalcPts[PLAYER],0)),"")</f>
        <v/>
      </c>
      <c r="D74" s="274" t="str">
        <f>IFERROR(INDEX(TableQBCalcPts[BYE],MATCH(TableQBRanks3040[[#This Row],[RK]],TableQBCalcPts[RK],0)),"")</f>
        <v/>
      </c>
      <c r="E74" s="279">
        <f>VLOOKUP(TableQBRanks3040[[#This Row],[Player]],QB!B:O,4,FALSE)</f>
        <v>0</v>
      </c>
      <c r="F74" s="279">
        <f>VLOOKUP(TableQBRanks3040[[#This Row],[Player]],QB!B:O,5,FALSE)</f>
        <v>0</v>
      </c>
      <c r="G74" s="279">
        <f>VLOOKUP(TableQBRanks3040[[#This Row],[Player]],QB!B:O,6,FALSE)</f>
        <v>0</v>
      </c>
      <c r="H74" s="279">
        <f>VLOOKUP(TableQBRanks3040[[#This Row],[Player]],QB!B:O,7,FALSE)</f>
        <v>0</v>
      </c>
      <c r="I74" s="279">
        <f>VLOOKUP(TableQBRanks3040[[#This Row],[Player]],QB!B:O,8,FALSE)</f>
        <v>0</v>
      </c>
      <c r="J74" s="279">
        <f>VLOOKUP(TableQBRanks3040[[#This Row],[Player]],QB!B:O,9,FALSE)</f>
        <v>0</v>
      </c>
      <c r="K74" s="279">
        <f>VLOOKUP(TableQBRanks3040[[#This Row],[Player]],QB!B:O,10,FALSE)</f>
        <v>0</v>
      </c>
      <c r="L74" s="279">
        <f>VLOOKUP(TableQBRanks3040[[#This Row],[Player]],QB!B:O,11,FALSE)</f>
        <v>0</v>
      </c>
      <c r="M74" s="272">
        <f>VLOOKUP(TableQBRanks3040[[#This Row],[Player]],QB!B:O,13,FALSE)</f>
        <v>0</v>
      </c>
      <c r="N74" s="273" t="e">
        <f>IF(VLOOKUP(TableQBRanks3040[[#This Row],[RK]],'Ranks w Proj'!$A:$N,14,FALSE)&lt;0,0,VLOOKUP(TableQBRanks3040[[#This Row],[RK]],'Ranks w Proj'!$A:$N,14,FALSE))</f>
        <v>#VALUE!</v>
      </c>
      <c r="P74" s="22">
        <v>73</v>
      </c>
      <c r="Q74" s="22" t="str">
        <f>VLOOKUP(TableRBRanks3141[[#This Row],[RK]],Rankings!A:Q,7,FALSE)</f>
        <v>Samaje Perine</v>
      </c>
      <c r="R74" s="22" t="str">
        <f>IFERROR(INDEX(TableRBCalcPts[TM],MATCH(TableRBRanks3141[[#This Row],[Player]],TableRBCalcPts[PLAYER],0)),"")</f>
        <v>CIN</v>
      </c>
      <c r="S74" s="22">
        <f>IFERROR(INDEX(TableRBCalcPts[BYE],MATCH(TableRBRanks3141[[#This Row],[RK]],TableRBCalcPts[RK],0)),"")</f>
        <v>10</v>
      </c>
      <c r="T74" s="279">
        <f>VLOOKUP(TableRBRanks3141[[#This Row],[Player]],RB!B:O,4,FALSE)</f>
        <v>30.360303197898546</v>
      </c>
      <c r="U74" s="279">
        <f>VLOOKUP(TableRBRanks3141[[#This Row],[Player]],RB!B:O,5,FALSE)</f>
        <v>124.47724311138403</v>
      </c>
      <c r="V74" s="279">
        <f>VLOOKUP(TableRBRanks3141[[#This Row],[Player]],RB!B:O,6,FALSE)</f>
        <v>0.70465451689717185</v>
      </c>
      <c r="W74" s="279">
        <f>VLOOKUP(TableRBRanks3141[[#This Row],[Player]],RB!B:O,7,FALSE)</f>
        <v>30.025040078088786</v>
      </c>
      <c r="X74" s="279">
        <f>VLOOKUP(TableRBRanks3141[[#This Row],[Player]],RB!B:O,8,FALSE)</f>
        <v>20.777327734037438</v>
      </c>
      <c r="Y74" s="279">
        <f>VLOOKUP(TableRBRanks3141[[#This Row],[Player]],RB!B:O,9,FALSE)</f>
        <v>147.31125363432542</v>
      </c>
      <c r="Z74" s="279">
        <f>VLOOKUP(TableRBRanks3141[[#This Row],[Player]],RB!B:O,10,FALSE)</f>
        <v>0.99731173123379702</v>
      </c>
      <c r="AA74" s="272">
        <f>VLOOKUP(TableRBRanks3141[[#This Row],[Player]],RB!B:O,14,FALSE)</f>
        <v>37.390647163356761</v>
      </c>
      <c r="AB74" s="273">
        <f>IF(VLOOKUP(TableRBRanks3141[[#This Row],[RK]],'Ranks w Proj'!$P:$AB,13,FALSE)&lt;0,0,VLOOKUP(TableRBRanks3141[[#This Row],[RK]],'Ranks w Proj'!$P:$AB,13,FALSE))</f>
        <v>0</v>
      </c>
      <c r="AD74" s="22">
        <v>73</v>
      </c>
      <c r="AE74" s="274" t="str">
        <f>VLOOKUP(TableWRRanks3242[[#This Row],[RK]],Rankings!A:Q,11,FALSE)</f>
        <v>Marquez Valdes-Scantling</v>
      </c>
      <c r="AF74" s="22" t="str">
        <f>IFERROR(INDEX(TableWRCalcPts[TM],MATCH(TableWRRanks3242[[#This Row],[Player]],TableWRCalcPts[PLAYER],0)),"")</f>
        <v>KC</v>
      </c>
      <c r="AG74" s="22">
        <f>IFERROR(INDEX(TableWRCalcPts[BYE],MATCH(TableWRRanks3242[[#This Row],[RK]],TableWRCalcPts[RK],0)),"")</f>
        <v>9</v>
      </c>
      <c r="AH74" s="279">
        <f>VLOOKUP(TableWRRanks3242[[#This Row],[Player]],WR!B:O,4,FALSE)</f>
        <v>4.5980168460498465</v>
      </c>
      <c r="AI74" s="279">
        <f>VLOOKUP(TableWRRanks3242[[#This Row],[Player]],WR!B:O,5,FALSE)</f>
        <v>0</v>
      </c>
      <c r="AJ74" s="279">
        <f>VLOOKUP(TableWRRanks3242[[#This Row],[Player]],WR!B:O,6,FALSE)</f>
        <v>66.409419395404186</v>
      </c>
      <c r="AK74" s="279">
        <f>VLOOKUP(TableWRRanks3242[[#This Row],[Player]],WR!B:O,7,FALSE)</f>
        <v>36.226104294410362</v>
      </c>
      <c r="AL74" s="279">
        <f>VLOOKUP(TableWRRanks3242[[#This Row],[Player]],WR!B:O,8,FALSE)</f>
        <v>596.64393772893857</v>
      </c>
      <c r="AM74" s="279">
        <f>VLOOKUP(TableWRRanks3242[[#This Row],[Player]],WR!B:O,9,FALSE)</f>
        <v>4.310906411034833</v>
      </c>
      <c r="AN74" s="272">
        <f>VLOOKUP(TableWRRanks3242[[#This Row],[Player]],WR!B:O,13,FALSE)</f>
        <v>85.989633923707842</v>
      </c>
      <c r="AO74" s="273">
        <f>IF(VLOOKUP(TableWRRanks3242[[#This Row],[RK]],'Ranks w Proj'!AD:AO,12,FALSE)&lt;0,0,VLOOKUP(TableWRRanks3242[[#This Row],[RK]],'Ranks w Proj'!AD:AO,12,FALSE))</f>
        <v>0</v>
      </c>
      <c r="AQ74" s="22">
        <v>73</v>
      </c>
      <c r="AR74" s="274" t="str">
        <f>VLOOKUP(TableTERanks3343[[#This Row],[RK]],Rankings!A:Q,15,FALSE)</f>
        <v>Jeremy Ruckert</v>
      </c>
      <c r="AS74" s="22" t="str">
        <f>IFERROR(INDEX(TableTECalcPts[TM],MATCH(TableTERanks3343[[#This Row],[Player]],TableTECalcPts[PLAYER],0)),"")</f>
        <v>NYJ</v>
      </c>
      <c r="AT74" s="22">
        <f>IFERROR(INDEX(TableTECalcPts[BYE],MATCH(TableTERanks3343[[#This Row],[RK]],TableTECalcPts[RK],0)),"")</f>
        <v>10</v>
      </c>
      <c r="AU74" s="279">
        <f>VLOOKUP(TableTERanks3343[[#This Row],[Player]],TE!B:O,4,FALSE)</f>
        <v>11.501377608400819</v>
      </c>
      <c r="AV74" s="279">
        <f>VLOOKUP(TableTERanks3343[[#This Row],[Player]],TE!B:O,5,FALSE)</f>
        <v>6.9617838663650149</v>
      </c>
      <c r="AW74" s="279">
        <f>VLOOKUP(TableTERanks3343[[#This Row],[Player]],TE!B:O,6,FALSE)</f>
        <v>70.168177309212595</v>
      </c>
      <c r="AX74" s="279">
        <f>VLOOKUP(TableTERanks3343[[#This Row],[Player]],TE!B:O,7,FALSE)</f>
        <v>0.494286654511916</v>
      </c>
      <c r="AY74" s="272">
        <f>VLOOKUP(TableTERanks3343[[#This Row],[Player]],TE!B:O,11,FALSE)</f>
        <v>9.9825376579927561</v>
      </c>
      <c r="AZ74" s="273">
        <f>IF(VLOOKUP(TableTERanks3343[[#This Row],[RK]],'Ranks w Proj'!AQ:AZ,10,FALSE)&lt;0,0,VLOOKUP(TableTERanks3343[[#This Row],[RK]],'Ranks w Proj'!AQ:AZ,10,FALSE))</f>
        <v>0</v>
      </c>
    </row>
    <row r="75" spans="1:52" x14ac:dyDescent="0.3">
      <c r="A75" s="22">
        <v>74</v>
      </c>
      <c r="B75" s="274">
        <f>VLOOKUP(TableQBRanks3040[[#This Row],[RK]],Rankings!A:Q,3,FALSE)</f>
        <v>0</v>
      </c>
      <c r="C75" s="274" t="str">
        <f>IFERROR(INDEX(TableQBCalcPts[TM],MATCH(TableQBRanks3040[[#This Row],[Player]],TableQBCalcPts[PLAYER],0)),"")</f>
        <v/>
      </c>
      <c r="D75" s="274" t="str">
        <f>IFERROR(INDEX(TableQBCalcPts[BYE],MATCH(TableQBRanks3040[[#This Row],[RK]],TableQBCalcPts[RK],0)),"")</f>
        <v/>
      </c>
      <c r="E75" s="279">
        <f>VLOOKUP(TableQBRanks3040[[#This Row],[Player]],QB!B:O,4,FALSE)</f>
        <v>0</v>
      </c>
      <c r="F75" s="279">
        <f>VLOOKUP(TableQBRanks3040[[#This Row],[Player]],QB!B:O,5,FALSE)</f>
        <v>0</v>
      </c>
      <c r="G75" s="279">
        <f>VLOOKUP(TableQBRanks3040[[#This Row],[Player]],QB!B:O,6,FALSE)</f>
        <v>0</v>
      </c>
      <c r="H75" s="279">
        <f>VLOOKUP(TableQBRanks3040[[#This Row],[Player]],QB!B:O,7,FALSE)</f>
        <v>0</v>
      </c>
      <c r="I75" s="279">
        <f>VLOOKUP(TableQBRanks3040[[#This Row],[Player]],QB!B:O,8,FALSE)</f>
        <v>0</v>
      </c>
      <c r="J75" s="279">
        <f>VLOOKUP(TableQBRanks3040[[#This Row],[Player]],QB!B:O,9,FALSE)</f>
        <v>0</v>
      </c>
      <c r="K75" s="279">
        <f>VLOOKUP(TableQBRanks3040[[#This Row],[Player]],QB!B:O,10,FALSE)</f>
        <v>0</v>
      </c>
      <c r="L75" s="279">
        <f>VLOOKUP(TableQBRanks3040[[#This Row],[Player]],QB!B:O,11,FALSE)</f>
        <v>0</v>
      </c>
      <c r="M75" s="272">
        <f>VLOOKUP(TableQBRanks3040[[#This Row],[Player]],QB!B:O,13,FALSE)</f>
        <v>0</v>
      </c>
      <c r="N75" s="273" t="e">
        <f>IF(VLOOKUP(TableQBRanks3040[[#This Row],[RK]],'Ranks w Proj'!$A:$N,14,FALSE)&lt;0,0,VLOOKUP(TableQBRanks3040[[#This Row],[RK]],'Ranks w Proj'!$A:$N,14,FALSE))</f>
        <v>#VALUE!</v>
      </c>
      <c r="P75" s="22">
        <v>74</v>
      </c>
      <c r="Q75" s="22" t="str">
        <f>VLOOKUP(TableRBRanks3141[[#This Row],[RK]],Rankings!A:Q,7,FALSE)</f>
        <v>Tyrion Davis-Price</v>
      </c>
      <c r="R75" s="22" t="str">
        <f>IFERROR(INDEX(TableRBCalcPts[TM],MATCH(TableRBRanks3141[[#This Row],[Player]],TableRBCalcPts[PLAYER],0)),"")</f>
        <v>SF</v>
      </c>
      <c r="S75" s="22">
        <f>IFERROR(INDEX(TableRBCalcPts[BYE],MATCH(TableRBRanks3141[[#This Row],[RK]],TableRBCalcPts[RK],0)),"")</f>
        <v>9</v>
      </c>
      <c r="T75" s="279">
        <f>VLOOKUP(TableRBRanks3141[[#This Row],[Player]],RB!B:O,4,FALSE)</f>
        <v>31.504408339640197</v>
      </c>
      <c r="U75" s="279">
        <f>VLOOKUP(TableRBRanks3141[[#This Row],[Player]],RB!B:O,5,FALSE)</f>
        <v>133.89373544347083</v>
      </c>
      <c r="V75" s="279">
        <f>VLOOKUP(TableRBRanks3141[[#This Row],[Player]],RB!B:O,6,FALSE)</f>
        <v>0.96403489519299002</v>
      </c>
      <c r="W75" s="279">
        <f>VLOOKUP(TableRBRanks3141[[#This Row],[Player]],RB!B:O,7,FALSE)</f>
        <v>29.597171155123323</v>
      </c>
      <c r="X75" s="279">
        <f>VLOOKUP(TableRBRanks3141[[#This Row],[Player]],RB!B:O,8,FALSE)</f>
        <v>18.708371887153454</v>
      </c>
      <c r="Y75" s="279">
        <f>VLOOKUP(TableRBRanks3141[[#This Row],[Player]],RB!B:O,9,FALSE)</f>
        <v>132.76640617766881</v>
      </c>
      <c r="Z75" s="279">
        <f>VLOOKUP(TableRBRanks3141[[#This Row],[Player]],RB!B:O,10,FALSE)</f>
        <v>0.61647160020276648</v>
      </c>
      <c r="AA75" s="272">
        <f>VLOOKUP(TableRBRanks3141[[#This Row],[Player]],RB!B:O,14,FALSE)</f>
        <v>36.149053134488504</v>
      </c>
      <c r="AB75" s="273">
        <f>IF(VLOOKUP(TableRBRanks3141[[#This Row],[RK]],'Ranks w Proj'!$P:$AB,13,FALSE)&lt;0,0,VLOOKUP(TableRBRanks3141[[#This Row],[RK]],'Ranks w Proj'!$P:$AB,13,FALSE))</f>
        <v>0</v>
      </c>
      <c r="AD75" s="274">
        <v>74</v>
      </c>
      <c r="AE75" s="274" t="str">
        <f>VLOOKUP(TableWRRanks3242[[#This Row],[RK]],Rankings!A:Q,11,FALSE)</f>
        <v>DJ Chark</v>
      </c>
      <c r="AF75" s="22" t="str">
        <f>IFERROR(INDEX(TableWRCalcPts[TM],MATCH(TableWRRanks3242[[#This Row],[Player]],TableWRCalcPts[PLAYER],0)),"")</f>
        <v>DET</v>
      </c>
      <c r="AG75" s="22">
        <f>IFERROR(INDEX(TableWRCalcPts[BYE],MATCH(TableWRRanks3242[[#This Row],[RK]],TableWRCalcPts[RK],0)),"")</f>
        <v>11</v>
      </c>
      <c r="AH75" s="279">
        <f>VLOOKUP(TableWRRanks3242[[#This Row],[Player]],WR!B:O,4,FALSE)</f>
        <v>0.90038283090581173</v>
      </c>
      <c r="AI75" s="279">
        <f>VLOOKUP(TableWRRanks3242[[#This Row],[Player]],WR!B:O,5,FALSE)</f>
        <v>0</v>
      </c>
      <c r="AJ75" s="279">
        <f>VLOOKUP(TableWRRanks3242[[#This Row],[Player]],WR!B:O,6,FALSE)</f>
        <v>83.475559999648254</v>
      </c>
      <c r="AK75" s="279">
        <f>VLOOKUP(TableWRRanks3242[[#This Row],[Player]],WR!B:O,7,FALSE)</f>
        <v>42.19689557982219</v>
      </c>
      <c r="AL75" s="279">
        <f>VLOOKUP(TableWRRanks3242[[#This Row],[Player]],WR!B:O,8,FALSE)</f>
        <v>576.40959362037108</v>
      </c>
      <c r="AM75" s="279">
        <f>VLOOKUP(TableWRRanks3242[[#This Row],[Player]],WR!B:O,9,FALSE)</f>
        <v>3.2069640640664865</v>
      </c>
      <c r="AN75" s="272">
        <f>VLOOKUP(TableWRRanks3242[[#This Row],[Player]],WR!B:O,13,FALSE)</f>
        <v>76.972782029526599</v>
      </c>
      <c r="AO75" s="273">
        <f>IF(VLOOKUP(TableWRRanks3242[[#This Row],[RK]],'Ranks w Proj'!AD:AO,12,FALSE)&lt;0,0,VLOOKUP(TableWRRanks3242[[#This Row],[RK]],'Ranks w Proj'!AD:AO,12,FALSE))</f>
        <v>0</v>
      </c>
      <c r="AQ75" s="274">
        <v>74</v>
      </c>
      <c r="AR75" s="274" t="str">
        <f>VLOOKUP(TableTERanks3343[[#This Row],[RK]],Rankings!A:Q,15,FALSE)</f>
        <v>Sean McKeon</v>
      </c>
      <c r="AS75" s="22" t="str">
        <f>IFERROR(INDEX(TableTECalcPts[TM],MATCH(TableTERanks3343[[#This Row],[Player]],TableTECalcPts[PLAYER],0)),"")</f>
        <v>DAL</v>
      </c>
      <c r="AT75" s="22">
        <f>IFERROR(INDEX(TableTECalcPts[BYE],MATCH(TableTERanks3343[[#This Row],[RK]],TableTECalcPts[RK],0)),"")</f>
        <v>9</v>
      </c>
      <c r="AU75" s="279">
        <f>VLOOKUP(TableTERanks3343[[#This Row],[Player]],TE!B:O,4,FALSE)</f>
        <v>10.4458690208627</v>
      </c>
      <c r="AV75" s="279">
        <f>VLOOKUP(TableTERanks3343[[#This Row],[Player]],TE!B:O,5,FALSE)</f>
        <v>6.8107066016024804</v>
      </c>
      <c r="AW75" s="279">
        <f>VLOOKUP(TableTERanks3343[[#This Row],[Player]],TE!B:O,6,FALSE)</f>
        <v>68.856243742201073</v>
      </c>
      <c r="AX75" s="279">
        <f>VLOOKUP(TableTERanks3343[[#This Row],[Player]],TE!B:O,7,FALSE)</f>
        <v>0.46037729457388965</v>
      </c>
      <c r="AY75" s="272">
        <f>VLOOKUP(TableTERanks3343[[#This Row],[Player]],TE!B:O,11,FALSE)</f>
        <v>9.6478881416634454</v>
      </c>
      <c r="AZ75" s="273">
        <f>IF(VLOOKUP(TableTERanks3343[[#This Row],[RK]],'Ranks w Proj'!AQ:AZ,10,FALSE)&lt;0,0,VLOOKUP(TableTERanks3343[[#This Row],[RK]],'Ranks w Proj'!AQ:AZ,10,FALSE))</f>
        <v>0</v>
      </c>
    </row>
    <row r="76" spans="1:52" x14ac:dyDescent="0.3">
      <c r="A76" s="22">
        <v>75</v>
      </c>
      <c r="B76" s="274">
        <f>VLOOKUP(TableQBRanks3040[[#This Row],[RK]],Rankings!A:Q,3,FALSE)</f>
        <v>0</v>
      </c>
      <c r="C76" s="274" t="str">
        <f>IFERROR(INDEX(TableQBCalcPts[TM],MATCH(TableQBRanks3040[[#This Row],[Player]],TableQBCalcPts[PLAYER],0)),"")</f>
        <v/>
      </c>
      <c r="D76" s="274" t="str">
        <f>IFERROR(INDEX(TableQBCalcPts[BYE],MATCH(TableQBRanks3040[[#This Row],[RK]],TableQBCalcPts[RK],0)),"")</f>
        <v/>
      </c>
      <c r="E76" s="279">
        <f>VLOOKUP(TableQBRanks3040[[#This Row],[Player]],QB!B:O,4,FALSE)</f>
        <v>0</v>
      </c>
      <c r="F76" s="279">
        <f>VLOOKUP(TableQBRanks3040[[#This Row],[Player]],QB!B:O,5,FALSE)</f>
        <v>0</v>
      </c>
      <c r="G76" s="279">
        <f>VLOOKUP(TableQBRanks3040[[#This Row],[Player]],QB!B:O,6,FALSE)</f>
        <v>0</v>
      </c>
      <c r="H76" s="279">
        <f>VLOOKUP(TableQBRanks3040[[#This Row],[Player]],QB!B:O,7,FALSE)</f>
        <v>0</v>
      </c>
      <c r="I76" s="279">
        <f>VLOOKUP(TableQBRanks3040[[#This Row],[Player]],QB!B:O,8,FALSE)</f>
        <v>0</v>
      </c>
      <c r="J76" s="279">
        <f>VLOOKUP(TableQBRanks3040[[#This Row],[Player]],QB!B:O,9,FALSE)</f>
        <v>0</v>
      </c>
      <c r="K76" s="279">
        <f>VLOOKUP(TableQBRanks3040[[#This Row],[Player]],QB!B:O,10,FALSE)</f>
        <v>0</v>
      </c>
      <c r="L76" s="279">
        <f>VLOOKUP(TableQBRanks3040[[#This Row],[Player]],QB!B:O,11,FALSE)</f>
        <v>0</v>
      </c>
      <c r="M76" s="272">
        <f>VLOOKUP(TableQBRanks3040[[#This Row],[Player]],QB!B:O,13,FALSE)</f>
        <v>0</v>
      </c>
      <c r="N76" s="273" t="e">
        <f>IF(VLOOKUP(TableQBRanks3040[[#This Row],[RK]],'Ranks w Proj'!$A:$N,14,FALSE)&lt;0,0,VLOOKUP(TableQBRanks3040[[#This Row],[RK]],'Ranks w Proj'!$A:$N,14,FALSE))</f>
        <v>#VALUE!</v>
      </c>
      <c r="P76" s="22">
        <v>75</v>
      </c>
      <c r="Q76" s="22" t="str">
        <f>VLOOKUP(TableRBRanks3141[[#This Row],[RK]],Rankings!A:Q,7,FALSE)</f>
        <v>Chuba Hubbard</v>
      </c>
      <c r="R76" s="22" t="str">
        <f>IFERROR(INDEX(TableRBCalcPts[TM],MATCH(TableRBRanks3141[[#This Row],[Player]],TableRBCalcPts[PLAYER],0)),"")</f>
        <v>CAR</v>
      </c>
      <c r="S76" s="22">
        <f>IFERROR(INDEX(TableRBCalcPts[BYE],MATCH(TableRBRanks3141[[#This Row],[RK]],TableRBCalcPts[RK],0)),"")</f>
        <v>14</v>
      </c>
      <c r="T76" s="279">
        <f>VLOOKUP(TableRBRanks3141[[#This Row],[Player]],RB!B:O,4,FALSE)</f>
        <v>44.017668280348651</v>
      </c>
      <c r="U76" s="279">
        <f>VLOOKUP(TableRBRanks3141[[#This Row],[Player]],RB!B:O,5,FALSE)</f>
        <v>165.06625605130745</v>
      </c>
      <c r="V76" s="279">
        <f>VLOOKUP(TableRBRanks3141[[#This Row],[Player]],RB!B:O,6,FALSE)</f>
        <v>1.3601459498627733</v>
      </c>
      <c r="W76" s="279">
        <f>VLOOKUP(TableRBRanks3141[[#This Row],[Player]],RB!B:O,7,FALSE)</f>
        <v>17.092330414081115</v>
      </c>
      <c r="X76" s="279">
        <f>VLOOKUP(TableRBRanks3141[[#This Row],[Player]],RB!B:O,8,FALSE)</f>
        <v>12.405613414540072</v>
      </c>
      <c r="Y76" s="279">
        <f>VLOOKUP(TableRBRanks3141[[#This Row],[Player]],RB!B:O,9,FALSE)</f>
        <v>94.351414735729463</v>
      </c>
      <c r="Z76" s="279">
        <f>VLOOKUP(TableRBRanks3141[[#This Row],[Player]],RB!B:O,10,FALSE)</f>
        <v>0.15205662238268444</v>
      </c>
      <c r="AA76" s="272">
        <f>VLOOKUP(TableRBRanks3141[[#This Row],[Player]],RB!B:O,14,FALSE)</f>
        <v>35.014982512176438</v>
      </c>
      <c r="AB76" s="273">
        <f>IF(VLOOKUP(TableRBRanks3141[[#This Row],[RK]],'Ranks w Proj'!$P:$AB,13,FALSE)&lt;0,0,VLOOKUP(TableRBRanks3141[[#This Row],[RK]],'Ranks w Proj'!$P:$AB,13,FALSE))</f>
        <v>0</v>
      </c>
      <c r="AD76" s="22">
        <v>75</v>
      </c>
      <c r="AE76" s="22" t="str">
        <f>VLOOKUP(TableWRRanks3242[[#This Row],[RK]],Rankings!A:Q,11,FALSE)</f>
        <v>Joshua Palmer</v>
      </c>
      <c r="AF76" s="22" t="str">
        <f>IFERROR(INDEX(TableWRCalcPts[TM],MATCH(TableWRRanks3242[[#This Row],[Player]],TableWRCalcPts[PLAYER],0)),"")</f>
        <v>LAC</v>
      </c>
      <c r="AG76" s="22">
        <f>IFERROR(INDEX(TableWRCalcPts[BYE],MATCH(TableWRRanks3242[[#This Row],[RK]],TableWRCalcPts[RK],0)),"")</f>
        <v>7</v>
      </c>
      <c r="AH76" s="279">
        <f>VLOOKUP(TableWRRanks3242[[#This Row],[Player]],WR!B:O,4,FALSE)</f>
        <v>4.1093571529689745</v>
      </c>
      <c r="AI76" s="279">
        <f>VLOOKUP(TableWRRanks3242[[#This Row],[Player]],WR!B:O,5,FALSE)</f>
        <v>0</v>
      </c>
      <c r="AJ76" s="279">
        <f>VLOOKUP(TableWRRanks3242[[#This Row],[Player]],WR!B:O,6,FALSE)</f>
        <v>84.197160271658376</v>
      </c>
      <c r="AK76" s="279">
        <f>VLOOKUP(TableWRRanks3242[[#This Row],[Player]],WR!B:O,7,FALSE)</f>
        <v>45.008773833291244</v>
      </c>
      <c r="AL76" s="279">
        <f>VLOOKUP(TableWRRanks3242[[#This Row],[Player]],WR!B:O,8,FALSE)</f>
        <v>582.41353340278863</v>
      </c>
      <c r="AM76" s="279">
        <f>VLOOKUP(TableWRRanks3242[[#This Row],[Player]],WR!B:O,9,FALSE)</f>
        <v>4.5880372379855032</v>
      </c>
      <c r="AN76" s="272">
        <f>VLOOKUP(TableWRRanks3242[[#This Row],[Player]],WR!B:O,13,FALSE)</f>
        <v>86.180512483488769</v>
      </c>
      <c r="AO76" s="273">
        <f>IF(VLOOKUP(TableWRRanks3242[[#This Row],[RK]],'Ranks w Proj'!AD:AO,12,FALSE)&lt;0,0,VLOOKUP(TableWRRanks3242[[#This Row],[RK]],'Ranks w Proj'!AD:AO,12,FALSE))</f>
        <v>0</v>
      </c>
      <c r="AQ76" s="22">
        <v>75</v>
      </c>
      <c r="AR76" s="22" t="str">
        <f>VLOOKUP(TableTERanks3343[[#This Row],[RK]],Rankings!A:Q,15,FALSE)</f>
        <v>Johnny Mundt</v>
      </c>
      <c r="AS76" s="22" t="str">
        <f>IFERROR(INDEX(TableTECalcPts[TM],MATCH(TableTERanks3343[[#This Row],[Player]],TableTECalcPts[PLAYER],0)),"")</f>
        <v>MIN</v>
      </c>
      <c r="AT76" s="22">
        <f>IFERROR(INDEX(TableTECalcPts[BYE],MATCH(TableTERanks3343[[#This Row],[RK]],TableTECalcPts[RK],0)),"")</f>
        <v>7</v>
      </c>
      <c r="AU76" s="279">
        <f>VLOOKUP(TableTERanks3343[[#This Row],[Player]],TE!B:O,4,FALSE)</f>
        <v>9.4113227318124846</v>
      </c>
      <c r="AV76" s="279">
        <f>VLOOKUP(TableTERanks3343[[#This Row],[Player]],TE!B:O,5,FALSE)</f>
        <v>6.0298344742722589</v>
      </c>
      <c r="AW76" s="279">
        <f>VLOOKUP(TableTERanks3343[[#This Row],[Player]],TE!B:O,6,FALSE)</f>
        <v>60.120996669949875</v>
      </c>
      <c r="AX76" s="279">
        <f>VLOOKUP(TableTERanks3343[[#This Row],[Player]],TE!B:O,7,FALSE)</f>
        <v>0.36781990293060779</v>
      </c>
      <c r="AY76" s="272">
        <f>VLOOKUP(TableTERanks3343[[#This Row],[Player]],TE!B:O,11,FALSE)</f>
        <v>8.2190190845786351</v>
      </c>
      <c r="AZ76" s="273">
        <f>IF(VLOOKUP(TableTERanks3343[[#This Row],[RK]],'Ranks w Proj'!AQ:AZ,10,FALSE)&lt;0,0,VLOOKUP(TableTERanks3343[[#This Row],[RK]],'Ranks w Proj'!AQ:AZ,10,FALSE))</f>
        <v>0</v>
      </c>
    </row>
    <row r="77" spans="1:52" x14ac:dyDescent="0.3">
      <c r="A77" s="22">
        <v>76</v>
      </c>
      <c r="B77" s="274">
        <f>VLOOKUP(TableQBRanks3040[[#This Row],[RK]],Rankings!A:Q,3,FALSE)</f>
        <v>0</v>
      </c>
      <c r="C77" s="274" t="str">
        <f>IFERROR(INDEX(TableQBCalcPts[TM],MATCH(TableQBRanks3040[[#This Row],[Player]],TableQBCalcPts[PLAYER],0)),"")</f>
        <v/>
      </c>
      <c r="D77" s="274" t="str">
        <f>IFERROR(INDEX(TableQBCalcPts[BYE],MATCH(TableQBRanks3040[[#This Row],[RK]],TableQBCalcPts[RK],0)),"")</f>
        <v/>
      </c>
      <c r="E77" s="279">
        <f>VLOOKUP(TableQBRanks3040[[#This Row],[Player]],QB!B:O,4,FALSE)</f>
        <v>0</v>
      </c>
      <c r="F77" s="279">
        <f>VLOOKUP(TableQBRanks3040[[#This Row],[Player]],QB!B:O,5,FALSE)</f>
        <v>0</v>
      </c>
      <c r="G77" s="279">
        <f>VLOOKUP(TableQBRanks3040[[#This Row],[Player]],QB!B:O,6,FALSE)</f>
        <v>0</v>
      </c>
      <c r="H77" s="279">
        <f>VLOOKUP(TableQBRanks3040[[#This Row],[Player]],QB!B:O,7,FALSE)</f>
        <v>0</v>
      </c>
      <c r="I77" s="279">
        <f>VLOOKUP(TableQBRanks3040[[#This Row],[Player]],QB!B:O,8,FALSE)</f>
        <v>0</v>
      </c>
      <c r="J77" s="279">
        <f>VLOOKUP(TableQBRanks3040[[#This Row],[Player]],QB!B:O,9,FALSE)</f>
        <v>0</v>
      </c>
      <c r="K77" s="279">
        <f>VLOOKUP(TableQBRanks3040[[#This Row],[Player]],QB!B:O,10,FALSE)</f>
        <v>0</v>
      </c>
      <c r="L77" s="279">
        <f>VLOOKUP(TableQBRanks3040[[#This Row],[Player]],QB!B:O,11,FALSE)</f>
        <v>0</v>
      </c>
      <c r="M77" s="272">
        <f>VLOOKUP(TableQBRanks3040[[#This Row],[Player]],QB!B:O,13,FALSE)</f>
        <v>0</v>
      </c>
      <c r="N77" s="273" t="e">
        <f>IF(VLOOKUP(TableQBRanks3040[[#This Row],[RK]],'Ranks w Proj'!$A:$N,14,FALSE)&lt;0,0,VLOOKUP(TableQBRanks3040[[#This Row],[RK]],'Ranks w Proj'!$A:$N,14,FALSE))</f>
        <v>#VALUE!</v>
      </c>
      <c r="P77" s="22">
        <v>76</v>
      </c>
      <c r="Q77" s="22" t="str">
        <f>VLOOKUP(TableRBRanks3141[[#This Row],[RK]],Rankings!A:Q,7,FALSE)</f>
        <v>Keaontay Ingram</v>
      </c>
      <c r="R77" s="22" t="str">
        <f>IFERROR(INDEX(TableRBCalcPts[TM],MATCH(TableRBRanks3141[[#This Row],[Player]],TableRBCalcPts[PLAYER],0)),"")</f>
        <v>ARI</v>
      </c>
      <c r="S77" s="22">
        <f>IFERROR(INDEX(TableRBCalcPts[BYE],MATCH(TableRBRanks3141[[#This Row],[RK]],TableRBCalcPts[RK],0)),"")</f>
        <v>13</v>
      </c>
      <c r="T77" s="279">
        <f>VLOOKUP(TableRBRanks3141[[#This Row],[Player]],RB!B:O,4,FALSE)</f>
        <v>22.628216698321111</v>
      </c>
      <c r="U77" s="279">
        <f>VLOOKUP(TableRBRanks3141[[#This Row],[Player]],RB!B:O,5,FALSE)</f>
        <v>107.12436314520724</v>
      </c>
      <c r="V77" s="279">
        <f>VLOOKUP(TableRBRanks3141[[#This Row],[Player]],RB!B:O,6,FALSE)</f>
        <v>0.50234641070272867</v>
      </c>
      <c r="W77" s="279">
        <f>VLOOKUP(TableRBRanks3141[[#This Row],[Player]],RB!B:O,7,FALSE)</f>
        <v>15.589741375000003</v>
      </c>
      <c r="X77" s="279">
        <f>VLOOKUP(TableRBRanks3141[[#This Row],[Player]],RB!B:O,8,FALSE)</f>
        <v>11.998254705734377</v>
      </c>
      <c r="Y77" s="279">
        <f>VLOOKUP(TableRBRanks3141[[#This Row],[Player]],RB!B:O,9,FALSE)</f>
        <v>96.106020192932363</v>
      </c>
      <c r="Z77" s="279">
        <f>VLOOKUP(TableRBRanks3141[[#This Row],[Player]],RB!B:O,10,FALSE)</f>
        <v>0.11998254705734378</v>
      </c>
      <c r="AA77" s="272">
        <f>VLOOKUP(TableRBRanks3141[[#This Row],[Player]],RB!B:O,14,FALSE)</f>
        <v>24.057012080374395</v>
      </c>
      <c r="AB77" s="273">
        <f>IF(VLOOKUP(TableRBRanks3141[[#This Row],[RK]],'Ranks w Proj'!$P:$AB,13,FALSE)&lt;0,0,VLOOKUP(TableRBRanks3141[[#This Row],[RK]],'Ranks w Proj'!$P:$AB,13,FALSE))</f>
        <v>0</v>
      </c>
      <c r="AD77" s="22">
        <v>76</v>
      </c>
      <c r="AE77" s="22" t="str">
        <f>VLOOKUP(TableWRRanks3242[[#This Row],[RK]],Rankings!A:Q,11,FALSE)</f>
        <v>Nick Westbrook-Ikhine</v>
      </c>
      <c r="AF77" s="22" t="str">
        <f>IFERROR(INDEX(TableWRCalcPts[TM],MATCH(TableWRRanks3242[[#This Row],[Player]],TableWRCalcPts[PLAYER],0)),"")</f>
        <v>TEN</v>
      </c>
      <c r="AG77" s="22">
        <f>IFERROR(INDEX(TableWRCalcPts[BYE],MATCH(TableWRRanks3242[[#This Row],[RK]],TableWRCalcPts[RK],0)),"")</f>
        <v>9</v>
      </c>
      <c r="AH77" s="279">
        <f>VLOOKUP(TableWRRanks3242[[#This Row],[Player]],WR!B:O,4,FALSE)</f>
        <v>0</v>
      </c>
      <c r="AI77" s="279">
        <f>VLOOKUP(TableWRRanks3242[[#This Row],[Player]],WR!B:O,5,FALSE)</f>
        <v>0</v>
      </c>
      <c r="AJ77" s="279">
        <f>VLOOKUP(TableWRRanks3242[[#This Row],[Player]],WR!B:O,6,FALSE)</f>
        <v>71.765196581483906</v>
      </c>
      <c r="AK77" s="279">
        <f>VLOOKUP(TableWRRanks3242[[#This Row],[Player]],WR!B:O,7,FALSE)</f>
        <v>42.585467651452554</v>
      </c>
      <c r="AL77" s="279">
        <f>VLOOKUP(TableWRRanks3242[[#This Row],[Player]],WR!B:O,8,FALSE)</f>
        <v>546.1303812962783</v>
      </c>
      <c r="AM77" s="279">
        <f>VLOOKUP(TableWRRanks3242[[#This Row],[Player]],WR!B:O,9,FALSE)</f>
        <v>3.5345938150705623</v>
      </c>
      <c r="AN77" s="272">
        <f>VLOOKUP(TableWRRanks3242[[#This Row],[Player]],WR!B:O,13,FALSE)</f>
        <v>75.820601020051214</v>
      </c>
      <c r="AO77" s="273">
        <f>IF(VLOOKUP(TableWRRanks3242[[#This Row],[RK]],'Ranks w Proj'!AD:AO,12,FALSE)&lt;0,0,VLOOKUP(TableWRRanks3242[[#This Row],[RK]],'Ranks w Proj'!AD:AO,12,FALSE))</f>
        <v>0</v>
      </c>
      <c r="AQ77" s="22">
        <v>76</v>
      </c>
      <c r="AR77" s="274" t="str">
        <f>VLOOKUP(TableTERanks3343[[#This Row],[RK]],Rankings!A:Q,15,FALSE)</f>
        <v>Ross Dwelley</v>
      </c>
      <c r="AS77" s="22" t="str">
        <f>IFERROR(INDEX(TableTECalcPts[TM],MATCH(TableTERanks3343[[#This Row],[Player]],TableTECalcPts[PLAYER],0)),"")</f>
        <v>SF</v>
      </c>
      <c r="AT77" s="22">
        <f>IFERROR(INDEX(TableTECalcPts[BYE],MATCH(TableTERanks3343[[#This Row],[RK]],TableTECalcPts[RK],0)),"")</f>
        <v>9</v>
      </c>
      <c r="AU77" s="279">
        <f>VLOOKUP(TableTERanks3343[[#This Row],[Player]],TE!B:O,4,FALSE)</f>
        <v>9.1869374250633182</v>
      </c>
      <c r="AV77" s="279">
        <f>VLOOKUP(TableTERanks3343[[#This Row],[Player]],TE!B:O,5,FALSE)</f>
        <v>5.4423417306075104</v>
      </c>
      <c r="AW77" s="279">
        <f>VLOOKUP(TableTERanks3343[[#This Row],[Player]],TE!B:O,6,FALSE)</f>
        <v>55.947272990645203</v>
      </c>
      <c r="AX77" s="279">
        <f>VLOOKUP(TableTERanks3343[[#This Row],[Player]],TE!B:O,7,FALSE)</f>
        <v>0.41008102270533725</v>
      </c>
      <c r="AY77" s="272">
        <f>VLOOKUP(TableTERanks3343[[#This Row],[Player]],TE!B:O,11,FALSE)</f>
        <v>8.0552134352965439</v>
      </c>
      <c r="AZ77" s="273">
        <f>IF(VLOOKUP(TableTERanks3343[[#This Row],[RK]],'Ranks w Proj'!AQ:AZ,10,FALSE)&lt;0,0,VLOOKUP(TableTERanks3343[[#This Row],[RK]],'Ranks w Proj'!AQ:AZ,10,FALSE))</f>
        <v>0</v>
      </c>
    </row>
    <row r="78" spans="1:52" x14ac:dyDescent="0.3">
      <c r="A78" s="22">
        <v>77</v>
      </c>
      <c r="B78" s="274">
        <f>VLOOKUP(TableQBRanks3040[[#This Row],[RK]],Rankings!A:Q,3,FALSE)</f>
        <v>0</v>
      </c>
      <c r="C78" s="274" t="str">
        <f>IFERROR(INDEX(TableQBCalcPts[TM],MATCH(TableQBRanks3040[[#This Row],[Player]],TableQBCalcPts[PLAYER],0)),"")</f>
        <v/>
      </c>
      <c r="D78" s="274" t="str">
        <f>IFERROR(INDEX(TableQBCalcPts[BYE],MATCH(TableQBRanks3040[[#This Row],[RK]],TableQBCalcPts[RK],0)),"")</f>
        <v/>
      </c>
      <c r="E78" s="279">
        <f>VLOOKUP(TableQBRanks3040[[#This Row],[Player]],QB!B:O,4,FALSE)</f>
        <v>0</v>
      </c>
      <c r="F78" s="279">
        <f>VLOOKUP(TableQBRanks3040[[#This Row],[Player]],QB!B:O,5,FALSE)</f>
        <v>0</v>
      </c>
      <c r="G78" s="279">
        <f>VLOOKUP(TableQBRanks3040[[#This Row],[Player]],QB!B:O,6,FALSE)</f>
        <v>0</v>
      </c>
      <c r="H78" s="279">
        <f>VLOOKUP(TableQBRanks3040[[#This Row],[Player]],QB!B:O,7,FALSE)</f>
        <v>0</v>
      </c>
      <c r="I78" s="279">
        <f>VLOOKUP(TableQBRanks3040[[#This Row],[Player]],QB!B:O,8,FALSE)</f>
        <v>0</v>
      </c>
      <c r="J78" s="279">
        <f>VLOOKUP(TableQBRanks3040[[#This Row],[Player]],QB!B:O,9,FALSE)</f>
        <v>0</v>
      </c>
      <c r="K78" s="279">
        <f>VLOOKUP(TableQBRanks3040[[#This Row],[Player]],QB!B:O,10,FALSE)</f>
        <v>0</v>
      </c>
      <c r="L78" s="279">
        <f>VLOOKUP(TableQBRanks3040[[#This Row],[Player]],QB!B:O,11,FALSE)</f>
        <v>0</v>
      </c>
      <c r="M78" s="272">
        <f>VLOOKUP(TableQBRanks3040[[#This Row],[Player]],QB!B:O,13,FALSE)</f>
        <v>0</v>
      </c>
      <c r="N78" s="273" t="e">
        <f>IF(VLOOKUP(TableQBRanks3040[[#This Row],[RK]],'Ranks w Proj'!$A:$N,14,FALSE)&lt;0,0,VLOOKUP(TableQBRanks3040[[#This Row],[RK]],'Ranks w Proj'!$A:$N,14,FALSE))</f>
        <v>#VALUE!</v>
      </c>
      <c r="P78" s="22">
        <v>77</v>
      </c>
      <c r="Q78" s="22" t="str">
        <f>VLOOKUP(TableRBRanks3141[[#This Row],[RK]],Rankings!A:Q,7,FALSE)</f>
        <v>D'Ernest Johnson</v>
      </c>
      <c r="R78" s="22" t="str">
        <f>IFERROR(INDEX(TableRBCalcPts[TM],MATCH(TableRBRanks3141[[#This Row],[Player]],TableRBCalcPts[PLAYER],0)),"")</f>
        <v>CLE</v>
      </c>
      <c r="S78" s="22">
        <f>IFERROR(INDEX(TableRBCalcPts[BYE],MATCH(TableRBRanks3141[[#This Row],[RK]],TableRBCalcPts[RK],0)),"")</f>
        <v>9</v>
      </c>
      <c r="T78" s="279">
        <f>VLOOKUP(TableRBRanks3141[[#This Row],[Player]],RB!B:O,4,FALSE)</f>
        <v>25.726306208024166</v>
      </c>
      <c r="U78" s="279">
        <f>VLOOKUP(TableRBRanks3141[[#This Row],[Player]],RB!B:O,5,FALSE)</f>
        <v>134.610237528532</v>
      </c>
      <c r="V78" s="279">
        <f>VLOOKUP(TableRBRanks3141[[#This Row],[Player]],RB!B:O,6,FALSE)</f>
        <v>0.96730911342170867</v>
      </c>
      <c r="W78" s="279">
        <f>VLOOKUP(TableRBRanks3141[[#This Row],[Player]],RB!B:O,7,FALSE)</f>
        <v>11.620879670527763</v>
      </c>
      <c r="X78" s="279">
        <f>VLOOKUP(TableRBRanks3141[[#This Row],[Player]],RB!B:O,8,FALSE)</f>
        <v>8.1450745610729083</v>
      </c>
      <c r="Y78" s="279">
        <f>VLOOKUP(TableRBRanks3141[[#This Row],[Player]],RB!B:O,9,FALSE)</f>
        <v>61.322425406843323</v>
      </c>
      <c r="Z78" s="279">
        <f>VLOOKUP(TableRBRanks3141[[#This Row],[Player]],RB!B:O,10,FALSE)</f>
        <v>9.2781126754682405E-2</v>
      </c>
      <c r="AA78" s="272">
        <f>VLOOKUP(TableRBRanks3141[[#This Row],[Player]],RB!B:O,14,FALSE)</f>
        <v>25.953807734595877</v>
      </c>
      <c r="AB78" s="273">
        <f>IF(VLOOKUP(TableRBRanks3141[[#This Row],[RK]],'Ranks w Proj'!$P:$AB,13,FALSE)&lt;0,0,VLOOKUP(TableRBRanks3141[[#This Row],[RK]],'Ranks w Proj'!$P:$AB,13,FALSE))</f>
        <v>0</v>
      </c>
      <c r="AD78" s="274">
        <v>77</v>
      </c>
      <c r="AE78" s="274" t="str">
        <f>VLOOKUP(TableWRRanks3242[[#This Row],[RK]],Rankings!A:Q,11,FALSE)</f>
        <v>Sterling Shepard</v>
      </c>
      <c r="AF78" s="22" t="str">
        <f>IFERROR(INDEX(TableWRCalcPts[TM],MATCH(TableWRRanks3242[[#This Row],[Player]],TableWRCalcPts[PLAYER],0)),"")</f>
        <v>NYG</v>
      </c>
      <c r="AG78" s="22">
        <f>IFERROR(INDEX(TableWRCalcPts[BYE],MATCH(TableWRRanks3242[[#This Row],[RK]],TableWRCalcPts[RK],0)),"")</f>
        <v>6</v>
      </c>
      <c r="AH78" s="279">
        <f>VLOOKUP(TableWRRanks3242[[#This Row],[Player]],WR!B:O,4,FALSE)</f>
        <v>9.6473946706252551</v>
      </c>
      <c r="AI78" s="279">
        <f>VLOOKUP(TableWRRanks3242[[#This Row],[Player]],WR!B:O,5,FALSE)</f>
        <v>0.20010152285455546</v>
      </c>
      <c r="AJ78" s="279">
        <f>VLOOKUP(TableWRRanks3242[[#This Row],[Player]],WR!B:O,6,FALSE)</f>
        <v>76.813914091974851</v>
      </c>
      <c r="AK78" s="279">
        <f>VLOOKUP(TableWRRanks3242[[#This Row],[Player]],WR!B:O,7,FALSE)</f>
        <v>49.406709543958222</v>
      </c>
      <c r="AL78" s="279">
        <f>VLOOKUP(TableWRRanks3242[[#This Row],[Player]],WR!B:O,8,FALSE)</f>
        <v>534.08653017018844</v>
      </c>
      <c r="AM78" s="279">
        <f>VLOOKUP(TableWRRanks3242[[#This Row],[Player]],WR!B:O,9,FALSE)</f>
        <v>2.4009286319946654</v>
      </c>
      <c r="AN78" s="272">
        <f>VLOOKUP(TableWRRanks3242[[#This Row],[Player]],WR!B:O,13,FALSE)</f>
        <v>69.979573413176695</v>
      </c>
      <c r="AO78" s="273">
        <f>IF(VLOOKUP(TableWRRanks3242[[#This Row],[RK]],'Ranks w Proj'!AD:AO,12,FALSE)&lt;0,0,VLOOKUP(TableWRRanks3242[[#This Row],[RK]],'Ranks w Proj'!AD:AO,12,FALSE))</f>
        <v>0</v>
      </c>
      <c r="AQ78" s="274">
        <v>77</v>
      </c>
      <c r="AR78" s="22" t="str">
        <f>VLOOKUP(TableTERanks3343[[#This Row],[RK]],Rankings!A:Q,15,FALSE)</f>
        <v>Chigoziem Okonkwo</v>
      </c>
      <c r="AS78" s="22" t="str">
        <f>IFERROR(INDEX(TableTECalcPts[TM],MATCH(TableTERanks3343[[#This Row],[Player]],TableTECalcPts[PLAYER],0)),"")</f>
        <v>TEN</v>
      </c>
      <c r="AT78" s="22">
        <f>IFERROR(INDEX(TableTECalcPts[BYE],MATCH(TableTERanks3343[[#This Row],[RK]],TableTECalcPts[RK],0)),"")</f>
        <v>14</v>
      </c>
      <c r="AU78" s="279">
        <f>VLOOKUP(TableTERanks3343[[#This Row],[Player]],TE!B:O,4,FALSE)</f>
        <v>11.040799474074449</v>
      </c>
      <c r="AV78" s="279">
        <f>VLOOKUP(TableTERanks3343[[#This Row],[Player]],TE!B:O,5,FALSE)</f>
        <v>6.8232140749780097</v>
      </c>
      <c r="AW78" s="279">
        <f>VLOOKUP(TableTERanks3343[[#This Row],[Player]],TE!B:O,6,FALSE)</f>
        <v>65.434622979039105</v>
      </c>
      <c r="AX78" s="279">
        <f>VLOOKUP(TableTERanks3343[[#This Row],[Player]],TE!B:O,7,FALSE)</f>
        <v>0.13646428149956019</v>
      </c>
      <c r="AY78" s="272">
        <f>VLOOKUP(TableTERanks3343[[#This Row],[Player]],TE!B:O,11,FALSE)</f>
        <v>7.3622479869012727</v>
      </c>
      <c r="AZ78" s="273">
        <f>IF(VLOOKUP(TableTERanks3343[[#This Row],[RK]],'Ranks w Proj'!AQ:AZ,10,FALSE)&lt;0,0,VLOOKUP(TableTERanks3343[[#This Row],[RK]],'Ranks w Proj'!AQ:AZ,10,FALSE))</f>
        <v>0</v>
      </c>
    </row>
    <row r="79" spans="1:52" x14ac:dyDescent="0.3">
      <c r="A79" s="22">
        <v>78</v>
      </c>
      <c r="B79" s="274">
        <f>VLOOKUP(TableQBRanks3040[[#This Row],[RK]],Rankings!A:Q,3,FALSE)</f>
        <v>0</v>
      </c>
      <c r="C79" s="274" t="str">
        <f>IFERROR(INDEX(TableQBCalcPts[TM],MATCH(TableQBRanks3040[[#This Row],[Player]],TableQBCalcPts[PLAYER],0)),"")</f>
        <v/>
      </c>
      <c r="D79" s="274" t="str">
        <f>IFERROR(INDEX(TableQBCalcPts[BYE],MATCH(TableQBRanks3040[[#This Row],[RK]],TableQBCalcPts[RK],0)),"")</f>
        <v/>
      </c>
      <c r="E79" s="279">
        <f>VLOOKUP(TableQBRanks3040[[#This Row],[Player]],QB!B:O,4,FALSE)</f>
        <v>0</v>
      </c>
      <c r="F79" s="279">
        <f>VLOOKUP(TableQBRanks3040[[#This Row],[Player]],QB!B:O,5,FALSE)</f>
        <v>0</v>
      </c>
      <c r="G79" s="279">
        <f>VLOOKUP(TableQBRanks3040[[#This Row],[Player]],QB!B:O,6,FALSE)</f>
        <v>0</v>
      </c>
      <c r="H79" s="279">
        <f>VLOOKUP(TableQBRanks3040[[#This Row],[Player]],QB!B:O,7,FALSE)</f>
        <v>0</v>
      </c>
      <c r="I79" s="279">
        <f>VLOOKUP(TableQBRanks3040[[#This Row],[Player]],QB!B:O,8,FALSE)</f>
        <v>0</v>
      </c>
      <c r="J79" s="279">
        <f>VLOOKUP(TableQBRanks3040[[#This Row],[Player]],QB!B:O,9,FALSE)</f>
        <v>0</v>
      </c>
      <c r="K79" s="279">
        <f>VLOOKUP(TableQBRanks3040[[#This Row],[Player]],QB!B:O,10,FALSE)</f>
        <v>0</v>
      </c>
      <c r="L79" s="279">
        <f>VLOOKUP(TableQBRanks3040[[#This Row],[Player]],QB!B:O,11,FALSE)</f>
        <v>0</v>
      </c>
      <c r="M79" s="272">
        <f>VLOOKUP(TableQBRanks3040[[#This Row],[Player]],QB!B:O,13,FALSE)</f>
        <v>0</v>
      </c>
      <c r="N79" s="273" t="e">
        <f>IF(VLOOKUP(TableQBRanks3040[[#This Row],[RK]],'Ranks w Proj'!$A:$N,14,FALSE)&lt;0,0,VLOOKUP(TableQBRanks3040[[#This Row],[RK]],'Ranks w Proj'!$A:$N,14,FALSE))</f>
        <v>#VALUE!</v>
      </c>
      <c r="P79" s="22">
        <v>78</v>
      </c>
      <c r="Q79" s="22" t="str">
        <f>VLOOKUP(TableRBRanks3141[[#This Row],[RK]],Rankings!A:Q,7,FALSE)</f>
        <v>Kyle Juszczyk</v>
      </c>
      <c r="R79" s="22" t="str">
        <f>IFERROR(INDEX(TableRBCalcPts[TM],MATCH(TableRBRanks3141[[#This Row],[Player]],TableRBCalcPts[PLAYER],0)),"")</f>
        <v>SF</v>
      </c>
      <c r="S79" s="22">
        <f>IFERROR(INDEX(TableRBCalcPts[BYE],MATCH(TableRBRanks3141[[#This Row],[RK]],TableRBCalcPts[RK],0)),"")</f>
        <v>7</v>
      </c>
      <c r="T79" s="279">
        <f>VLOOKUP(TableRBRanks3141[[#This Row],[Player]],RB!B:O,4,FALSE)</f>
        <v>5.5894918021942273</v>
      </c>
      <c r="U79" s="279">
        <f>VLOOKUP(TableRBRanks3141[[#This Row],[Player]],RB!B:O,5,FALSE)</f>
        <v>19.340550496047669</v>
      </c>
      <c r="V79" s="279">
        <f>VLOOKUP(TableRBRanks3141[[#This Row],[Player]],RB!B:O,6,FALSE)</f>
        <v>0.18177209112826753</v>
      </c>
      <c r="W79" s="279">
        <f>VLOOKUP(TableRBRanks3141[[#This Row],[Player]],RB!B:O,7,FALSE)</f>
        <v>34.436535011435417</v>
      </c>
      <c r="X79" s="279">
        <f>VLOOKUP(TableRBRanks3141[[#This Row],[Player]],RB!B:O,8,FALSE)</f>
        <v>22.796986177570247</v>
      </c>
      <c r="Y79" s="279">
        <f>VLOOKUP(TableRBRanks3141[[#This Row],[Player]],RB!B:O,9,FALSE)</f>
        <v>180.25022449319394</v>
      </c>
      <c r="Z79" s="279">
        <f>VLOOKUP(TableRBRanks3141[[#This Row],[Player]],RB!B:O,10,FALSE)</f>
        <v>1.2322695231119052</v>
      </c>
      <c r="AA79" s="272">
        <f>VLOOKUP(TableRBRanks3141[[#This Row],[Player]],RB!B:O,14,FALSE)</f>
        <v>28.443327184365195</v>
      </c>
      <c r="AB79" s="273">
        <f>IF(VLOOKUP(TableRBRanks3141[[#This Row],[RK]],'Ranks w Proj'!$P:$AB,13,FALSE)&lt;0,0,VLOOKUP(TableRBRanks3141[[#This Row],[RK]],'Ranks w Proj'!$P:$AB,13,FALSE))</f>
        <v>0</v>
      </c>
      <c r="AD79" s="22">
        <v>78</v>
      </c>
      <c r="AE79" s="274" t="str">
        <f>VLOOKUP(TableWRRanks3242[[#This Row],[RK]],Rankings!A:Q,11,FALSE)</f>
        <v>Devin Duvernay</v>
      </c>
      <c r="AF79" s="22" t="str">
        <f>IFERROR(INDEX(TableWRCalcPts[TM],MATCH(TableWRRanks3242[[#This Row],[Player]],TableWRCalcPts[PLAYER],0)),"")</f>
        <v>BAL</v>
      </c>
      <c r="AG79" s="22">
        <f>IFERROR(INDEX(TableWRCalcPts[BYE],MATCH(TableWRRanks3242[[#This Row],[RK]],TableWRCalcPts[RK],0)),"")</f>
        <v>6</v>
      </c>
      <c r="AH79" s="279">
        <f>VLOOKUP(TableWRRanks3242[[#This Row],[Player]],WR!B:O,4,FALSE)</f>
        <v>76.468076022318996</v>
      </c>
      <c r="AI79" s="279">
        <f>VLOOKUP(TableWRRanks3242[[#This Row],[Player]],WR!B:O,5,FALSE)</f>
        <v>0.14162113988498803</v>
      </c>
      <c r="AJ79" s="279">
        <f>VLOOKUP(TableWRRanks3242[[#This Row],[Player]],WR!B:O,6,FALSE)</f>
        <v>65.442565619081975</v>
      </c>
      <c r="AK79" s="279">
        <f>VLOOKUP(TableWRRanks3242[[#This Row],[Player]],WR!B:O,7,FALSE)</f>
        <v>39.409293961198216</v>
      </c>
      <c r="AL79" s="279">
        <f>VLOOKUP(TableWRRanks3242[[#This Row],[Player]],WR!B:O,8,FALSE)</f>
        <v>431.13767593550847</v>
      </c>
      <c r="AM79" s="279">
        <f>VLOOKUP(TableWRRanks3242[[#This Row],[Player]],WR!B:O,9,FALSE)</f>
        <v>3.8621108081974254</v>
      </c>
      <c r="AN79" s="272">
        <f>VLOOKUP(TableWRRanks3242[[#This Row],[Player]],WR!B:O,13,FALSE)</f>
        <v>74.782966884277229</v>
      </c>
      <c r="AO79" s="273">
        <f>IF(VLOOKUP(TableWRRanks3242[[#This Row],[RK]],'Ranks w Proj'!AD:AO,12,FALSE)&lt;0,0,VLOOKUP(TableWRRanks3242[[#This Row],[RK]],'Ranks w Proj'!AD:AO,12,FALSE))</f>
        <v>0</v>
      </c>
      <c r="AQ79" s="22">
        <v>78</v>
      </c>
      <c r="AR79" s="22" t="str">
        <f>VLOOKUP(TableTERanks3343[[#This Row],[RK]],Rankings!A:Q,15,FALSE)</f>
        <v>Jacob Hollister</v>
      </c>
      <c r="AS79" s="22" t="str">
        <f>IFERROR(INDEX(TableTECalcPts[TM],MATCH(TableTERanks3343[[#This Row],[Player]],TableTECalcPts[PLAYER],0)),"")</f>
        <v>LV</v>
      </c>
      <c r="AT79" s="22">
        <f>IFERROR(INDEX(TableTECalcPts[BYE],MATCH(TableTERanks3343[[#This Row],[RK]],TableTECalcPts[RK],0)),"")</f>
        <v>6</v>
      </c>
      <c r="AU79" s="279">
        <f>VLOOKUP(TableTERanks3343[[#This Row],[Player]],TE!B:O,4,FALSE)</f>
        <v>8.1898506299999969</v>
      </c>
      <c r="AV79" s="279">
        <f>VLOOKUP(TableTERanks3343[[#This Row],[Player]],TE!B:O,5,FALSE)</f>
        <v>5.0613276893399979</v>
      </c>
      <c r="AW79" s="279">
        <f>VLOOKUP(TableTERanks3343[[#This Row],[Player]],TE!B:O,6,FALSE)</f>
        <v>45.602562480953381</v>
      </c>
      <c r="AX79" s="279">
        <f>VLOOKUP(TableTERanks3343[[#This Row],[Player]],TE!B:O,7,FALSE)</f>
        <v>0.35078508737999975</v>
      </c>
      <c r="AY79" s="272">
        <f>VLOOKUP(TableTERanks3343[[#This Row],[Player]],TE!B:O,11,FALSE)</f>
        <v>6.6649667723753367</v>
      </c>
      <c r="AZ79" s="273">
        <f>IF(VLOOKUP(TableTERanks3343[[#This Row],[RK]],'Ranks w Proj'!AQ:AZ,10,FALSE)&lt;0,0,VLOOKUP(TableTERanks3343[[#This Row],[RK]],'Ranks w Proj'!AQ:AZ,10,FALSE))</f>
        <v>0</v>
      </c>
    </row>
    <row r="80" spans="1:52" x14ac:dyDescent="0.3">
      <c r="A80" s="22">
        <v>79</v>
      </c>
      <c r="B80" s="274">
        <f>VLOOKUP(TableQBRanks3040[[#This Row],[RK]],Rankings!A:Q,3,FALSE)</f>
        <v>0</v>
      </c>
      <c r="C80" s="274" t="str">
        <f>IFERROR(INDEX(TableQBCalcPts[TM],MATCH(TableQBRanks3040[[#This Row],[Player]],TableQBCalcPts[PLAYER],0)),"")</f>
        <v/>
      </c>
      <c r="D80" s="274" t="str">
        <f>IFERROR(INDEX(TableQBCalcPts[BYE],MATCH(TableQBRanks3040[[#This Row],[RK]],TableQBCalcPts[RK],0)),"")</f>
        <v/>
      </c>
      <c r="E80" s="279">
        <f>VLOOKUP(TableQBRanks3040[[#This Row],[Player]],QB!B:O,4,FALSE)</f>
        <v>0</v>
      </c>
      <c r="F80" s="279">
        <f>VLOOKUP(TableQBRanks3040[[#This Row],[Player]],QB!B:O,5,FALSE)</f>
        <v>0</v>
      </c>
      <c r="G80" s="279">
        <f>VLOOKUP(TableQBRanks3040[[#This Row],[Player]],QB!B:O,6,FALSE)</f>
        <v>0</v>
      </c>
      <c r="H80" s="279">
        <f>VLOOKUP(TableQBRanks3040[[#This Row],[Player]],QB!B:O,7,FALSE)</f>
        <v>0</v>
      </c>
      <c r="I80" s="279">
        <f>VLOOKUP(TableQBRanks3040[[#This Row],[Player]],QB!B:O,8,FALSE)</f>
        <v>0</v>
      </c>
      <c r="J80" s="279">
        <f>VLOOKUP(TableQBRanks3040[[#This Row],[Player]],QB!B:O,9,FALSE)</f>
        <v>0</v>
      </c>
      <c r="K80" s="279">
        <f>VLOOKUP(TableQBRanks3040[[#This Row],[Player]],QB!B:O,10,FALSE)</f>
        <v>0</v>
      </c>
      <c r="L80" s="279">
        <f>VLOOKUP(TableQBRanks3040[[#This Row],[Player]],QB!B:O,11,FALSE)</f>
        <v>0</v>
      </c>
      <c r="M80" s="272">
        <f>VLOOKUP(TableQBRanks3040[[#This Row],[Player]],QB!B:O,13,FALSE)</f>
        <v>0</v>
      </c>
      <c r="N80" s="273" t="e">
        <f>IF(VLOOKUP(TableQBRanks3040[[#This Row],[RK]],'Ranks w Proj'!$A:$N,14,FALSE)&lt;0,0,VLOOKUP(TableQBRanks3040[[#This Row],[RK]],'Ranks w Proj'!$A:$N,14,FALSE))</f>
        <v>#VALUE!</v>
      </c>
      <c r="P80" s="22">
        <v>79</v>
      </c>
      <c r="Q80" s="22" t="str">
        <f>VLOOKUP(TableRBRanks3141[[#This Row],[RK]],Rankings!A:Q,7,FALSE)</f>
        <v>Tony Jones</v>
      </c>
      <c r="R80" s="22" t="str">
        <f>IFERROR(INDEX(TableRBCalcPts[TM],MATCH(TableRBRanks3141[[#This Row],[Player]],TableRBCalcPts[PLAYER],0)),"")</f>
        <v>NO</v>
      </c>
      <c r="S80" s="22">
        <f>IFERROR(INDEX(TableRBCalcPts[BYE],MATCH(TableRBRanks3141[[#This Row],[RK]],TableRBCalcPts[RK],0)),"")</f>
        <v>13</v>
      </c>
      <c r="T80" s="279">
        <f>VLOOKUP(TableRBRanks3141[[#This Row],[Player]],RB!B:O,4,FALSE)</f>
        <v>47.648624324744546</v>
      </c>
      <c r="U80" s="279">
        <f>VLOOKUP(TableRBRanks3141[[#This Row],[Player]],RB!B:O,5,FALSE)</f>
        <v>180.21373655147852</v>
      </c>
      <c r="V80" s="279">
        <f>VLOOKUP(TableRBRanks3141[[#This Row],[Player]],RB!B:O,6,FALSE)</f>
        <v>1.8415998981854456</v>
      </c>
      <c r="W80" s="279">
        <f>VLOOKUP(TableRBRanks3141[[#This Row],[Player]],RB!B:O,7,FALSE)</f>
        <v>11.562294323898557</v>
      </c>
      <c r="X80" s="279">
        <f>VLOOKUP(TableRBRanks3141[[#This Row],[Player]],RB!B:O,8,FALSE)</f>
        <v>7.422992955942874</v>
      </c>
      <c r="Y80" s="279">
        <f>VLOOKUP(TableRBRanks3141[[#This Row],[Player]],RB!B:O,9,FALSE)</f>
        <v>50.327892241292687</v>
      </c>
      <c r="Z80" s="279">
        <f>VLOOKUP(TableRBRanks3141[[#This Row],[Player]],RB!B:O,10,FALSE)</f>
        <v>0.21535991142684049</v>
      </c>
      <c r="AA80" s="272">
        <f>VLOOKUP(TableRBRanks3141[[#This Row],[Player]],RB!B:O,14,FALSE)</f>
        <v>35.395921736950839</v>
      </c>
      <c r="AB80" s="273">
        <f>IF(VLOOKUP(TableRBRanks3141[[#This Row],[RK]],'Ranks w Proj'!$P:$AB,13,FALSE)&lt;0,0,VLOOKUP(TableRBRanks3141[[#This Row],[RK]],'Ranks w Proj'!$P:$AB,13,FALSE))</f>
        <v>0</v>
      </c>
      <c r="AD80" s="22">
        <v>79</v>
      </c>
      <c r="AE80" s="274" t="str">
        <f>VLOOKUP(TableWRRanks3242[[#This Row],[RK]],Rankings!A:Q,11,FALSE)</f>
        <v>Sammy Watkins</v>
      </c>
      <c r="AF80" s="22" t="str">
        <f>IFERROR(INDEX(TableWRCalcPts[TM],MATCH(TableWRRanks3242[[#This Row],[Player]],TableWRCalcPts[PLAYER],0)),"")</f>
        <v>GB</v>
      </c>
      <c r="AG80" s="22">
        <f>IFERROR(INDEX(TableWRCalcPts[BYE],MATCH(TableWRRanks3242[[#This Row],[RK]],TableWRCalcPts[RK],0)),"")</f>
        <v>10</v>
      </c>
      <c r="AH80" s="279">
        <f>VLOOKUP(TableWRRanks3242[[#This Row],[Player]],WR!B:O,4,FALSE)</f>
        <v>5.4748874845400657</v>
      </c>
      <c r="AI80" s="279">
        <f>VLOOKUP(TableWRRanks3242[[#This Row],[Player]],WR!B:O,5,FALSE)</f>
        <v>0</v>
      </c>
      <c r="AJ80" s="279">
        <f>VLOOKUP(TableWRRanks3242[[#This Row],[Player]],WR!B:O,6,FALSE)</f>
        <v>61.028055169999973</v>
      </c>
      <c r="AK80" s="279">
        <f>VLOOKUP(TableWRRanks3242[[#This Row],[Player]],WR!B:O,7,FALSE)</f>
        <v>39.637721832914984</v>
      </c>
      <c r="AL80" s="279">
        <f>VLOOKUP(TableWRRanks3242[[#This Row],[Player]],WR!B:O,8,FALSE)</f>
        <v>514.4976293912365</v>
      </c>
      <c r="AM80" s="279">
        <f>VLOOKUP(TableWRRanks3242[[#This Row],[Player]],WR!B:O,9,FALSE)</f>
        <v>3.4484817994636034</v>
      </c>
      <c r="AN80" s="272">
        <f>VLOOKUP(TableWRRanks3242[[#This Row],[Player]],WR!B:O,13,FALSE)</f>
        <v>72.688142484359275</v>
      </c>
      <c r="AO80" s="273">
        <f>IF(VLOOKUP(TableWRRanks3242[[#This Row],[RK]],'Ranks w Proj'!AD:AO,12,FALSE)&lt;0,0,VLOOKUP(TableWRRanks3242[[#This Row],[RK]],'Ranks w Proj'!AD:AO,12,FALSE))</f>
        <v>0</v>
      </c>
      <c r="AQ80" s="22">
        <v>79</v>
      </c>
      <c r="AR80" s="22" t="str">
        <f>VLOOKUP(TableTERanks3343[[#This Row],[RK]],Rankings!A:Q,15,FALSE)</f>
        <v>Juwan Johnson</v>
      </c>
      <c r="AS80" s="22" t="str">
        <f>IFERROR(INDEX(TableTECalcPts[TM],MATCH(TableTERanks3343[[#This Row],[Player]],TableTECalcPts[PLAYER],0)),"")</f>
        <v>NO</v>
      </c>
      <c r="AT80" s="22">
        <f>IFERROR(INDEX(TableTECalcPts[BYE],MATCH(TableTERanks3343[[#This Row],[RK]],TableTECalcPts[RK],0)),"")</f>
        <v>7</v>
      </c>
      <c r="AU80" s="279">
        <f>VLOOKUP(TableTERanks3343[[#This Row],[Player]],TE!B:O,4,FALSE)</f>
        <v>7.8221822082469643</v>
      </c>
      <c r="AV80" s="279">
        <f>VLOOKUP(TableTERanks3343[[#This Row],[Player]],TE!B:O,5,FALSE)</f>
        <v>4.5861454286951959</v>
      </c>
      <c r="AW80" s="279">
        <f>VLOOKUP(TableTERanks3343[[#This Row],[Player]],TE!B:O,6,FALSE)</f>
        <v>56.776480407246531</v>
      </c>
      <c r="AX80" s="279">
        <f>VLOOKUP(TableTERanks3343[[#This Row],[Player]],TE!B:O,7,FALSE)</f>
        <v>0.3714777797243109</v>
      </c>
      <c r="AY80" s="272">
        <f>VLOOKUP(TableTERanks3343[[#This Row],[Player]],TE!B:O,11,FALSE)</f>
        <v>7.9065147190705183</v>
      </c>
      <c r="AZ80" s="273">
        <f>IF(VLOOKUP(TableTERanks3343[[#This Row],[RK]],'Ranks w Proj'!AQ:AZ,10,FALSE)&lt;0,0,VLOOKUP(TableTERanks3343[[#This Row],[RK]],'Ranks w Proj'!AQ:AZ,10,FALSE))</f>
        <v>0</v>
      </c>
    </row>
    <row r="81" spans="16:52" x14ac:dyDescent="0.3">
      <c r="P81" s="22">
        <v>80</v>
      </c>
      <c r="Q81" s="22" t="str">
        <f>VLOOKUP(TableRBRanks3141[[#This Row],[RK]],Rankings!A:Q,7,FALSE)</f>
        <v>Eno Benjamin</v>
      </c>
      <c r="R81" s="22" t="str">
        <f>IFERROR(INDEX(TableRBCalcPts[TM],MATCH(TableRBRanks3141[[#This Row],[Player]],TableRBCalcPts[PLAYER],0)),"")</f>
        <v>ARI</v>
      </c>
      <c r="S81" s="22">
        <f>IFERROR(INDEX(TableRBCalcPts[BYE],MATCH(TableRBRanks3141[[#This Row],[RK]],TableRBCalcPts[RK],0)),"")</f>
        <v>9</v>
      </c>
      <c r="T81" s="279">
        <f>VLOOKUP(TableRBRanks3141[[#This Row],[Player]],RB!B:O,4,FALSE)</f>
        <v>35.418078310415652</v>
      </c>
      <c r="U81" s="279">
        <f>VLOOKUP(TableRBRanks3141[[#This Row],[Player]],RB!B:O,5,FALSE)</f>
        <v>135.29705914578778</v>
      </c>
      <c r="V81" s="279">
        <f>VLOOKUP(TableRBRanks3141[[#This Row],[Player]],RB!B:O,6,FALSE)</f>
        <v>0.80753218547747685</v>
      </c>
      <c r="W81" s="279">
        <f>VLOOKUP(TableRBRanks3141[[#This Row],[Player]],RB!B:O,7,FALSE)</f>
        <v>13.718972409999999</v>
      </c>
      <c r="X81" s="279">
        <f>VLOOKUP(TableRBRanks3141[[#This Row],[Player]],RB!B:O,8,FALSE)</f>
        <v>9.6705036518089997</v>
      </c>
      <c r="Y81" s="279">
        <f>VLOOKUP(TableRBRanks3141[[#This Row],[Player]],RB!B:O,9,FALSE)</f>
        <v>77.654144324026262</v>
      </c>
      <c r="Z81" s="279">
        <f>VLOOKUP(TableRBRanks3141[[#This Row],[Player]],RB!B:O,10,FALSE)</f>
        <v>0.29623371760028572</v>
      </c>
      <c r="AA81" s="272">
        <f>VLOOKUP(TableRBRanks3141[[#This Row],[Player]],RB!B:O,14,FALSE)</f>
        <v>27.91771576544798</v>
      </c>
      <c r="AB81" s="273">
        <f>IF(VLOOKUP(TableRBRanks3141[[#This Row],[RK]],'Ranks w Proj'!$P:$AB,13,FALSE)&lt;0,0,VLOOKUP(TableRBRanks3141[[#This Row],[RK]],'Ranks w Proj'!$P:$AB,13,FALSE))</f>
        <v>0</v>
      </c>
      <c r="AD81" s="274">
        <v>80</v>
      </c>
      <c r="AE81" s="274" t="str">
        <f>VLOOKUP(TableWRRanks3242[[#This Row],[RK]],Rankings!A:Q,11,FALSE)</f>
        <v>Jalen Tolbert</v>
      </c>
      <c r="AF81" s="22" t="str">
        <f>IFERROR(INDEX(TableWRCalcPts[TM],MATCH(TableWRRanks3242[[#This Row],[Player]],TableWRCalcPts[PLAYER],0)),"")</f>
        <v>DAL</v>
      </c>
      <c r="AG81" s="22">
        <f>IFERROR(INDEX(TableWRCalcPts[BYE],MATCH(TableWRRanks3242[[#This Row],[RK]],TableWRCalcPts[RK],0)),"")</f>
        <v>14</v>
      </c>
      <c r="AH81" s="279">
        <f>VLOOKUP(TableWRRanks3242[[#This Row],[Player]],WR!B:O,4,FALSE)</f>
        <v>1.421881345843363</v>
      </c>
      <c r="AI81" s="279">
        <f>VLOOKUP(TableWRRanks3242[[#This Row],[Player]],WR!B:O,5,FALSE)</f>
        <v>0</v>
      </c>
      <c r="AJ81" s="279">
        <f>VLOOKUP(TableWRRanks3242[[#This Row],[Player]],WR!B:O,6,FALSE)</f>
        <v>69.203882263215391</v>
      </c>
      <c r="AK81" s="279">
        <f>VLOOKUP(TableWRRanks3242[[#This Row],[Player]],WR!B:O,7,FALSE)</f>
        <v>42.673952937129918</v>
      </c>
      <c r="AL81" s="279">
        <f>VLOOKUP(TableWRRanks3242[[#This Row],[Player]],WR!B:O,8,FALSE)</f>
        <v>547.27707703884823</v>
      </c>
      <c r="AM81" s="279">
        <f>VLOOKUP(TableWRRanks3242[[#This Row],[Player]],WR!B:O,9,FALSE)</f>
        <v>3.8406557643416925</v>
      </c>
      <c r="AN81" s="272">
        <f>VLOOKUP(TableWRRanks3242[[#This Row],[Player]],WR!B:O,13,FALSE)</f>
        <v>77.913830424519318</v>
      </c>
      <c r="AO81" s="273">
        <f>IF(VLOOKUP(TableWRRanks3242[[#This Row],[RK]],'Ranks w Proj'!AD:AO,12,FALSE)&lt;0,0,VLOOKUP(TableWRRanks3242[[#This Row],[RK]],'Ranks w Proj'!AD:AO,12,FALSE))</f>
        <v>0</v>
      </c>
      <c r="AQ81" s="274">
        <v>80</v>
      </c>
      <c r="AR81" s="274" t="str">
        <f>VLOOKUP(TableTERanks3343[[#This Row],[RK]],Rankings!A:Q,15,FALSE)</f>
        <v>Grant Calcaterra</v>
      </c>
      <c r="AS81" s="22" t="str">
        <f>IFERROR(INDEX(TableTECalcPts[TM],MATCH(TableTERanks3343[[#This Row],[Player]],TableTECalcPts[PLAYER],0)),"")</f>
        <v>PHI</v>
      </c>
      <c r="AT81" s="22">
        <f>IFERROR(INDEX(TableTECalcPts[BYE],MATCH(TableTERanks3343[[#This Row],[RK]],TableTECalcPts[RK],0)),"")</f>
        <v>7</v>
      </c>
      <c r="AU81" s="279">
        <f>VLOOKUP(TableTERanks3343[[#This Row],[Player]],TE!B:O,4,FALSE)</f>
        <v>9.2376146313381451</v>
      </c>
      <c r="AV81" s="279">
        <f>VLOOKUP(TableTERanks3343[[#This Row],[Player]],TE!B:O,5,FALSE)</f>
        <v>5.4705153846784489</v>
      </c>
      <c r="AW81" s="279">
        <f>VLOOKUP(TableTERanks3343[[#This Row],[Player]],TE!B:O,6,FALSE)</f>
        <v>52.97282397496965</v>
      </c>
      <c r="AX81" s="279">
        <f>VLOOKUP(TableTERanks3343[[#This Row],[Player]],TE!B:O,7,FALSE)</f>
        <v>0.33430927350812745</v>
      </c>
      <c r="AY81" s="272">
        <f>VLOOKUP(TableTERanks3343[[#This Row],[Player]],TE!B:O,11,FALSE)</f>
        <v>7.3031380385457298</v>
      </c>
      <c r="AZ81" s="273">
        <f>IF(VLOOKUP(TableTERanks3343[[#This Row],[RK]],'Ranks w Proj'!AQ:AZ,10,FALSE)&lt;0,0,VLOOKUP(TableTERanks3343[[#This Row],[RK]],'Ranks w Proj'!AQ:AZ,10,FALSE))</f>
        <v>0</v>
      </c>
    </row>
    <row r="82" spans="16:52" x14ac:dyDescent="0.3">
      <c r="P82" s="22">
        <v>81</v>
      </c>
      <c r="Q82" s="22" t="str">
        <f>VLOOKUP(TableRBRanks3141[[#This Row],[RK]],Rankings!A:Q,7,FALSE)</f>
        <v>Kyren Williams</v>
      </c>
      <c r="R82" s="22" t="str">
        <f>IFERROR(INDEX(TableRBCalcPts[TM],MATCH(TableRBRanks3141[[#This Row],[Player]],TableRBCalcPts[PLAYER],0)),"")</f>
        <v>LAR</v>
      </c>
      <c r="S82" s="22">
        <f>IFERROR(INDEX(TableRBCalcPts[BYE],MATCH(TableRBRanks3141[[#This Row],[RK]],TableRBCalcPts[RK],0)),"")</f>
        <v>14</v>
      </c>
      <c r="T82" s="279">
        <f>VLOOKUP(TableRBRanks3141[[#This Row],[Player]],RB!B:O,4,FALSE)</f>
        <v>34.723074879763473</v>
      </c>
      <c r="U82" s="279">
        <f>VLOOKUP(TableRBRanks3141[[#This Row],[Player]],RB!B:O,5,FALSE)</f>
        <v>148.61476048538768</v>
      </c>
      <c r="V82" s="279">
        <f>VLOOKUP(TableRBRanks3141[[#This Row],[Player]],RB!B:O,6,FALSE)</f>
        <v>1.2916983855272011</v>
      </c>
      <c r="W82" s="279">
        <f>VLOOKUP(TableRBRanks3141[[#This Row],[Player]],RB!B:O,7,FALSE)</f>
        <v>7.1025634401036282</v>
      </c>
      <c r="X82" s="279">
        <f>VLOOKUP(TableRBRanks3141[[#This Row],[Player]],RB!B:O,8,FALSE)</f>
        <v>4.8017330299292134</v>
      </c>
      <c r="Y82" s="279">
        <f>VLOOKUP(TableRBRanks3141[[#This Row],[Player]],RB!B:O,9,FALSE)</f>
        <v>39.814369706496393</v>
      </c>
      <c r="Z82" s="279">
        <f>VLOOKUP(TableRBRanks3141[[#This Row],[Player]],RB!B:O,10,FALSE)</f>
        <v>0.30010831437057583</v>
      </c>
      <c r="AA82" s="272">
        <f>VLOOKUP(TableRBRanks3141[[#This Row],[Player]],RB!B:O,14,FALSE)</f>
        <v>28.393753218575068</v>
      </c>
      <c r="AB82" s="273">
        <f>IF(VLOOKUP(TableRBRanks3141[[#This Row],[RK]],'Ranks w Proj'!$P:$AB,13,FALSE)&lt;0,0,VLOOKUP(TableRBRanks3141[[#This Row],[RK]],'Ranks w Proj'!$P:$AB,13,FALSE))</f>
        <v>0</v>
      </c>
      <c r="AD82" s="22">
        <v>81</v>
      </c>
      <c r="AE82" s="274" t="str">
        <f>VLOOKUP(TableWRRanks3242[[#This Row],[RK]],Rankings!A:Q,11,FALSE)</f>
        <v>K.J. Osborn</v>
      </c>
      <c r="AF82" s="22" t="str">
        <f>IFERROR(INDEX(TableWRCalcPts[TM],MATCH(TableWRRanks3242[[#This Row],[Player]],TableWRCalcPts[PLAYER],0)),"")</f>
        <v>MIN</v>
      </c>
      <c r="AG82" s="22">
        <f>IFERROR(INDEX(TableWRCalcPts[BYE],MATCH(TableWRRanks3242[[#This Row],[RK]],TableWRCalcPts[RK],0)),"")</f>
        <v>7</v>
      </c>
      <c r="AH82" s="279">
        <f>VLOOKUP(TableWRRanks3242[[#This Row],[Player]],WR!B:O,4,FALSE)</f>
        <v>2.6248658676929923</v>
      </c>
      <c r="AI82" s="279">
        <f>VLOOKUP(TableWRRanks3242[[#This Row],[Player]],WR!B:O,5,FALSE)</f>
        <v>0</v>
      </c>
      <c r="AJ82" s="279">
        <f>VLOOKUP(TableWRRanks3242[[#This Row],[Player]],WR!B:O,6,FALSE)</f>
        <v>74.736144224152241</v>
      </c>
      <c r="AK82" s="279">
        <f>VLOOKUP(TableWRRanks3242[[#This Row],[Player]],WR!B:O,7,FALSE)</f>
        <v>43.49993528969118</v>
      </c>
      <c r="AL82" s="279">
        <f>VLOOKUP(TableWRRanks3242[[#This Row],[Player]],WR!B:O,8,FALSE)</f>
        <v>560.27916653122247</v>
      </c>
      <c r="AM82" s="279">
        <f>VLOOKUP(TableWRRanks3242[[#This Row],[Player]],WR!B:O,9,FALSE)</f>
        <v>4.0019940466515882</v>
      </c>
      <c r="AN82" s="272">
        <f>VLOOKUP(TableWRRanks3242[[#This Row],[Player]],WR!B:O,13,FALSE)</f>
        <v>80.302367519801066</v>
      </c>
      <c r="AO82" s="273">
        <f>IF(VLOOKUP(TableWRRanks3242[[#This Row],[RK]],'Ranks w Proj'!AD:AO,12,FALSE)&lt;0,0,VLOOKUP(TableWRRanks3242[[#This Row],[RK]],'Ranks w Proj'!AD:AO,12,FALSE))</f>
        <v>0</v>
      </c>
      <c r="AQ82" s="22">
        <v>81</v>
      </c>
      <c r="AR82" s="274" t="str">
        <f>VLOOKUP(TableTERanks3343[[#This Row],[RK]],Rankings!A:Q,15,FALSE)</f>
        <v>Jeremy Sprinkle</v>
      </c>
      <c r="AS82" s="22" t="str">
        <f>IFERROR(INDEX(TableTECalcPts[TM],MATCH(TableTERanks3343[[#This Row],[Player]],TableTECalcPts[PLAYER],0)),"")</f>
        <v>DAL</v>
      </c>
      <c r="AT82" s="22">
        <f>IFERROR(INDEX(TableTECalcPts[BYE],MATCH(TableTERanks3343[[#This Row],[RK]],TableTECalcPts[RK],0)),"")</f>
        <v>9</v>
      </c>
      <c r="AU82" s="279">
        <f>VLOOKUP(TableTERanks3343[[#This Row],[Player]],TE!B:O,4,FALSE)</f>
        <v>8.0445402190749284</v>
      </c>
      <c r="AV82" s="279">
        <f>VLOOKUP(TableTERanks3343[[#This Row],[Player]],TE!B:O,5,FALSE)</f>
        <v>4.9160185278766884</v>
      </c>
      <c r="AW82" s="279">
        <f>VLOOKUP(TableTERanks3343[[#This Row],[Player]],TE!B:O,6,FALSE)</f>
        <v>50.068830973400843</v>
      </c>
      <c r="AX82" s="279">
        <f>VLOOKUP(TableTERanks3343[[#This Row],[Player]],TE!B:O,7,FALSE)</f>
        <v>0.34104277262862737</v>
      </c>
      <c r="AY82" s="272">
        <f>VLOOKUP(TableTERanks3343[[#This Row],[Player]],TE!B:O,11,FALSE)</f>
        <v>7.0531397331118484</v>
      </c>
      <c r="AZ82" s="273">
        <f>IF(VLOOKUP(TableTERanks3343[[#This Row],[RK]],'Ranks w Proj'!AQ:AZ,10,FALSE)&lt;0,0,VLOOKUP(TableTERanks3343[[#This Row],[RK]],'Ranks w Proj'!AQ:AZ,10,FALSE))</f>
        <v>0</v>
      </c>
    </row>
    <row r="83" spans="16:52" x14ac:dyDescent="0.3">
      <c r="P83" s="22">
        <v>82</v>
      </c>
      <c r="Q83" s="22" t="str">
        <f>VLOOKUP(TableRBRanks3141[[#This Row],[RK]],Rankings!A:Q,7,FALSE)</f>
        <v>Derrick Gore</v>
      </c>
      <c r="R83" s="22" t="str">
        <f>IFERROR(INDEX(TableRBCalcPts[TM],MATCH(TableRBRanks3141[[#This Row],[Player]],TableRBCalcPts[PLAYER],0)),"")</f>
        <v>KC</v>
      </c>
      <c r="S83" s="22">
        <f>IFERROR(INDEX(TableRBCalcPts[BYE],MATCH(TableRBRanks3141[[#This Row],[RK]],TableRBCalcPts[RK],0)),"")</f>
        <v>8</v>
      </c>
      <c r="T83" s="279">
        <f>VLOOKUP(TableRBRanks3141[[#This Row],[Player]],RB!B:O,4,FALSE)</f>
        <v>25.282656729129229</v>
      </c>
      <c r="U83" s="279">
        <f>VLOOKUP(TableRBRanks3141[[#This Row],[Player]],RB!B:O,5,FALSE)</f>
        <v>112.25499587733378</v>
      </c>
      <c r="V83" s="279">
        <f>VLOOKUP(TableRBRanks3141[[#This Row],[Player]],RB!B:O,6,FALSE)</f>
        <v>1.1480129724967978</v>
      </c>
      <c r="W83" s="279">
        <f>VLOOKUP(TableRBRanks3141[[#This Row],[Player]],RB!B:O,7,FALSE)</f>
        <v>13.692663792866842</v>
      </c>
      <c r="X83" s="279">
        <f>VLOOKUP(TableRBRanks3141[[#This Row],[Player]],RB!B:O,8,FALSE)</f>
        <v>9.1498943685200533</v>
      </c>
      <c r="Y83" s="279">
        <f>VLOOKUP(TableRBRanks3141[[#This Row],[Player]],RB!B:O,9,FALSE)</f>
        <v>64.483774444000687</v>
      </c>
      <c r="Z83" s="279">
        <f>VLOOKUP(TableRBRanks3141[[#This Row],[Player]],RB!B:O,10,FALSE)</f>
        <v>0.20881312284121936</v>
      </c>
      <c r="AA83" s="272">
        <f>VLOOKUP(TableRBRanks3141[[#This Row],[Player]],RB!B:O,14,FALSE)</f>
        <v>25.814833604161549</v>
      </c>
      <c r="AB83" s="273">
        <f>IF(VLOOKUP(TableRBRanks3141[[#This Row],[RK]],'Ranks w Proj'!$P:$AB,13,FALSE)&lt;0,0,VLOOKUP(TableRBRanks3141[[#This Row],[RK]],'Ranks w Proj'!$P:$AB,13,FALSE))</f>
        <v>0</v>
      </c>
      <c r="AD83" s="22">
        <v>82</v>
      </c>
      <c r="AE83" s="274" t="str">
        <f>VLOOKUP(TableWRRanks3242[[#This Row],[RK]],Rankings!A:Q,11,FALSE)</f>
        <v>Terrace Marshall</v>
      </c>
      <c r="AF83" s="22" t="str">
        <f>IFERROR(INDEX(TableWRCalcPts[TM],MATCH(TableWRRanks3242[[#This Row],[Player]],TableWRCalcPts[PLAYER],0)),"")</f>
        <v>CAR</v>
      </c>
      <c r="AG83" s="22">
        <f>IFERROR(INDEX(TableWRCalcPts[BYE],MATCH(TableWRRanks3242[[#This Row],[RK]],TableWRCalcPts[RK],0)),"")</f>
        <v>14</v>
      </c>
      <c r="AH83" s="279">
        <f>VLOOKUP(TableWRRanks3242[[#This Row],[Player]],WR!B:O,4,FALSE)</f>
        <v>0</v>
      </c>
      <c r="AI83" s="279">
        <f>VLOOKUP(TableWRRanks3242[[#This Row],[Player]],WR!B:O,5,FALSE)</f>
        <v>0</v>
      </c>
      <c r="AJ83" s="279">
        <f>VLOOKUP(TableWRRanks3242[[#This Row],[Player]],WR!B:O,6,FALSE)</f>
        <v>81.127414058237591</v>
      </c>
      <c r="AK83" s="279">
        <f>VLOOKUP(TableWRRanks3242[[#This Row],[Player]],WR!B:O,7,FALSE)</f>
        <v>46.851081618632207</v>
      </c>
      <c r="AL83" s="279">
        <f>VLOOKUP(TableWRRanks3242[[#This Row],[Player]],WR!B:O,8,FALSE)</f>
        <v>492.57094924292869</v>
      </c>
      <c r="AM83" s="279">
        <f>VLOOKUP(TableWRRanks3242[[#This Row],[Player]],WR!B:O,9,FALSE)</f>
        <v>1.7587838340402027</v>
      </c>
      <c r="AN83" s="272">
        <f>VLOOKUP(TableWRRanks3242[[#This Row],[Player]],WR!B:O,13,FALSE)</f>
        <v>59.809797928534088</v>
      </c>
      <c r="AO83" s="273">
        <f>IF(VLOOKUP(TableWRRanks3242[[#This Row],[RK]],'Ranks w Proj'!AD:AO,12,FALSE)&lt;0,0,VLOOKUP(TableWRRanks3242[[#This Row],[RK]],'Ranks w Proj'!AD:AO,12,FALSE))</f>
        <v>0</v>
      </c>
      <c r="AQ83" s="22">
        <v>82</v>
      </c>
      <c r="AR83" s="274" t="str">
        <f>VLOOKUP(TableTERanks3343[[#This Row],[RK]],Rankings!A:Q,15,FALSE)</f>
        <v>Ben Ellefson</v>
      </c>
      <c r="AS83" s="22" t="str">
        <f>IFERROR(INDEX(TableTECalcPts[TM],MATCH(TableTERanks3343[[#This Row],[Player]],TableTECalcPts[PLAYER],0)),"")</f>
        <v>MIN</v>
      </c>
      <c r="AT83" s="22">
        <f>IFERROR(INDEX(TableTECalcPts[BYE],MATCH(TableTERanks3343[[#This Row],[RK]],TableTECalcPts[RK],0)),"")</f>
        <v>6</v>
      </c>
      <c r="AU83" s="279">
        <f>VLOOKUP(TableTERanks3343[[#This Row],[Player]],TE!B:O,4,FALSE)</f>
        <v>7.8101798745552369</v>
      </c>
      <c r="AV83" s="279">
        <f>VLOOKUP(TableTERanks3343[[#This Row],[Player]],TE!B:O,5,FALSE)</f>
        <v>4.7017282844822521</v>
      </c>
      <c r="AW83" s="279">
        <f>VLOOKUP(TableTERanks3343[[#This Row],[Player]],TE!B:O,6,FALSE)</f>
        <v>51.757216522966374</v>
      </c>
      <c r="AX83" s="279">
        <f>VLOOKUP(TableTERanks3343[[#This Row],[Player]],TE!B:O,7,FALSE)</f>
        <v>0.32912097991375766</v>
      </c>
      <c r="AY83" s="272">
        <f>VLOOKUP(TableTERanks3343[[#This Row],[Player]],TE!B:O,11,FALSE)</f>
        <v>7.1504475317791831</v>
      </c>
      <c r="AZ83" s="273">
        <f>IF(VLOOKUP(TableTERanks3343[[#This Row],[RK]],'Ranks w Proj'!AQ:AZ,10,FALSE)&lt;0,0,VLOOKUP(TableTERanks3343[[#This Row],[RK]],'Ranks w Proj'!AQ:AZ,10,FALSE))</f>
        <v>0</v>
      </c>
    </row>
    <row r="84" spans="16:52" x14ac:dyDescent="0.3">
      <c r="P84" s="22">
        <v>83</v>
      </c>
      <c r="Q84" s="22" t="str">
        <f>VLOOKUP(TableRBRanks3141[[#This Row],[RK]],Rankings!A:Q,7,FALSE)</f>
        <v>Phillip Lindsay</v>
      </c>
      <c r="R84" s="22" t="str">
        <f>IFERROR(INDEX(TableRBCalcPts[TM],MATCH(TableRBRanks3141[[#This Row],[Player]],TableRBCalcPts[PLAYER],0)),"")</f>
        <v>IND</v>
      </c>
      <c r="S84" s="22">
        <f>IFERROR(INDEX(TableRBCalcPts[BYE],MATCH(TableRBRanks3141[[#This Row],[RK]],TableRBCalcPts[RK],0)),"")</f>
        <v>13</v>
      </c>
      <c r="T84" s="279">
        <f>VLOOKUP(TableRBRanks3141[[#This Row],[Player]],RB!B:O,4,FALSE)</f>
        <v>45.492330827845429</v>
      </c>
      <c r="U84" s="279">
        <f>VLOOKUP(TableRBRanks3141[[#This Row],[Player]],RB!B:O,5,FALSE)</f>
        <v>173.78070376236954</v>
      </c>
      <c r="V84" s="279">
        <f>VLOOKUP(TableRBRanks3141[[#This Row],[Player]],RB!B:O,6,FALSE)</f>
        <v>0.74876716194887472</v>
      </c>
      <c r="W84" s="279">
        <f>VLOOKUP(TableRBRanks3141[[#This Row],[Player]],RB!B:O,7,FALSE)</f>
        <v>5.8983579042604939</v>
      </c>
      <c r="X84" s="279">
        <f>VLOOKUP(TableRBRanks3141[[#This Row],[Player]],RB!B:O,8,FALSE)</f>
        <v>4.4621077545730632</v>
      </c>
      <c r="Y84" s="279">
        <f>VLOOKUP(TableRBRanks3141[[#This Row],[Player]],RB!B:O,9,FALSE)</f>
        <v>34.556773313394586</v>
      </c>
      <c r="Z84" s="279">
        <f>VLOOKUP(TableRBRanks3141[[#This Row],[Player]],RB!B:O,10,FALSE)</f>
        <v>9.4329307522718425E-2</v>
      </c>
      <c r="AA84" s="272">
        <f>VLOOKUP(TableRBRanks3141[[#This Row],[Player]],RB!B:O,14,FALSE)</f>
        <v>25.892326524405973</v>
      </c>
      <c r="AB84" s="273">
        <f>IF(VLOOKUP(TableRBRanks3141[[#This Row],[RK]],'Ranks w Proj'!$P:$AB,13,FALSE)&lt;0,0,VLOOKUP(TableRBRanks3141[[#This Row],[RK]],'Ranks w Proj'!$P:$AB,13,FALSE))</f>
        <v>0</v>
      </c>
      <c r="AD84" s="274">
        <v>83</v>
      </c>
      <c r="AE84" s="22" t="str">
        <f>VLOOKUP(TableWRRanks3242[[#This Row],[RK]],Rankings!A:Q,11,FALSE)</f>
        <v>Nico Collins</v>
      </c>
      <c r="AF84" s="22" t="str">
        <f>IFERROR(INDEX(TableWRCalcPts[TM],MATCH(TableWRRanks3242[[#This Row],[Player]],TableWRCalcPts[PLAYER],0)),"")</f>
        <v>HOU</v>
      </c>
      <c r="AG84" s="22">
        <f>IFERROR(INDEX(TableWRCalcPts[BYE],MATCH(TableWRRanks3242[[#This Row],[RK]],TableWRCalcPts[RK],0)),"")</f>
        <v>10</v>
      </c>
      <c r="AH84" s="279">
        <f>VLOOKUP(TableWRRanks3242[[#This Row],[Player]],WR!B:O,4,FALSE)</f>
        <v>0</v>
      </c>
      <c r="AI84" s="279">
        <f>VLOOKUP(TableWRRanks3242[[#This Row],[Player]],WR!B:O,5,FALSE)</f>
        <v>0</v>
      </c>
      <c r="AJ84" s="279">
        <f>VLOOKUP(TableWRRanks3242[[#This Row],[Player]],WR!B:O,6,FALSE)</f>
        <v>76.644605136742513</v>
      </c>
      <c r="AK84" s="279">
        <f>VLOOKUP(TableWRRanks3242[[#This Row],[Player]],WR!B:O,7,FALSE)</f>
        <v>43.524997690465561</v>
      </c>
      <c r="AL84" s="279">
        <f>VLOOKUP(TableWRRanks3242[[#This Row],[Player]],WR!B:O,8,FALSE)</f>
        <v>573.65946956033611</v>
      </c>
      <c r="AM84" s="279">
        <f>VLOOKUP(TableWRRanks3242[[#This Row],[Player]],WR!B:O,9,FALSE)</f>
        <v>2.5244498660470027</v>
      </c>
      <c r="AN84" s="272">
        <f>VLOOKUP(TableWRRanks3242[[#This Row],[Player]],WR!B:O,13,FALSE)</f>
        <v>72.512646152315625</v>
      </c>
      <c r="AO84" s="273">
        <f>IF(VLOOKUP(TableWRRanks3242[[#This Row],[RK]],'Ranks w Proj'!AD:AO,12,FALSE)&lt;0,0,VLOOKUP(TableWRRanks3242[[#This Row],[RK]],'Ranks w Proj'!AD:AO,12,FALSE))</f>
        <v>0</v>
      </c>
      <c r="AQ84" s="274">
        <v>83</v>
      </c>
      <c r="AR84" s="22" t="str">
        <f>VLOOKUP(TableTERanks3343[[#This Row],[RK]],Rankings!A:Q,15,FALSE)</f>
        <v>Adam Shaheen</v>
      </c>
      <c r="AS84" s="22" t="str">
        <f>IFERROR(INDEX(TableTECalcPts[TM],MATCH(TableTERanks3343[[#This Row],[Player]],TableTECalcPts[PLAYER],0)),"")</f>
        <v>MIA</v>
      </c>
      <c r="AT84" s="22">
        <f>IFERROR(INDEX(TableTECalcPts[BYE],MATCH(TableTERanks3343[[#This Row],[RK]],TableTECalcPts[RK],0)),"")</f>
        <v>11</v>
      </c>
      <c r="AU84" s="279">
        <f>VLOOKUP(TableTERanks3343[[#This Row],[Player]],TE!B:O,4,FALSE)</f>
        <v>6.9298736099999978</v>
      </c>
      <c r="AV84" s="279">
        <f>VLOOKUP(TableTERanks3343[[#This Row],[Player]],TE!B:O,5,FALSE)</f>
        <v>4.7580512206259984</v>
      </c>
      <c r="AW84" s="279">
        <f>VLOOKUP(TableTERanks3343[[#This Row],[Player]],TE!B:O,6,FALSE)</f>
        <v>47.055371714976914</v>
      </c>
      <c r="AX84" s="279">
        <f>VLOOKUP(TableTERanks3343[[#This Row],[Player]],TE!B:O,7,FALSE)</f>
        <v>0.32294635513360637</v>
      </c>
      <c r="AY84" s="272">
        <f>VLOOKUP(TableTERanks3343[[#This Row],[Player]],TE!B:O,11,FALSE)</f>
        <v>6.6432153022993292</v>
      </c>
      <c r="AZ84" s="273">
        <f>IF(VLOOKUP(TableTERanks3343[[#This Row],[RK]],'Ranks w Proj'!AQ:AZ,10,FALSE)&lt;0,0,VLOOKUP(TableTERanks3343[[#This Row],[RK]],'Ranks w Proj'!AQ:AZ,10,FALSE))</f>
        <v>0</v>
      </c>
    </row>
    <row r="85" spans="16:52" x14ac:dyDescent="0.3">
      <c r="P85" s="22">
        <v>84</v>
      </c>
      <c r="Q85" s="22" t="str">
        <f>VLOOKUP(TableRBRanks3141[[#This Row],[RK]],Rankings!A:Q,7,FALSE)</f>
        <v>Pierre Strong</v>
      </c>
      <c r="R85" s="22" t="str">
        <f>IFERROR(INDEX(TableRBCalcPts[TM],MATCH(TableRBRanks3141[[#This Row],[Player]],TableRBCalcPts[PLAYER],0)),"")</f>
        <v>NE</v>
      </c>
      <c r="S85" s="22">
        <f>IFERROR(INDEX(TableRBCalcPts[BYE],MATCH(TableRBRanks3141[[#This Row],[RK]],TableRBCalcPts[RK],0)),"")</f>
        <v>7</v>
      </c>
      <c r="T85" s="279">
        <f>VLOOKUP(TableRBRanks3141[[#This Row],[Player]],RB!B:O,4,FALSE)</f>
        <v>26.038022608009125</v>
      </c>
      <c r="U85" s="279">
        <f>VLOOKUP(TableRBRanks3141[[#This Row],[Player]],RB!B:O,5,FALSE)</f>
        <v>106.34747756778995</v>
      </c>
      <c r="V85" s="279">
        <f>VLOOKUP(TableRBRanks3141[[#This Row],[Player]],RB!B:O,6,FALSE)</f>
        <v>0.55460988155059432</v>
      </c>
      <c r="W85" s="279">
        <f>VLOOKUP(TableRBRanks3141[[#This Row],[Player]],RB!B:O,7,FALSE)</f>
        <v>5.8978923321850925</v>
      </c>
      <c r="X85" s="279">
        <f>VLOOKUP(TableRBRanks3141[[#This Row],[Player]],RB!B:O,8,FALSE)</f>
        <v>4.3234549723221223</v>
      </c>
      <c r="Y85" s="279">
        <f>VLOOKUP(TableRBRanks3141[[#This Row],[Player]],RB!B:O,9,FALSE)</f>
        <v>30.714024051929989</v>
      </c>
      <c r="Z85" s="279">
        <f>VLOOKUP(TableRBRanks3141[[#This Row],[Player]],RB!B:O,10,FALSE)</f>
        <v>0.14994641522504468</v>
      </c>
      <c r="AA85" s="272">
        <f>VLOOKUP(TableRBRanks3141[[#This Row],[Player]],RB!B:O,14,FALSE)</f>
        <v>17.933487942625828</v>
      </c>
      <c r="AB85" s="273">
        <f>IF(VLOOKUP(TableRBRanks3141[[#This Row],[RK]],'Ranks w Proj'!$P:$AB,13,FALSE)&lt;0,0,VLOOKUP(TableRBRanks3141[[#This Row],[RK]],'Ranks w Proj'!$P:$AB,13,FALSE))</f>
        <v>0</v>
      </c>
      <c r="AD85" s="22">
        <v>84</v>
      </c>
      <c r="AE85" s="22" t="str">
        <f>VLOOKUP(TableWRRanks3242[[#This Row],[RK]],Rankings!A:Q,11,FALSE)</f>
        <v>Jamison Crowder</v>
      </c>
      <c r="AF85" s="22" t="str">
        <f>IFERROR(INDEX(TableWRCalcPts[TM],MATCH(TableWRRanks3242[[#This Row],[Player]],TableWRCalcPts[PLAYER],0)),"")</f>
        <v>BUF</v>
      </c>
      <c r="AG85" s="22">
        <f>IFERROR(INDEX(TableWRCalcPts[BYE],MATCH(TableWRRanks3242[[#This Row],[RK]],TableWRCalcPts[RK],0)),"")</f>
        <v>6</v>
      </c>
      <c r="AH85" s="279">
        <f>VLOOKUP(TableWRRanks3242[[#This Row],[Player]],WR!B:O,4,FALSE)</f>
        <v>0.62528057940697068</v>
      </c>
      <c r="AI85" s="279">
        <f>VLOOKUP(TableWRRanks3242[[#This Row],[Player]],WR!B:O,5,FALSE)</f>
        <v>0</v>
      </c>
      <c r="AJ85" s="279">
        <f>VLOOKUP(TableWRRanks3242[[#This Row],[Player]],WR!B:O,6,FALSE)</f>
        <v>75.068560581545029</v>
      </c>
      <c r="AK85" s="279">
        <f>VLOOKUP(TableWRRanks3242[[#This Row],[Player]],WR!B:O,7,FALSE)</f>
        <v>49.417633430831096</v>
      </c>
      <c r="AL85" s="279">
        <f>VLOOKUP(TableWRRanks3242[[#This Row],[Player]],WR!B:O,8,FALSE)</f>
        <v>533.71044105297585</v>
      </c>
      <c r="AM85" s="279">
        <f>VLOOKUP(TableWRRanks3242[[#This Row],[Player]],WR!B:O,9,FALSE)</f>
        <v>3.5086519735890076</v>
      </c>
      <c r="AN85" s="272">
        <f>VLOOKUP(TableWRRanks3242[[#This Row],[Player]],WR!B:O,13,FALSE)</f>
        <v>74.485484004772331</v>
      </c>
      <c r="AO85" s="273">
        <f>IF(VLOOKUP(TableWRRanks3242[[#This Row],[RK]],'Ranks w Proj'!AD:AO,12,FALSE)&lt;0,0,VLOOKUP(TableWRRanks3242[[#This Row],[RK]],'Ranks w Proj'!AD:AO,12,FALSE))</f>
        <v>0</v>
      </c>
      <c r="AQ85" s="22">
        <v>84</v>
      </c>
      <c r="AR85" s="22" t="str">
        <f>VLOOKUP(TableTERanks3343[[#This Row],[RK]],Rankings!A:Q,15,FALSE)</f>
        <v>Charlie Woerner</v>
      </c>
      <c r="AS85" s="22" t="str">
        <f>IFERROR(INDEX(TableTECalcPts[TM],MATCH(TableTERanks3343[[#This Row],[Player]],TableTECalcPts[PLAYER],0)),"")</f>
        <v>SF</v>
      </c>
      <c r="AT85" s="22">
        <f>IFERROR(INDEX(TableTECalcPts[BYE],MATCH(TableTERanks3343[[#This Row],[RK]],TableTECalcPts[RK],0)),"")</f>
        <v>9</v>
      </c>
      <c r="AU85" s="279">
        <f>VLOOKUP(TableTERanks3343[[#This Row],[Player]],TE!B:O,4,FALSE)</f>
        <v>6.8067458562703873</v>
      </c>
      <c r="AV85" s="279">
        <f>VLOOKUP(TableTERanks3343[[#This Row],[Player]],TE!B:O,5,FALSE)</f>
        <v>4.0091733093432582</v>
      </c>
      <c r="AW85" s="279">
        <f>VLOOKUP(TableTERanks3343[[#This Row],[Player]],TE!B:O,6,FALSE)</f>
        <v>41.454852018609287</v>
      </c>
      <c r="AX85" s="279">
        <f>VLOOKUP(TableTERanks3343[[#This Row],[Player]],TE!B:O,7,FALSE)</f>
        <v>0.34788545229033141</v>
      </c>
      <c r="AY85" s="272">
        <f>VLOOKUP(TableTERanks3343[[#This Row],[Player]],TE!B:O,11,FALSE)</f>
        <v>6.2327979156029176</v>
      </c>
      <c r="AZ85" s="273">
        <f>IF(VLOOKUP(TableTERanks3343[[#This Row],[RK]],'Ranks w Proj'!AQ:AZ,10,FALSE)&lt;0,0,VLOOKUP(TableTERanks3343[[#This Row],[RK]],'Ranks w Proj'!AQ:AZ,10,FALSE))</f>
        <v>0</v>
      </c>
    </row>
    <row r="86" spans="16:52" x14ac:dyDescent="0.3">
      <c r="P86" s="22">
        <v>85</v>
      </c>
      <c r="Q86" s="22" t="str">
        <f>VLOOKUP(TableRBRanks3141[[#This Row],[RK]],Rankings!A:Q,7,FALSE)</f>
        <v>Duke Johnson</v>
      </c>
      <c r="R86" s="22" t="str">
        <f>IFERROR(INDEX(TableRBCalcPts[TM],MATCH(TableRBRanks3141[[#This Row],[Player]],TableRBCalcPts[PLAYER],0)),"")</f>
        <v>BUF</v>
      </c>
      <c r="S86" s="22">
        <f>IFERROR(INDEX(TableRBCalcPts[BYE],MATCH(TableRBRanks3141[[#This Row],[RK]],TableRBCalcPts[RK],0)),"")</f>
        <v>8</v>
      </c>
      <c r="T86" s="279">
        <f>VLOOKUP(TableRBRanks3141[[#This Row],[Player]],RB!B:O,4,FALSE)</f>
        <v>25.5809751685869</v>
      </c>
      <c r="U86" s="279">
        <f>VLOOKUP(TableRBRanks3141[[#This Row],[Player]],RB!B:O,5,FALSE)</f>
        <v>108.20752496312259</v>
      </c>
      <c r="V86" s="279">
        <f>VLOOKUP(TableRBRanks3141[[#This Row],[Player]],RB!B:O,6,FALSE)</f>
        <v>0.89673902203506295</v>
      </c>
      <c r="W86" s="279">
        <f>VLOOKUP(TableRBRanks3141[[#This Row],[Player]],RB!B:O,7,FALSE)</f>
        <v>10.607166633084187</v>
      </c>
      <c r="X86" s="279">
        <f>VLOOKUP(TableRBRanks3141[[#This Row],[Player]],RB!B:O,8,FALSE)</f>
        <v>7.7655066920809332</v>
      </c>
      <c r="Y86" s="279">
        <f>VLOOKUP(TableRBRanks3141[[#This Row],[Player]],RB!B:O,9,FALSE)</f>
        <v>60.105021796706424</v>
      </c>
      <c r="Z86" s="279">
        <f>VLOOKUP(TableRBRanks3141[[#This Row],[Player]],RB!B:O,10,FALSE)</f>
        <v>0.26330674186480107</v>
      </c>
      <c r="AA86" s="272">
        <f>VLOOKUP(TableRBRanks3141[[#This Row],[Player]],RB!B:O,14,FALSE)</f>
        <v>23.791529259382088</v>
      </c>
      <c r="AB86" s="273">
        <f>IF(VLOOKUP(TableRBRanks3141[[#This Row],[RK]],'Ranks w Proj'!$P:$AB,13,FALSE)&lt;0,0,VLOOKUP(TableRBRanks3141[[#This Row],[RK]],'Ranks w Proj'!$P:$AB,13,FALSE))</f>
        <v>0</v>
      </c>
      <c r="AD86" s="22">
        <v>85</v>
      </c>
      <c r="AE86" s="274" t="str">
        <f>VLOOKUP(TableWRRanks3242[[#This Row],[RK]],Rankings!A:Q,11,FALSE)</f>
        <v>Randall Cobb</v>
      </c>
      <c r="AF86" s="22" t="str">
        <f>IFERROR(INDEX(TableWRCalcPts[TM],MATCH(TableWRRanks3242[[#This Row],[Player]],TableWRCalcPts[PLAYER],0)),"")</f>
        <v>GB</v>
      </c>
      <c r="AG86" s="22">
        <f>IFERROR(INDEX(TableWRCalcPts[BYE],MATCH(TableWRRanks3242[[#This Row],[RK]],TableWRCalcPts[RK],0)),"")</f>
        <v>9</v>
      </c>
      <c r="AH86" s="279">
        <f>VLOOKUP(TableWRRanks3242[[#This Row],[Player]],WR!B:O,4,FALSE)</f>
        <v>6.466533771694202</v>
      </c>
      <c r="AI86" s="279">
        <f>VLOOKUP(TableWRRanks3242[[#This Row],[Player]],WR!B:O,5,FALSE)</f>
        <v>0</v>
      </c>
      <c r="AJ86" s="279">
        <f>VLOOKUP(TableWRRanks3242[[#This Row],[Player]],WR!B:O,6,FALSE)</f>
        <v>58.065528219999976</v>
      </c>
      <c r="AK86" s="279">
        <f>VLOOKUP(TableWRRanks3242[[#This Row],[Player]],WR!B:O,7,FALSE)</f>
        <v>38.950356329975982</v>
      </c>
      <c r="AL86" s="279">
        <f>VLOOKUP(TableWRRanks3242[[#This Row],[Player]],WR!B:O,8,FALSE)</f>
        <v>462.93970934702071</v>
      </c>
      <c r="AM86" s="279">
        <f>VLOOKUP(TableWRRanks3242[[#This Row],[Player]],WR!B:O,9,FALSE)</f>
        <v>4.5961420469371657</v>
      </c>
      <c r="AN86" s="272">
        <f>VLOOKUP(TableWRRanks3242[[#This Row],[Player]],WR!B:O,13,FALSE)</f>
        <v>74.517476593494493</v>
      </c>
      <c r="AO86" s="273">
        <f>IF(VLOOKUP(TableWRRanks3242[[#This Row],[RK]],'Ranks w Proj'!AD:AO,12,FALSE)&lt;0,0,VLOOKUP(TableWRRanks3242[[#This Row],[RK]],'Ranks w Proj'!AD:AO,12,FALSE))</f>
        <v>0</v>
      </c>
      <c r="AQ86" s="22">
        <v>85</v>
      </c>
      <c r="AR86" s="274" t="str">
        <f>VLOOKUP(TableTERanks3343[[#This Row],[RK]],Rankings!A:Q,15,FALSE)</f>
        <v>Ko Kieft</v>
      </c>
      <c r="AS86" s="22" t="str">
        <f>IFERROR(INDEX(TableTECalcPts[TM],MATCH(TableTERanks3343[[#This Row],[Player]],TableTECalcPts[PLAYER],0)),"")</f>
        <v>TB</v>
      </c>
      <c r="AT86" s="22">
        <f>IFERROR(INDEX(TableTECalcPts[BYE],MATCH(TableTERanks3343[[#This Row],[RK]],TableTECalcPts[RK],0)),"")</f>
        <v>11</v>
      </c>
      <c r="AU86" s="279">
        <f>VLOOKUP(TableTERanks3343[[#This Row],[Player]],TE!B:O,4,FALSE)</f>
        <v>7.0739045384182111</v>
      </c>
      <c r="AV86" s="279">
        <f>VLOOKUP(TableTERanks3343[[#This Row],[Player]],TE!B:O,5,FALSE)</f>
        <v>4.2351466471509829</v>
      </c>
      <c r="AW86" s="279">
        <f>VLOOKUP(TableTERanks3343[[#This Row],[Player]],TE!B:O,6,FALSE)</f>
        <v>42.478520870924356</v>
      </c>
      <c r="AX86" s="279">
        <f>VLOOKUP(TableTERanks3343[[#This Row],[Player]],TE!B:O,7,FALSE)</f>
        <v>0.30493055859487073</v>
      </c>
      <c r="AY86" s="272">
        <f>VLOOKUP(TableTERanks3343[[#This Row],[Player]],TE!B:O,11,FALSE)</f>
        <v>6.0774354386616594</v>
      </c>
      <c r="AZ86" s="273">
        <f>IF(VLOOKUP(TableTERanks3343[[#This Row],[RK]],'Ranks w Proj'!AQ:AZ,10,FALSE)&lt;0,0,VLOOKUP(TableTERanks3343[[#This Row],[RK]],'Ranks w Proj'!AQ:AZ,10,FALSE))</f>
        <v>0</v>
      </c>
    </row>
    <row r="87" spans="16:52" x14ac:dyDescent="0.3">
      <c r="P87" s="22">
        <v>86</v>
      </c>
      <c r="Q87" s="22" t="str">
        <f>VLOOKUP(TableRBRanks3141[[#This Row],[RK]],Rankings!A:Q,7,FALSE)</f>
        <v>Demetric Felton</v>
      </c>
      <c r="R87" s="22" t="str">
        <f>IFERROR(INDEX(TableRBCalcPts[TM],MATCH(TableRBRanks3141[[#This Row],[Player]],TableRBCalcPts[PLAYER],0)),"")</f>
        <v>CLE</v>
      </c>
      <c r="S87" s="22">
        <f>IFERROR(INDEX(TableRBCalcPts[BYE],MATCH(TableRBRanks3141[[#This Row],[RK]],TableRBCalcPts[RK],0)),"")</f>
        <v>11</v>
      </c>
      <c r="T87" s="279">
        <f>VLOOKUP(TableRBRanks3141[[#This Row],[Player]],RB!B:O,4,FALSE)</f>
        <v>0.39578932627729491</v>
      </c>
      <c r="U87" s="279">
        <f>VLOOKUP(TableRBRanks3141[[#This Row],[Player]],RB!B:O,5,FALSE)</f>
        <v>1.7674561516963172</v>
      </c>
      <c r="V87" s="279">
        <f>VLOOKUP(TableRBRanks3141[[#This Row],[Player]],RB!B:O,6,FALSE)</f>
        <v>1.0963364337881068E-2</v>
      </c>
      <c r="W87" s="279">
        <f>VLOOKUP(TableRBRanks3141[[#This Row],[Player]],RB!B:O,7,FALSE)</f>
        <v>20.873073927383746</v>
      </c>
      <c r="X87" s="279">
        <f>VLOOKUP(TableRBRanks3141[[#This Row],[Player]],RB!B:O,8,FALSE)</f>
        <v>15.483646239333263</v>
      </c>
      <c r="Y87" s="279">
        <f>VLOOKUP(TableRBRanks3141[[#This Row],[Player]],RB!B:O,9,FALSE)</f>
        <v>127.89491793689275</v>
      </c>
      <c r="Z87" s="279">
        <f>VLOOKUP(TableRBRanks3141[[#This Row],[Player]],RB!B:O,10,FALSE)</f>
        <v>1.0745635040660515</v>
      </c>
      <c r="AA87" s="272">
        <f>VLOOKUP(TableRBRanks3141[[#This Row],[Player]],RB!B:O,14,FALSE)</f>
        <v>19.479398619282502</v>
      </c>
      <c r="AB87" s="273">
        <f>IF(VLOOKUP(TableRBRanks3141[[#This Row],[RK]],'Ranks w Proj'!$P:$AB,13,FALSE)&lt;0,0,VLOOKUP(TableRBRanks3141[[#This Row],[RK]],'Ranks w Proj'!$P:$AB,13,FALSE))</f>
        <v>0</v>
      </c>
      <c r="AD87" s="274">
        <v>86</v>
      </c>
      <c r="AE87" s="274" t="str">
        <f>VLOOKUP(TableWRRanks3242[[#This Row],[RK]],Rankings!A:Q,11,FALSE)</f>
        <v>Kendrick Bourne</v>
      </c>
      <c r="AF87" s="22" t="str">
        <f>IFERROR(INDEX(TableWRCalcPts[TM],MATCH(TableWRRanks3242[[#This Row],[Player]],TableWRCalcPts[PLAYER],0)),"")</f>
        <v>NE</v>
      </c>
      <c r="AG87" s="22">
        <f>IFERROR(INDEX(TableWRCalcPts[BYE],MATCH(TableWRRanks3242[[#This Row],[RK]],TableWRCalcPts[RK],0)),"")</f>
        <v>8</v>
      </c>
      <c r="AH87" s="279">
        <f>VLOOKUP(TableWRRanks3242[[#This Row],[Player]],WR!B:O,4,FALSE)</f>
        <v>34.637356838689826</v>
      </c>
      <c r="AI87" s="279">
        <f>VLOOKUP(TableWRRanks3242[[#This Row],[Player]],WR!B:O,5,FALSE)</f>
        <v>0.24208905317363857</v>
      </c>
      <c r="AJ87" s="279">
        <f>VLOOKUP(TableWRRanks3242[[#This Row],[Player]],WR!B:O,6,FALSE)</f>
        <v>51.444880963410057</v>
      </c>
      <c r="AK87" s="279">
        <f>VLOOKUP(TableWRRanks3242[[#This Row],[Player]],WR!B:O,7,FALSE)</f>
        <v>37.333550115146679</v>
      </c>
      <c r="AL87" s="279">
        <f>VLOOKUP(TableWRRanks3242[[#This Row],[Player]],WR!B:O,8,FALSE)</f>
        <v>483.096138489998</v>
      </c>
      <c r="AM87" s="279">
        <f>VLOOKUP(TableWRRanks3242[[#This Row],[Player]],WR!B:O,9,FALSE)</f>
        <v>3.2390655140519056</v>
      </c>
      <c r="AN87" s="272">
        <f>VLOOKUP(TableWRRanks3242[[#This Row],[Player]],WR!B:O,13,FALSE)</f>
        <v>72.660276936222047</v>
      </c>
      <c r="AO87" s="273">
        <f>IF(VLOOKUP(TableWRRanks3242[[#This Row],[RK]],'Ranks w Proj'!AD:AO,12,FALSE)&lt;0,0,VLOOKUP(TableWRRanks3242[[#This Row],[RK]],'Ranks w Proj'!AD:AO,12,FALSE))</f>
        <v>0</v>
      </c>
      <c r="AQ87" s="274">
        <v>86</v>
      </c>
      <c r="AR87" s="22" t="str">
        <f>VLOOKUP(TableTERanks3343[[#This Row],[RK]],Rankings!A:Q,15,FALSE)</f>
        <v>Jalen Wydermyer</v>
      </c>
      <c r="AS87" s="22" t="str">
        <f>IFERROR(INDEX(TableTECalcPts[TM],MATCH(TableTERanks3343[[#This Row],[Player]],TableTECalcPts[PLAYER],0)),"")</f>
        <v>BUF</v>
      </c>
      <c r="AT87" s="22">
        <f>IFERROR(INDEX(TableTECalcPts[BYE],MATCH(TableTERanks3343[[#This Row],[RK]],TableTECalcPts[RK],0)),"")</f>
        <v>11</v>
      </c>
      <c r="AU87" s="279">
        <f>VLOOKUP(TableTERanks3343[[#This Row],[Player]],TE!B:O,4,FALSE)</f>
        <v>6.3119523688160069</v>
      </c>
      <c r="AV87" s="279">
        <f>VLOOKUP(TableTERanks3343[[#This Row],[Player]],TE!B:O,5,FALSE)</f>
        <v>3.7997953260272359</v>
      </c>
      <c r="AW87" s="279">
        <f>VLOOKUP(TableTERanks3343[[#This Row],[Player]],TE!B:O,6,FALSE)</f>
        <v>36.49803405263004</v>
      </c>
      <c r="AX87" s="279">
        <f>VLOOKUP(TableTERanks3343[[#This Row],[Player]],TE!B:O,7,FALSE)</f>
        <v>0.26665230358085867</v>
      </c>
      <c r="AY87" s="272">
        <f>VLOOKUP(TableTERanks3343[[#This Row],[Player]],TE!B:O,11,FALSE)</f>
        <v>5.2497172267481558</v>
      </c>
      <c r="AZ87" s="273">
        <f>IF(VLOOKUP(TableTERanks3343[[#This Row],[RK]],'Ranks w Proj'!AQ:AZ,10,FALSE)&lt;0,0,VLOOKUP(TableTERanks3343[[#This Row],[RK]],'Ranks w Proj'!AQ:AZ,10,FALSE))</f>
        <v>0</v>
      </c>
    </row>
    <row r="88" spans="16:52" x14ac:dyDescent="0.3">
      <c r="P88" s="22">
        <v>87</v>
      </c>
      <c r="Q88" s="22" t="str">
        <f>VLOOKUP(TableRBRanks3141[[#This Row],[RK]],Rankings!A:Q,7,FALSE)</f>
        <v>Jeff Wilson</v>
      </c>
      <c r="R88" s="22" t="str">
        <f>IFERROR(INDEX(TableRBCalcPts[TM],MATCH(TableRBRanks3141[[#This Row],[Player]],TableRBCalcPts[PLAYER],0)),"")</f>
        <v>SF</v>
      </c>
      <c r="S88" s="22">
        <f>IFERROR(INDEX(TableRBCalcPts[BYE],MATCH(TableRBRanks3141[[#This Row],[RK]],TableRBCalcPts[RK],0)),"")</f>
        <v>9</v>
      </c>
      <c r="T88" s="279">
        <f>VLOOKUP(TableRBRanks3141[[#This Row],[Player]],RB!B:O,4,FALSE)</f>
        <v>28.963730247733729</v>
      </c>
      <c r="U88" s="279">
        <f>VLOOKUP(TableRBRanks3141[[#This Row],[Player]],RB!B:O,5,FALSE)</f>
        <v>114.40673447854823</v>
      </c>
      <c r="V88" s="279">
        <f>VLOOKUP(TableRBRanks3141[[#This Row],[Player]],RB!B:O,6,FALSE)</f>
        <v>1.1937025940378592</v>
      </c>
      <c r="W88" s="279">
        <f>VLOOKUP(TableRBRanks3141[[#This Row],[Player]],RB!B:O,7,FALSE)</f>
        <v>7.1252449077148734</v>
      </c>
      <c r="X88" s="279">
        <f>VLOOKUP(TableRBRanks3141[[#This Row],[Player]],RB!B:O,8,FALSE)</f>
        <v>4.930669476138692</v>
      </c>
      <c r="Y88" s="279">
        <f>VLOOKUP(TableRBRanks3141[[#This Row],[Player]],RB!B:O,9,FALSE)</f>
        <v>31.049879091805149</v>
      </c>
      <c r="Z88" s="279">
        <f>VLOOKUP(TableRBRanks3141[[#This Row],[Player]],RB!B:O,10,FALSE)</f>
        <v>7.8154703543900139E-2</v>
      </c>
      <c r="AA88" s="272">
        <f>VLOOKUP(TableRBRanks3141[[#This Row],[Player]],RB!B:O,14,FALSE)</f>
        <v>22.176805142525897</v>
      </c>
      <c r="AB88" s="273">
        <f>IF(VLOOKUP(TableRBRanks3141[[#This Row],[RK]],'Ranks w Proj'!$P:$AB,13,FALSE)&lt;0,0,VLOOKUP(TableRBRanks3141[[#This Row],[RK]],'Ranks w Proj'!$P:$AB,13,FALSE))</f>
        <v>0</v>
      </c>
      <c r="AD88" s="22">
        <v>87</v>
      </c>
      <c r="AE88" s="274" t="str">
        <f>VLOOKUP(TableWRRanks3242[[#This Row],[RK]],Rankings!A:Q,11,FALSE)</f>
        <v>David Bell</v>
      </c>
      <c r="AF88" s="22" t="str">
        <f>IFERROR(INDEX(TableWRCalcPts[TM],MATCH(TableWRRanks3242[[#This Row],[Player]],TableWRCalcPts[PLAYER],0)),"")</f>
        <v>CLE</v>
      </c>
      <c r="AG88" s="22">
        <f>IFERROR(INDEX(TableWRCalcPts[BYE],MATCH(TableWRRanks3242[[#This Row],[RK]],TableWRCalcPts[RK],0)),"")</f>
        <v>10</v>
      </c>
      <c r="AH88" s="279">
        <f>VLOOKUP(TableWRRanks3242[[#This Row],[Player]],WR!B:O,4,FALSE)</f>
        <v>0</v>
      </c>
      <c r="AI88" s="279">
        <f>VLOOKUP(TableWRRanks3242[[#This Row],[Player]],WR!B:O,5,FALSE)</f>
        <v>0</v>
      </c>
      <c r="AJ88" s="279">
        <f>VLOOKUP(TableWRRanks3242[[#This Row],[Player]],WR!B:O,6,FALSE)</f>
        <v>49.18494187276265</v>
      </c>
      <c r="AK88" s="279">
        <f>VLOOKUP(TableWRRanks3242[[#This Row],[Player]],WR!B:O,7,FALSE)</f>
        <v>32.088256077790355</v>
      </c>
      <c r="AL88" s="279">
        <f>VLOOKUP(TableWRRanks3242[[#This Row],[Player]],WR!B:O,8,FALSE)</f>
        <v>419.39350693671997</v>
      </c>
      <c r="AM88" s="279">
        <f>VLOOKUP(TableWRRanks3242[[#This Row],[Player]],WR!B:O,9,FALSE)</f>
        <v>2.6312369983788093</v>
      </c>
      <c r="AN88" s="272">
        <f>VLOOKUP(TableWRRanks3242[[#This Row],[Player]],WR!B:O,13,FALSE)</f>
        <v>57.726772683944851</v>
      </c>
      <c r="AO88" s="273">
        <f>IF(VLOOKUP(TableWRRanks3242[[#This Row],[RK]],'Ranks w Proj'!AD:AO,12,FALSE)&lt;0,0,VLOOKUP(TableWRRanks3242[[#This Row],[RK]],'Ranks w Proj'!AD:AO,12,FALSE))</f>
        <v>0</v>
      </c>
      <c r="AQ88" s="22">
        <v>87</v>
      </c>
      <c r="AR88" s="274" t="str">
        <f>VLOOKUP(TableTERanks3343[[#This Row],[RK]],Rankings!A:Q,15,FALSE)</f>
        <v>Teagan Quitoriano</v>
      </c>
      <c r="AS88" s="22" t="str">
        <f>IFERROR(INDEX(TableTECalcPts[TM],MATCH(TableTERanks3343[[#This Row],[Player]],TableTECalcPts[PLAYER],0)),"")</f>
        <v>HOU</v>
      </c>
      <c r="AT88" s="22">
        <f>IFERROR(INDEX(TableTECalcPts[BYE],MATCH(TableTERanks3343[[#This Row],[RK]],TableTECalcPts[RK],0)),"")</f>
        <v>7</v>
      </c>
      <c r="AU88" s="279">
        <f>VLOOKUP(TableTERanks3343[[#This Row],[Player]],TE!B:O,4,FALSE)</f>
        <v>5.9878597763080101</v>
      </c>
      <c r="AV88" s="279">
        <f>VLOOKUP(TableTERanks3343[[#This Row],[Player]],TE!B:O,5,FALSE)</f>
        <v>3.9446650202896953</v>
      </c>
      <c r="AW88" s="279">
        <f>VLOOKUP(TableTERanks3343[[#This Row],[Player]],TE!B:O,6,FALSE)</f>
        <v>39.486096853099852</v>
      </c>
      <c r="AX88" s="279">
        <f>VLOOKUP(TableTERanks3343[[#This Row],[Player]],TE!B:O,7,FALSE)</f>
        <v>0.19723325101448477</v>
      </c>
      <c r="AY88" s="272">
        <f>VLOOKUP(TableTERanks3343[[#This Row],[Player]],TE!B:O,11,FALSE)</f>
        <v>5.1320091913968939</v>
      </c>
      <c r="AZ88" s="273">
        <f>IF(VLOOKUP(TableTERanks3343[[#This Row],[RK]],'Ranks w Proj'!AQ:AZ,10,FALSE)&lt;0,0,VLOOKUP(TableTERanks3343[[#This Row],[RK]],'Ranks w Proj'!AQ:AZ,10,FALSE))</f>
        <v>0</v>
      </c>
    </row>
    <row r="89" spans="16:52" x14ac:dyDescent="0.3">
      <c r="P89" s="22">
        <v>88</v>
      </c>
      <c r="Q89" s="22" t="str">
        <f>VLOOKUP(TableRBRanks3141[[#This Row],[RK]],Rankings!A:Q,7,FALSE)</f>
        <v>Jashaun Corbin</v>
      </c>
      <c r="R89" s="22" t="str">
        <f>IFERROR(INDEX(TableRBCalcPts[TM],MATCH(TableRBRanks3141[[#This Row],[Player]],TableRBCalcPts[PLAYER],0)),"")</f>
        <v>NYG</v>
      </c>
      <c r="S89" s="22">
        <f>IFERROR(INDEX(TableRBCalcPts[BYE],MATCH(TableRBRanks3141[[#This Row],[RK]],TableRBCalcPts[RK],0)),"")</f>
        <v>11</v>
      </c>
      <c r="T89" s="279">
        <f>VLOOKUP(TableRBRanks3141[[#This Row],[Player]],RB!B:O,4,FALSE)</f>
        <v>25.22656814915705</v>
      </c>
      <c r="U89" s="279">
        <f>VLOOKUP(TableRBRanks3141[[#This Row],[Player]],RB!B:O,5,FALSE)</f>
        <v>104.94252350049334</v>
      </c>
      <c r="V89" s="279">
        <f>VLOOKUP(TableRBRanks3141[[#This Row],[Player]],RB!B:O,6,FALSE)</f>
        <v>0.68550456927057202</v>
      </c>
      <c r="W89" s="279">
        <f>VLOOKUP(TableRBRanks3141[[#This Row],[Player]],RB!B:O,7,FALSE)</f>
        <v>12.09667938456297</v>
      </c>
      <c r="X89" s="279">
        <f>VLOOKUP(TableRBRanks3141[[#This Row],[Player]],RB!B:O,8,FALSE)</f>
        <v>7.60518232907474</v>
      </c>
      <c r="Y89" s="279">
        <f>VLOOKUP(TableRBRanks3141[[#This Row],[Player]],RB!B:O,9,FALSE)</f>
        <v>53.298613863597566</v>
      </c>
      <c r="Z89" s="279">
        <f>VLOOKUP(TableRBRanks3141[[#This Row],[Player]],RB!B:O,10,FALSE)</f>
        <v>0.18701268022314937</v>
      </c>
      <c r="AA89" s="272">
        <f>VLOOKUP(TableRBRanks3141[[#This Row],[Player]],RB!B:O,14,FALSE)</f>
        <v>21.05921723337142</v>
      </c>
      <c r="AB89" s="273">
        <f>IF(VLOOKUP(TableRBRanks3141[[#This Row],[RK]],'Ranks w Proj'!$P:$AB,13,FALSE)&lt;0,0,VLOOKUP(TableRBRanks3141[[#This Row],[RK]],'Ranks w Proj'!$P:$AB,13,FALSE))</f>
        <v>0</v>
      </c>
      <c r="AD89" s="22">
        <v>88</v>
      </c>
      <c r="AE89" s="274" t="str">
        <f>VLOOKUP(TableWRRanks3242[[#This Row],[RK]],Rankings!A:Q,11,FALSE)</f>
        <v>Jalen Guyton</v>
      </c>
      <c r="AF89" s="22" t="str">
        <f>IFERROR(INDEX(TableWRCalcPts[TM],MATCH(TableWRRanks3242[[#This Row],[Player]],TableWRCalcPts[PLAYER],0)),"")</f>
        <v>LAC</v>
      </c>
      <c r="AG89" s="22">
        <f>IFERROR(INDEX(TableWRCalcPts[BYE],MATCH(TableWRRanks3242[[#This Row],[RK]],TableWRCalcPts[RK],0)),"")</f>
        <v>11</v>
      </c>
      <c r="AH89" s="279">
        <f>VLOOKUP(TableWRRanks3242[[#This Row],[Player]],WR!B:O,4,FALSE)</f>
        <v>42.385595758172137</v>
      </c>
      <c r="AI89" s="279">
        <f>VLOOKUP(TableWRRanks3242[[#This Row],[Player]],WR!B:O,5,FALSE)</f>
        <v>6.6676518048376002E-2</v>
      </c>
      <c r="AJ89" s="279">
        <f>VLOOKUP(TableWRRanks3242[[#This Row],[Player]],WR!B:O,6,FALSE)</f>
        <v>48.309846057508921</v>
      </c>
      <c r="AK89" s="279">
        <f>VLOOKUP(TableWRRanks3242[[#This Row],[Player]],WR!B:O,7,FALSE)</f>
        <v>32.814128914521049</v>
      </c>
      <c r="AL89" s="279">
        <f>VLOOKUP(TableWRRanks3242[[#This Row],[Player]],WR!B:O,8,FALSE)</f>
        <v>472.40138083379622</v>
      </c>
      <c r="AM89" s="279">
        <f>VLOOKUP(TableWRRanks3242[[#This Row],[Player]],WR!B:O,9,FALSE)</f>
        <v>2.8694079597913409</v>
      </c>
      <c r="AN89" s="272">
        <f>VLOOKUP(TableWRRanks3242[[#This Row],[Player]],WR!B:O,13,FALSE)</f>
        <v>69.095204526235136</v>
      </c>
      <c r="AO89" s="273">
        <f>IF(VLOOKUP(TableWRRanks3242[[#This Row],[RK]],'Ranks w Proj'!AD:AO,12,FALSE)&lt;0,0,VLOOKUP(TableWRRanks3242[[#This Row],[RK]],'Ranks w Proj'!AD:AO,12,FALSE))</f>
        <v>0</v>
      </c>
      <c r="AQ89" s="22">
        <v>88</v>
      </c>
      <c r="AR89" s="22" t="str">
        <f>VLOOKUP(TableTERanks3343[[#This Row],[RK]],Rankings!A:Q,15,FALSE)</f>
        <v>Cole Turner</v>
      </c>
      <c r="AS89" s="22" t="str">
        <f>IFERROR(INDEX(TableTECalcPts[TM],MATCH(TableTERanks3343[[#This Row],[Player]],TableTECalcPts[PLAYER],0)),"")</f>
        <v>WSH</v>
      </c>
      <c r="AT89" s="22">
        <f>IFERROR(INDEX(TableTECalcPts[BYE],MATCH(TableTERanks3343[[#This Row],[RK]],TableTECalcPts[RK],0)),"")</f>
        <v>10</v>
      </c>
      <c r="AU89" s="279">
        <f>VLOOKUP(TableTERanks3343[[#This Row],[Player]],TE!B:O,4,FALSE)</f>
        <v>6.1666218534851112</v>
      </c>
      <c r="AV89" s="279">
        <f>VLOOKUP(TableTERanks3343[[#This Row],[Player]],TE!B:O,5,FALSE)</f>
        <v>3.8109723054537987</v>
      </c>
      <c r="AW89" s="279">
        <f>VLOOKUP(TableTERanks3343[[#This Row],[Player]],TE!B:O,6,FALSE)</f>
        <v>38.730113894960702</v>
      </c>
      <c r="AX89" s="279">
        <f>VLOOKUP(TableTERanks3343[[#This Row],[Player]],TE!B:O,7,FALSE)</f>
        <v>0.17725452583506041</v>
      </c>
      <c r="AY89" s="272">
        <f>VLOOKUP(TableTERanks3343[[#This Row],[Player]],TE!B:O,11,FALSE)</f>
        <v>4.9365385445064334</v>
      </c>
      <c r="AZ89" s="273">
        <f>IF(VLOOKUP(TableTERanks3343[[#This Row],[RK]],'Ranks w Proj'!AQ:AZ,10,FALSE)&lt;0,0,VLOOKUP(TableTERanks3343[[#This Row],[RK]],'Ranks w Proj'!AQ:AZ,10,FALSE))</f>
        <v>0</v>
      </c>
    </row>
    <row r="90" spans="16:52" x14ac:dyDescent="0.3">
      <c r="P90" s="22">
        <v>89</v>
      </c>
      <c r="Q90" s="22" t="str">
        <f>VLOOKUP(TableRBRanks3141[[#This Row],[RK]],Rankings!A:Q,7,FALSE)</f>
        <v>ZaQuandre White</v>
      </c>
      <c r="R90" s="22" t="str">
        <f>IFERROR(INDEX(TableRBCalcPts[TM],MATCH(TableRBRanks3141[[#This Row],[Player]],TableRBCalcPts[PLAYER],0)),"")</f>
        <v>MIA</v>
      </c>
      <c r="S90" s="22">
        <f>IFERROR(INDEX(TableRBCalcPts[BYE],MATCH(TableRBRanks3141[[#This Row],[RK]],TableRBCalcPts[RK],0)),"")</f>
        <v>9</v>
      </c>
      <c r="T90" s="279">
        <f>VLOOKUP(TableRBRanks3141[[#This Row],[Player]],RB!B:O,4,FALSE)</f>
        <v>28.585114638306518</v>
      </c>
      <c r="U90" s="279">
        <f>VLOOKUP(TableRBRanks3141[[#This Row],[Player]],RB!B:O,5,FALSE)</f>
        <v>116.62726772429059</v>
      </c>
      <c r="V90" s="279">
        <f>VLOOKUP(TableRBRanks3141[[#This Row],[Player]],RB!B:O,6,FALSE)</f>
        <v>0.69933002173226955</v>
      </c>
      <c r="W90" s="279">
        <f>VLOOKUP(TableRBRanks3141[[#This Row],[Player]],RB!B:O,7,FALSE)</f>
        <v>10.709804669999999</v>
      </c>
      <c r="X90" s="279">
        <f>VLOOKUP(TableRBRanks3141[[#This Row],[Player]],RB!B:O,8,FALSE)</f>
        <v>7.2291181522499981</v>
      </c>
      <c r="Y90" s="279">
        <f>VLOOKUP(TableRBRanks3141[[#This Row],[Player]],RB!B:O,9,FALSE)</f>
        <v>49.158003435299989</v>
      </c>
      <c r="Z90" s="279">
        <f>VLOOKUP(TableRBRanks3141[[#This Row],[Player]],RB!B:O,10,FALSE)</f>
        <v>0.24579001717649995</v>
      </c>
      <c r="AA90" s="272">
        <f>VLOOKUP(TableRBRanks3141[[#This Row],[Player]],RB!B:O,14,FALSE)</f>
        <v>22.249247349411675</v>
      </c>
      <c r="AB90" s="273">
        <f>IF(VLOOKUP(TableRBRanks3141[[#This Row],[RK]],'Ranks w Proj'!$P:$AB,13,FALSE)&lt;0,0,VLOOKUP(TableRBRanks3141[[#This Row],[RK]],'Ranks w Proj'!$P:$AB,13,FALSE))</f>
        <v>0</v>
      </c>
      <c r="AD90" s="274">
        <v>89</v>
      </c>
      <c r="AE90" s="22" t="str">
        <f>VLOOKUP(TableWRRanks3242[[#This Row],[RK]],Rankings!A:Q,11,FALSE)</f>
        <v>Corey Davis</v>
      </c>
      <c r="AF90" s="22" t="str">
        <f>IFERROR(INDEX(TableWRCalcPts[TM],MATCH(TableWRRanks3242[[#This Row],[Player]],TableWRCalcPts[PLAYER],0)),"")</f>
        <v>NYJ</v>
      </c>
      <c r="AG90" s="22">
        <f>IFERROR(INDEX(TableWRCalcPts[BYE],MATCH(TableWRRanks3242[[#This Row],[RK]],TableWRCalcPts[RK],0)),"")</f>
        <v>13</v>
      </c>
      <c r="AH90" s="279">
        <f>VLOOKUP(TableWRRanks3242[[#This Row],[Player]],WR!B:O,4,FALSE)</f>
        <v>0</v>
      </c>
      <c r="AI90" s="279">
        <f>VLOOKUP(TableWRRanks3242[[#This Row],[Player]],WR!B:O,5,FALSE)</f>
        <v>0</v>
      </c>
      <c r="AJ90" s="279">
        <f>VLOOKUP(TableWRRanks3242[[#This Row],[Player]],WR!B:O,6,FALSE)</f>
        <v>64.165580341604581</v>
      </c>
      <c r="AK90" s="279">
        <f>VLOOKUP(TableWRRanks3242[[#This Row],[Player]],WR!B:O,7,FALSE)</f>
        <v>36.150887964460019</v>
      </c>
      <c r="AL90" s="279">
        <f>VLOOKUP(TableWRRanks3242[[#This Row],[Player]],WR!B:O,8,FALSE)</f>
        <v>477.19172113087222</v>
      </c>
      <c r="AM90" s="279">
        <f>VLOOKUP(TableWRRanks3242[[#This Row],[Player]],WR!B:O,9,FALSE)</f>
        <v>2.9282219251212616</v>
      </c>
      <c r="AN90" s="272">
        <f>VLOOKUP(TableWRRanks3242[[#This Row],[Player]],WR!B:O,13,FALSE)</f>
        <v>65.288503663814794</v>
      </c>
      <c r="AO90" s="273">
        <f>IF(VLOOKUP(TableWRRanks3242[[#This Row],[RK]],'Ranks w Proj'!AD:AO,12,FALSE)&lt;0,0,VLOOKUP(TableWRRanks3242[[#This Row],[RK]],'Ranks w Proj'!AD:AO,12,FALSE))</f>
        <v>0</v>
      </c>
      <c r="AQ90" s="274">
        <v>89</v>
      </c>
      <c r="AR90" s="274" t="str">
        <f>VLOOKUP(TableTERanks3343[[#This Row],[RK]],Rankings!A:Q,15,FALSE)</f>
        <v>Devin Asiasi</v>
      </c>
      <c r="AS90" s="22" t="str">
        <f>IFERROR(INDEX(TableTECalcPts[TM],MATCH(TableTERanks3343[[#This Row],[Player]],TableTECalcPts[PLAYER],0)),"")</f>
        <v>NE</v>
      </c>
      <c r="AT90" s="22">
        <f>IFERROR(INDEX(TableTECalcPts[BYE],MATCH(TableTERanks3343[[#This Row],[RK]],TableTECalcPts[RK],0)),"")</f>
        <v>6</v>
      </c>
      <c r="AU90" s="279">
        <f>VLOOKUP(TableTERanks3343[[#This Row],[Player]],TE!B:O,4,FALSE)</f>
        <v>5.2494776493275568</v>
      </c>
      <c r="AV90" s="279">
        <f>VLOOKUP(TableTERanks3343[[#This Row],[Player]],TE!B:O,5,FALSE)</f>
        <v>3.1601855448951892</v>
      </c>
      <c r="AW90" s="279">
        <f>VLOOKUP(TableTERanks3343[[#This Row],[Player]],TE!B:O,6,FALSE)</f>
        <v>39.897342504301754</v>
      </c>
      <c r="AX90" s="279">
        <f>VLOOKUP(TableTERanks3343[[#This Row],[Player]],TE!B:O,7,FALSE)</f>
        <v>0.19593150378350174</v>
      </c>
      <c r="AY90" s="272">
        <f>VLOOKUP(TableTERanks3343[[#This Row],[Player]],TE!B:O,11,FALSE)</f>
        <v>5.165323273131186</v>
      </c>
      <c r="AZ90" s="273">
        <f>IF(VLOOKUP(TableTERanks3343[[#This Row],[RK]],'Ranks w Proj'!AQ:AZ,10,FALSE)&lt;0,0,VLOOKUP(TableTERanks3343[[#This Row],[RK]],'Ranks w Proj'!AQ:AZ,10,FALSE))</f>
        <v>0</v>
      </c>
    </row>
    <row r="91" spans="16:52" x14ac:dyDescent="0.3">
      <c r="P91" s="22">
        <v>90</v>
      </c>
      <c r="Q91" s="22" t="str">
        <f>VLOOKUP(TableRBRanks3141[[#This Row],[RK]],Rankings!A:Q,7,FALSE)</f>
        <v>Joshua Kelley</v>
      </c>
      <c r="R91" s="22" t="str">
        <f>IFERROR(INDEX(TableRBCalcPts[TM],MATCH(TableRBRanks3141[[#This Row],[Player]],TableRBCalcPts[PLAYER],0)),"")</f>
        <v>LAC</v>
      </c>
      <c r="S91" s="22">
        <f>IFERROR(INDEX(TableRBCalcPts[BYE],MATCH(TableRBRanks3141[[#This Row],[RK]],TableRBCalcPts[RK],0)),"")</f>
        <v>9</v>
      </c>
      <c r="T91" s="279">
        <f>VLOOKUP(TableRBRanks3141[[#This Row],[Player]],RB!B:O,4,FALSE)</f>
        <v>37.245723064339792</v>
      </c>
      <c r="U91" s="279">
        <f>VLOOKUP(TableRBRanks3141[[#This Row],[Player]],RB!B:O,5,FALSE)</f>
        <v>148.61043502671578</v>
      </c>
      <c r="V91" s="279">
        <f>VLOOKUP(TableRBRanks3141[[#This Row],[Player]],RB!B:O,6,FALSE)</f>
        <v>0.52080968304487962</v>
      </c>
      <c r="W91" s="279">
        <f>VLOOKUP(TableRBRanks3141[[#This Row],[Player]],RB!B:O,7,FALSE)</f>
        <v>9.5116046458928611</v>
      </c>
      <c r="X91" s="279">
        <f>VLOOKUP(TableRBRanks3141[[#This Row],[Player]],RB!B:O,8,FALSE)</f>
        <v>6.3917983220400032</v>
      </c>
      <c r="Y91" s="279">
        <f>VLOOKUP(TableRBRanks3141[[#This Row],[Player]],RB!B:O,9,FALSE)</f>
        <v>46.217280153657335</v>
      </c>
      <c r="Z91" s="279">
        <f>VLOOKUP(TableRBRanks3141[[#This Row],[Player]],RB!B:O,10,FALSE)</f>
        <v>5.2403265649919609E-2</v>
      </c>
      <c r="AA91" s="272">
        <f>VLOOKUP(TableRBRanks3141[[#This Row],[Player]],RB!B:O,14,FALSE)</f>
        <v>22.922049210206108</v>
      </c>
      <c r="AB91" s="273">
        <f>IF(VLOOKUP(TableRBRanks3141[[#This Row],[RK]],'Ranks w Proj'!$P:$AB,13,FALSE)&lt;0,0,VLOOKUP(TableRBRanks3141[[#This Row],[RK]],'Ranks w Proj'!$P:$AB,13,FALSE))</f>
        <v>0</v>
      </c>
      <c r="AD91" s="22">
        <v>90</v>
      </c>
      <c r="AE91" s="22" t="str">
        <f>VLOOKUP(TableWRRanks3242[[#This Row],[RK]],Rankings!A:Q,11,FALSE)</f>
        <v>Zay Jones</v>
      </c>
      <c r="AF91" s="22" t="str">
        <f>IFERROR(INDEX(TableWRCalcPts[TM],MATCH(TableWRRanks3242[[#This Row],[Player]],TableWRCalcPts[PLAYER],0)),"")</f>
        <v>JAX</v>
      </c>
      <c r="AG91" s="22">
        <f>IFERROR(INDEX(TableWRCalcPts[BYE],MATCH(TableWRRanks3242[[#This Row],[RK]],TableWRCalcPts[RK],0)),"")</f>
        <v>9</v>
      </c>
      <c r="AH91" s="279">
        <f>VLOOKUP(TableWRRanks3242[[#This Row],[Player]],WR!B:O,4,FALSE)</f>
        <v>1.8994210988340994</v>
      </c>
      <c r="AI91" s="279">
        <f>VLOOKUP(TableWRRanks3242[[#This Row],[Player]],WR!B:O,5,FALSE)</f>
        <v>0</v>
      </c>
      <c r="AJ91" s="279">
        <f>VLOOKUP(TableWRRanks3242[[#This Row],[Player]],WR!B:O,6,FALSE)</f>
        <v>64.167346639951845</v>
      </c>
      <c r="AK91" s="279">
        <f>VLOOKUP(TableWRRanks3242[[#This Row],[Player]],WR!B:O,7,FALSE)</f>
        <v>37.749650028283675</v>
      </c>
      <c r="AL91" s="279">
        <f>VLOOKUP(TableWRRanks3242[[#This Row],[Player]],WR!B:O,8,FALSE)</f>
        <v>475.26809385609147</v>
      </c>
      <c r="AM91" s="279">
        <f>VLOOKUP(TableWRRanks3242[[#This Row],[Player]],WR!B:O,9,FALSE)</f>
        <v>2.6424755019798574</v>
      </c>
      <c r="AN91" s="272">
        <f>VLOOKUP(TableWRRanks3242[[#This Row],[Player]],WR!B:O,13,FALSE)</f>
        <v>63.571604507371703</v>
      </c>
      <c r="AO91" s="273">
        <f>IF(VLOOKUP(TableWRRanks3242[[#This Row],[RK]],'Ranks w Proj'!AD:AO,12,FALSE)&lt;0,0,VLOOKUP(TableWRRanks3242[[#This Row],[RK]],'Ranks w Proj'!AD:AO,12,FALSE))</f>
        <v>0</v>
      </c>
      <c r="AQ91" s="22">
        <v>90</v>
      </c>
      <c r="AR91" s="274" t="str">
        <f>VLOOKUP(TableTERanks3343[[#This Row],[RK]],Rankings!A:Q,15,FALSE)</f>
        <v>Eric Tomlinson</v>
      </c>
      <c r="AS91" s="22" t="str">
        <f>IFERROR(INDEX(TableTECalcPts[TM],MATCH(TableTERanks3343[[#This Row],[Player]],TableTECalcPts[PLAYER],0)),"")</f>
        <v>DEN</v>
      </c>
      <c r="AT91" s="22">
        <f>IFERROR(INDEX(TableTECalcPts[BYE],MATCH(TableTERanks3343[[#This Row],[RK]],TableTECalcPts[RK],0)),"")</f>
        <v>14</v>
      </c>
      <c r="AU91" s="279">
        <f>VLOOKUP(TableTERanks3343[[#This Row],[Player]],TE!B:O,4,FALSE)</f>
        <v>5.426171364154369</v>
      </c>
      <c r="AV91" s="279">
        <f>VLOOKUP(TableTERanks3343[[#This Row],[Player]],TE!B:O,5,FALSE)</f>
        <v>3.2665551612209298</v>
      </c>
      <c r="AW91" s="279">
        <f>VLOOKUP(TableTERanks3343[[#This Row],[Player]],TE!B:O,6,FALSE)</f>
        <v>36.198764337611522</v>
      </c>
      <c r="AX91" s="279">
        <f>VLOOKUP(TableTERanks3343[[#This Row],[Player]],TE!B:O,7,FALSE)</f>
        <v>0.19999317313597526</v>
      </c>
      <c r="AY91" s="272">
        <f>VLOOKUP(TableTERanks3343[[#This Row],[Player]],TE!B:O,11,FALSE)</f>
        <v>4.8198354725770045</v>
      </c>
      <c r="AZ91" s="273">
        <f>IF(VLOOKUP(TableTERanks3343[[#This Row],[RK]],'Ranks w Proj'!AQ:AZ,10,FALSE)&lt;0,0,VLOOKUP(TableTERanks3343[[#This Row],[RK]],'Ranks w Proj'!AQ:AZ,10,FALSE))</f>
        <v>0</v>
      </c>
    </row>
    <row r="92" spans="16:52" x14ac:dyDescent="0.3">
      <c r="P92" s="22">
        <v>91</v>
      </c>
      <c r="Q92" s="22" t="str">
        <f>VLOOKUP(TableRBRanks3141[[#This Row],[RK]],Rankings!A:Q,7,FALSE)</f>
        <v>Ke'Shawn Vaughn</v>
      </c>
      <c r="R92" s="22" t="str">
        <f>IFERROR(INDEX(TableRBCalcPts[TM],MATCH(TableRBRanks3141[[#This Row],[Player]],TableRBCalcPts[PLAYER],0)),"")</f>
        <v>TB</v>
      </c>
      <c r="S92" s="22">
        <f>IFERROR(INDEX(TableRBCalcPts[BYE],MATCH(TableRBRanks3141[[#This Row],[RK]],TableRBCalcPts[RK],0)),"")</f>
        <v>9</v>
      </c>
      <c r="T92" s="279">
        <f>VLOOKUP(TableRBRanks3141[[#This Row],[Player]],RB!B:O,4,FALSE)</f>
        <v>21.340885382174388</v>
      </c>
      <c r="U92" s="279">
        <f>VLOOKUP(TableRBRanks3141[[#This Row],[Player]],RB!B:O,5,FALSE)</f>
        <v>93.899895681567315</v>
      </c>
      <c r="V92" s="279">
        <f>VLOOKUP(TableRBRanks3141[[#This Row],[Player]],RB!B:O,6,FALSE)</f>
        <v>0.94326713389210803</v>
      </c>
      <c r="W92" s="279">
        <f>VLOOKUP(TableRBRanks3141[[#This Row],[Player]],RB!B:O,7,FALSE)</f>
        <v>12.826651325733659</v>
      </c>
      <c r="X92" s="279">
        <f>VLOOKUP(TableRBRanks3141[[#This Row],[Player]],RB!B:O,8,FALSE)</f>
        <v>7.7229267632242351</v>
      </c>
      <c r="Y92" s="279">
        <f>VLOOKUP(TableRBRanks3141[[#This Row],[Player]],RB!B:O,9,FALSE)</f>
        <v>53.056506863350499</v>
      </c>
      <c r="Z92" s="279">
        <f>VLOOKUP(TableRBRanks3141[[#This Row],[Player]],RB!B:O,10,FALSE)</f>
        <v>0.23168780289672705</v>
      </c>
      <c r="AA92" s="272">
        <f>VLOOKUP(TableRBRanks3141[[#This Row],[Player]],RB!B:O,14,FALSE)</f>
        <v>21.745369875224792</v>
      </c>
      <c r="AB92" s="273">
        <f>IF(VLOOKUP(TableRBRanks3141[[#This Row],[RK]],'Ranks w Proj'!$P:$AB,13,FALSE)&lt;0,0,VLOOKUP(TableRBRanks3141[[#This Row],[RK]],'Ranks w Proj'!$P:$AB,13,FALSE))</f>
        <v>0</v>
      </c>
      <c r="AD92" s="22">
        <v>91</v>
      </c>
      <c r="AE92" s="274" t="str">
        <f>VLOOKUP(TableWRRanks3242[[#This Row],[RK]],Rankings!A:Q,11,FALSE)</f>
        <v>Wan'Dale Robinson</v>
      </c>
      <c r="AF92" s="22" t="str">
        <f>IFERROR(INDEX(TableWRCalcPts[TM],MATCH(TableWRRanks3242[[#This Row],[Player]],TableWRCalcPts[PLAYER],0)),"")</f>
        <v>NYG</v>
      </c>
      <c r="AG92" s="22">
        <f>IFERROR(INDEX(TableWRCalcPts[BYE],MATCH(TableWRRanks3242[[#This Row],[RK]],TableWRCalcPts[RK],0)),"")</f>
        <v>9</v>
      </c>
      <c r="AH92" s="279">
        <f>VLOOKUP(TableWRRanks3242[[#This Row],[Player]],WR!B:O,4,FALSE)</f>
        <v>32.283045687201621</v>
      </c>
      <c r="AI92" s="279">
        <f>VLOOKUP(TableWRRanks3242[[#This Row],[Player]],WR!B:O,5,FALSE)</f>
        <v>0.13340101523637032</v>
      </c>
      <c r="AJ92" s="279">
        <f>VLOOKUP(TableWRRanks3242[[#This Row],[Player]],WR!B:O,6,FALSE)</f>
        <v>52.620555322848908</v>
      </c>
      <c r="AK92" s="279">
        <f>VLOOKUP(TableWRRanks3242[[#This Row],[Player]],WR!B:O,7,FALSE)</f>
        <v>33.913947905576116</v>
      </c>
      <c r="AL92" s="279">
        <f>VLOOKUP(TableWRRanks3242[[#This Row],[Player]],WR!B:O,8,FALSE)</f>
        <v>376.44482175189489</v>
      </c>
      <c r="AM92" s="279">
        <f>VLOOKUP(TableWRRanks3242[[#This Row],[Player]],WR!B:O,9,FALSE)</f>
        <v>2.4078903012959039</v>
      </c>
      <c r="AN92" s="272">
        <f>VLOOKUP(TableWRRanks3242[[#This Row],[Player]],WR!B:O,13,FALSE)</f>
        <v>56.120534643103298</v>
      </c>
      <c r="AO92" s="273">
        <f>IF(VLOOKUP(TableWRRanks3242[[#This Row],[RK]],'Ranks w Proj'!AD:AO,12,FALSE)&lt;0,0,VLOOKUP(TableWRRanks3242[[#This Row],[RK]],'Ranks w Proj'!AD:AO,12,FALSE))</f>
        <v>0</v>
      </c>
      <c r="AQ92" s="22">
        <v>91</v>
      </c>
      <c r="AR92" s="274" t="str">
        <f>VLOOKUP(TableTERanks3343[[#This Row],[RK]],Rankings!A:Q,15,FALSE)</f>
        <v>James Mitchell</v>
      </c>
      <c r="AS92" s="22" t="str">
        <f>IFERROR(INDEX(TableTECalcPts[TM],MATCH(TableTERanks3343[[#This Row],[Player]],TableTECalcPts[PLAYER],0)),"")</f>
        <v>DET</v>
      </c>
      <c r="AT92" s="22">
        <f>IFERROR(INDEX(TableTECalcPts[BYE],MATCH(TableTERanks3343[[#This Row],[RK]],TableTECalcPts[RK],0)),"")</f>
        <v>9</v>
      </c>
      <c r="AU92" s="279">
        <f>VLOOKUP(TableTERanks3343[[#This Row],[Player]],TE!B:O,4,FALSE)</f>
        <v>6.3239060605794117</v>
      </c>
      <c r="AV92" s="279">
        <f>VLOOKUP(TableTERanks3343[[#This Row],[Player]],TE!B:O,5,FALSE)</f>
        <v>3.8069914484688052</v>
      </c>
      <c r="AW92" s="279">
        <f>VLOOKUP(TableTERanks3343[[#This Row],[Player]],TE!B:O,6,FALSE)</f>
        <v>32.131007825076715</v>
      </c>
      <c r="AX92" s="279">
        <f>VLOOKUP(TableTERanks3343[[#This Row],[Player]],TE!B:O,7,FALSE)</f>
        <v>0.16474378027071621</v>
      </c>
      <c r="AY92" s="272">
        <f>VLOOKUP(TableTERanks3343[[#This Row],[Player]],TE!B:O,11,FALSE)</f>
        <v>4.2015634641319686</v>
      </c>
      <c r="AZ92" s="273">
        <f>IF(VLOOKUP(TableTERanks3343[[#This Row],[RK]],'Ranks w Proj'!AQ:AZ,10,FALSE)&lt;0,0,VLOOKUP(TableTERanks3343[[#This Row],[RK]],'Ranks w Proj'!AQ:AZ,10,FALSE))</f>
        <v>0</v>
      </c>
    </row>
    <row r="93" spans="16:52" x14ac:dyDescent="0.3">
      <c r="P93" s="22">
        <v>92</v>
      </c>
      <c r="Q93" s="22" t="str">
        <f>VLOOKUP(TableRBRanks3141[[#This Row],[RK]],Rankings!A:Q,7,FALSE)</f>
        <v>Rico Dowdle</v>
      </c>
      <c r="R93" s="22" t="str">
        <f>IFERROR(INDEX(TableRBCalcPts[TM],MATCH(TableRBRanks3141[[#This Row],[Player]],TableRBCalcPts[PLAYER],0)),"")</f>
        <v>DAL</v>
      </c>
      <c r="S93" s="22">
        <f>IFERROR(INDEX(TableRBCalcPts[BYE],MATCH(TableRBRanks3141[[#This Row],[RK]],TableRBCalcPts[RK],0)),"")</f>
        <v>14</v>
      </c>
      <c r="T93" s="279">
        <f>VLOOKUP(TableRBRanks3141[[#This Row],[Player]],RB!B:O,4,FALSE)</f>
        <v>26.374427488827191</v>
      </c>
      <c r="U93" s="279">
        <f>VLOOKUP(TableRBRanks3141[[#This Row],[Player]],RB!B:O,5,FALSE)</f>
        <v>105.90568161353106</v>
      </c>
      <c r="V93" s="279">
        <f>VLOOKUP(TableRBRanks3141[[#This Row],[Player]],RB!B:O,6,FALSE)</f>
        <v>0.72793419869163045</v>
      </c>
      <c r="W93" s="279">
        <f>VLOOKUP(TableRBRanks3141[[#This Row],[Player]],RB!B:O,7,FALSE)</f>
        <v>9.1401353932548624</v>
      </c>
      <c r="X93" s="279">
        <f>VLOOKUP(TableRBRanks3141[[#This Row],[Player]],RB!B:O,8,FALSE)</f>
        <v>6.938276777019766</v>
      </c>
      <c r="Y93" s="279">
        <f>VLOOKUP(TableRBRanks3141[[#This Row],[Player]],RB!B:O,9,FALSE)</f>
        <v>44.189773483585782</v>
      </c>
      <c r="Z93" s="279">
        <f>VLOOKUP(TableRBRanks3141[[#This Row],[Player]],RB!B:O,10,FALSE)</f>
        <v>0.14841233747635865</v>
      </c>
      <c r="AA93" s="272">
        <f>VLOOKUP(TableRBRanks3141[[#This Row],[Player]],RB!B:O,14,FALSE)</f>
        <v>20.267624726719617</v>
      </c>
      <c r="AB93" s="273">
        <f>IF(VLOOKUP(TableRBRanks3141[[#This Row],[RK]],'Ranks w Proj'!$P:$AB,13,FALSE)&lt;0,0,VLOOKUP(TableRBRanks3141[[#This Row],[RK]],'Ranks w Proj'!$P:$AB,13,FALSE))</f>
        <v>0</v>
      </c>
      <c r="AD93" s="274">
        <v>92</v>
      </c>
      <c r="AE93" s="22" t="str">
        <f>VLOOKUP(TableWRRanks3242[[#This Row],[RK]],Rankings!A:Q,11,FALSE)</f>
        <v>Velus Jones</v>
      </c>
      <c r="AF93" s="22" t="str">
        <f>IFERROR(INDEX(TableWRCalcPts[TM],MATCH(TableWRRanks3242[[#This Row],[Player]],TableWRCalcPts[PLAYER],0)),"")</f>
        <v>CHI</v>
      </c>
      <c r="AG93" s="22">
        <f>IFERROR(INDEX(TableWRCalcPts[BYE],MATCH(TableWRRanks3242[[#This Row],[RK]],TableWRCalcPts[RK],0)),"")</f>
        <v>14</v>
      </c>
      <c r="AH93" s="279">
        <f>VLOOKUP(TableWRRanks3242[[#This Row],[Player]],WR!B:O,4,FALSE)</f>
        <v>9.2849684960079895</v>
      </c>
      <c r="AI93" s="279">
        <f>VLOOKUP(TableWRRanks3242[[#This Row],[Player]],WR!B:O,5,FALSE)</f>
        <v>7.3690226158793573E-2</v>
      </c>
      <c r="AJ93" s="279">
        <f>VLOOKUP(TableWRRanks3242[[#This Row],[Player]],WR!B:O,6,FALSE)</f>
        <v>55.604880476499176</v>
      </c>
      <c r="AK93" s="279">
        <f>VLOOKUP(TableWRRanks3242[[#This Row],[Player]],WR!B:O,7,FALSE)</f>
        <v>33.640952688281999</v>
      </c>
      <c r="AL93" s="279">
        <f>VLOOKUP(TableWRRanks3242[[#This Row],[Player]],WR!B:O,8,FALSE)</f>
        <v>407.39193705509501</v>
      </c>
      <c r="AM93" s="279">
        <f>VLOOKUP(TableWRRanks3242[[#This Row],[Player]],WR!B:O,9,FALSE)</f>
        <v>2.3328501620833366</v>
      </c>
      <c r="AN93" s="272">
        <f>VLOOKUP(TableWRRanks3242[[#This Row],[Player]],WR!B:O,13,FALSE)</f>
        <v>56.106932884563086</v>
      </c>
      <c r="AO93" s="273">
        <f>IF(VLOOKUP(TableWRRanks3242[[#This Row],[RK]],'Ranks w Proj'!AD:AO,12,FALSE)&lt;0,0,VLOOKUP(TableWRRanks3242[[#This Row],[RK]],'Ranks w Proj'!AD:AO,12,FALSE))</f>
        <v>0</v>
      </c>
      <c r="AQ93" s="274">
        <v>92</v>
      </c>
      <c r="AR93" s="22">
        <f>VLOOKUP(TableTERanks3343[[#This Row],[RK]],Rankings!A:Q,15,FALSE)</f>
        <v>0</v>
      </c>
      <c r="AS93" s="22" t="str">
        <f>IFERROR(INDEX(TableTECalcPts[TM],MATCH(TableTERanks3343[[#This Row],[Player]],TableTECalcPts[PLAYER],0)),"")</f>
        <v/>
      </c>
      <c r="AT93" s="22">
        <f>IFERROR(INDEX(TableTECalcPts[BYE],MATCH(TableTERanks3343[[#This Row],[RK]],TableTECalcPts[RK],0)),"")</f>
        <v>6</v>
      </c>
      <c r="AU93" s="279">
        <f>VLOOKUP(TableTERanks3343[[#This Row],[Player]],TE!B:O,4,FALSE)</f>
        <v>0</v>
      </c>
      <c r="AV93" s="279">
        <f>VLOOKUP(TableTERanks3343[[#This Row],[Player]],TE!B:O,5,FALSE)</f>
        <v>0</v>
      </c>
      <c r="AW93" s="279">
        <f>VLOOKUP(TableTERanks3343[[#This Row],[Player]],TE!B:O,6,FALSE)</f>
        <v>0</v>
      </c>
      <c r="AX93" s="279">
        <f>VLOOKUP(TableTERanks3343[[#This Row],[Player]],TE!B:O,7,FALSE)</f>
        <v>0</v>
      </c>
      <c r="AY93" s="272">
        <f>VLOOKUP(TableTERanks3343[[#This Row],[Player]],TE!B:O,11,FALSE)</f>
        <v>0</v>
      </c>
      <c r="AZ93" s="273">
        <f>IF(VLOOKUP(TableTERanks3343[[#This Row],[RK]],'Ranks w Proj'!AQ:AZ,10,FALSE)&lt;0,0,VLOOKUP(TableTERanks3343[[#This Row],[RK]],'Ranks w Proj'!AQ:AZ,10,FALSE))</f>
        <v>0</v>
      </c>
    </row>
    <row r="94" spans="16:52" x14ac:dyDescent="0.3">
      <c r="P94" s="22">
        <v>93</v>
      </c>
      <c r="Q94" s="22" t="str">
        <f>VLOOKUP(TableRBRanks3141[[#This Row],[RK]],Rankings!A:Q,7,FALSE)</f>
        <v>Snoop Conner</v>
      </c>
      <c r="R94" s="22" t="str">
        <f>IFERROR(INDEX(TableRBCalcPts[TM],MATCH(TableRBRanks3141[[#This Row],[Player]],TableRBCalcPts[PLAYER],0)),"")</f>
        <v>JAX</v>
      </c>
      <c r="S94" s="22">
        <f>IFERROR(INDEX(TableRBCalcPts[BYE],MATCH(TableRBRanks3141[[#This Row],[RK]],TableRBCalcPts[RK],0)),"")</f>
        <v>10</v>
      </c>
      <c r="T94" s="279">
        <f>VLOOKUP(TableRBRanks3141[[#This Row],[Player]],RB!B:O,4,FALSE)</f>
        <v>19.873772917492154</v>
      </c>
      <c r="U94" s="279">
        <f>VLOOKUP(TableRBRanks3141[[#This Row],[Player]],RB!B:O,5,FALSE)</f>
        <v>83.722126041279765</v>
      </c>
      <c r="V94" s="279">
        <f>VLOOKUP(TableRBRanks3141[[#This Row],[Player]],RB!B:O,6,FALSE)</f>
        <v>0.5173640363555968</v>
      </c>
      <c r="W94" s="279">
        <f>VLOOKUP(TableRBRanks3141[[#This Row],[Player]],RB!B:O,7,FALSE)</f>
        <v>11.131070335501851</v>
      </c>
      <c r="X94" s="279">
        <f>VLOOKUP(TableRBRanks3141[[#This Row],[Player]],RB!B:O,8,FALSE)</f>
        <v>7.8863633327030618</v>
      </c>
      <c r="Y94" s="279">
        <f>VLOOKUP(TableRBRanks3141[[#This Row],[Player]],RB!B:O,9,FALSE)</f>
        <v>50.028555242058538</v>
      </c>
      <c r="Z94" s="279">
        <f>VLOOKUP(TableRBRanks3141[[#This Row],[Player]],RB!B:O,10,FALSE)</f>
        <v>0.11482208200975097</v>
      </c>
      <c r="AA94" s="272">
        <f>VLOOKUP(TableRBRanks3141[[#This Row],[Player]],RB!B:O,14,FALSE)</f>
        <v>17.168184838525917</v>
      </c>
      <c r="AB94" s="273">
        <f>IF(VLOOKUP(TableRBRanks3141[[#This Row],[RK]],'Ranks w Proj'!$P:$AB,13,FALSE)&lt;0,0,VLOOKUP(TableRBRanks3141[[#This Row],[RK]],'Ranks w Proj'!$P:$AB,13,FALSE))</f>
        <v>0</v>
      </c>
      <c r="AD94" s="22">
        <v>93</v>
      </c>
      <c r="AE94" s="22" t="str">
        <f>VLOOKUP(TableWRRanks3242[[#This Row],[RK]],Rankings!A:Q,11,FALSE)</f>
        <v>Parris Campbell</v>
      </c>
      <c r="AF94" s="22" t="str">
        <f>IFERROR(INDEX(TableWRCalcPts[TM],MATCH(TableWRRanks3242[[#This Row],[Player]],TableWRCalcPts[PLAYER],0)),"")</f>
        <v>IND</v>
      </c>
      <c r="AG94" s="22">
        <f>IFERROR(INDEX(TableWRCalcPts[BYE],MATCH(TableWRRanks3242[[#This Row],[RK]],TableWRCalcPts[RK],0)),"")</f>
        <v>13</v>
      </c>
      <c r="AH94" s="279">
        <f>VLOOKUP(TableWRRanks3242[[#This Row],[Player]],WR!B:O,4,FALSE)</f>
        <v>0</v>
      </c>
      <c r="AI94" s="279">
        <f>VLOOKUP(TableWRRanks3242[[#This Row],[Player]],WR!B:O,5,FALSE)</f>
        <v>0</v>
      </c>
      <c r="AJ94" s="279">
        <f>VLOOKUP(TableWRRanks3242[[#This Row],[Player]],WR!B:O,6,FALSE)</f>
        <v>55.110416926275235</v>
      </c>
      <c r="AK94" s="279">
        <f>VLOOKUP(TableWRRanks3242[[#This Row],[Player]],WR!B:O,7,FALSE)</f>
        <v>33.981083076741314</v>
      </c>
      <c r="AL94" s="279">
        <f>VLOOKUP(TableWRRanks3242[[#This Row],[Player]],WR!B:O,8,FALSE)</f>
        <v>409.13224024396538</v>
      </c>
      <c r="AM94" s="279">
        <f>VLOOKUP(TableWRRanks3242[[#This Row],[Player]],WR!B:O,9,FALSE)</f>
        <v>2.0728460676812199</v>
      </c>
      <c r="AN94" s="272">
        <f>VLOOKUP(TableWRRanks3242[[#This Row],[Player]],WR!B:O,13,FALSE)</f>
        <v>53.350300430483863</v>
      </c>
      <c r="AO94" s="273">
        <f>IF(VLOOKUP(TableWRRanks3242[[#This Row],[RK]],'Ranks w Proj'!AD:AO,12,FALSE)&lt;0,0,VLOOKUP(TableWRRanks3242[[#This Row],[RK]],'Ranks w Proj'!AD:AO,12,FALSE))</f>
        <v>0</v>
      </c>
      <c r="AQ94" s="22">
        <v>93</v>
      </c>
      <c r="AR94" s="274">
        <f>VLOOKUP(TableTERanks3343[[#This Row],[RK]],Rankings!A:Q,15,FALSE)</f>
        <v>0</v>
      </c>
      <c r="AS94" s="22" t="str">
        <f>IFERROR(INDEX(TableTECalcPts[TM],MATCH(TableTERanks3343[[#This Row],[Player]],TableTECalcPts[PLAYER],0)),"")</f>
        <v/>
      </c>
      <c r="AT94" s="22" t="str">
        <f>IFERROR(INDEX(TableTECalcPts[BYE],MATCH(TableTERanks3343[[#This Row],[RK]],TableTECalcPts[RK],0)),"")</f>
        <v/>
      </c>
      <c r="AU94" s="279">
        <f>VLOOKUP(TableTERanks3343[[#This Row],[Player]],TE!B:O,4,FALSE)</f>
        <v>0</v>
      </c>
      <c r="AV94" s="279">
        <f>VLOOKUP(TableTERanks3343[[#This Row],[Player]],TE!B:O,5,FALSE)</f>
        <v>0</v>
      </c>
      <c r="AW94" s="279">
        <f>VLOOKUP(TableTERanks3343[[#This Row],[Player]],TE!B:O,6,FALSE)</f>
        <v>0</v>
      </c>
      <c r="AX94" s="279">
        <f>VLOOKUP(TableTERanks3343[[#This Row],[Player]],TE!B:O,7,FALSE)</f>
        <v>0</v>
      </c>
      <c r="AY94" s="272">
        <f>VLOOKUP(TableTERanks3343[[#This Row],[Player]],TE!B:O,11,FALSE)</f>
        <v>0</v>
      </c>
      <c r="AZ94" s="273" t="e">
        <f>IF(VLOOKUP(TableTERanks3343[[#This Row],[RK]],'Ranks w Proj'!AQ:AZ,10,FALSE)&lt;0,0,VLOOKUP(TableTERanks3343[[#This Row],[RK]],'Ranks w Proj'!AQ:AZ,10,FALSE))</f>
        <v>#VALUE!</v>
      </c>
    </row>
    <row r="95" spans="16:52" x14ac:dyDescent="0.3">
      <c r="P95" s="22">
        <v>94</v>
      </c>
      <c r="Q95" s="22" t="str">
        <f>VLOOKUP(TableRBRanks3141[[#This Row],[RK]],Rankings!A:Q,7,FALSE)</f>
        <v>Abram Smith</v>
      </c>
      <c r="R95" s="22" t="str">
        <f>IFERROR(INDEX(TableRBCalcPts[TM],MATCH(TableRBRanks3141[[#This Row],[Player]],TableRBCalcPts[PLAYER],0)),"")</f>
        <v>NO</v>
      </c>
      <c r="S95" s="22">
        <f>IFERROR(INDEX(TableRBCalcPts[BYE],MATCH(TableRBRanks3141[[#This Row],[RK]],TableRBCalcPts[RK],0)),"")</f>
        <v>9</v>
      </c>
      <c r="T95" s="279">
        <f>VLOOKUP(TableRBRanks3141[[#This Row],[Player]],RB!B:O,4,FALSE)</f>
        <v>23.317411903598394</v>
      </c>
      <c r="U95" s="279">
        <f>VLOOKUP(TableRBRanks3141[[#This Row],[Player]],RB!B:O,5,FALSE)</f>
        <v>103.76009877756668</v>
      </c>
      <c r="V95" s="279">
        <f>VLOOKUP(TableRBRanks3141[[#This Row],[Player]],RB!B:O,6,FALSE)</f>
        <v>0.84875379329098155</v>
      </c>
      <c r="W95" s="279">
        <f>VLOOKUP(TableRBRanks3141[[#This Row],[Player]],RB!B:O,7,FALSE)</f>
        <v>4.8983367963632247</v>
      </c>
      <c r="X95" s="279">
        <f>VLOOKUP(TableRBRanks3141[[#This Row],[Player]],RB!B:O,8,FALSE)</f>
        <v>3.4616546139898907</v>
      </c>
      <c r="Y95" s="279">
        <f>VLOOKUP(TableRBRanks3141[[#This Row],[Player]],RB!B:O,9,FALSE)</f>
        <v>26.585507435442359</v>
      </c>
      <c r="Z95" s="279">
        <f>VLOOKUP(TableRBRanks3141[[#This Row],[Player]],RB!B:O,10,FALSE)</f>
        <v>0.16886120068243368</v>
      </c>
      <c r="AA95" s="272">
        <f>VLOOKUP(TableRBRanks3141[[#This Row],[Player]],RB!B:O,14,FALSE)</f>
        <v>19.140250585141398</v>
      </c>
      <c r="AB95" s="273">
        <f>IF(VLOOKUP(TableRBRanks3141[[#This Row],[RK]],'Ranks w Proj'!$P:$AB,13,FALSE)&lt;0,0,VLOOKUP(TableRBRanks3141[[#This Row],[RK]],'Ranks w Proj'!$P:$AB,13,FALSE))</f>
        <v>0</v>
      </c>
      <c r="AD95" s="22">
        <v>94</v>
      </c>
      <c r="AE95" s="22" t="str">
        <f>VLOOKUP(TableWRRanks3242[[#This Row],[RK]],Rankings!A:Q,11,FALSE)</f>
        <v>A.J. Green</v>
      </c>
      <c r="AF95" s="22" t="str">
        <f>IFERROR(INDEX(TableWRCalcPts[TM],MATCH(TableWRRanks3242[[#This Row],[Player]],TableWRCalcPts[PLAYER],0)),"")</f>
        <v>ARI</v>
      </c>
      <c r="AG95" s="22">
        <f>IFERROR(INDEX(TableWRCalcPts[BYE],MATCH(TableWRRanks3242[[#This Row],[RK]],TableWRCalcPts[RK],0)),"")</f>
        <v>14</v>
      </c>
      <c r="AH95" s="279">
        <f>VLOOKUP(TableWRRanks3242[[#This Row],[Player]],WR!B:O,4,FALSE)</f>
        <v>0</v>
      </c>
      <c r="AI95" s="279">
        <f>VLOOKUP(TableWRRanks3242[[#This Row],[Player]],WR!B:O,5,FALSE)</f>
        <v>0</v>
      </c>
      <c r="AJ95" s="279">
        <f>VLOOKUP(TableWRRanks3242[[#This Row],[Player]],WR!B:O,6,FALSE)</f>
        <v>56.123068949999997</v>
      </c>
      <c r="AK95" s="279">
        <f>VLOOKUP(TableWRRanks3242[[#This Row],[Player]],WR!B:O,7,FALSE)</f>
        <v>30.502887974324999</v>
      </c>
      <c r="AL95" s="279">
        <f>VLOOKUP(TableWRRanks3242[[#This Row],[Player]],WR!B:O,8,FALSE)</f>
        <v>400.19789022314399</v>
      </c>
      <c r="AM95" s="279">
        <f>VLOOKUP(TableWRRanks3242[[#This Row],[Player]],WR!B:O,9,FALSE)</f>
        <v>2.4402310379459999</v>
      </c>
      <c r="AN95" s="272">
        <f>VLOOKUP(TableWRRanks3242[[#This Row],[Player]],WR!B:O,13,FALSE)</f>
        <v>54.6611752499904</v>
      </c>
      <c r="AO95" s="273">
        <f>IF(VLOOKUP(TableWRRanks3242[[#This Row],[RK]],'Ranks w Proj'!AD:AO,12,FALSE)&lt;0,0,VLOOKUP(TableWRRanks3242[[#This Row],[RK]],'Ranks w Proj'!AD:AO,12,FALSE))</f>
        <v>0</v>
      </c>
      <c r="AQ95" s="22">
        <v>94</v>
      </c>
      <c r="AR95" s="22">
        <f>VLOOKUP(TableTERanks3343[[#This Row],[RK]],Rankings!A:Q,15,FALSE)</f>
        <v>0</v>
      </c>
      <c r="AS95" s="22" t="str">
        <f>IFERROR(INDEX(TableTECalcPts[TM],MATCH(TableTERanks3343[[#This Row],[Player]],TableTECalcPts[PLAYER],0)),"")</f>
        <v/>
      </c>
      <c r="AT95" s="22" t="str">
        <f>IFERROR(INDEX(TableTECalcPts[BYE],MATCH(TableTERanks3343[[#This Row],[RK]],TableTECalcPts[RK],0)),"")</f>
        <v/>
      </c>
      <c r="AU95" s="279">
        <f>VLOOKUP(TableTERanks3343[[#This Row],[Player]],TE!B:O,4,FALSE)</f>
        <v>0</v>
      </c>
      <c r="AV95" s="279">
        <f>VLOOKUP(TableTERanks3343[[#This Row],[Player]],TE!B:O,5,FALSE)</f>
        <v>0</v>
      </c>
      <c r="AW95" s="279">
        <f>VLOOKUP(TableTERanks3343[[#This Row],[Player]],TE!B:O,6,FALSE)</f>
        <v>0</v>
      </c>
      <c r="AX95" s="279">
        <f>VLOOKUP(TableTERanks3343[[#This Row],[Player]],TE!B:O,7,FALSE)</f>
        <v>0</v>
      </c>
      <c r="AY95" s="272">
        <f>VLOOKUP(TableTERanks3343[[#This Row],[Player]],TE!B:O,11,FALSE)</f>
        <v>0</v>
      </c>
      <c r="AZ95" s="273" t="e">
        <f>IF(VLOOKUP(TableTERanks3343[[#This Row],[RK]],'Ranks w Proj'!AQ:AZ,10,FALSE)&lt;0,0,VLOOKUP(TableTERanks3343[[#This Row],[RK]],'Ranks w Proj'!AQ:AZ,10,FALSE))</f>
        <v>#VALUE!</v>
      </c>
    </row>
    <row r="96" spans="16:52" x14ac:dyDescent="0.3">
      <c r="P96" s="22">
        <v>95</v>
      </c>
      <c r="Q96" s="22" t="str">
        <f>VLOOKUP(TableRBRanks3141[[#This Row],[RK]],Rankings!A:Q,7,FALSE)</f>
        <v>Dare Ogunbowale</v>
      </c>
      <c r="R96" s="22" t="str">
        <f>IFERROR(INDEX(TableRBCalcPts[TM],MATCH(TableRBRanks3141[[#This Row],[Player]],TableRBCalcPts[PLAYER],0)),"")</f>
        <v>HOU</v>
      </c>
      <c r="S96" s="22">
        <f>IFERROR(INDEX(TableRBCalcPts[BYE],MATCH(TableRBRanks3141[[#This Row],[RK]],TableRBCalcPts[RK],0)),"")</f>
        <v>11</v>
      </c>
      <c r="T96" s="279">
        <f>VLOOKUP(TableRBRanks3141[[#This Row],[Player]],RB!B:O,4,FALSE)</f>
        <v>18.523947857595022</v>
      </c>
      <c r="U96" s="279">
        <f>VLOOKUP(TableRBRanks3141[[#This Row],[Player]],RB!B:O,5,FALSE)</f>
        <v>68.484134261068448</v>
      </c>
      <c r="V96" s="279">
        <f>VLOOKUP(TableRBRanks3141[[#This Row],[Player]],RB!B:O,6,FALSE)</f>
        <v>0.37646883863132496</v>
      </c>
      <c r="W96" s="279">
        <f>VLOOKUP(TableRBRanks3141[[#This Row],[Player]],RB!B:O,7,FALSE)</f>
        <v>11.001065181415953</v>
      </c>
      <c r="X96" s="279">
        <f>VLOOKUP(TableRBRanks3141[[#This Row],[Player]],RB!B:O,8,FALSE)</f>
        <v>8.0098755585889556</v>
      </c>
      <c r="Y96" s="279">
        <f>VLOOKUP(TableRBRanks3141[[#This Row],[Player]],RB!B:O,9,FALSE)</f>
        <v>56.950215221567476</v>
      </c>
      <c r="Z96" s="279">
        <f>VLOOKUP(TableRBRanks3141[[#This Row],[Player]],RB!B:O,10,FALSE)</f>
        <v>0.25763765240963082</v>
      </c>
      <c r="AA96" s="272">
        <f>VLOOKUP(TableRBRanks3141[[#This Row],[Player]],RB!B:O,14,FALSE)</f>
        <v>16.348073894509326</v>
      </c>
      <c r="AB96" s="273">
        <f>IF(VLOOKUP(TableRBRanks3141[[#This Row],[RK]],'Ranks w Proj'!$P:$AB,13,FALSE)&lt;0,0,VLOOKUP(TableRBRanks3141[[#This Row],[RK]],'Ranks w Proj'!$P:$AB,13,FALSE))</f>
        <v>0</v>
      </c>
      <c r="AD96" s="274">
        <v>95</v>
      </c>
      <c r="AE96" s="274" t="str">
        <f>VLOOKUP(TableWRRanks3242[[#This Row],[RK]],Rankings!A:Q,11,FALSE)</f>
        <v>Olamide Zaccheaus</v>
      </c>
      <c r="AF96" s="22" t="str">
        <f>IFERROR(INDEX(TableWRCalcPts[TM],MATCH(TableWRRanks3242[[#This Row],[Player]],TableWRCalcPts[PLAYER],0)),"")</f>
        <v>ATL</v>
      </c>
      <c r="AG96" s="22">
        <f>IFERROR(INDEX(TableWRCalcPts[BYE],MATCH(TableWRRanks3242[[#This Row],[RK]],TableWRCalcPts[RK],0)),"")</f>
        <v>9</v>
      </c>
      <c r="AH96" s="279">
        <f>VLOOKUP(TableWRRanks3242[[#This Row],[Player]],WR!B:O,4,FALSE)</f>
        <v>0.74962902508571139</v>
      </c>
      <c r="AI96" s="279">
        <f>VLOOKUP(TableWRRanks3242[[#This Row],[Player]],WR!B:O,5,FALSE)</f>
        <v>0</v>
      </c>
      <c r="AJ96" s="279">
        <f>VLOOKUP(TableWRRanks3242[[#This Row],[Player]],WR!B:O,6,FALSE)</f>
        <v>60.216203913257033</v>
      </c>
      <c r="AK96" s="279">
        <f>VLOOKUP(TableWRRanks3242[[#This Row],[Player]],WR!B:O,7,FALSE)</f>
        <v>36.012762874678984</v>
      </c>
      <c r="AL96" s="279">
        <f>VLOOKUP(TableWRRanks3242[[#This Row],[Player]],WR!B:O,8,FALSE)</f>
        <v>405.14358234013855</v>
      </c>
      <c r="AM96" s="279">
        <f>VLOOKUP(TableWRRanks3242[[#This Row],[Player]],WR!B:O,9,FALSE)</f>
        <v>1.7646253808592702</v>
      </c>
      <c r="AN96" s="272">
        <f>VLOOKUP(TableWRRanks3242[[#This Row],[Player]],WR!B:O,13,FALSE)</f>
        <v>51.177073421678053</v>
      </c>
      <c r="AO96" s="273">
        <f>IF(VLOOKUP(TableWRRanks3242[[#This Row],[RK]],'Ranks w Proj'!AD:AO,12,FALSE)&lt;0,0,VLOOKUP(TableWRRanks3242[[#This Row],[RK]],'Ranks w Proj'!AD:AO,12,FALSE))</f>
        <v>0</v>
      </c>
      <c r="AQ96" s="274">
        <v>95</v>
      </c>
      <c r="AR96" s="22">
        <f>VLOOKUP(TableTERanks3343[[#This Row],[RK]],Rankings!A:Q,15,FALSE)</f>
        <v>0</v>
      </c>
      <c r="AS96" s="22" t="str">
        <f>IFERROR(INDEX(TableTECalcPts[TM],MATCH(TableTERanks3343[[#This Row],[Player]],TableTECalcPts[PLAYER],0)),"")</f>
        <v/>
      </c>
      <c r="AT96" s="22" t="str">
        <f>IFERROR(INDEX(TableTECalcPts[BYE],MATCH(TableTERanks3343[[#This Row],[RK]],TableTECalcPts[RK],0)),"")</f>
        <v/>
      </c>
      <c r="AU96" s="279">
        <f>VLOOKUP(TableTERanks3343[[#This Row],[Player]],TE!B:O,4,FALSE)</f>
        <v>0</v>
      </c>
      <c r="AV96" s="279">
        <f>VLOOKUP(TableTERanks3343[[#This Row],[Player]],TE!B:O,5,FALSE)</f>
        <v>0</v>
      </c>
      <c r="AW96" s="279">
        <f>VLOOKUP(TableTERanks3343[[#This Row],[Player]],TE!B:O,6,FALSE)</f>
        <v>0</v>
      </c>
      <c r="AX96" s="279">
        <f>VLOOKUP(TableTERanks3343[[#This Row],[Player]],TE!B:O,7,FALSE)</f>
        <v>0</v>
      </c>
      <c r="AY96" s="272">
        <f>VLOOKUP(TableTERanks3343[[#This Row],[Player]],TE!B:O,11,FALSE)</f>
        <v>0</v>
      </c>
      <c r="AZ96" s="273" t="e">
        <f>IF(VLOOKUP(TableTERanks3343[[#This Row],[RK]],'Ranks w Proj'!AQ:AZ,10,FALSE)&lt;0,0,VLOOKUP(TableTERanks3343[[#This Row],[RK]],'Ranks w Proj'!AQ:AZ,10,FALSE))</f>
        <v>#VALUE!</v>
      </c>
    </row>
    <row r="97" spans="16:52" x14ac:dyDescent="0.3">
      <c r="P97" s="22">
        <v>96</v>
      </c>
      <c r="Q97" s="22" t="str">
        <f>VLOOKUP(TableRBRanks3141[[#This Row],[RK]],Rankings!A:Q,7,FALSE)</f>
        <v>Benny Snell</v>
      </c>
      <c r="R97" s="22" t="str">
        <f>IFERROR(INDEX(TableRBCalcPts[TM],MATCH(TableRBRanks3141[[#This Row],[Player]],TableRBCalcPts[PLAYER],0)),"")</f>
        <v>PIT</v>
      </c>
      <c r="S97" s="22">
        <f>IFERROR(INDEX(TableRBCalcPts[BYE],MATCH(TableRBRanks3141[[#This Row],[RK]],TableRBCalcPts[RK],0)),"")</f>
        <v>6</v>
      </c>
      <c r="T97" s="279">
        <f>VLOOKUP(TableRBRanks3141[[#This Row],[Player]],RB!B:O,4,FALSE)</f>
        <v>27.02007223735216</v>
      </c>
      <c r="U97" s="279">
        <f>VLOOKUP(TableRBRanks3141[[#This Row],[Player]],RB!B:O,5,FALSE)</f>
        <v>101.27457104372917</v>
      </c>
      <c r="V97" s="279">
        <f>VLOOKUP(TableRBRanks3141[[#This Row],[Player]],RB!B:O,6,FALSE)</f>
        <v>0.88027026790056295</v>
      </c>
      <c r="W97" s="279">
        <f>VLOOKUP(TableRBRanks3141[[#This Row],[Player]],RB!B:O,7,FALSE)</f>
        <v>4.6185998706251219</v>
      </c>
      <c r="X97" s="279">
        <f>VLOOKUP(TableRBRanks3141[[#This Row],[Player]],RB!B:O,8,FALSE)</f>
        <v>2.6589279455188826</v>
      </c>
      <c r="Y97" s="279">
        <f>VLOOKUP(TableRBRanks3141[[#This Row],[Player]],RB!B:O,9,FALSE)</f>
        <v>16.059924790934051</v>
      </c>
      <c r="Z97" s="279">
        <f>VLOOKUP(TableRBRanks3141[[#This Row],[Player]],RB!B:O,10,FALSE)</f>
        <v>7.9767838365566474E-2</v>
      </c>
      <c r="AA97" s="272">
        <f>VLOOKUP(TableRBRanks3141[[#This Row],[Player]],RB!B:O,14,FALSE)</f>
        <v>17.493678221063099</v>
      </c>
      <c r="AB97" s="273">
        <f>IF(VLOOKUP(TableRBRanks3141[[#This Row],[RK]],'Ranks w Proj'!$P:$AB,13,FALSE)&lt;0,0,VLOOKUP(TableRBRanks3141[[#This Row],[RK]],'Ranks w Proj'!$P:$AB,13,FALSE))</f>
        <v>0</v>
      </c>
      <c r="AD97" s="22">
        <v>96</v>
      </c>
      <c r="AE97" s="274" t="str">
        <f>VLOOKUP(TableWRRanks3242[[#This Row],[RK]],Rankings!A:Q,11,FALSE)</f>
        <v>James Washington</v>
      </c>
      <c r="AF97" s="22" t="str">
        <f>IFERROR(INDEX(TableWRCalcPts[TM],MATCH(TableWRRanks3242[[#This Row],[Player]],TableWRCalcPts[PLAYER],0)),"")</f>
        <v>DAL</v>
      </c>
      <c r="AG97" s="22">
        <f>IFERROR(INDEX(TableWRCalcPts[BYE],MATCH(TableWRRanks3242[[#This Row],[RK]],TableWRCalcPts[RK],0)),"")</f>
        <v>14</v>
      </c>
      <c r="AH97" s="279">
        <f>VLOOKUP(TableWRRanks3242[[#This Row],[Player]],WR!B:O,4,FALSE)</f>
        <v>2.0681910484994361</v>
      </c>
      <c r="AI97" s="279">
        <f>VLOOKUP(TableWRRanks3242[[#This Row],[Player]],WR!B:O,5,FALSE)</f>
        <v>0</v>
      </c>
      <c r="AJ97" s="279">
        <f>VLOOKUP(TableWRRanks3242[[#This Row],[Player]],WR!B:O,6,FALSE)</f>
        <v>43.089209711058643</v>
      </c>
      <c r="AK97" s="279">
        <f>VLOOKUP(TableWRRanks3242[[#This Row],[Player]],WR!B:O,7,FALSE)</f>
        <v>26.68945649502972</v>
      </c>
      <c r="AL97" s="279">
        <f>VLOOKUP(TableWRRanks3242[[#This Row],[Player]],WR!B:O,8,FALSE)</f>
        <v>373.9696692134857</v>
      </c>
      <c r="AM97" s="279">
        <f>VLOOKUP(TableWRRanks3242[[#This Row],[Player]],WR!B:O,9,FALSE)</f>
        <v>2.2952932585725558</v>
      </c>
      <c r="AN97" s="272">
        <f>VLOOKUP(TableWRRanks3242[[#This Row],[Player]],WR!B:O,13,FALSE)</f>
        <v>51.375545577633844</v>
      </c>
      <c r="AO97" s="273">
        <f>IF(VLOOKUP(TableWRRanks3242[[#This Row],[RK]],'Ranks w Proj'!AD:AO,12,FALSE)&lt;0,0,VLOOKUP(TableWRRanks3242[[#This Row],[RK]],'Ranks w Proj'!AD:AO,12,FALSE))</f>
        <v>0</v>
      </c>
      <c r="AQ97" s="22">
        <v>96</v>
      </c>
      <c r="AR97" s="274">
        <f>VLOOKUP(TableTERanks3343[[#This Row],[RK]],Rankings!A:Q,15,FALSE)</f>
        <v>0</v>
      </c>
      <c r="AS97" s="22" t="str">
        <f>IFERROR(INDEX(TableTECalcPts[TM],MATCH(TableTERanks3343[[#This Row],[Player]],TableTECalcPts[PLAYER],0)),"")</f>
        <v/>
      </c>
      <c r="AT97" s="22" t="str">
        <f>IFERROR(INDEX(TableTECalcPts[BYE],MATCH(TableTERanks3343[[#This Row],[RK]],TableTECalcPts[RK],0)),"")</f>
        <v/>
      </c>
      <c r="AU97" s="279">
        <f>VLOOKUP(TableTERanks3343[[#This Row],[Player]],TE!B:O,4,FALSE)</f>
        <v>0</v>
      </c>
      <c r="AV97" s="279">
        <f>VLOOKUP(TableTERanks3343[[#This Row],[Player]],TE!B:O,5,FALSE)</f>
        <v>0</v>
      </c>
      <c r="AW97" s="279">
        <f>VLOOKUP(TableTERanks3343[[#This Row],[Player]],TE!B:O,6,FALSE)</f>
        <v>0</v>
      </c>
      <c r="AX97" s="279">
        <f>VLOOKUP(TableTERanks3343[[#This Row],[Player]],TE!B:O,7,FALSE)</f>
        <v>0</v>
      </c>
      <c r="AY97" s="272">
        <f>VLOOKUP(TableTERanks3343[[#This Row],[Player]],TE!B:O,11,FALSE)</f>
        <v>0</v>
      </c>
      <c r="AZ97" s="273" t="e">
        <f>IF(VLOOKUP(TableTERanks3343[[#This Row],[RK]],'Ranks w Proj'!AQ:AZ,10,FALSE)&lt;0,0,VLOOKUP(TableTERanks3343[[#This Row],[RK]],'Ranks w Proj'!AQ:AZ,10,FALSE))</f>
        <v>#VALUE!</v>
      </c>
    </row>
    <row r="98" spans="16:52" x14ac:dyDescent="0.3">
      <c r="P98" s="22">
        <v>97</v>
      </c>
      <c r="Q98" s="22" t="str">
        <f>VLOOKUP(TableRBRanks3141[[#This Row],[RK]],Rankings!A:Q,7,FALSE)</f>
        <v>Darrynton Evans</v>
      </c>
      <c r="R98" s="22" t="str">
        <f>IFERROR(INDEX(TableRBCalcPts[TM],MATCH(TableRBRanks3141[[#This Row],[Player]],TableRBCalcPts[PLAYER],0)),"")</f>
        <v>CHI</v>
      </c>
      <c r="S98" s="22">
        <f>IFERROR(INDEX(TableRBCalcPts[BYE],MATCH(TableRBRanks3141[[#This Row],[RK]],TableRBCalcPts[RK],0)),"")</f>
        <v>6</v>
      </c>
      <c r="T98" s="279">
        <f>VLOOKUP(TableRBRanks3141[[#This Row],[Player]],RB!B:O,4,FALSE)</f>
        <v>15.996179869978494</v>
      </c>
      <c r="U98" s="279">
        <f>VLOOKUP(TableRBRanks3141[[#This Row],[Player]],RB!B:O,5,FALSE)</f>
        <v>64.446775784256317</v>
      </c>
      <c r="V98" s="279">
        <f>VLOOKUP(TableRBRanks3141[[#This Row],[Player]],RB!B:O,6,FALSE)</f>
        <v>0.49748119395633117</v>
      </c>
      <c r="W98" s="279">
        <f>VLOOKUP(TableRBRanks3141[[#This Row],[Player]],RB!B:O,7,FALSE)</f>
        <v>8.9217907970738572</v>
      </c>
      <c r="X98" s="279">
        <f>VLOOKUP(TableRBRanks3141[[#This Row],[Player]],RB!B:O,8,FALSE)</f>
        <v>6.7082945003198331</v>
      </c>
      <c r="Y98" s="279">
        <f>VLOOKUP(TableRBRanks3141[[#This Row],[Player]],RB!B:O,9,FALSE)</f>
        <v>51.050121147433934</v>
      </c>
      <c r="Z98" s="279">
        <f>VLOOKUP(TableRBRanks3141[[#This Row],[Player]],RB!B:O,10,FALSE)</f>
        <v>0.13416589000639667</v>
      </c>
      <c r="AA98" s="272">
        <f>VLOOKUP(TableRBRanks3141[[#This Row],[Player]],RB!B:O,14,FALSE)</f>
        <v>15.339572196945394</v>
      </c>
      <c r="AB98" s="273">
        <f>IF(VLOOKUP(TableRBRanks3141[[#This Row],[RK]],'Ranks w Proj'!$P:$AB,13,FALSE)&lt;0,0,VLOOKUP(TableRBRanks3141[[#This Row],[RK]],'Ranks w Proj'!$P:$AB,13,FALSE))</f>
        <v>0</v>
      </c>
      <c r="AD98" s="22">
        <v>97</v>
      </c>
      <c r="AE98" s="22" t="str">
        <f>VLOOKUP(TableWRRanks3242[[#This Row],[RK]],Rankings!A:Q,11,FALSE)</f>
        <v>Dee Eskridge</v>
      </c>
      <c r="AF98" s="22" t="str">
        <f>IFERROR(INDEX(TableWRCalcPts[TM],MATCH(TableWRRanks3242[[#This Row],[Player]],TableWRCalcPts[PLAYER],0)),"")</f>
        <v>SEA</v>
      </c>
      <c r="AG98" s="22">
        <f>IFERROR(INDEX(TableWRCalcPts[BYE],MATCH(TableWRRanks3242[[#This Row],[RK]],TableWRCalcPts[RK],0)),"")</f>
        <v>11</v>
      </c>
      <c r="AH98" s="279">
        <f>VLOOKUP(TableWRRanks3242[[#This Row],[Player]],WR!B:O,4,FALSE)</f>
        <v>37.673645102977673</v>
      </c>
      <c r="AI98" s="279">
        <f>VLOOKUP(TableWRRanks3242[[#This Row],[Player]],WR!B:O,5,FALSE)</f>
        <v>0.10005394414742655</v>
      </c>
      <c r="AJ98" s="279">
        <f>VLOOKUP(TableWRRanks3242[[#This Row],[Player]],WR!B:O,6,FALSE)</f>
        <v>52.372431568379447</v>
      </c>
      <c r="AK98" s="279">
        <f>VLOOKUP(TableWRRanks3242[[#This Row],[Player]],WR!B:O,7,FALSE)</f>
        <v>29.224937081071637</v>
      </c>
      <c r="AL98" s="279">
        <f>VLOOKUP(TableWRRanks3242[[#This Row],[Player]],WR!B:O,8,FALSE)</f>
        <v>342.22401321934888</v>
      </c>
      <c r="AM98" s="279">
        <f>VLOOKUP(TableWRRanks3242[[#This Row],[Player]],WR!B:O,9,FALSE)</f>
        <v>1.7827211619453698</v>
      </c>
      <c r="AN98" s="272">
        <f>VLOOKUP(TableWRRanks3242[[#This Row],[Player]],WR!B:O,13,FALSE)</f>
        <v>49.28641646878944</v>
      </c>
      <c r="AO98" s="273">
        <f>IF(VLOOKUP(TableWRRanks3242[[#This Row],[RK]],'Ranks w Proj'!AD:AO,12,FALSE)&lt;0,0,VLOOKUP(TableWRRanks3242[[#This Row],[RK]],'Ranks w Proj'!AD:AO,12,FALSE))</f>
        <v>0</v>
      </c>
      <c r="AQ98" s="22">
        <v>97</v>
      </c>
      <c r="AR98" s="274">
        <f>VLOOKUP(TableTERanks3343[[#This Row],[RK]],Rankings!A:Q,15,FALSE)</f>
        <v>0</v>
      </c>
      <c r="AS98" s="274" t="str">
        <f>IFERROR(INDEX(TableTECalcPts[TM],MATCH(TableTERanks3343[[#This Row],[Player]],TableTECalcPts[PLAYER],0)),"")</f>
        <v/>
      </c>
      <c r="AT98" s="274" t="str">
        <f>IFERROR(INDEX(TableTECalcPts[BYE],MATCH(TableTERanks3343[[#This Row],[RK]],TableTECalcPts[RK],0)),"")</f>
        <v/>
      </c>
      <c r="AU98" s="279">
        <f>VLOOKUP(TableTERanks3343[[#This Row],[Player]],TE!B:O,4,FALSE)</f>
        <v>0</v>
      </c>
      <c r="AV98" s="279">
        <f>VLOOKUP(TableTERanks3343[[#This Row],[Player]],TE!B:O,5,FALSE)</f>
        <v>0</v>
      </c>
      <c r="AW98" s="279">
        <f>VLOOKUP(TableTERanks3343[[#This Row],[Player]],TE!B:O,6,FALSE)</f>
        <v>0</v>
      </c>
      <c r="AX98" s="279">
        <f>VLOOKUP(TableTERanks3343[[#This Row],[Player]],TE!B:O,7,FALSE)</f>
        <v>0</v>
      </c>
      <c r="AY98" s="272">
        <f>VLOOKUP(TableTERanks3343[[#This Row],[Player]],TE!B:O,11,FALSE)</f>
        <v>0</v>
      </c>
      <c r="AZ98" s="273" t="e">
        <f>IF(VLOOKUP(TableTERanks3343[[#This Row],[RK]],'Ranks w Proj'!AQ:AZ,10,FALSE)&lt;0,0,VLOOKUP(TableTERanks3343[[#This Row],[RK]],'Ranks w Proj'!AQ:AZ,10,FALSE))</f>
        <v>#VALUE!</v>
      </c>
    </row>
    <row r="99" spans="16:52" x14ac:dyDescent="0.3">
      <c r="P99" s="22">
        <v>98</v>
      </c>
      <c r="Q99" s="22" t="str">
        <f>VLOOKUP(TableRBRanks3141[[#This Row],[RK]],Rankings!A:Q,7,FALSE)</f>
        <v>Mike Davis</v>
      </c>
      <c r="R99" s="22" t="str">
        <f>IFERROR(INDEX(TableRBCalcPts[TM],MATCH(TableRBRanks3141[[#This Row],[Player]],TableRBCalcPts[PLAYER],0)),"")</f>
        <v>BAL</v>
      </c>
      <c r="S99" s="22">
        <f>IFERROR(INDEX(TableRBCalcPts[BYE],MATCH(TableRBRanks3141[[#This Row],[RK]],TableRBCalcPts[RK],0)),"")</f>
        <v>10</v>
      </c>
      <c r="T99" s="279">
        <f>VLOOKUP(TableRBRanks3141[[#This Row],[Player]],RB!B:O,4,FALSE)</f>
        <v>16.668698960402132</v>
      </c>
      <c r="U99" s="279">
        <f>VLOOKUP(TableRBRanks3141[[#This Row],[Player]],RB!B:O,5,FALSE)</f>
        <v>86.151808213817546</v>
      </c>
      <c r="V99" s="279">
        <f>VLOOKUP(TableRBRanks3141[[#This Row],[Player]],RB!B:O,6,FALSE)</f>
        <v>0.60340690236655725</v>
      </c>
      <c r="W99" s="279">
        <f>VLOOKUP(TableRBRanks3141[[#This Row],[Player]],RB!B:O,7,FALSE)</f>
        <v>7.6497173090745232</v>
      </c>
      <c r="X99" s="279">
        <f>VLOOKUP(TableRBRanks3141[[#This Row],[Player]],RB!B:O,8,FALSE)</f>
        <v>4.8630345750545185</v>
      </c>
      <c r="Y99" s="279">
        <f>VLOOKUP(TableRBRanks3141[[#This Row],[Player]],RB!B:O,9,FALSE)</f>
        <v>33.068635110370728</v>
      </c>
      <c r="Z99" s="279">
        <f>VLOOKUP(TableRBRanks3141[[#This Row],[Player]],RB!B:O,10,FALSE)</f>
        <v>2.732041896098044E-2</v>
      </c>
      <c r="AA99" s="272">
        <f>VLOOKUP(TableRBRanks3141[[#This Row],[Player]],RB!B:O,14,FALSE)</f>
        <v>15.706408260384052</v>
      </c>
      <c r="AB99" s="273">
        <f>IF(VLOOKUP(TableRBRanks3141[[#This Row],[RK]],'Ranks w Proj'!$P:$AB,13,FALSE)&lt;0,0,VLOOKUP(TableRBRanks3141[[#This Row],[RK]],'Ranks w Proj'!$P:$AB,13,FALSE))</f>
        <v>0</v>
      </c>
      <c r="AD99" s="274">
        <v>98</v>
      </c>
      <c r="AE99" s="22" t="str">
        <f>VLOOKUP(TableWRRanks3242[[#This Row],[RK]],Rankings!A:Q,11,FALSE)</f>
        <v>Bryan Edwards</v>
      </c>
      <c r="AF99" s="22" t="str">
        <f>IFERROR(INDEX(TableWRCalcPts[TM],MATCH(TableWRRanks3242[[#This Row],[Player]],TableWRCalcPts[PLAYER],0)),"")</f>
        <v>ATL</v>
      </c>
      <c r="AG99" s="22">
        <f>IFERROR(INDEX(TableWRCalcPts[BYE],MATCH(TableWRRanks3242[[#This Row],[RK]],TableWRCalcPts[RK],0)),"")</f>
        <v>9</v>
      </c>
      <c r="AH99" s="279">
        <f>VLOOKUP(TableWRRanks3242[[#This Row],[Player]],WR!B:O,4,FALSE)</f>
        <v>0</v>
      </c>
      <c r="AI99" s="279">
        <f>VLOOKUP(TableWRRanks3242[[#This Row],[Player]],WR!B:O,5,FALSE)</f>
        <v>0</v>
      </c>
      <c r="AJ99" s="279">
        <f>VLOOKUP(TableWRRanks3242[[#This Row],[Player]],WR!B:O,6,FALSE)</f>
        <v>50.503912959505897</v>
      </c>
      <c r="AK99" s="279">
        <f>VLOOKUP(TableWRRanks3242[[#This Row],[Player]],WR!B:O,7,FALSE)</f>
        <v>27.105450085366812</v>
      </c>
      <c r="AL99" s="279">
        <f>VLOOKUP(TableWRRanks3242[[#This Row],[Player]],WR!B:O,8,FALSE)</f>
        <v>359.41826813196394</v>
      </c>
      <c r="AM99" s="279">
        <f>VLOOKUP(TableWRRanks3242[[#This Row],[Player]],WR!B:O,9,FALSE)</f>
        <v>1.9786978562317772</v>
      </c>
      <c r="AN99" s="272">
        <f>VLOOKUP(TableWRRanks3242[[#This Row],[Player]],WR!B:O,13,FALSE)</f>
        <v>47.814013950587054</v>
      </c>
      <c r="AO99" s="273">
        <f>IF(VLOOKUP(TableWRRanks3242[[#This Row],[RK]],'Ranks w Proj'!AD:AO,12,FALSE)&lt;0,0,VLOOKUP(TableWRRanks3242[[#This Row],[RK]],'Ranks w Proj'!AD:AO,12,FALSE))</f>
        <v>0</v>
      </c>
      <c r="AQ99" s="274">
        <v>98</v>
      </c>
      <c r="AR99" s="274">
        <f>VLOOKUP(TableTERanks3343[[#This Row],[RK]],Rankings!A:Q,15,FALSE)</f>
        <v>0</v>
      </c>
      <c r="AS99" s="274" t="str">
        <f>IFERROR(INDEX(TableTECalcPts[TM],MATCH(TableTERanks3343[[#This Row],[Player]],TableTECalcPts[PLAYER],0)),"")</f>
        <v/>
      </c>
      <c r="AT99" s="274" t="str">
        <f>IFERROR(INDEX(TableTECalcPts[BYE],MATCH(TableTERanks3343[[#This Row],[RK]],TableTECalcPts[RK],0)),"")</f>
        <v/>
      </c>
      <c r="AU99" s="279">
        <f>VLOOKUP(TableTERanks3343[[#This Row],[Player]],TE!B:O,4,FALSE)</f>
        <v>0</v>
      </c>
      <c r="AV99" s="279">
        <f>VLOOKUP(TableTERanks3343[[#This Row],[Player]],TE!B:O,5,FALSE)</f>
        <v>0</v>
      </c>
      <c r="AW99" s="279">
        <f>VLOOKUP(TableTERanks3343[[#This Row],[Player]],TE!B:O,6,FALSE)</f>
        <v>0</v>
      </c>
      <c r="AX99" s="279">
        <f>VLOOKUP(TableTERanks3343[[#This Row],[Player]],TE!B:O,7,FALSE)</f>
        <v>0</v>
      </c>
      <c r="AY99" s="272">
        <f>VLOOKUP(TableTERanks3343[[#This Row],[Player]],TE!B:O,11,FALSE)</f>
        <v>0</v>
      </c>
      <c r="AZ99" s="273" t="e">
        <f>IF(VLOOKUP(TableTERanks3343[[#This Row],[RK]],'Ranks w Proj'!AQ:AZ,10,FALSE)&lt;0,0,VLOOKUP(TableTERanks3343[[#This Row],[RK]],'Ranks w Proj'!AQ:AZ,10,FALSE))</f>
        <v>#VALUE!</v>
      </c>
    </row>
    <row r="100" spans="16:52" x14ac:dyDescent="0.3">
      <c r="P100" s="22">
        <v>99</v>
      </c>
      <c r="Q100" s="22" t="str">
        <f>VLOOKUP(TableRBRanks3141[[#This Row],[RK]],Rankings!A:Q,7,FALSE)</f>
        <v>Jermar Jefferson</v>
      </c>
      <c r="R100" s="22" t="str">
        <f>IFERROR(INDEX(TableRBCalcPts[TM],MATCH(TableRBRanks3141[[#This Row],[Player]],TableRBCalcPts[PLAYER],0)),"")</f>
        <v>DET</v>
      </c>
      <c r="S100" s="22">
        <f>IFERROR(INDEX(TableRBCalcPts[BYE],MATCH(TableRBRanks3141[[#This Row],[RK]],TableRBCalcPts[RK],0)),"")</f>
        <v>14</v>
      </c>
      <c r="T100" s="279">
        <f>VLOOKUP(TableRBRanks3141[[#This Row],[Player]],RB!B:O,4,FALSE)</f>
        <v>20.464249308931802</v>
      </c>
      <c r="U100" s="279">
        <f>VLOOKUP(TableRBRanks3141[[#This Row],[Player]],RB!B:O,5,FALSE)</f>
        <v>88.880115811306368</v>
      </c>
      <c r="V100" s="279">
        <f>VLOOKUP(TableRBRanks3141[[#This Row],[Player]],RB!B:O,6,FALSE)</f>
        <v>1.0273053153083764</v>
      </c>
      <c r="W100" s="279">
        <f>VLOOKUP(TableRBRanks3141[[#This Row],[Player]],RB!B:O,7,FALSE)</f>
        <v>2.9987897781002069</v>
      </c>
      <c r="X100" s="279">
        <f>VLOOKUP(TableRBRanks3141[[#This Row],[Player]],RB!B:O,8,FALSE)</f>
        <v>2.1192447361834161</v>
      </c>
      <c r="Y100" s="279">
        <f>VLOOKUP(TableRBRanks3141[[#This Row],[Player]],RB!B:O,9,FALSE)</f>
        <v>14.097584549394027</v>
      </c>
      <c r="Z100" s="279">
        <f>VLOOKUP(TableRBRanks3141[[#This Row],[Player]],RB!B:O,10,FALSE)</f>
        <v>0</v>
      </c>
      <c r="AA100" s="272">
        <f>VLOOKUP(TableRBRanks3141[[#This Row],[Player]],RB!B:O,14,FALSE)</f>
        <v>16.461601927920299</v>
      </c>
      <c r="AB100" s="273">
        <f>IF(VLOOKUP(TableRBRanks3141[[#This Row],[RK]],'Ranks w Proj'!$P:$AB,13,FALSE)&lt;0,0,VLOOKUP(TableRBRanks3141[[#This Row],[RK]],'Ranks w Proj'!$P:$AB,13,FALSE))</f>
        <v>0</v>
      </c>
      <c r="AD100" s="22">
        <v>99</v>
      </c>
      <c r="AE100" s="274" t="str">
        <f>VLOOKUP(TableWRRanks3242[[#This Row],[RK]],Rankings!A:Q,11,FALSE)</f>
        <v>Laquon Treadwell</v>
      </c>
      <c r="AF100" s="22" t="str">
        <f>IFERROR(INDEX(TableWRCalcPts[TM],MATCH(TableWRRanks3242[[#This Row],[Player]],TableWRCalcPts[PLAYER],0)),"")</f>
        <v>JAX</v>
      </c>
      <c r="AG100" s="22">
        <f>IFERROR(INDEX(TableWRCalcPts[BYE],MATCH(TableWRRanks3242[[#This Row],[RK]],TableWRCalcPts[RK],0)),"")</f>
        <v>14</v>
      </c>
      <c r="AH100" s="279">
        <f>VLOOKUP(TableWRRanks3242[[#This Row],[Player]],WR!B:O,4,FALSE)</f>
        <v>0</v>
      </c>
      <c r="AI100" s="279">
        <f>VLOOKUP(TableWRRanks3242[[#This Row],[Player]],WR!B:O,5,FALSE)</f>
        <v>0</v>
      </c>
      <c r="AJ100" s="279">
        <f>VLOOKUP(TableWRRanks3242[[#This Row],[Player]],WR!B:O,6,FALSE)</f>
        <v>43.214743655477768</v>
      </c>
      <c r="AK100" s="279">
        <f>VLOOKUP(TableWRRanks3242[[#This Row],[Player]],WR!B:O,7,FALSE)</f>
        <v>26.875249079341625</v>
      </c>
      <c r="AL100" s="279">
        <f>VLOOKUP(TableWRRanks3242[[#This Row],[Player]],WR!B:O,8,FALSE)</f>
        <v>359.89463984509655</v>
      </c>
      <c r="AM100" s="279">
        <f>VLOOKUP(TableWRRanks3242[[#This Row],[Player]],WR!B:O,9,FALSE)</f>
        <v>1.8812674355539138</v>
      </c>
      <c r="AN100" s="272">
        <f>VLOOKUP(TableWRRanks3242[[#This Row],[Player]],WR!B:O,13,FALSE)</f>
        <v>47.277068597833136</v>
      </c>
      <c r="AO100" s="273">
        <f>IF(VLOOKUP(TableWRRanks3242[[#This Row],[RK]],'Ranks w Proj'!AD:AO,12,FALSE)&lt;0,0,VLOOKUP(TableWRRanks3242[[#This Row],[RK]],'Ranks w Proj'!AD:AO,12,FALSE))</f>
        <v>0</v>
      </c>
      <c r="AQ100" s="22">
        <v>99</v>
      </c>
      <c r="AR100" s="274">
        <f>VLOOKUP(TableTERanks3343[[#This Row],[RK]],Rankings!A:Q,15,FALSE)</f>
        <v>0</v>
      </c>
      <c r="AS100" s="274" t="str">
        <f>IFERROR(INDEX(TableTECalcPts[TM],MATCH(TableTERanks3343[[#This Row],[Player]],TableTECalcPts[PLAYER],0)),"")</f>
        <v/>
      </c>
      <c r="AT100" s="274" t="str">
        <f>IFERROR(INDEX(TableTECalcPts[BYE],MATCH(TableTERanks3343[[#This Row],[RK]],TableTECalcPts[RK],0)),"")</f>
        <v/>
      </c>
      <c r="AU100" s="279">
        <f>VLOOKUP(TableTERanks3343[[#This Row],[Player]],TE!B:O,4,FALSE)</f>
        <v>0</v>
      </c>
      <c r="AV100" s="279">
        <f>VLOOKUP(TableTERanks3343[[#This Row],[Player]],TE!B:O,5,FALSE)</f>
        <v>0</v>
      </c>
      <c r="AW100" s="279">
        <f>VLOOKUP(TableTERanks3343[[#This Row],[Player]],TE!B:O,6,FALSE)</f>
        <v>0</v>
      </c>
      <c r="AX100" s="279">
        <f>VLOOKUP(TableTERanks3343[[#This Row],[Player]],TE!B:O,7,FALSE)</f>
        <v>0</v>
      </c>
      <c r="AY100" s="272">
        <f>VLOOKUP(TableTERanks3343[[#This Row],[Player]],TE!B:O,11,FALSE)</f>
        <v>0</v>
      </c>
      <c r="AZ100" s="273" t="e">
        <f>IF(VLOOKUP(TableTERanks3343[[#This Row],[RK]],'Ranks w Proj'!AQ:AZ,10,FALSE)&lt;0,0,VLOOKUP(TableTERanks3343[[#This Row],[RK]],'Ranks w Proj'!AQ:AZ,10,FALSE))</f>
        <v>#VALUE!</v>
      </c>
    </row>
    <row r="101" spans="16:52" x14ac:dyDescent="0.3">
      <c r="P101" s="22">
        <v>100</v>
      </c>
      <c r="Q101" s="22" t="str">
        <f>VLOOKUP(TableRBRanks3141[[#This Row],[RK]],Rankings!A:Q,7,FALSE)</f>
        <v>Zack Moss</v>
      </c>
      <c r="R101" s="22" t="str">
        <f>IFERROR(INDEX(TableRBCalcPts[TM],MATCH(TableRBRanks3141[[#This Row],[Player]],TableRBCalcPts[PLAYER],0)),"")</f>
        <v>BUF</v>
      </c>
      <c r="S101" s="22">
        <f>IFERROR(INDEX(TableRBCalcPts[BYE],MATCH(TableRBRanks3141[[#This Row],[RK]],TableRBCalcPts[RK],0)),"")</f>
        <v>7</v>
      </c>
      <c r="T101" s="279">
        <f>VLOOKUP(TableRBRanks3141[[#This Row],[Player]],RB!B:O,4,FALSE)</f>
        <v>14.995744064344043</v>
      </c>
      <c r="U101" s="279">
        <f>VLOOKUP(TableRBRanks3141[[#This Row],[Player]],RB!B:O,5,FALSE)</f>
        <v>60.978808909169018</v>
      </c>
      <c r="V101" s="279">
        <f>VLOOKUP(TableRBRanks3141[[#This Row],[Player]],RB!B:O,6,FALSE)</f>
        <v>0.68389959534110401</v>
      </c>
      <c r="W101" s="279">
        <f>VLOOKUP(TableRBRanks3141[[#This Row],[Player]],RB!B:O,7,FALSE)</f>
        <v>6.4907218092617498</v>
      </c>
      <c r="X101" s="279">
        <f>VLOOKUP(TableRBRanks3141[[#This Row],[Player]],RB!B:O,8,FALSE)</f>
        <v>4.3617650558238958</v>
      </c>
      <c r="Y101" s="279">
        <f>VLOOKUP(TableRBRanks3141[[#This Row],[Player]],RB!B:O,9,FALSE)</f>
        <v>32.189826111980352</v>
      </c>
      <c r="Z101" s="279">
        <f>VLOOKUP(TableRBRanks3141[[#This Row],[Player]],RB!B:O,10,FALSE)</f>
        <v>0.20848876986228387</v>
      </c>
      <c r="AA101" s="272">
        <f>VLOOKUP(TableRBRanks3141[[#This Row],[Player]],RB!B:O,14,FALSE)</f>
        <v>14.671193693335264</v>
      </c>
      <c r="AB101" s="273">
        <f>IF(VLOOKUP(TableRBRanks3141[[#This Row],[RK]],'Ranks w Proj'!$P:$AB,13,FALSE)&lt;0,0,VLOOKUP(TableRBRanks3141[[#This Row],[RK]],'Ranks w Proj'!$P:$AB,13,FALSE))</f>
        <v>0</v>
      </c>
      <c r="AD101" s="22">
        <v>100</v>
      </c>
      <c r="AE101" s="22" t="str">
        <f>VLOOKUP(TableWRRanks3242[[#This Row],[RK]],Rankings!A:Q,11,FALSE)</f>
        <v>KJ Hamler</v>
      </c>
      <c r="AF101" s="22" t="str">
        <f>IFERROR(INDEX(TableWRCalcPts[TM],MATCH(TableWRRanks3242[[#This Row],[Player]],TableWRCalcPts[PLAYER],0)),"")</f>
        <v>DEN</v>
      </c>
      <c r="AG101" s="22">
        <f>IFERROR(INDEX(TableWRCalcPts[BYE],MATCH(TableWRRanks3242[[#This Row],[RK]],TableWRCalcPts[RK],0)),"")</f>
        <v>11</v>
      </c>
      <c r="AH101" s="279">
        <f>VLOOKUP(TableWRRanks3242[[#This Row],[Player]],WR!B:O,4,FALSE)</f>
        <v>9.7529880238959326</v>
      </c>
      <c r="AI101" s="279">
        <f>VLOOKUP(TableWRRanks3242[[#This Row],[Player]],WR!B:O,5,FALSE)</f>
        <v>0</v>
      </c>
      <c r="AJ101" s="279">
        <f>VLOOKUP(TableWRRanks3242[[#This Row],[Player]],WR!B:O,6,FALSE)</f>
        <v>42.516332844344518</v>
      </c>
      <c r="AK101" s="279">
        <f>VLOOKUP(TableWRRanks3242[[#This Row],[Player]],WR!B:O,7,FALSE)</f>
        <v>25.233443543118472</v>
      </c>
      <c r="AL101" s="279">
        <f>VLOOKUP(TableWRRanks3242[[#This Row],[Player]],WR!B:O,8,FALSE)</f>
        <v>340.04058452581864</v>
      </c>
      <c r="AM101" s="279">
        <f>VLOOKUP(TableWRRanks3242[[#This Row],[Player]],WR!B:O,9,FALSE)</f>
        <v>2.1579465627823899</v>
      </c>
      <c r="AN101" s="272">
        <f>VLOOKUP(TableWRRanks3242[[#This Row],[Player]],WR!B:O,13,FALSE)</f>
        <v>47.9270366316658</v>
      </c>
      <c r="AO101" s="273">
        <f>IF(VLOOKUP(TableWRRanks3242[[#This Row],[RK]],'Ranks w Proj'!AD:AO,12,FALSE)&lt;0,0,VLOOKUP(TableWRRanks3242[[#This Row],[RK]],'Ranks w Proj'!AD:AO,12,FALSE))</f>
        <v>0</v>
      </c>
      <c r="AQ101" s="22">
        <v>100</v>
      </c>
      <c r="AR101" s="274">
        <f>VLOOKUP(TableTERanks3343[[#This Row],[RK]],Rankings!A:Q,15,FALSE)</f>
        <v>0</v>
      </c>
      <c r="AS101" s="274" t="str">
        <f>IFERROR(INDEX(TableTECalcPts[TM],MATCH(TableTERanks3343[[#This Row],[Player]],TableTECalcPts[PLAYER],0)),"")</f>
        <v/>
      </c>
      <c r="AT101" s="274" t="str">
        <f>IFERROR(INDEX(TableTECalcPts[BYE],MATCH(TableTERanks3343[[#This Row],[RK]],TableTECalcPts[RK],0)),"")</f>
        <v/>
      </c>
      <c r="AU101" s="279">
        <f>VLOOKUP(TableTERanks3343[[#This Row],[Player]],TE!B:O,4,FALSE)</f>
        <v>0</v>
      </c>
      <c r="AV101" s="279">
        <f>VLOOKUP(TableTERanks3343[[#This Row],[Player]],TE!B:O,5,FALSE)</f>
        <v>0</v>
      </c>
      <c r="AW101" s="279">
        <f>VLOOKUP(TableTERanks3343[[#This Row],[Player]],TE!B:O,6,FALSE)</f>
        <v>0</v>
      </c>
      <c r="AX101" s="279">
        <f>VLOOKUP(TableTERanks3343[[#This Row],[Player]],TE!B:O,7,FALSE)</f>
        <v>0</v>
      </c>
      <c r="AY101" s="272">
        <f>VLOOKUP(TableTERanks3343[[#This Row],[Player]],TE!B:O,11,FALSE)</f>
        <v>0</v>
      </c>
      <c r="AZ101" s="273" t="e">
        <f>IF(VLOOKUP(TableTERanks3343[[#This Row],[RK]],'Ranks w Proj'!AQ:AZ,10,FALSE)&lt;0,0,VLOOKUP(TableTERanks3343[[#This Row],[RK]],'Ranks w Proj'!AQ:AZ,10,FALSE))</f>
        <v>#VALUE!</v>
      </c>
    </row>
    <row r="102" spans="16:52" x14ac:dyDescent="0.3">
      <c r="P102" s="22">
        <v>101</v>
      </c>
      <c r="Q102" s="22" t="str">
        <f>VLOOKUP(TableRBRanks3141[[#This Row],[RK]],Rankings!A:Q,7,FALSE)</f>
        <v>Tevin Coleman</v>
      </c>
      <c r="R102" s="22" t="str">
        <f>IFERROR(INDEX(TableRBCalcPts[TM],MATCH(TableRBRanks3141[[#This Row],[Player]],TableRBCalcPts[PLAYER],0)),"")</f>
        <v>NYJ</v>
      </c>
      <c r="S102" s="22">
        <f>IFERROR(INDEX(TableRBCalcPts[BYE],MATCH(TableRBRanks3141[[#This Row],[RK]],TableRBCalcPts[RK],0)),"")</f>
        <v>8</v>
      </c>
      <c r="T102" s="279">
        <f>VLOOKUP(TableRBRanks3141[[#This Row],[Player]],RB!B:O,4,FALSE)</f>
        <v>18.650858218692438</v>
      </c>
      <c r="U102" s="279">
        <f>VLOOKUP(TableRBRanks3141[[#This Row],[Player]],RB!B:O,5,FALSE)</f>
        <v>75.722484367891298</v>
      </c>
      <c r="V102" s="279">
        <f>VLOOKUP(TableRBRanks3141[[#This Row],[Player]],RB!B:O,6,FALSE)</f>
        <v>0.20940073597913192</v>
      </c>
      <c r="W102" s="279">
        <f>VLOOKUP(TableRBRanks3141[[#This Row],[Player]],RB!B:O,7,FALSE)</f>
        <v>10.169557793874406</v>
      </c>
      <c r="X102" s="279">
        <f>VLOOKUP(TableRBRanks3141[[#This Row],[Player]],RB!B:O,8,FALSE)</f>
        <v>6.315295389996006</v>
      </c>
      <c r="Y102" s="279">
        <f>VLOOKUP(TableRBRanks3141[[#This Row],[Player]],RB!B:O,9,FALSE)</f>
        <v>39.826355748326257</v>
      </c>
      <c r="Z102" s="279">
        <f>VLOOKUP(TableRBRanks3141[[#This Row],[Player]],RB!B:O,10,FALSE)</f>
        <v>9.7272138411016687E-2</v>
      </c>
      <c r="AA102" s="272">
        <f>VLOOKUP(TableRBRanks3141[[#This Row],[Player]],RB!B:O,14,FALSE)</f>
        <v>13.394921257962649</v>
      </c>
      <c r="AB102" s="273">
        <f>IF(VLOOKUP(TableRBRanks3141[[#This Row],[RK]],'Ranks w Proj'!$P:$AB,13,FALSE)&lt;0,0,VLOOKUP(TableRBRanks3141[[#This Row],[RK]],'Ranks w Proj'!$P:$AB,13,FALSE))</f>
        <v>0</v>
      </c>
      <c r="AD102" s="274">
        <v>101</v>
      </c>
      <c r="AE102" s="22" t="str">
        <f>VLOOKUP(TableWRRanks3242[[#This Row],[RK]],Rankings!A:Q,11,FALSE)</f>
        <v>James Proche</v>
      </c>
      <c r="AF102" s="22" t="str">
        <f>IFERROR(INDEX(TableWRCalcPts[TM],MATCH(TableWRRanks3242[[#This Row],[Player]],TableWRCalcPts[PLAYER],0)),"")</f>
        <v>BAL</v>
      </c>
      <c r="AG102" s="22">
        <f>IFERROR(INDEX(TableWRCalcPts[BYE],MATCH(TableWRRanks3242[[#This Row],[RK]],TableWRCalcPts[RK],0)),"")</f>
        <v>7</v>
      </c>
      <c r="AH102" s="279">
        <f>VLOOKUP(TableWRRanks3242[[#This Row],[Player]],WR!B:O,4,FALSE)</f>
        <v>0</v>
      </c>
      <c r="AI102" s="279">
        <f>VLOOKUP(TableWRRanks3242[[#This Row],[Player]],WR!B:O,5,FALSE)</f>
        <v>0</v>
      </c>
      <c r="AJ102" s="279">
        <f>VLOOKUP(TableWRRanks3242[[#This Row],[Player]],WR!B:O,6,FALSE)</f>
        <v>43.582740701689886</v>
      </c>
      <c r="AK102" s="279">
        <f>VLOOKUP(TableWRRanks3242[[#This Row],[Player]],WR!B:O,7,FALSE)</f>
        <v>27.306526595660884</v>
      </c>
      <c r="AL102" s="279">
        <f>VLOOKUP(TableWRRanks3242[[#This Row],[Player]],WR!B:O,8,FALSE)</f>
        <v>332.09363869022224</v>
      </c>
      <c r="AM102" s="279">
        <f>VLOOKUP(TableWRRanks3242[[#This Row],[Player]],WR!B:O,9,FALSE)</f>
        <v>2.1572156010572097</v>
      </c>
      <c r="AN102" s="272">
        <f>VLOOKUP(TableWRRanks3242[[#This Row],[Player]],WR!B:O,13,FALSE)</f>
        <v>46.152657475365487</v>
      </c>
      <c r="AO102" s="273">
        <f>IF(VLOOKUP(TableWRRanks3242[[#This Row],[RK]],'Ranks w Proj'!AD:AO,12,FALSE)&lt;0,0,VLOOKUP(TableWRRanks3242[[#This Row],[RK]],'Ranks w Proj'!AD:AO,12,FALSE))</f>
        <v>0</v>
      </c>
    </row>
    <row r="103" spans="16:52" x14ac:dyDescent="0.3">
      <c r="P103" s="22">
        <v>102</v>
      </c>
      <c r="Q103" s="22" t="str">
        <f>VLOOKUP(TableRBRanks3141[[#This Row],[RK]],Rankings!A:Q,7,FALSE)</f>
        <v>Isaih Pacheco</v>
      </c>
      <c r="R103" s="22" t="str">
        <f>IFERROR(INDEX(TableRBCalcPts[TM],MATCH(TableRBRanks3141[[#This Row],[Player]],TableRBCalcPts[PLAYER],0)),"")</f>
        <v>KC</v>
      </c>
      <c r="S103" s="22">
        <f>IFERROR(INDEX(TableRBCalcPts[BYE],MATCH(TableRBRanks3141[[#This Row],[RK]],TableRBCalcPts[RK],0)),"")</f>
        <v>10</v>
      </c>
      <c r="T103" s="279">
        <f>VLOOKUP(TableRBRanks3141[[#This Row],[Player]],RB!B:O,4,FALSE)</f>
        <v>15.590971649629694</v>
      </c>
      <c r="U103" s="279">
        <f>VLOOKUP(TableRBRanks3141[[#This Row],[Player]],RB!B:O,5,FALSE)</f>
        <v>66.105719794429902</v>
      </c>
      <c r="V103" s="279">
        <f>VLOOKUP(TableRBRanks3141[[#This Row],[Player]],RB!B:O,6,FALSE)</f>
        <v>0.50702346828064038</v>
      </c>
      <c r="W103" s="279">
        <f>VLOOKUP(TableRBRanks3141[[#This Row],[Player]],RB!B:O,7,FALSE)</f>
        <v>7.5309650860767627</v>
      </c>
      <c r="X103" s="279">
        <f>VLOOKUP(TableRBRanks3141[[#This Row],[Player]],RB!B:O,8,FALSE)</f>
        <v>5.1575700286465107</v>
      </c>
      <c r="Y103" s="279">
        <f>VLOOKUP(TableRBRanks3141[[#This Row],[Player]],RB!B:O,9,FALSE)</f>
        <v>38.630199514562364</v>
      </c>
      <c r="Z103" s="279">
        <f>VLOOKUP(TableRBRanks3141[[#This Row],[Player]],RB!B:O,10,FALSE)</f>
        <v>6.8463318964334205E-2</v>
      </c>
      <c r="AA103" s="272">
        <f>VLOOKUP(TableRBRanks3141[[#This Row],[Player]],RB!B:O,14,FALSE)</f>
        <v>13.926512654369075</v>
      </c>
      <c r="AB103" s="273">
        <f>IF(VLOOKUP(TableRBRanks3141[[#This Row],[RK]],'Ranks w Proj'!$P:$AB,13,FALSE)&lt;0,0,VLOOKUP(TableRBRanks3141[[#This Row],[RK]],'Ranks w Proj'!$P:$AB,13,FALSE))</f>
        <v>0</v>
      </c>
      <c r="AD103" s="22">
        <v>102</v>
      </c>
      <c r="AE103" s="22" t="str">
        <f>VLOOKUP(TableWRRanks3242[[#This Row],[RK]],Rankings!A:Q,11,FALSE)</f>
        <v>Laviska Shenault</v>
      </c>
      <c r="AF103" s="22" t="str">
        <f>IFERROR(INDEX(TableWRCalcPts[TM],MATCH(TableWRRanks3242[[#This Row],[Player]],TableWRCalcPts[PLAYER],0)),"")</f>
        <v>JAX</v>
      </c>
      <c r="AG103" s="22">
        <f>IFERROR(INDEX(TableWRCalcPts[BYE],MATCH(TableWRRanks3242[[#This Row],[RK]],TableWRCalcPts[RK],0)),"")</f>
        <v>10</v>
      </c>
      <c r="AH103" s="279">
        <f>VLOOKUP(TableWRRanks3242[[#This Row],[Player]],WR!B:O,4,FALSE)</f>
        <v>38.519760036697939</v>
      </c>
      <c r="AI103" s="279">
        <f>VLOOKUP(TableWRRanks3242[[#This Row],[Player]],WR!B:O,5,FALSE)</f>
        <v>2.4992382879396046E-2</v>
      </c>
      <c r="AJ103" s="279">
        <f>VLOOKUP(TableWRRanks3242[[#This Row],[Player]],WR!B:O,6,FALSE)</f>
        <v>41.905205968948138</v>
      </c>
      <c r="AK103" s="279">
        <f>VLOOKUP(TableWRRanks3242[[#This Row],[Player]],WR!B:O,7,FALSE)</f>
        <v>26.421232363421797</v>
      </c>
      <c r="AL103" s="279">
        <f>VLOOKUP(TableWRRanks3242[[#This Row],[Player]],WR!B:O,8,FALSE)</f>
        <v>280.10107807318406</v>
      </c>
      <c r="AM103" s="279">
        <f>VLOOKUP(TableWRRanks3242[[#This Row],[Player]],WR!B:O,9,FALSE)</f>
        <v>1.4003253152613553</v>
      </c>
      <c r="AN103" s="272">
        <f>VLOOKUP(TableWRRanks3242[[#This Row],[Player]],WR!B:O,13,FALSE)</f>
        <v>40.413989999832708</v>
      </c>
      <c r="AO103" s="273">
        <f>IF(VLOOKUP(TableWRRanks3242[[#This Row],[RK]],'Ranks w Proj'!AD:AO,12,FALSE)&lt;0,0,VLOOKUP(TableWRRanks3242[[#This Row],[RK]],'Ranks w Proj'!AD:AO,12,FALSE))</f>
        <v>0</v>
      </c>
    </row>
    <row r="104" spans="16:52" x14ac:dyDescent="0.3">
      <c r="P104" s="22">
        <v>103</v>
      </c>
      <c r="Q104" s="22" t="str">
        <f>VLOOKUP(TableRBRanks3141[[#This Row],[RK]],Rankings!A:Q,7,FALSE)</f>
        <v>Tyler Badie</v>
      </c>
      <c r="R104" s="22" t="str">
        <f>IFERROR(INDEX(TableRBCalcPts[TM],MATCH(TableRBRanks3141[[#This Row],[Player]],TableRBCalcPts[PLAYER],0)),"")</f>
        <v>BAL</v>
      </c>
      <c r="S104" s="22">
        <f>IFERROR(INDEX(TableRBCalcPts[BYE],MATCH(TableRBRanks3141[[#This Row],[RK]],TableRBCalcPts[RK],0)),"")</f>
        <v>10</v>
      </c>
      <c r="T104" s="279">
        <f>VLOOKUP(TableRBRanks3141[[#This Row],[Player]],RB!B:O,4,FALSE)</f>
        <v>10.346089009904771</v>
      </c>
      <c r="U104" s="279">
        <f>VLOOKUP(TableRBRanks3141[[#This Row],[Player]],RB!B:O,5,FALSE)</f>
        <v>44.902026302986705</v>
      </c>
      <c r="V104" s="279">
        <f>VLOOKUP(TableRBRanks3141[[#This Row],[Player]],RB!B:O,6,FALSE)</f>
        <v>0.24934074513870499</v>
      </c>
      <c r="W104" s="279">
        <f>VLOOKUP(TableRBRanks3141[[#This Row],[Player]],RB!B:O,7,FALSE)</f>
        <v>10.367788187367013</v>
      </c>
      <c r="X104" s="279">
        <f>VLOOKUP(TableRBRanks3141[[#This Row],[Player]],RB!B:O,8,FALSE)</f>
        <v>6.9671536619106336</v>
      </c>
      <c r="Y104" s="279">
        <f>VLOOKUP(TableRBRanks3141[[#This Row],[Player]],RB!B:O,9,FALSE)</f>
        <v>56.294601588237917</v>
      </c>
      <c r="Z104" s="279">
        <f>VLOOKUP(TableRBRanks3141[[#This Row],[Player]],RB!B:O,10,FALSE)</f>
        <v>0.16024453422394458</v>
      </c>
      <c r="AA104" s="272">
        <f>VLOOKUP(TableRBRanks3141[[#This Row],[Player]],RB!B:O,14,FALSE)</f>
        <v>12.577174465298361</v>
      </c>
      <c r="AB104" s="273">
        <f>IF(VLOOKUP(TableRBRanks3141[[#This Row],[RK]],'Ranks w Proj'!$P:$AB,13,FALSE)&lt;0,0,VLOOKUP(TableRBRanks3141[[#This Row],[RK]],'Ranks w Proj'!$P:$AB,13,FALSE))</f>
        <v>0</v>
      </c>
      <c r="AD104" s="22">
        <v>103</v>
      </c>
      <c r="AE104" s="274" t="str">
        <f>VLOOKUP(TableWRRanks3242[[#This Row],[RK]],Rankings!A:Q,11,FALSE)</f>
        <v>Braxton Berrios</v>
      </c>
      <c r="AF104" s="22" t="str">
        <f>IFERROR(INDEX(TableWRCalcPts[TM],MATCH(TableWRRanks3242[[#This Row],[Player]],TableWRCalcPts[PLAYER],0)),"")</f>
        <v>NYJ</v>
      </c>
      <c r="AG104" s="22">
        <f>IFERROR(INDEX(TableWRCalcPts[BYE],MATCH(TableWRRanks3242[[#This Row],[RK]],TableWRCalcPts[RK],0)),"")</f>
        <v>10</v>
      </c>
      <c r="AH104" s="279">
        <f>VLOOKUP(TableWRRanks3242[[#This Row],[Player]],WR!B:O,4,FALSE)</f>
        <v>54.933532225702571</v>
      </c>
      <c r="AI104" s="279">
        <f>VLOOKUP(TableWRRanks3242[[#This Row],[Player]],WR!B:O,5,FALSE)</f>
        <v>0.6138443912871816</v>
      </c>
      <c r="AJ104" s="279">
        <f>VLOOKUP(TableWRRanks3242[[#This Row],[Player]],WR!B:O,6,FALSE)</f>
        <v>42.978832115603055</v>
      </c>
      <c r="AK104" s="279">
        <f>VLOOKUP(TableWRRanks3242[[#This Row],[Player]],WR!B:O,7,FALSE)</f>
        <v>27.134872061922657</v>
      </c>
      <c r="AL104" s="279">
        <f>VLOOKUP(TableWRRanks3242[[#This Row],[Player]],WR!B:O,8,FALSE)</f>
        <v>276.65882215180739</v>
      </c>
      <c r="AM104" s="279">
        <f>VLOOKUP(TableWRRanks3242[[#This Row],[Player]],WR!B:O,9,FALSE)</f>
        <v>1.4641643052148567</v>
      </c>
      <c r="AN104" s="272">
        <f>VLOOKUP(TableWRRanks3242[[#This Row],[Player]],WR!B:O,13,FALSE)</f>
        <v>45.627287616763233</v>
      </c>
      <c r="AO104" s="273">
        <f>IF(VLOOKUP(TableWRRanks3242[[#This Row],[RK]],'Ranks w Proj'!AD:AO,12,FALSE)&lt;0,0,VLOOKUP(TableWRRanks3242[[#This Row],[RK]],'Ranks w Proj'!AD:AO,12,FALSE))</f>
        <v>0</v>
      </c>
    </row>
    <row r="105" spans="16:52" x14ac:dyDescent="0.3">
      <c r="P105" s="22">
        <v>104</v>
      </c>
      <c r="Q105" s="22" t="str">
        <f>VLOOKUP(TableRBRanks3141[[#This Row],[RK]],Rankings!A:Q,7,FALSE)</f>
        <v>DeeJay Dallas</v>
      </c>
      <c r="R105" s="22" t="str">
        <f>IFERROR(INDEX(TableRBCalcPts[TM],MATCH(TableRBRanks3141[[#This Row],[Player]],TableRBCalcPts[PLAYER],0)),"")</f>
        <v>SEA</v>
      </c>
      <c r="S105" s="22">
        <f>IFERROR(INDEX(TableRBCalcPts[BYE],MATCH(TableRBRanks3141[[#This Row],[RK]],TableRBCalcPts[RK],0)),"")</f>
        <v>7</v>
      </c>
      <c r="T105" s="279">
        <f>VLOOKUP(TableRBRanks3141[[#This Row],[Player]],RB!B:O,4,FALSE)</f>
        <v>14.194986569342563</v>
      </c>
      <c r="U105" s="279">
        <f>VLOOKUP(TableRBRanks3141[[#This Row],[Player]],RB!B:O,5,FALSE)</f>
        <v>57.986263330641059</v>
      </c>
      <c r="V105" s="279">
        <f>VLOOKUP(TableRBRanks3141[[#This Row],[Player]],RB!B:O,6,FALSE)</f>
        <v>0.12506743018428321</v>
      </c>
      <c r="W105" s="279">
        <f>VLOOKUP(TableRBRanks3141[[#This Row],[Player]],RB!B:O,7,FALSE)</f>
        <v>9.3106545010452351</v>
      </c>
      <c r="X105" s="279">
        <f>VLOOKUP(TableRBRanks3141[[#This Row],[Player]],RB!B:O,8,FALSE)</f>
        <v>7.4531789280867109</v>
      </c>
      <c r="Y105" s="279">
        <f>VLOOKUP(TableRBRanks3141[[#This Row],[Player]],RB!B:O,9,FALSE)</f>
        <v>45.669734146082341</v>
      </c>
      <c r="Z105" s="279">
        <f>VLOOKUP(TableRBRanks3141[[#This Row],[Player]],RB!B:O,10,FALSE)</f>
        <v>3.8026423102483213E-2</v>
      </c>
      <c r="AA105" s="272">
        <f>VLOOKUP(TableRBRanks3141[[#This Row],[Player]],RB!B:O,14,FALSE)</f>
        <v>11.344162867392939</v>
      </c>
      <c r="AB105" s="273">
        <f>IF(VLOOKUP(TableRBRanks3141[[#This Row],[RK]],'Ranks w Proj'!$P:$AB,13,FALSE)&lt;0,0,VLOOKUP(TableRBRanks3141[[#This Row],[RK]],'Ranks w Proj'!$P:$AB,13,FALSE))</f>
        <v>0</v>
      </c>
      <c r="AD105" s="274">
        <v>104</v>
      </c>
      <c r="AE105" s="22" t="str">
        <f>VLOOKUP(TableWRRanks3242[[#This Row],[RK]],Rankings!A:Q,11,FALSE)</f>
        <v>Isaiah McKenzie</v>
      </c>
      <c r="AF105" s="22" t="str">
        <f>IFERROR(INDEX(TableWRCalcPts[TM],MATCH(TableWRRanks3242[[#This Row],[Player]],TableWRCalcPts[PLAYER],0)),"")</f>
        <v>BUF</v>
      </c>
      <c r="AG105" s="22">
        <f>IFERROR(INDEX(TableWRCalcPts[BYE],MATCH(TableWRRanks3242[[#This Row],[RK]],TableWRCalcPts[RK],0)),"")</f>
        <v>9</v>
      </c>
      <c r="AH105" s="279">
        <f>VLOOKUP(TableWRRanks3242[[#This Row],[Player]],WR!B:O,4,FALSE)</f>
        <v>62.198576760721551</v>
      </c>
      <c r="AI105" s="279">
        <f>VLOOKUP(TableWRRanks3242[[#This Row],[Player]],WR!B:O,5,FALSE)</f>
        <v>0.80502790330049445</v>
      </c>
      <c r="AJ105" s="279">
        <f>VLOOKUP(TableWRRanks3242[[#This Row],[Player]],WR!B:O,6,FALSE)</f>
        <v>40.697807834028566</v>
      </c>
      <c r="AK105" s="279">
        <f>VLOOKUP(TableWRRanks3242[[#This Row],[Player]],WR!B:O,7,FALSE)</f>
        <v>24.015776402860254</v>
      </c>
      <c r="AL105" s="279">
        <f>VLOOKUP(TableWRRanks3242[[#This Row],[Player]],WR!B:O,8,FALSE)</f>
        <v>267.23803556649437</v>
      </c>
      <c r="AM105" s="279">
        <f>VLOOKUP(TableWRRanks3242[[#This Row],[Player]],WR!B:O,9,FALSE)</f>
        <v>1.4649623605744755</v>
      </c>
      <c r="AN105" s="272">
        <f>VLOOKUP(TableWRRanks3242[[#This Row],[Player]],WR!B:O,13,FALSE)</f>
        <v>46.563602815971421</v>
      </c>
      <c r="AO105" s="273">
        <f>IF(VLOOKUP(TableWRRanks3242[[#This Row],[RK]],'Ranks w Proj'!AD:AO,12,FALSE)&lt;0,0,VLOOKUP(TableWRRanks3242[[#This Row],[RK]],'Ranks w Proj'!AD:AO,12,FALSE))</f>
        <v>0</v>
      </c>
    </row>
    <row r="106" spans="16:52" x14ac:dyDescent="0.3">
      <c r="P106" s="22">
        <v>105</v>
      </c>
      <c r="Q106" s="22" t="str">
        <f>VLOOKUP(TableRBRanks3141[[#This Row],[RK]],Rankings!A:Q,7,FALSE)</f>
        <v>Trey Sermon</v>
      </c>
      <c r="R106" s="22" t="str">
        <f>IFERROR(INDEX(TableRBCalcPts[TM],MATCH(TableRBRanks3141[[#This Row],[Player]],TableRBCalcPts[PLAYER],0)),"")</f>
        <v>SF</v>
      </c>
      <c r="S106" s="22">
        <f>IFERROR(INDEX(TableRBCalcPts[BYE],MATCH(TableRBRanks3141[[#This Row],[RK]],TableRBCalcPts[RK],0)),"")</f>
        <v>14</v>
      </c>
      <c r="T106" s="279">
        <f>VLOOKUP(TableRBRanks3141[[#This Row],[Player]],RB!B:O,4,FALSE)</f>
        <v>10.670847986007162</v>
      </c>
      <c r="U106" s="279">
        <f>VLOOKUP(TableRBRanks3141[[#This Row],[Player]],RB!B:O,5,FALSE)</f>
        <v>43.323642823189076</v>
      </c>
      <c r="V106" s="279">
        <f>VLOOKUP(TableRBRanks3141[[#This Row],[Player]],RB!B:O,6,FALSE)</f>
        <v>0.24961047920484589</v>
      </c>
      <c r="W106" s="279">
        <f>VLOOKUP(TableRBRanks3141[[#This Row],[Player]],RB!B:O,7,FALSE)</f>
        <v>4.0341004690152866</v>
      </c>
      <c r="X106" s="279">
        <f>VLOOKUP(TableRBRanks3141[[#This Row],[Player]],RB!B:O,8,FALSE)</f>
        <v>2.42530120197199</v>
      </c>
      <c r="Y106" s="279">
        <f>VLOOKUP(TableRBRanks3141[[#This Row],[Player]],RB!B:O,9,FALSE)</f>
        <v>17.410197914156072</v>
      </c>
      <c r="Z106" s="279">
        <f>VLOOKUP(TableRBRanks3141[[#This Row],[Player]],RB!B:O,10,FALSE)</f>
        <v>6.5829604053525462E-2</v>
      </c>
      <c r="AA106" s="272">
        <f>VLOOKUP(TableRBRanks3141[[#This Row],[Player]],RB!B:O,14,FALSE)</f>
        <v>7.9660245732847432</v>
      </c>
      <c r="AB106" s="273">
        <f>IF(VLOOKUP(TableRBRanks3141[[#This Row],[RK]],'Ranks w Proj'!$P:$AB,13,FALSE)&lt;0,0,VLOOKUP(TableRBRanks3141[[#This Row],[RK]],'Ranks w Proj'!$P:$AB,13,FALSE))</f>
        <v>0</v>
      </c>
      <c r="AD106" s="22">
        <v>105</v>
      </c>
      <c r="AE106" s="274" t="str">
        <f>VLOOKUP(TableWRRanks3242[[#This Row],[RK]],Rankings!A:Q,11,FALSE)</f>
        <v>Jauan Jennings</v>
      </c>
      <c r="AF106" s="22" t="str">
        <f>IFERROR(INDEX(TableWRCalcPts[TM],MATCH(TableWRRanks3242[[#This Row],[Player]],TableWRCalcPts[PLAYER],0)),"")</f>
        <v>SF</v>
      </c>
      <c r="AG106" s="22">
        <f>IFERROR(INDEX(TableWRCalcPts[BYE],MATCH(TableWRRanks3242[[#This Row],[RK]],TableWRCalcPts[RK],0)),"")</f>
        <v>9</v>
      </c>
      <c r="AH106" s="279">
        <f>VLOOKUP(TableWRRanks3242[[#This Row],[Player]],WR!B:O,4,FALSE)</f>
        <v>0</v>
      </c>
      <c r="AI106" s="279">
        <f>VLOOKUP(TableWRRanks3242[[#This Row],[Player]],WR!B:O,5,FALSE)</f>
        <v>0</v>
      </c>
      <c r="AJ106" s="279">
        <f>VLOOKUP(TableWRRanks3242[[#This Row],[Player]],WR!B:O,6,FALSE)</f>
        <v>44.395756732684987</v>
      </c>
      <c r="AK106" s="279">
        <f>VLOOKUP(TableWRRanks3242[[#This Row],[Player]],WR!B:O,7,FALSE)</f>
        <v>25.682945269858266</v>
      </c>
      <c r="AL106" s="279">
        <f>VLOOKUP(TableWRRanks3242[[#This Row],[Player]],WR!B:O,8,FALSE)</f>
        <v>283.28288632653664</v>
      </c>
      <c r="AM106" s="279">
        <f>VLOOKUP(TableWRRanks3242[[#This Row],[Player]],WR!B:O,9,FALSE)</f>
        <v>2.4980036973935538</v>
      </c>
      <c r="AN106" s="272">
        <f>VLOOKUP(TableWRRanks3242[[#This Row],[Player]],WR!B:O,13,FALSE)</f>
        <v>43.316310817014994</v>
      </c>
      <c r="AO106" s="273">
        <f>IF(VLOOKUP(TableWRRanks3242[[#This Row],[RK]],'Ranks w Proj'!AD:AO,12,FALSE)&lt;0,0,VLOOKUP(TableWRRanks3242[[#This Row],[RK]],'Ranks w Proj'!AD:AO,12,FALSE))</f>
        <v>0</v>
      </c>
    </row>
    <row r="107" spans="16:52" x14ac:dyDescent="0.3">
      <c r="P107" s="22">
        <v>106</v>
      </c>
      <c r="Q107" s="22" t="str">
        <f>VLOOKUP(TableRBRanks3141[[#This Row],[RK]],Rankings!A:Q,7,FALSE)</f>
        <v>Jerome Ford</v>
      </c>
      <c r="R107" s="22" t="str">
        <f>IFERROR(INDEX(TableRBCalcPts[TM],MATCH(TableRBRanks3141[[#This Row],[Player]],TableRBCalcPts[PLAYER],0)),"")</f>
        <v>CLE</v>
      </c>
      <c r="S107" s="22">
        <f>IFERROR(INDEX(TableRBCalcPts[BYE],MATCH(TableRBRanks3141[[#This Row],[RK]],TableRBCalcPts[RK],0)),"")</f>
        <v>10</v>
      </c>
      <c r="T107" s="279">
        <f>VLOOKUP(TableRBRanks3141[[#This Row],[Player]],RB!B:O,4,FALSE)</f>
        <v>7.9157865255458972</v>
      </c>
      <c r="U107" s="279">
        <f>VLOOKUP(TableRBRanks3141[[#This Row],[Player]],RB!B:O,5,FALSE)</f>
        <v>34.61992518672573</v>
      </c>
      <c r="V107" s="279">
        <f>VLOOKUP(TableRBRanks3141[[#This Row],[Player]],RB!B:O,6,FALSE)</f>
        <v>0.16297207552594495</v>
      </c>
      <c r="W107" s="279">
        <f>VLOOKUP(TableRBRanks3141[[#This Row],[Player]],RB!B:O,7,FALSE)</f>
        <v>4.3133384778390802</v>
      </c>
      <c r="X107" s="279">
        <f>VLOOKUP(TableRBRanks3141[[#This Row],[Player]],RB!B:O,8,FALSE)</f>
        <v>2.8991124274595865</v>
      </c>
      <c r="Y107" s="279">
        <f>VLOOKUP(TableRBRanks3141[[#This Row],[Player]],RB!B:O,9,FALSE)</f>
        <v>23.742731086953512</v>
      </c>
      <c r="Z107" s="279">
        <f>VLOOKUP(TableRBRanks3141[[#This Row],[Player]],RB!B:O,10,FALSE)</f>
        <v>0</v>
      </c>
      <c r="AA107" s="272">
        <f>VLOOKUP(TableRBRanks3141[[#This Row],[Player]],RB!B:O,14,FALSE)</f>
        <v>6.8140980805235944</v>
      </c>
      <c r="AB107" s="273">
        <f>IF(VLOOKUP(TableRBRanks3141[[#This Row],[RK]],'Ranks w Proj'!$P:$AB,13,FALSE)&lt;0,0,VLOOKUP(TableRBRanks3141[[#This Row],[RK]],'Ranks w Proj'!$P:$AB,13,FALSE))</f>
        <v>0</v>
      </c>
      <c r="AD107" s="22">
        <v>106</v>
      </c>
      <c r="AE107" s="274" t="str">
        <f>VLOOKUP(TableWRRanks3242[[#This Row],[RK]],Rankings!A:Q,11,FALSE)</f>
        <v>Anthony Schwartz</v>
      </c>
      <c r="AF107" s="22" t="str">
        <f>IFERROR(INDEX(TableWRCalcPts[TM],MATCH(TableWRRanks3242[[#This Row],[Player]],TableWRCalcPts[PLAYER],0)),"")</f>
        <v>CLE</v>
      </c>
      <c r="AG107" s="22">
        <f>IFERROR(INDEX(TableWRCalcPts[BYE],MATCH(TableWRRanks3242[[#This Row],[RK]],TableWRCalcPts[RK],0)),"")</f>
        <v>11</v>
      </c>
      <c r="AH107" s="279">
        <f>VLOOKUP(TableWRRanks3242[[#This Row],[Player]],WR!B:O,4,FALSE)</f>
        <v>17.429855999901427</v>
      </c>
      <c r="AI107" s="279">
        <f>VLOOKUP(TableWRRanks3242[[#This Row],[Player]],WR!B:O,5,FALSE)</f>
        <v>6.6653369024479658E-2</v>
      </c>
      <c r="AJ107" s="279">
        <f>VLOOKUP(TableWRRanks3242[[#This Row],[Player]],WR!B:O,6,FALSE)</f>
        <v>40.396391235644117</v>
      </c>
      <c r="AK107" s="279">
        <f>VLOOKUP(TableWRRanks3242[[#This Row],[Player]],WR!B:O,7,FALSE)</f>
        <v>24.197438350150826</v>
      </c>
      <c r="AL107" s="279">
        <f>VLOOKUP(TableWRRanks3242[[#This Row],[Player]],WR!B:O,8,FALSE)</f>
        <v>286.49767006578577</v>
      </c>
      <c r="AM107" s="279">
        <f>VLOOKUP(TableWRRanks3242[[#This Row],[Player]],WR!B:O,9,FALSE)</f>
        <v>1.9357950680120661</v>
      </c>
      <c r="AN107" s="272">
        <f>VLOOKUP(TableWRRanks3242[[#This Row],[Player]],WR!B:O,13,FALSE)</f>
        <v>42.407443228787997</v>
      </c>
      <c r="AO107" s="273">
        <f>IF(VLOOKUP(TableWRRanks3242[[#This Row],[RK]],'Ranks w Proj'!AD:AO,12,FALSE)&lt;0,0,VLOOKUP(TableWRRanks3242[[#This Row],[RK]],'Ranks w Proj'!AD:AO,12,FALSE))</f>
        <v>0</v>
      </c>
    </row>
    <row r="108" spans="16:52" x14ac:dyDescent="0.3">
      <c r="P108" s="22">
        <v>107</v>
      </c>
      <c r="Q108" s="22" t="str">
        <f>VLOOKUP(TableRBRanks3141[[#This Row],[RK]],Rankings!A:Q,7,FALSE)</f>
        <v>Ty Johnson</v>
      </c>
      <c r="R108" s="22" t="str">
        <f>IFERROR(INDEX(TableRBCalcPts[TM],MATCH(TableRBRanks3141[[#This Row],[Player]],TableRBCalcPts[PLAYER],0)),"")</f>
        <v>NYJ</v>
      </c>
      <c r="S108" s="22">
        <f>IFERROR(INDEX(TableRBCalcPts[BYE],MATCH(TableRBRanks3141[[#This Row],[RK]],TableRBCalcPts[RK],0)),"")</f>
        <v>6</v>
      </c>
      <c r="T108" s="279">
        <f>VLOOKUP(TableRBRanks3141[[#This Row],[Player]],RB!B:O,4,FALSE)</f>
        <v>9.5238424946514577</v>
      </c>
      <c r="U108" s="279">
        <f>VLOOKUP(TableRBRanks3141[[#This Row],[Player]],RB!B:O,5,FALSE)</f>
        <v>37.9048931287128</v>
      </c>
      <c r="V108" s="279">
        <f>VLOOKUP(TableRBRanks3141[[#This Row],[Player]],RB!B:O,6,FALSE)</f>
        <v>0.20571499788447151</v>
      </c>
      <c r="W108" s="279">
        <f>VLOOKUP(TableRBRanks3141[[#This Row],[Player]],RB!B:O,7,FALSE)</f>
        <v>11.106651552418228</v>
      </c>
      <c r="X108" s="279">
        <f>VLOOKUP(TableRBRanks3141[[#This Row],[Player]],RB!B:O,8,FALSE)</f>
        <v>7.079379699511378</v>
      </c>
      <c r="Y108" s="279">
        <f>VLOOKUP(TableRBRanks3141[[#This Row],[Player]],RB!B:O,9,FALSE)</f>
        <v>56.635037596091024</v>
      </c>
      <c r="Z108" s="279">
        <f>VLOOKUP(TableRBRanks3141[[#This Row],[Player]],RB!B:O,10,FALSE)</f>
        <v>0.1274288345912048</v>
      </c>
      <c r="AA108" s="272">
        <f>VLOOKUP(TableRBRanks3141[[#This Row],[Player]],RB!B:O,14,FALSE)</f>
        <v>11.452856067334441</v>
      </c>
      <c r="AB108" s="273">
        <f>IF(VLOOKUP(TableRBRanks3141[[#This Row],[RK]],'Ranks w Proj'!$P:$AB,13,FALSE)&lt;0,0,VLOOKUP(TableRBRanks3141[[#This Row],[RK]],'Ranks w Proj'!$P:$AB,13,FALSE))</f>
        <v>0</v>
      </c>
      <c r="AD108" s="274">
        <v>107</v>
      </c>
      <c r="AE108" s="274" t="str">
        <f>VLOOKUP(TableWRRanks3242[[#This Row],[RK]],Rankings!A:Q,11,FALSE)</f>
        <v>Calvin Austin</v>
      </c>
      <c r="AF108" s="22" t="str">
        <f>IFERROR(INDEX(TableWRCalcPts[TM],MATCH(TableWRRanks3242[[#This Row],[Player]],TableWRCalcPts[PLAYER],0)),"")</f>
        <v>PIT</v>
      </c>
      <c r="AG108" s="22">
        <f>IFERROR(INDEX(TableWRCalcPts[BYE],MATCH(TableWRRanks3242[[#This Row],[RK]],TableWRCalcPts[RK],0)),"")</f>
        <v>9</v>
      </c>
      <c r="AH108" s="279">
        <f>VLOOKUP(TableWRRanks3242[[#This Row],[Player]],WR!B:O,4,FALSE)</f>
        <v>0</v>
      </c>
      <c r="AI108" s="279">
        <f>VLOOKUP(TableWRRanks3242[[#This Row],[Player]],WR!B:O,5,FALSE)</f>
        <v>0</v>
      </c>
      <c r="AJ108" s="279">
        <f>VLOOKUP(TableWRRanks3242[[#This Row],[Player]],WR!B:O,6,FALSE)</f>
        <v>44.86639874321547</v>
      </c>
      <c r="AK108" s="279">
        <f>VLOOKUP(TableWRRanks3242[[#This Row],[Player]],WR!B:O,7,FALSE)</f>
        <v>29.194565662210305</v>
      </c>
      <c r="AL108" s="279">
        <f>VLOOKUP(TableWRRanks3242[[#This Row],[Player]],WR!B:O,8,FALSE)</f>
        <v>310.99609191978112</v>
      </c>
      <c r="AM108" s="279">
        <f>VLOOKUP(TableWRRanks3242[[#This Row],[Player]],WR!B:O,9,FALSE)</f>
        <v>1.255366323475043</v>
      </c>
      <c r="AN108" s="272">
        <f>VLOOKUP(TableWRRanks3242[[#This Row],[Player]],WR!B:O,13,FALSE)</f>
        <v>38.631807132828371</v>
      </c>
      <c r="AO108" s="273">
        <f>IF(VLOOKUP(TableWRRanks3242[[#This Row],[RK]],'Ranks w Proj'!AD:AO,12,FALSE)&lt;0,0,VLOOKUP(TableWRRanks3242[[#This Row],[RK]],'Ranks w Proj'!AD:AO,12,FALSE))</f>
        <v>0</v>
      </c>
    </row>
    <row r="109" spans="16:52" x14ac:dyDescent="0.3">
      <c r="P109" s="22">
        <v>108</v>
      </c>
      <c r="Q109" s="22" t="str">
        <f>VLOOKUP(TableRBRanks3141[[#This Row],[RK]],Rankings!A:Q,7,FALSE)</f>
        <v>Kylin Hill</v>
      </c>
      <c r="R109" s="22" t="str">
        <f>IFERROR(INDEX(TableRBCalcPts[TM],MATCH(TableRBRanks3141[[#This Row],[Player]],TableRBCalcPts[PLAYER],0)),"")</f>
        <v>GB</v>
      </c>
      <c r="S109" s="22">
        <f>IFERROR(INDEX(TableRBCalcPts[BYE],MATCH(TableRBRanks3141[[#This Row],[RK]],TableRBCalcPts[RK],0)),"")</f>
        <v>11</v>
      </c>
      <c r="T109" s="279">
        <f>VLOOKUP(TableRBRanks3141[[#This Row],[Player]],RB!B:O,4,FALSE)</f>
        <v>19.29820162896695</v>
      </c>
      <c r="U109" s="279">
        <f>VLOOKUP(TableRBRanks3141[[#This Row],[Player]],RB!B:O,5,FALSE)</f>
        <v>73.912112238943422</v>
      </c>
      <c r="V109" s="279">
        <f>VLOOKUP(TableRBRanks3141[[#This Row],[Player]],RB!B:O,6,FALSE)</f>
        <v>0.35682602665469892</v>
      </c>
      <c r="W109" s="279">
        <f>VLOOKUP(TableRBRanks3141[[#This Row],[Player]],RB!B:O,7,FALSE)</f>
        <v>5.9250538999999973</v>
      </c>
      <c r="X109" s="279">
        <f>VLOOKUP(TableRBRanks3141[[#This Row],[Player]],RB!B:O,8,FALSE)</f>
        <v>3.9816362207999982</v>
      </c>
      <c r="Y109" s="279">
        <f>VLOOKUP(TableRBRanks3141[[#This Row],[Player]],RB!B:O,9,FALSE)</f>
        <v>31.335477057695986</v>
      </c>
      <c r="Z109" s="279">
        <f>VLOOKUP(TableRBRanks3141[[#This Row],[Player]],RB!B:O,10,FALSE)</f>
        <v>2.05387198019189E-2</v>
      </c>
      <c r="AA109" s="272">
        <f>VLOOKUP(TableRBRanks3141[[#This Row],[Player]],RB!B:O,14,FALSE)</f>
        <v>12.788947408403649</v>
      </c>
      <c r="AB109" s="273">
        <f>IF(VLOOKUP(TableRBRanks3141[[#This Row],[RK]],'Ranks w Proj'!$P:$AB,13,FALSE)&lt;0,0,VLOOKUP(TableRBRanks3141[[#This Row],[RK]],'Ranks w Proj'!$P:$AB,13,FALSE))</f>
        <v>0</v>
      </c>
      <c r="AD109" s="22">
        <v>108</v>
      </c>
      <c r="AE109" s="22" t="str">
        <f>VLOOKUP(TableWRRanks3242[[#This Row],[RK]],Rankings!A:Q,11,FALSE)</f>
        <v>Demarcus Robinson</v>
      </c>
      <c r="AF109" s="22" t="str">
        <f>IFERROR(INDEX(TableWRCalcPts[TM],MATCH(TableWRRanks3242[[#This Row],[Player]],TableWRCalcPts[PLAYER],0)),"")</f>
        <v>LV</v>
      </c>
      <c r="AG109" s="22">
        <f>IFERROR(INDEX(TableWRCalcPts[BYE],MATCH(TableWRRanks3242[[#This Row],[RK]],TableWRCalcPts[RK],0)),"")</f>
        <v>6</v>
      </c>
      <c r="AH109" s="279">
        <f>VLOOKUP(TableWRRanks3242[[#This Row],[Player]],WR!B:O,4,FALSE)</f>
        <v>0</v>
      </c>
      <c r="AI109" s="279">
        <f>VLOOKUP(TableWRRanks3242[[#This Row],[Player]],WR!B:O,5,FALSE)</f>
        <v>0</v>
      </c>
      <c r="AJ109" s="279">
        <f>VLOOKUP(TableWRRanks3242[[#This Row],[Player]],WR!B:O,6,FALSE)</f>
        <v>35.279356559999989</v>
      </c>
      <c r="AK109" s="279">
        <f>VLOOKUP(TableWRRanks3242[[#This Row],[Player]],WR!B:O,7,FALSE)</f>
        <v>18.878375688106662</v>
      </c>
      <c r="AL109" s="279">
        <f>VLOOKUP(TableWRRanks3242[[#This Row],[Player]],WR!B:O,8,FALSE)</f>
        <v>248.8169915692458</v>
      </c>
      <c r="AM109" s="279">
        <f>VLOOKUP(TableWRRanks3242[[#This Row],[Player]],WR!B:O,9,FALSE)</f>
        <v>1.7402032614283327</v>
      </c>
      <c r="AN109" s="272">
        <f>VLOOKUP(TableWRRanks3242[[#This Row],[Player]],WR!B:O,13,FALSE)</f>
        <v>35.322918725494581</v>
      </c>
      <c r="AO109" s="273">
        <f>IF(VLOOKUP(TableWRRanks3242[[#This Row],[RK]],'Ranks w Proj'!AD:AO,12,FALSE)&lt;0,0,VLOOKUP(TableWRRanks3242[[#This Row],[RK]],'Ranks w Proj'!AD:AO,12,FALSE))</f>
        <v>0</v>
      </c>
    </row>
    <row r="110" spans="16:52" x14ac:dyDescent="0.3">
      <c r="P110" s="22">
        <v>109</v>
      </c>
      <c r="Q110" s="22" t="str">
        <f>VLOOKUP(TableRBRanks3141[[#This Row],[RK]],Rankings!A:Q,7,FALSE)</f>
        <v>Qadree Ollison</v>
      </c>
      <c r="R110" s="22" t="str">
        <f>IFERROR(INDEX(TableRBCalcPts[TM],MATCH(TableRBRanks3141[[#This Row],[Player]],TableRBCalcPts[PLAYER],0)),"")</f>
        <v>ATL</v>
      </c>
      <c r="S110" s="22">
        <f>IFERROR(INDEX(TableRBCalcPts[BYE],MATCH(TableRBRanks3141[[#This Row],[RK]],TableRBCalcPts[RK],0)),"")</f>
        <v>14</v>
      </c>
      <c r="T110" s="279">
        <f>VLOOKUP(TableRBRanks3141[[#This Row],[Player]],RB!B:O,4,FALSE)</f>
        <v>14.579326212171415</v>
      </c>
      <c r="U110" s="279">
        <f>VLOOKUP(TableRBRanks3141[[#This Row],[Player]],RB!B:O,5,FALSE)</f>
        <v>55.6930261304948</v>
      </c>
      <c r="V110" s="279">
        <f>VLOOKUP(TableRBRanks3141[[#This Row],[Player]],RB!B:O,6,FALSE)</f>
        <v>0.27846513065247402</v>
      </c>
      <c r="W110" s="279">
        <f>VLOOKUP(TableRBRanks3141[[#This Row],[Player]],RB!B:O,7,FALSE)</f>
        <v>8.4173188265843155</v>
      </c>
      <c r="X110" s="279">
        <f>VLOOKUP(TableRBRanks3141[[#This Row],[Player]],RB!B:O,8,FALSE)</f>
        <v>5.7254602658426519</v>
      </c>
      <c r="Y110" s="279">
        <f>VLOOKUP(TableRBRanks3141[[#This Row],[Player]],RB!B:O,9,FALSE)</f>
        <v>40.543552180190538</v>
      </c>
      <c r="Z110" s="279">
        <f>VLOOKUP(TableRBRanks3141[[#This Row],[Player]],RB!B:O,10,FALSE)</f>
        <v>3.2158280531580839E-2</v>
      </c>
      <c r="AA110" s="272">
        <f>VLOOKUP(TableRBRanks3141[[#This Row],[Player]],RB!B:O,14,FALSE)</f>
        <v>11.487398298172863</v>
      </c>
      <c r="AB110" s="273">
        <f>IF(VLOOKUP(TableRBRanks3141[[#This Row],[RK]],'Ranks w Proj'!$P:$AB,13,FALSE)&lt;0,0,VLOOKUP(TableRBRanks3141[[#This Row],[RK]],'Ranks w Proj'!$P:$AB,13,FALSE))</f>
        <v>0</v>
      </c>
      <c r="AD110" s="22">
        <v>109</v>
      </c>
      <c r="AE110" s="22" t="str">
        <f>VLOOKUP(TableWRRanks3242[[#This Row],[RK]],Rankings!A:Q,11,FALSE)</f>
        <v>Tyler Johnson</v>
      </c>
      <c r="AF110" s="22" t="str">
        <f>IFERROR(INDEX(TableWRCalcPts[TM],MATCH(TableWRRanks3242[[#This Row],[Player]],TableWRCalcPts[PLAYER],0)),"")</f>
        <v>TB</v>
      </c>
      <c r="AG110" s="22">
        <f>IFERROR(INDEX(TableWRCalcPts[BYE],MATCH(TableWRRanks3242[[#This Row],[RK]],TableWRCalcPts[RK],0)),"")</f>
        <v>14</v>
      </c>
      <c r="AH110" s="279">
        <f>VLOOKUP(TableWRRanks3242[[#This Row],[Player]],WR!B:O,4,FALSE)</f>
        <v>0</v>
      </c>
      <c r="AI110" s="279">
        <f>VLOOKUP(TableWRRanks3242[[#This Row],[Player]],WR!B:O,5,FALSE)</f>
        <v>0</v>
      </c>
      <c r="AJ110" s="279">
        <f>VLOOKUP(TableWRRanks3242[[#This Row],[Player]],WR!B:O,6,FALSE)</f>
        <v>24.051275430621917</v>
      </c>
      <c r="AK110" s="279">
        <f>VLOOKUP(TableWRRanks3242[[#This Row],[Player]],WR!B:O,7,FALSE)</f>
        <v>17.422066076149395</v>
      </c>
      <c r="AL110" s="279">
        <f>VLOOKUP(TableWRRanks3242[[#This Row],[Player]],WR!B:O,8,FALSE)</f>
        <v>207.62906652306157</v>
      </c>
      <c r="AM110" s="279">
        <f>VLOOKUP(TableWRRanks3242[[#This Row],[Player]],WR!B:O,9,FALSE)</f>
        <v>1.4460314843203999</v>
      </c>
      <c r="AN110" s="272">
        <f>VLOOKUP(TableWRRanks3242[[#This Row],[Player]],WR!B:O,13,FALSE)</f>
        <v>29.439095558228555</v>
      </c>
      <c r="AO110" s="273">
        <f>IF(VLOOKUP(TableWRRanks3242[[#This Row],[RK]],'Ranks w Proj'!AD:AO,12,FALSE)&lt;0,0,VLOOKUP(TableWRRanks3242[[#This Row],[RK]],'Ranks w Proj'!AD:AO,12,FALSE))</f>
        <v>0</v>
      </c>
    </row>
    <row r="111" spans="16:52" x14ac:dyDescent="0.3">
      <c r="P111" s="22">
        <v>110</v>
      </c>
      <c r="Q111" s="22" t="str">
        <f>VLOOKUP(TableRBRanks3141[[#This Row],[RK]],Rankings!A:Q,7,FALSE)</f>
        <v>Craig Reynolds</v>
      </c>
      <c r="R111" s="22" t="str">
        <f>IFERROR(INDEX(TableRBCalcPts[TM],MATCH(TableRBRanks3141[[#This Row],[Player]],TableRBCalcPts[PLAYER],0)),"")</f>
        <v>DET</v>
      </c>
      <c r="S111" s="22">
        <f>IFERROR(INDEX(TableRBCalcPts[BYE],MATCH(TableRBRanks3141[[#This Row],[RK]],TableRBCalcPts[RK],0)),"")</f>
        <v>10</v>
      </c>
      <c r="T111" s="279">
        <f>VLOOKUP(TableRBRanks3141[[#This Row],[Player]],RB!B:O,4,FALSE)</f>
        <v>12.439053501507566</v>
      </c>
      <c r="U111" s="279">
        <f>VLOOKUP(TableRBRanks3141[[#This Row],[Player]],RB!B:O,5,FALSE)</f>
        <v>52.308398780327643</v>
      </c>
      <c r="V111" s="279">
        <f>VLOOKUP(TableRBRanks3141[[#This Row],[Player]],RB!B:O,6,FALSE)</f>
        <v>0.39680580669809129</v>
      </c>
      <c r="W111" s="279">
        <f>VLOOKUP(TableRBRanks3141[[#This Row],[Player]],RB!B:O,7,FALSE)</f>
        <v>6.9562966666373534</v>
      </c>
      <c r="X111" s="279">
        <f>VLOOKUP(TableRBRanks3141[[#This Row],[Player]],RB!B:O,8,FALSE)</f>
        <v>4.8812333709794311</v>
      </c>
      <c r="Y111" s="279">
        <f>VLOOKUP(TableRBRanks3141[[#This Row],[Player]],RB!B:O,9,FALSE)</f>
        <v>31.927680970864817</v>
      </c>
      <c r="Z111" s="279">
        <f>VLOOKUP(TableRBRanks3141[[#This Row],[Player]],RB!B:O,10,FALSE)</f>
        <v>0.12820644154842109</v>
      </c>
      <c r="AA111" s="272">
        <f>VLOOKUP(TableRBRanks3141[[#This Row],[Player]],RB!B:O,14,FALSE)</f>
        <v>11.573681464598321</v>
      </c>
      <c r="AB111" s="273">
        <f>IF(VLOOKUP(TableRBRanks3141[[#This Row],[RK]],'Ranks w Proj'!$P:$AB,13,FALSE)&lt;0,0,VLOOKUP(TableRBRanks3141[[#This Row],[RK]],'Ranks w Proj'!$P:$AB,13,FALSE))</f>
        <v>0</v>
      </c>
      <c r="AD111" s="274">
        <v>110</v>
      </c>
      <c r="AE111" s="22" t="str">
        <f>VLOOKUP(TableWRRanks3242[[#This Row],[RK]],Rankings!A:Q,11,FALSE)</f>
        <v>Marquez Callaway</v>
      </c>
      <c r="AF111" s="22" t="str">
        <f>IFERROR(INDEX(TableWRCalcPts[TM],MATCH(TableWRRanks3242[[#This Row],[Player]],TableWRCalcPts[PLAYER],0)),"")</f>
        <v>NO</v>
      </c>
      <c r="AG111" s="22">
        <f>IFERROR(INDEX(TableWRCalcPts[BYE],MATCH(TableWRRanks3242[[#This Row],[RK]],TableWRCalcPts[RK],0)),"")</f>
        <v>7</v>
      </c>
      <c r="AH111" s="279">
        <f>VLOOKUP(TableWRRanks3242[[#This Row],[Player]],WR!B:O,4,FALSE)</f>
        <v>6.7235189268416606</v>
      </c>
      <c r="AI111" s="279">
        <f>VLOOKUP(TableWRRanks3242[[#This Row],[Player]],WR!B:O,5,FALSE)</f>
        <v>4.9988988303655481E-2</v>
      </c>
      <c r="AJ111" s="279">
        <f>VLOOKUP(TableWRRanks3242[[#This Row],[Player]],WR!B:O,6,FALSE)</f>
        <v>30.320449256246494</v>
      </c>
      <c r="AK111" s="279">
        <f>VLOOKUP(TableWRRanks3242[[#This Row],[Player]],WR!B:O,7,FALSE)</f>
        <v>17.622245107730464</v>
      </c>
      <c r="AL111" s="279">
        <f>VLOOKUP(TableWRRanks3242[[#This Row],[Player]],WR!B:O,8,FALSE)</f>
        <v>262.74767455626125</v>
      </c>
      <c r="AM111" s="279">
        <f>VLOOKUP(TableWRRanks3242[[#This Row],[Player]],WR!B:O,9,FALSE)</f>
        <v>1.3040461379720543</v>
      </c>
      <c r="AN111" s="272">
        <f>VLOOKUP(TableWRRanks3242[[#This Row],[Player]],WR!B:O,13,FALSE)</f>
        <v>35.071330105964549</v>
      </c>
      <c r="AO111" s="273">
        <f>IF(VLOOKUP(TableWRRanks3242[[#This Row],[RK]],'Ranks w Proj'!AD:AO,12,FALSE)&lt;0,0,VLOOKUP(TableWRRanks3242[[#This Row],[RK]],'Ranks w Proj'!AD:AO,12,FALSE))</f>
        <v>0</v>
      </c>
    </row>
    <row r="112" spans="16:52" x14ac:dyDescent="0.3">
      <c r="P112" s="22">
        <v>111</v>
      </c>
      <c r="Q112" s="22" t="str">
        <f>VLOOKUP(TableRBRanks3141[[#This Row],[RK]],Rankings!A:Q,7,FALSE)</f>
        <v>Ty Chandler</v>
      </c>
      <c r="R112" s="22" t="str">
        <f>IFERROR(INDEX(TableRBCalcPts[TM],MATCH(TableRBRanks3141[[#This Row],[Player]],TableRBCalcPts[PLAYER],0)),"")</f>
        <v>MIN</v>
      </c>
      <c r="S112" s="22">
        <f>IFERROR(INDEX(TableRBCalcPts[BYE],MATCH(TableRBRanks3141[[#This Row],[RK]],TableRBCalcPts[RK],0)),"")</f>
        <v>11</v>
      </c>
      <c r="T112" s="279">
        <f>VLOOKUP(TableRBRanks3141[[#This Row],[Player]],RB!B:O,4,FALSE)</f>
        <v>17.579252589067522</v>
      </c>
      <c r="U112" s="279">
        <f>VLOOKUP(TableRBRanks3141[[#This Row],[Player]],RB!B:O,5,FALSE)</f>
        <v>78.520661564501594</v>
      </c>
      <c r="V112" s="279">
        <f>VLOOKUP(TableRBRanks3141[[#This Row],[Player]],RB!B:O,6,FALSE)</f>
        <v>0.61878969113517679</v>
      </c>
      <c r="W112" s="279">
        <f>VLOOKUP(TableRBRanks3141[[#This Row],[Player]],RB!B:O,7,FALSE)</f>
        <v>2.578398631182373</v>
      </c>
      <c r="X112" s="279">
        <f>VLOOKUP(TableRBRanks3141[[#This Row],[Player]],RB!B:O,8,FALSE)</f>
        <v>1.8102936789531439</v>
      </c>
      <c r="Y112" s="279">
        <f>VLOOKUP(TableRBRanks3141[[#This Row],[Player]],RB!B:O,9,FALSE)</f>
        <v>15.561562971001065</v>
      </c>
      <c r="Z112" s="279">
        <f>VLOOKUP(TableRBRanks3141[[#This Row],[Player]],RB!B:O,10,FALSE)</f>
        <v>0</v>
      </c>
      <c r="AA112" s="272">
        <f>VLOOKUP(TableRBRanks3141[[#This Row],[Player]],RB!B:O,14,FALSE)</f>
        <v>13.120960600361327</v>
      </c>
      <c r="AB112" s="273">
        <f>IF(VLOOKUP(TableRBRanks3141[[#This Row],[RK]],'Ranks w Proj'!$P:$AB,13,FALSE)&lt;0,0,VLOOKUP(TableRBRanks3141[[#This Row],[RK]],'Ranks w Proj'!$P:$AB,13,FALSE))</f>
        <v>0</v>
      </c>
      <c r="AD112" s="22">
        <v>111</v>
      </c>
      <c r="AE112" s="22" t="str">
        <f>VLOOKUP(TableWRRanks3242[[#This Row],[RK]],Rankings!A:Q,11,FALSE)</f>
        <v>Quez Watkins</v>
      </c>
      <c r="AF112" s="22" t="str">
        <f>IFERROR(INDEX(TableWRCalcPts[TM],MATCH(TableWRRanks3242[[#This Row],[Player]],TableWRCalcPts[PLAYER],0)),"")</f>
        <v>PHI</v>
      </c>
      <c r="AG112" s="22">
        <f>IFERROR(INDEX(TableWRCalcPts[BYE],MATCH(TableWRRanks3242[[#This Row],[RK]],TableWRCalcPts[RK],0)),"")</f>
        <v>6</v>
      </c>
      <c r="AH112" s="279">
        <f>VLOOKUP(TableWRRanks3242[[#This Row],[Player]],WR!B:O,4,FALSE)</f>
        <v>10.950343221574292</v>
      </c>
      <c r="AI112" s="279">
        <f>VLOOKUP(TableWRRanks3242[[#This Row],[Player]],WR!B:O,5,FALSE)</f>
        <v>0</v>
      </c>
      <c r="AJ112" s="279">
        <f>VLOOKUP(TableWRRanks3242[[#This Row],[Player]],WR!B:O,6,FALSE)</f>
        <v>31.933675768989708</v>
      </c>
      <c r="AK112" s="279">
        <f>VLOOKUP(TableWRRanks3242[[#This Row],[Player]],WR!B:O,7,FALSE)</f>
        <v>19.11549831531724</v>
      </c>
      <c r="AL112" s="279">
        <f>VLOOKUP(TableWRRanks3242[[#This Row],[Player]],WR!B:O,8,FALSE)</f>
        <v>259.4622265535088</v>
      </c>
      <c r="AM112" s="279">
        <f>VLOOKUP(TableWRRanks3242[[#This Row],[Player]],WR!B:O,9,FALSE)</f>
        <v>1.1660453972343516</v>
      </c>
      <c r="AN112" s="272">
        <f>VLOOKUP(TableWRRanks3242[[#This Row],[Player]],WR!B:O,13,FALSE)</f>
        <v>34.037529360914419</v>
      </c>
      <c r="AO112" s="273">
        <f>IF(VLOOKUP(TableWRRanks3242[[#This Row],[RK]],'Ranks w Proj'!AD:AO,12,FALSE)&lt;0,0,VLOOKUP(TableWRRanks3242[[#This Row],[RK]],'Ranks w Proj'!AD:AO,12,FALSE))</f>
        <v>0</v>
      </c>
    </row>
    <row r="113" spans="16:41" x14ac:dyDescent="0.3">
      <c r="P113" s="22">
        <v>112</v>
      </c>
      <c r="Q113" s="22" t="str">
        <f>VLOOKUP(TableRBRanks3141[[#This Row],[RK]],Rankings!A:Q,7,FALSE)</f>
        <v>Travis Homer</v>
      </c>
      <c r="R113" s="22" t="str">
        <f>IFERROR(INDEX(TableRBCalcPts[TM],MATCH(TableRBRanks3141[[#This Row],[Player]],TableRBCalcPts[PLAYER],0)),"")</f>
        <v>SEA</v>
      </c>
      <c r="S113" s="22">
        <f>IFERROR(INDEX(TableRBCalcPts[BYE],MATCH(TableRBRanks3141[[#This Row],[RK]],TableRBCalcPts[RK],0)),"")</f>
        <v>9</v>
      </c>
      <c r="T113" s="279">
        <f>VLOOKUP(TableRBRanks3141[[#This Row],[Player]],RB!B:O,4,FALSE)</f>
        <v>12.686840117893686</v>
      </c>
      <c r="U113" s="279">
        <f>VLOOKUP(TableRBRanks3141[[#This Row],[Player]],RB!B:O,5,FALSE)</f>
        <v>71.934383468457199</v>
      </c>
      <c r="V113" s="279">
        <f>VLOOKUP(TableRBRanks3141[[#This Row],[Player]],RB!B:O,6,FALSE)</f>
        <v>0.20010788829485313</v>
      </c>
      <c r="W113" s="279">
        <f>VLOOKUP(TableRBRanks3141[[#This Row],[Player]],RB!B:O,7,FALSE)</f>
        <v>5.8411922251206239</v>
      </c>
      <c r="X113" s="279">
        <f>VLOOKUP(TableRBRanks3141[[#This Row],[Player]],RB!B:O,8,FALSE)</f>
        <v>4.0993487035896541</v>
      </c>
      <c r="Y113" s="279">
        <f>VLOOKUP(TableRBRanks3141[[#This Row],[Player]],RB!B:O,9,FALSE)</f>
        <v>31.22815955091227</v>
      </c>
      <c r="Z113" s="279">
        <f>VLOOKUP(TableRBRanks3141[[#This Row],[Player]],RB!B:O,10,FALSE)</f>
        <v>0</v>
      </c>
      <c r="AA113" s="272">
        <f>VLOOKUP(TableRBRanks3141[[#This Row],[Player]],RB!B:O,14,FALSE)</f>
        <v>11.516901631706066</v>
      </c>
      <c r="AB113" s="273">
        <f>IF(VLOOKUP(TableRBRanks3141[[#This Row],[RK]],'Ranks w Proj'!$P:$AB,13,FALSE)&lt;0,0,VLOOKUP(TableRBRanks3141[[#This Row],[RK]],'Ranks w Proj'!$P:$AB,13,FALSE))</f>
        <v>0</v>
      </c>
      <c r="AD113" s="22">
        <v>112</v>
      </c>
      <c r="AE113" s="22" t="str">
        <f>VLOOKUP(TableWRRanks3242[[#This Row],[RK]],Rankings!A:Q,11,FALSE)</f>
        <v>Chris Conley</v>
      </c>
      <c r="AF113" s="22" t="str">
        <f>IFERROR(INDEX(TableWRCalcPts[TM],MATCH(TableWRRanks3242[[#This Row],[Player]],TableWRCalcPts[PLAYER],0)),"")</f>
        <v>HOU</v>
      </c>
      <c r="AG113" s="22">
        <f>IFERROR(INDEX(TableWRCalcPts[BYE],MATCH(TableWRRanks3242[[#This Row],[RK]],TableWRCalcPts[RK],0)),"")</f>
        <v>14</v>
      </c>
      <c r="AH113" s="279">
        <f>VLOOKUP(TableWRRanks3242[[#This Row],[Player]],WR!B:O,4,FALSE)</f>
        <v>0</v>
      </c>
      <c r="AI113" s="279">
        <f>VLOOKUP(TableWRRanks3242[[#This Row],[Player]],WR!B:O,5,FALSE)</f>
        <v>0</v>
      </c>
      <c r="AJ113" s="279">
        <f>VLOOKUP(TableWRRanks3242[[#This Row],[Player]],WR!B:O,6,FALSE)</f>
        <v>31.136870836801645</v>
      </c>
      <c r="AK113" s="279">
        <f>VLOOKUP(TableWRRanks3242[[#This Row],[Player]],WR!B:O,7,FALSE)</f>
        <v>18.93744484294276</v>
      </c>
      <c r="AL113" s="279">
        <f>VLOOKUP(TableWRRanks3242[[#This Row],[Player]],WR!B:O,8,FALSE)</f>
        <v>249.18964118012795</v>
      </c>
      <c r="AM113" s="279">
        <f>VLOOKUP(TableWRRanks3242[[#This Row],[Player]],WR!B:O,9,FALSE)</f>
        <v>1.2596805081103646</v>
      </c>
      <c r="AN113" s="272">
        <f>VLOOKUP(TableWRRanks3242[[#This Row],[Player]],WR!B:O,13,FALSE)</f>
        <v>32.477047166674978</v>
      </c>
      <c r="AO113" s="273">
        <f>IF(VLOOKUP(TableWRRanks3242[[#This Row],[RK]],'Ranks w Proj'!AD:AO,12,FALSE)&lt;0,0,VLOOKUP(TableWRRanks3242[[#This Row],[RK]],'Ranks w Proj'!AD:AO,12,FALSE))</f>
        <v>0</v>
      </c>
    </row>
    <row r="114" spans="16:41" x14ac:dyDescent="0.3">
      <c r="P114" s="22">
        <v>113</v>
      </c>
      <c r="Q114" s="22" t="str">
        <f>VLOOKUP(TableRBRanks3141[[#This Row],[RK]],Rankings!A:Q,7,FALSE)</f>
        <v>Kevin Harris</v>
      </c>
      <c r="R114" s="22" t="str">
        <f>IFERROR(INDEX(TableRBCalcPts[TM],MATCH(TableRBRanks3141[[#This Row],[Player]],TableRBCalcPts[PLAYER],0)),"")</f>
        <v>NE</v>
      </c>
      <c r="S114" s="22">
        <f>IFERROR(INDEX(TableRBCalcPts[BYE],MATCH(TableRBRanks3141[[#This Row],[RK]],TableRBCalcPts[RK],0)),"")</f>
        <v>7</v>
      </c>
      <c r="T114" s="279">
        <f>VLOOKUP(TableRBRanks3141[[#This Row],[Player]],RB!B:O,4,FALSE)</f>
        <v>19.027785752006672</v>
      </c>
      <c r="U114" s="279">
        <f>VLOOKUP(TableRBRanks3141[[#This Row],[Player]],RB!B:O,5,FALSE)</f>
        <v>83.722257308829356</v>
      </c>
      <c r="V114" s="279">
        <f>VLOOKUP(TableRBRanks3141[[#This Row],[Player]],RB!B:O,6,FALSE)</f>
        <v>0.76879942432350179</v>
      </c>
      <c r="W114" s="279">
        <f>VLOOKUP(TableRBRanks3141[[#This Row],[Player]],RB!B:O,7,FALSE)</f>
        <v>0.47245298843948003</v>
      </c>
      <c r="X114" s="279">
        <f>VLOOKUP(TableRBRanks3141[[#This Row],[Player]],RB!B:O,8,FALSE)</f>
        <v>0.30940946212901549</v>
      </c>
      <c r="Y114" s="279">
        <f>VLOOKUP(TableRBRanks3141[[#This Row],[Player]],RB!B:O,9,FALSE)</f>
        <v>2.1528840197088837</v>
      </c>
      <c r="Z114" s="279">
        <f>VLOOKUP(TableRBRanks3141[[#This Row],[Player]],RB!B:O,10,FALSE)</f>
        <v>0</v>
      </c>
      <c r="AA114" s="272">
        <f>VLOOKUP(TableRBRanks3141[[#This Row],[Player]],RB!B:O,14,FALSE)</f>
        <v>13.200310678794835</v>
      </c>
      <c r="AB114" s="273">
        <f>IF(VLOOKUP(TableRBRanks3141[[#This Row],[RK]],'Ranks w Proj'!$P:$AB,13,FALSE)&lt;0,0,VLOOKUP(TableRBRanks3141[[#This Row],[RK]],'Ranks w Proj'!$P:$AB,13,FALSE))</f>
        <v>0</v>
      </c>
      <c r="AD114" s="274">
        <v>113</v>
      </c>
      <c r="AE114" s="22" t="str">
        <f>VLOOKUP(TableWRRanks3242[[#This Row],[RK]],Rankings!A:Q,11,FALSE)</f>
        <v>Amari Rodgers</v>
      </c>
      <c r="AF114" s="22" t="str">
        <f>IFERROR(INDEX(TableWRCalcPts[TM],MATCH(TableWRRanks3242[[#This Row],[Player]],TableWRCalcPts[PLAYER],0)),"")</f>
        <v>GB</v>
      </c>
      <c r="AG114" s="22">
        <f>IFERROR(INDEX(TableWRCalcPts[BYE],MATCH(TableWRRanks3242[[#This Row],[RK]],TableWRCalcPts[RK],0)),"")</f>
        <v>6</v>
      </c>
      <c r="AH114" s="279">
        <f>VLOOKUP(TableWRRanks3242[[#This Row],[Player]],WR!B:O,4,FALSE)</f>
        <v>11.899755445849639</v>
      </c>
      <c r="AI114" s="279">
        <f>VLOOKUP(TableWRRanks3242[[#This Row],[Player]],WR!B:O,5,FALSE)</f>
        <v>0</v>
      </c>
      <c r="AJ114" s="279">
        <f>VLOOKUP(TableWRRanks3242[[#This Row],[Player]],WR!B:O,6,FALSE)</f>
        <v>28.440258719999989</v>
      </c>
      <c r="AK114" s="279">
        <f>VLOOKUP(TableWRRanks3242[[#This Row],[Player]],WR!B:O,7,FALSE)</f>
        <v>17.439566647103991</v>
      </c>
      <c r="AL114" s="279">
        <f>VLOOKUP(TableWRRanks3242[[#This Row],[Player]],WR!B:O,8,FALSE)</f>
        <v>217.65382616895465</v>
      </c>
      <c r="AM114" s="279">
        <f>VLOOKUP(TableWRRanks3242[[#This Row],[Player]],WR!B:O,9,FALSE)</f>
        <v>1.5521214315922551</v>
      </c>
      <c r="AN114" s="272">
        <f>VLOOKUP(TableWRRanks3242[[#This Row],[Player]],WR!B:O,13,FALSE)</f>
        <v>32.268086751033962</v>
      </c>
      <c r="AO114" s="273">
        <f>IF(VLOOKUP(TableWRRanks3242[[#This Row],[RK]],'Ranks w Proj'!AD:AO,12,FALSE)&lt;0,0,VLOOKUP(TableWRRanks3242[[#This Row],[RK]],'Ranks w Proj'!AD:AO,12,FALSE))</f>
        <v>0</v>
      </c>
    </row>
    <row r="115" spans="16:41" x14ac:dyDescent="0.3">
      <c r="P115" s="22">
        <v>114</v>
      </c>
      <c r="Q115" s="22" t="str">
        <f>VLOOKUP(TableRBRanks3141[[#This Row],[RK]],Rankings!A:Q,7,FALSE)</f>
        <v>Mike Boone</v>
      </c>
      <c r="R115" s="22" t="str">
        <f>IFERROR(INDEX(TableRBCalcPts[TM],MATCH(TableRBRanks3141[[#This Row],[Player]],TableRBCalcPts[PLAYER],0)),"")</f>
        <v>DEN</v>
      </c>
      <c r="S115" s="22">
        <f>IFERROR(INDEX(TableRBCalcPts[BYE],MATCH(TableRBRanks3141[[#This Row],[RK]],TableRBCalcPts[RK],0)),"")</f>
        <v>14</v>
      </c>
      <c r="T115" s="279">
        <f>VLOOKUP(TableRBRanks3141[[#This Row],[Player]],RB!B:O,4,FALSE)</f>
        <v>16.053918440564701</v>
      </c>
      <c r="U115" s="279">
        <f>VLOOKUP(TableRBRanks3141[[#This Row],[Player]],RB!B:O,5,FALSE)</f>
        <v>69.513466847645148</v>
      </c>
      <c r="V115" s="279">
        <f>VLOOKUP(TableRBRanks3141[[#This Row],[Player]],RB!B:O,6,FALSE)</f>
        <v>0.37511492399599744</v>
      </c>
      <c r="W115" s="279">
        <f>VLOOKUP(TableRBRanks3141[[#This Row],[Player]],RB!B:O,7,FALSE)</f>
        <v>4.0549211071096174</v>
      </c>
      <c r="X115" s="279">
        <f>VLOOKUP(TableRBRanks3141[[#This Row],[Player]],RB!B:O,8,FALSE)</f>
        <v>2.7249069839776632</v>
      </c>
      <c r="Y115" s="279">
        <f>VLOOKUP(TableRBRanks3141[[#This Row],[Player]],RB!B:O,9,FALSE)</f>
        <v>17.099416303125889</v>
      </c>
      <c r="Z115" s="279">
        <f>VLOOKUP(TableRBRanks3141[[#This Row],[Player]],RB!B:O,10,FALSE)</f>
        <v>2.499914664199691E-2</v>
      </c>
      <c r="AA115" s="272">
        <f>VLOOKUP(TableRBRanks3141[[#This Row],[Player]],RB!B:O,14,FALSE)</f>
        <v>11.061972738905069</v>
      </c>
      <c r="AB115" s="273">
        <f>IF(VLOOKUP(TableRBRanks3141[[#This Row],[RK]],'Ranks w Proj'!$P:$AB,13,FALSE)&lt;0,0,VLOOKUP(TableRBRanks3141[[#This Row],[RK]],'Ranks w Proj'!$P:$AB,13,FALSE))</f>
        <v>0</v>
      </c>
      <c r="AD115" s="22">
        <v>114</v>
      </c>
      <c r="AE115" s="274" t="str">
        <f>VLOOKUP(TableWRRanks3242[[#This Row],[RK]],Rankings!A:Q,11,FALSE)</f>
        <v>Josh Reynolds</v>
      </c>
      <c r="AF115" s="22" t="str">
        <f>IFERROR(INDEX(TableWRCalcPts[TM],MATCH(TableWRRanks3242[[#This Row],[Player]],TableWRCalcPts[PLAYER],0)),"")</f>
        <v>DET</v>
      </c>
      <c r="AG115" s="22">
        <f>IFERROR(INDEX(TableWRCalcPts[BYE],MATCH(TableWRRanks3242[[#This Row],[RK]],TableWRCalcPts[RK],0)),"")</f>
        <v>11</v>
      </c>
      <c r="AH115" s="279">
        <f>VLOOKUP(TableWRRanks3242[[#This Row],[Player]],WR!B:O,4,FALSE)</f>
        <v>1.8007656618116235</v>
      </c>
      <c r="AI115" s="279">
        <f>VLOOKUP(TableWRRanks3242[[#This Row],[Player]],WR!B:O,5,FALSE)</f>
        <v>0</v>
      </c>
      <c r="AJ115" s="279">
        <f>VLOOKUP(TableWRRanks3242[[#This Row],[Player]],WR!B:O,6,FALSE)</f>
        <v>31.619530302897065</v>
      </c>
      <c r="AK115" s="279">
        <f>VLOOKUP(TableWRRanks3242[[#This Row],[Player]],WR!B:O,7,FALSE)</f>
        <v>18.282412421135085</v>
      </c>
      <c r="AL115" s="279">
        <f>VLOOKUP(TableWRRanks3242[[#This Row],[Player]],WR!B:O,8,FALSE)</f>
        <v>222.49695916521398</v>
      </c>
      <c r="AM115" s="279">
        <f>VLOOKUP(TableWRRanks3242[[#This Row],[Player]],WR!B:O,9,FALSE)</f>
        <v>1.2066392197949156</v>
      </c>
      <c r="AN115" s="272">
        <f>VLOOKUP(TableWRRanks3242[[#This Row],[Player]],WR!B:O,13,FALSE)</f>
        <v>29.669607801472058</v>
      </c>
      <c r="AO115" s="273">
        <f>IF(VLOOKUP(TableWRRanks3242[[#This Row],[RK]],'Ranks w Proj'!AD:AO,12,FALSE)&lt;0,0,VLOOKUP(TableWRRanks3242[[#This Row],[RK]],'Ranks w Proj'!AD:AO,12,FALSE))</f>
        <v>0</v>
      </c>
    </row>
    <row r="116" spans="16:41" x14ac:dyDescent="0.3">
      <c r="P116" s="22">
        <v>115</v>
      </c>
      <c r="Q116" s="22" t="str">
        <f>VLOOKUP(TableRBRanks3141[[#This Row],[RK]],Rankings!A:Q,7,FALSE)</f>
        <v>Kene Nwangwu</v>
      </c>
      <c r="R116" s="22" t="str">
        <f>IFERROR(INDEX(TableRBCalcPts[TM],MATCH(TableRBRanks3141[[#This Row],[Player]],TableRBCalcPts[PLAYER],0)),"")</f>
        <v>MIN</v>
      </c>
      <c r="S116" s="22">
        <f>IFERROR(INDEX(TableRBCalcPts[BYE],MATCH(TableRBRanks3141[[#This Row],[RK]],TableRBCalcPts[RK],0)),"")</f>
        <v>9</v>
      </c>
      <c r="T116" s="279">
        <f>VLOOKUP(TableRBRanks3141[[#This Row],[Player]],RB!B:O,4,FALSE)</f>
        <v>11.565297755965476</v>
      </c>
      <c r="U116" s="279">
        <f>VLOOKUP(TableRBRanks3141[[#This Row],[Player]],RB!B:O,5,FALSE)</f>
        <v>50.193392260890164</v>
      </c>
      <c r="V116" s="279">
        <f>VLOOKUP(TableRBRanks3141[[#This Row],[Player]],RB!B:O,6,FALSE)</f>
        <v>0.39322012370282622</v>
      </c>
      <c r="W116" s="279">
        <f>VLOOKUP(TableRBRanks3141[[#This Row],[Player]],RB!B:O,7,FALSE)</f>
        <v>4.8990917284059661</v>
      </c>
      <c r="X116" s="279">
        <f>VLOOKUP(TableRBRanks3141[[#This Row],[Player]],RB!B:O,8,FALSE)</f>
        <v>3.4612083061188152</v>
      </c>
      <c r="Y116" s="279">
        <f>VLOOKUP(TableRBRanks3141[[#This Row],[Player]],RB!B:O,9,FALSE)</f>
        <v>22.220102705947951</v>
      </c>
      <c r="Z116" s="279">
        <f>VLOOKUP(TableRBRanks3141[[#This Row],[Player]],RB!B:O,10,FALSE)</f>
        <v>6.4096450113311401E-2</v>
      </c>
      <c r="AA116" s="272">
        <f>VLOOKUP(TableRBRanks3141[[#This Row],[Player]],RB!B:O,14,FALSE)</f>
        <v>9.9852489395806376</v>
      </c>
      <c r="AB116" s="273">
        <f>IF(VLOOKUP(TableRBRanks3141[[#This Row],[RK]],'Ranks w Proj'!$P:$AB,13,FALSE)&lt;0,0,VLOOKUP(TableRBRanks3141[[#This Row],[RK]],'Ranks w Proj'!$P:$AB,13,FALSE))</f>
        <v>0</v>
      </c>
      <c r="AD116" s="22">
        <v>115</v>
      </c>
      <c r="AE116" s="274" t="str">
        <f>VLOOKUP(TableWRRanks3242[[#This Row],[RK]],Rankings!A:Q,11,FALSE)</f>
        <v>Damiere Byrd</v>
      </c>
      <c r="AF116" s="22" t="str">
        <f>IFERROR(INDEX(TableWRCalcPts[TM],MATCH(TableWRRanks3242[[#This Row],[Player]],TableWRCalcPts[PLAYER],0)),"")</f>
        <v>ATL</v>
      </c>
      <c r="AG116" s="22">
        <f>IFERROR(INDEX(TableWRCalcPts[BYE],MATCH(TableWRRanks3242[[#This Row],[RK]],TableWRCalcPts[RK],0)),"")</f>
        <v>10</v>
      </c>
      <c r="AH116" s="279">
        <f>VLOOKUP(TableWRRanks3242[[#This Row],[Player]],WR!B:O,4,FALSE)</f>
        <v>0</v>
      </c>
      <c r="AI116" s="279">
        <f>VLOOKUP(TableWRRanks3242[[#This Row],[Player]],WR!B:O,5,FALSE)</f>
        <v>0</v>
      </c>
      <c r="AJ116" s="279">
        <f>VLOOKUP(TableWRRanks3242[[#This Row],[Player]],WR!B:O,6,FALSE)</f>
        <v>34.463187500567322</v>
      </c>
      <c r="AK116" s="279">
        <f>VLOOKUP(TableWRRanks3242[[#This Row],[Player]],WR!B:O,7,FALSE)</f>
        <v>19.916276056577853</v>
      </c>
      <c r="AL116" s="279">
        <f>VLOOKUP(TableWRRanks3242[[#This Row],[Player]],WR!B:O,8,FALSE)</f>
        <v>221.99221619159692</v>
      </c>
      <c r="AM116" s="279">
        <f>VLOOKUP(TableWRRanks3242[[#This Row],[Player]],WR!B:O,9,FALSE)</f>
        <v>0.69706966198022491</v>
      </c>
      <c r="AN116" s="272">
        <f>VLOOKUP(TableWRRanks3242[[#This Row],[Player]],WR!B:O,13,FALSE)</f>
        <v>26.381639591041044</v>
      </c>
      <c r="AO116" s="273">
        <f>IF(VLOOKUP(TableWRRanks3242[[#This Row],[RK]],'Ranks w Proj'!AD:AO,12,FALSE)&lt;0,0,VLOOKUP(TableWRRanks3242[[#This Row],[RK]],'Ranks w Proj'!AD:AO,12,FALSE))</f>
        <v>0</v>
      </c>
    </row>
    <row r="117" spans="16:41" x14ac:dyDescent="0.3">
      <c r="P117" s="22">
        <v>116</v>
      </c>
      <c r="Q117" s="22" t="str">
        <f>VLOOKUP(TableRBRanks3141[[#This Row],[RK]],Rankings!A:Q,7,FALSE)</f>
        <v>Trestan Ebner</v>
      </c>
      <c r="R117" s="22" t="str">
        <f>IFERROR(INDEX(TableRBCalcPts[TM],MATCH(TableRBRanks3141[[#This Row],[Player]],TableRBCalcPts[PLAYER],0)),"")</f>
        <v>CHI</v>
      </c>
      <c r="S117" s="22">
        <f>IFERROR(INDEX(TableRBCalcPts[BYE],MATCH(TableRBRanks3141[[#This Row],[RK]],TableRBCalcPts[RK],0)),"")</f>
        <v>8</v>
      </c>
      <c r="T117" s="279">
        <f>VLOOKUP(TableRBRanks3141[[#This Row],[Player]],RB!B:O,4,FALSE)</f>
        <v>6.7862581266575432</v>
      </c>
      <c r="U117" s="279">
        <f>VLOOKUP(TableRBRanks3141[[#This Row],[Player]],RB!B:O,5,FALSE)</f>
        <v>26.873582181563872</v>
      </c>
      <c r="V117" s="279">
        <f>VLOOKUP(TableRBRanks3141[[#This Row],[Player]],RB!B:O,6,FALSE)</f>
        <v>0.16083431760178377</v>
      </c>
      <c r="W117" s="279">
        <f>VLOOKUP(TableRBRanks3141[[#This Row],[Player]],RB!B:O,7,FALSE)</f>
        <v>7.2231907752712221</v>
      </c>
      <c r="X117" s="279">
        <f>VLOOKUP(TableRBRanks3141[[#This Row],[Player]],RB!B:O,8,FALSE)</f>
        <v>5.4101698906781452</v>
      </c>
      <c r="Y117" s="279">
        <f>VLOOKUP(TableRBRanks3141[[#This Row],[Player]],RB!B:O,9,FALSE)</f>
        <v>41.351616998813853</v>
      </c>
      <c r="Z117" s="279">
        <f>VLOOKUP(TableRBRanks3141[[#This Row],[Player]],RB!B:O,10,FALSE)</f>
        <v>0.14607458704830992</v>
      </c>
      <c r="AA117" s="272">
        <f>VLOOKUP(TableRBRanks3141[[#This Row],[Player]],RB!B:O,14,FALSE)</f>
        <v>8.6639733459383361</v>
      </c>
      <c r="AB117" s="273">
        <f>IF(VLOOKUP(TableRBRanks3141[[#This Row],[RK]],'Ranks w Proj'!$P:$AB,13,FALSE)&lt;0,0,VLOOKUP(TableRBRanks3141[[#This Row],[RK]],'Ranks w Proj'!$P:$AB,13,FALSE))</f>
        <v>0</v>
      </c>
      <c r="AD117" s="274">
        <v>116</v>
      </c>
      <c r="AE117" s="22" t="str">
        <f>VLOOKUP(TableWRRanks3242[[#This Row],[RK]],Rankings!A:Q,11,FALSE)</f>
        <v>Tyquan Thornton</v>
      </c>
      <c r="AF117" s="22" t="str">
        <f>IFERROR(INDEX(TableWRCalcPts[TM],MATCH(TableWRRanks3242[[#This Row],[Player]],TableWRCalcPts[PLAYER],0)),"")</f>
        <v>NE</v>
      </c>
      <c r="AG117" s="22">
        <f>IFERROR(INDEX(TableWRCalcPts[BYE],MATCH(TableWRRanks3242[[#This Row],[RK]],TableWRCalcPts[RK],0)),"")</f>
        <v>14</v>
      </c>
      <c r="AH117" s="279">
        <f>VLOOKUP(TableWRRanks3242[[#This Row],[Player]],WR!B:O,4,FALSE)</f>
        <v>0</v>
      </c>
      <c r="AI117" s="279">
        <f>VLOOKUP(TableWRRanks3242[[#This Row],[Player]],WR!B:O,5,FALSE)</f>
        <v>0</v>
      </c>
      <c r="AJ117" s="279">
        <f>VLOOKUP(TableWRRanks3242[[#This Row],[Player]],WR!B:O,6,FALSE)</f>
        <v>25.722440481705029</v>
      </c>
      <c r="AK117" s="279">
        <f>VLOOKUP(TableWRRanks3242[[#This Row],[Player]],WR!B:O,7,FALSE)</f>
        <v>16.081669789161982</v>
      </c>
      <c r="AL117" s="279">
        <f>VLOOKUP(TableWRRanks3242[[#This Row],[Player]],WR!B:O,8,FALSE)</f>
        <v>234.63156222387332</v>
      </c>
      <c r="AM117" s="279">
        <f>VLOOKUP(TableWRRanks3242[[#This Row],[Player]],WR!B:O,9,FALSE)</f>
        <v>0.78699671530711446</v>
      </c>
      <c r="AN117" s="272">
        <f>VLOOKUP(TableWRRanks3242[[#This Row],[Player]],WR!B:O,13,FALSE)</f>
        <v>28.18513651423002</v>
      </c>
      <c r="AO117" s="273">
        <f>IF(VLOOKUP(TableWRRanks3242[[#This Row],[RK]],'Ranks w Proj'!AD:AO,12,FALSE)&lt;0,0,VLOOKUP(TableWRRanks3242[[#This Row],[RK]],'Ranks w Proj'!AD:AO,12,FALSE))</f>
        <v>0</v>
      </c>
    </row>
    <row r="118" spans="16:41" x14ac:dyDescent="0.3">
      <c r="P118" s="22">
        <v>117</v>
      </c>
      <c r="Q118" s="22" t="str">
        <f>VLOOKUP(TableRBRanks3141[[#This Row],[RK]],Rankings!A:Q,7,FALSE)</f>
        <v>Mataeo Durant</v>
      </c>
      <c r="R118" s="22" t="str">
        <f>IFERROR(INDEX(TableRBCalcPts[TM],MATCH(TableRBRanks3141[[#This Row],[Player]],TableRBCalcPts[PLAYER],0)),"")</f>
        <v/>
      </c>
      <c r="S118" s="22">
        <f>IFERROR(INDEX(TableRBCalcPts[BYE],MATCH(TableRBRanks3141[[#This Row],[RK]],TableRBCalcPts[RK],0)),"")</f>
        <v>9</v>
      </c>
      <c r="T118" s="279" t="e">
        <f>VLOOKUP(TableRBRanks3141[[#This Row],[Player]],RB!B:O,4,FALSE)</f>
        <v>#N/A</v>
      </c>
      <c r="U118" s="279" t="e">
        <f>VLOOKUP(TableRBRanks3141[[#This Row],[Player]],RB!B:O,5,FALSE)</f>
        <v>#N/A</v>
      </c>
      <c r="V118" s="279" t="e">
        <f>VLOOKUP(TableRBRanks3141[[#This Row],[Player]],RB!B:O,6,FALSE)</f>
        <v>#N/A</v>
      </c>
      <c r="W118" s="279" t="e">
        <f>VLOOKUP(TableRBRanks3141[[#This Row],[Player]],RB!B:O,7,FALSE)</f>
        <v>#N/A</v>
      </c>
      <c r="X118" s="279" t="e">
        <f>VLOOKUP(TableRBRanks3141[[#This Row],[Player]],RB!B:O,8,FALSE)</f>
        <v>#N/A</v>
      </c>
      <c r="Y118" s="279" t="e">
        <f>VLOOKUP(TableRBRanks3141[[#This Row],[Player]],RB!B:O,9,FALSE)</f>
        <v>#N/A</v>
      </c>
      <c r="Z118" s="279" t="e">
        <f>VLOOKUP(TableRBRanks3141[[#This Row],[Player]],RB!B:O,10,FALSE)</f>
        <v>#N/A</v>
      </c>
      <c r="AA118" s="272" t="e">
        <f>VLOOKUP(TableRBRanks3141[[#This Row],[Player]],RB!B:O,14,FALSE)</f>
        <v>#N/A</v>
      </c>
      <c r="AB118" s="273">
        <f>IF(VLOOKUP(TableRBRanks3141[[#This Row],[RK]],'Ranks w Proj'!$P:$AB,13,FALSE)&lt;0,0,VLOOKUP(TableRBRanks3141[[#This Row],[RK]],'Ranks w Proj'!$P:$AB,13,FALSE))</f>
        <v>0</v>
      </c>
      <c r="AD118" s="22">
        <v>117</v>
      </c>
      <c r="AE118" s="274" t="str">
        <f>VLOOKUP(TableWRRanks3242[[#This Row],[RK]],Rankings!A:Q,11,FALSE)</f>
        <v>Freddie Swain</v>
      </c>
      <c r="AF118" s="22" t="str">
        <f>IFERROR(INDEX(TableWRCalcPts[TM],MATCH(TableWRRanks3242[[#This Row],[Player]],TableWRCalcPts[PLAYER],0)),"")</f>
        <v>SEA</v>
      </c>
      <c r="AG118" s="22">
        <f>IFERROR(INDEX(TableWRCalcPts[BYE],MATCH(TableWRRanks3242[[#This Row],[RK]],TableWRCalcPts[RK],0)),"")</f>
        <v>11</v>
      </c>
      <c r="AH118" s="279">
        <f>VLOOKUP(TableWRRanks3242[[#This Row],[Player]],WR!B:O,4,FALSE)</f>
        <v>8.0710181612257408</v>
      </c>
      <c r="AI118" s="279">
        <f>VLOOKUP(TableWRRanks3242[[#This Row],[Player]],WR!B:O,5,FALSE)</f>
        <v>3.335131471580885E-2</v>
      </c>
      <c r="AJ118" s="279">
        <f>VLOOKUP(TableWRRanks3242[[#This Row],[Player]],WR!B:O,6,FALSE)</f>
        <v>24.506395590771682</v>
      </c>
      <c r="AK118" s="279">
        <f>VLOOKUP(TableWRRanks3242[[#This Row],[Player]],WR!B:O,7,FALSE)</f>
        <v>14.934197473016264</v>
      </c>
      <c r="AL118" s="279">
        <f>VLOOKUP(TableWRRanks3242[[#This Row],[Player]],WR!B:O,8,FALSE)</f>
        <v>194.29390912394157</v>
      </c>
      <c r="AM118" s="279">
        <f>VLOOKUP(TableWRRanks3242[[#This Row],[Player]],WR!B:O,9,FALSE)</f>
        <v>0.88111765090795946</v>
      </c>
      <c r="AN118" s="272">
        <f>VLOOKUP(TableWRRanks3242[[#This Row],[Player]],WR!B:O,13,FALSE)</f>
        <v>25.723306522259342</v>
      </c>
      <c r="AO118" s="273">
        <f>IF(VLOOKUP(TableWRRanks3242[[#This Row],[RK]],'Ranks w Proj'!AD:AO,12,FALSE)&lt;0,0,VLOOKUP(TableWRRanks3242[[#This Row],[RK]],'Ranks w Proj'!AD:AO,12,FALSE))</f>
        <v>0</v>
      </c>
    </row>
    <row r="119" spans="16:41" x14ac:dyDescent="0.3">
      <c r="P119" s="22">
        <v>118</v>
      </c>
      <c r="Q119" s="22" t="str">
        <f>VLOOKUP(TableRBRanks3141[[#This Row],[RK]],Rankings!A:Q,7,FALSE)</f>
        <v>Larry Rountree</v>
      </c>
      <c r="R119" s="22" t="str">
        <f>IFERROR(INDEX(TableRBCalcPts[TM],MATCH(TableRBRanks3141[[#This Row],[Player]],TableRBCalcPts[PLAYER],0)),"")</f>
        <v>LAC</v>
      </c>
      <c r="S119" s="22">
        <f>IFERROR(INDEX(TableRBCalcPts[BYE],MATCH(TableRBRanks3141[[#This Row],[RK]],TableRBCalcPts[RK],0)),"")</f>
        <v>14</v>
      </c>
      <c r="T119" s="279">
        <f>VLOOKUP(TableRBRanks3141[[#This Row],[Player]],RB!B:O,4,FALSE)</f>
        <v>10.769847633062108</v>
      </c>
      <c r="U119" s="279">
        <f>VLOOKUP(TableRBRanks3141[[#This Row],[Player]],RB!B:O,5,FALSE)</f>
        <v>41.356214910958492</v>
      </c>
      <c r="V119" s="279">
        <f>VLOOKUP(TableRBRanks3141[[#This Row],[Player]],RB!B:O,6,FALSE)</f>
        <v>0.28711983620664849</v>
      </c>
      <c r="W119" s="279">
        <f>VLOOKUP(TableRBRanks3141[[#This Row],[Player]],RB!B:O,7,FALSE)</f>
        <v>6.5004050901617836</v>
      </c>
      <c r="X119" s="279">
        <f>VLOOKUP(TableRBRanks3141[[#This Row],[Player]],RB!B:O,8,FALSE)</f>
        <v>3.6347265077220001</v>
      </c>
      <c r="Y119" s="279">
        <f>VLOOKUP(TableRBRanks3141[[#This Row],[Player]],RB!B:O,9,FALSE)</f>
        <v>21.285326452154369</v>
      </c>
      <c r="Z119" s="279">
        <f>VLOOKUP(TableRBRanks3141[[#This Row],[Player]],RB!B:O,10,FALSE)</f>
        <v>2.5001558039083781E-2</v>
      </c>
      <c r="AA119" s="272">
        <f>VLOOKUP(TableRBRanks3141[[#This Row],[Player]],RB!B:O,14,FALSE)</f>
        <v>8.1368825017856814</v>
      </c>
      <c r="AB119" s="273">
        <f>IF(VLOOKUP(TableRBRanks3141[[#This Row],[RK]],'Ranks w Proj'!$P:$AB,13,FALSE)&lt;0,0,VLOOKUP(TableRBRanks3141[[#This Row],[RK]],'Ranks w Proj'!$P:$AB,13,FALSE))</f>
        <v>0</v>
      </c>
      <c r="AD119" s="22">
        <v>118</v>
      </c>
      <c r="AE119" s="274" t="str">
        <f>VLOOKUP(TableWRRanks3242[[#This Row],[RK]],Rankings!A:Q,11,FALSE)</f>
        <v>Jalen Reagor</v>
      </c>
      <c r="AF119" s="22" t="str">
        <f>IFERROR(INDEX(TableWRCalcPts[TM],MATCH(TableWRRanks3242[[#This Row],[Player]],TableWRCalcPts[PLAYER],0)),"")</f>
        <v>PHI</v>
      </c>
      <c r="AG119" s="22">
        <f>IFERROR(INDEX(TableWRCalcPts[BYE],MATCH(TableWRRanks3242[[#This Row],[RK]],TableWRCalcPts[RK],0)),"")</f>
        <v>7</v>
      </c>
      <c r="AH119" s="279">
        <f>VLOOKUP(TableWRRanks3242[[#This Row],[Player]],WR!B:O,4,FALSE)</f>
        <v>37.244440096651473</v>
      </c>
      <c r="AI119" s="279">
        <f>VLOOKUP(TableWRRanks3242[[#This Row],[Player]],WR!B:O,5,FALSE)</f>
        <v>9.9548574741584475E-2</v>
      </c>
      <c r="AJ119" s="279">
        <f>VLOOKUP(TableWRRanks3242[[#This Row],[Player]],WR!B:O,6,FALSE)</f>
        <v>25.908453925784105</v>
      </c>
      <c r="AK119" s="279">
        <f>VLOOKUP(TableWRRanks3242[[#This Row],[Player]],WR!B:O,7,FALSE)</f>
        <v>15.109810329517291</v>
      </c>
      <c r="AL119" s="279">
        <f>VLOOKUP(TableWRRanks3242[[#This Row],[Player]],WR!B:O,8,FALSE)</f>
        <v>159.25740087311223</v>
      </c>
      <c r="AM119" s="279">
        <f>VLOOKUP(TableWRRanks3242[[#This Row],[Player]],WR!B:O,9,FALSE)</f>
        <v>0.86184033533362092</v>
      </c>
      <c r="AN119" s="272">
        <f>VLOOKUP(TableWRRanks3242[[#This Row],[Player]],WR!B:O,13,FALSE)</f>
        <v>25.418517557427606</v>
      </c>
      <c r="AO119" s="273">
        <f>IF(VLOOKUP(TableWRRanks3242[[#This Row],[RK]],'Ranks w Proj'!AD:AO,12,FALSE)&lt;0,0,VLOOKUP(TableWRRanks3242[[#This Row],[RK]],'Ranks w Proj'!AD:AO,12,FALSE))</f>
        <v>0</v>
      </c>
    </row>
    <row r="120" spans="16:41" x14ac:dyDescent="0.3">
      <c r="P120" s="22">
        <v>119</v>
      </c>
      <c r="Q120" s="22" t="str">
        <f>VLOOKUP(TableRBRanks3141[[#This Row],[RK]],Rankings!A:Q,7,FALSE)</f>
        <v>Jaret Patterson</v>
      </c>
      <c r="R120" s="22" t="str">
        <f>IFERROR(INDEX(TableRBCalcPts[TM],MATCH(TableRBRanks3141[[#This Row],[Player]],TableRBCalcPts[PLAYER],0)),"")</f>
        <v>WSH</v>
      </c>
      <c r="S120" s="22">
        <f>IFERROR(INDEX(TableRBCalcPts[BYE],MATCH(TableRBRanks3141[[#This Row],[RK]],TableRBCalcPts[RK],0)),"")</f>
        <v>9</v>
      </c>
      <c r="T120" s="279">
        <f>VLOOKUP(TableRBRanks3141[[#This Row],[Player]],RB!B:O,4,FALSE)</f>
        <v>5.30634630768514</v>
      </c>
      <c r="U120" s="279">
        <f>VLOOKUP(TableRBRanks3141[[#This Row],[Player]],RB!B:O,5,FALSE)</f>
        <v>21.384575619971116</v>
      </c>
      <c r="V120" s="279">
        <f>VLOOKUP(TableRBRanks3141[[#This Row],[Player]],RB!B:O,6,FALSE)</f>
        <v>0.12317153707564812</v>
      </c>
      <c r="W120" s="279">
        <f>VLOOKUP(TableRBRanks3141[[#This Row],[Player]],RB!B:O,7,FALSE)</f>
        <v>8.633270594879157</v>
      </c>
      <c r="X120" s="279">
        <f>VLOOKUP(TableRBRanks3141[[#This Row],[Player]],RB!B:O,8,FALSE)</f>
        <v>5.6694687996571416</v>
      </c>
      <c r="Y120" s="279">
        <f>VLOOKUP(TableRBRanks3141[[#This Row],[Player]],RB!B:O,9,FALSE)</f>
        <v>37.701967517719993</v>
      </c>
      <c r="Z120" s="279">
        <f>VLOOKUP(TableRBRanks3141[[#This Row],[Player]],RB!B:O,10,FALSE)</f>
        <v>5.7293164363167566E-2</v>
      </c>
      <c r="AA120" s="272">
        <f>VLOOKUP(TableRBRanks3141[[#This Row],[Player]],RB!B:O,14,FALSE)</f>
        <v>6.9914425224020054</v>
      </c>
      <c r="AB120" s="273">
        <f>IF(VLOOKUP(TableRBRanks3141[[#This Row],[RK]],'Ranks w Proj'!$P:$AB,13,FALSE)&lt;0,0,VLOOKUP(TableRBRanks3141[[#This Row],[RK]],'Ranks w Proj'!$P:$AB,13,FALSE))</f>
        <v>0</v>
      </c>
      <c r="AD120" s="274">
        <v>119</v>
      </c>
      <c r="AE120" s="22" t="str">
        <f>VLOOKUP(TableWRRanks3242[[#This Row],[RK]],Rankings!A:Q,11,FALSE)</f>
        <v>Rashard Higgins</v>
      </c>
      <c r="AF120" s="22" t="str">
        <f>IFERROR(INDEX(TableWRCalcPts[TM],MATCH(TableWRRanks3242[[#This Row],[Player]],TableWRCalcPts[PLAYER],0)),"")</f>
        <v>CAR</v>
      </c>
      <c r="AG120" s="22">
        <f>IFERROR(INDEX(TableWRCalcPts[BYE],MATCH(TableWRRanks3242[[#This Row],[RK]],TableWRCalcPts[RK],0)),"")</f>
        <v>9</v>
      </c>
      <c r="AH120" s="279">
        <f>VLOOKUP(TableWRRanks3242[[#This Row],[Player]],WR!B:O,4,FALSE)</f>
        <v>0</v>
      </c>
      <c r="AI120" s="279">
        <f>VLOOKUP(TableWRRanks3242[[#This Row],[Player]],WR!B:O,5,FALSE)</f>
        <v>0</v>
      </c>
      <c r="AJ120" s="279">
        <f>VLOOKUP(TableWRRanks3242[[#This Row],[Player]],WR!B:O,6,FALSE)</f>
        <v>29.330680467208982</v>
      </c>
      <c r="AK120" s="279">
        <f>VLOOKUP(TableWRRanks3242[[#This Row],[Player]],WR!B:O,7,FALSE)</f>
        <v>17.586676008138507</v>
      </c>
      <c r="AL120" s="279">
        <f>VLOOKUP(TableWRRanks3242[[#This Row],[Player]],WR!B:O,8,FALSE)</f>
        <v>208.76556866727617</v>
      </c>
      <c r="AM120" s="279">
        <f>VLOOKUP(TableWRRanks3242[[#This Row],[Player]],WR!B:O,9,FALSE)</f>
        <v>0.41873038114615491</v>
      </c>
      <c r="AN120" s="272">
        <f>VLOOKUP(TableWRRanks3242[[#This Row],[Player]],WR!B:O,13,FALSE)</f>
        <v>23.388939153604547</v>
      </c>
      <c r="AO120" s="273">
        <f>IF(VLOOKUP(TableWRRanks3242[[#This Row],[RK]],'Ranks w Proj'!AD:AO,12,FALSE)&lt;0,0,VLOOKUP(TableWRRanks3242[[#This Row],[RK]],'Ranks w Proj'!AD:AO,12,FALSE))</f>
        <v>0</v>
      </c>
    </row>
    <row r="121" spans="16:41" x14ac:dyDescent="0.3">
      <c r="P121" s="22">
        <v>120</v>
      </c>
      <c r="Q121" s="22" t="str">
        <f>VLOOKUP(TableRBRanks3141[[#This Row],[RK]],Rankings!A:Q,7,FALSE)</f>
        <v>Anthony McFarland</v>
      </c>
      <c r="R121" s="22" t="str">
        <f>IFERROR(INDEX(TableRBCalcPts[TM],MATCH(TableRBRanks3141[[#This Row],[Player]],TableRBCalcPts[PLAYER],0)),"")</f>
        <v>PIT</v>
      </c>
      <c r="S121" s="22">
        <f>IFERROR(INDEX(TableRBCalcPts[BYE],MATCH(TableRBRanks3141[[#This Row],[RK]],TableRBCalcPts[RK],0)),"")</f>
        <v>7</v>
      </c>
      <c r="T121" s="279">
        <f>VLOOKUP(TableRBRanks3141[[#This Row],[Player]],RB!B:O,4,FALSE)</f>
        <v>4.7177903906487897</v>
      </c>
      <c r="U121" s="279">
        <f>VLOOKUP(TableRBRanks3141[[#This Row],[Player]],RB!B:O,5,FALSE)</f>
        <v>20.177526773745228</v>
      </c>
      <c r="V121" s="279">
        <f>VLOOKUP(TableRBRanks3141[[#This Row],[Player]],RB!B:O,6,FALSE)</f>
        <v>0.19239412543376044</v>
      </c>
      <c r="W121" s="279">
        <f>VLOOKUP(TableRBRanks3141[[#This Row],[Player]],RB!B:O,7,FALSE)</f>
        <v>5.9381998336608692</v>
      </c>
      <c r="X121" s="279">
        <f>VLOOKUP(TableRBRanks3141[[#This Row],[Player]],RB!B:O,8,FALSE)</f>
        <v>3.5706395599802803</v>
      </c>
      <c r="Y121" s="279">
        <f>VLOOKUP(TableRBRanks3141[[#This Row],[Player]],RB!B:O,9,FALSE)</f>
        <v>25.666146934556107</v>
      </c>
      <c r="Z121" s="279">
        <f>VLOOKUP(TableRBRanks3141[[#This Row],[Player]],RB!B:O,10,FALSE)</f>
        <v>9.6407268119467565E-2</v>
      </c>
      <c r="AA121" s="272">
        <f>VLOOKUP(TableRBRanks3141[[#This Row],[Player]],RB!B:O,14,FALSE)</f>
        <v>6.3171757321495008</v>
      </c>
      <c r="AB121" s="273">
        <f>IF(VLOOKUP(TableRBRanks3141[[#This Row],[RK]],'Ranks w Proj'!$P:$AB,13,FALSE)&lt;0,0,VLOOKUP(TableRBRanks3141[[#This Row],[RK]],'Ranks w Proj'!$P:$AB,13,FALSE))</f>
        <v>0</v>
      </c>
      <c r="AD121" s="22">
        <v>120</v>
      </c>
      <c r="AE121" s="274" t="str">
        <f>VLOOKUP(TableWRRanks3242[[#This Row],[RK]],Rankings!A:Q,11,FALSE)</f>
        <v>Darius Slayton</v>
      </c>
      <c r="AF121" s="22" t="str">
        <f>IFERROR(INDEX(TableWRCalcPts[TM],MATCH(TableWRRanks3242[[#This Row],[Player]],TableWRCalcPts[PLAYER],0)),"")</f>
        <v>NYG</v>
      </c>
      <c r="AG121" s="22">
        <f>IFERROR(INDEX(TableWRCalcPts[BYE],MATCH(TableWRRanks3242[[#This Row],[RK]],TableWRCalcPts[RK],0)),"")</f>
        <v>14</v>
      </c>
      <c r="AH121" s="279">
        <f>VLOOKUP(TableWRRanks3242[[#This Row],[Player]],WR!B:O,4,FALSE)</f>
        <v>0.80040609141822194</v>
      </c>
      <c r="AI121" s="279">
        <f>VLOOKUP(TableWRRanks3242[[#This Row],[Player]],WR!B:O,5,FALSE)</f>
        <v>0</v>
      </c>
      <c r="AJ121" s="279">
        <f>VLOOKUP(TableWRRanks3242[[#This Row],[Player]],WR!B:O,6,FALSE)</f>
        <v>23.58852479989779</v>
      </c>
      <c r="AK121" s="279">
        <f>VLOOKUP(TableWRRanks3242[[#This Row],[Player]],WR!B:O,7,FALSE)</f>
        <v>13.068042739143378</v>
      </c>
      <c r="AL121" s="279">
        <f>VLOOKUP(TableWRRanks3242[[#This Row],[Player]],WR!B:O,8,FALSE)</f>
        <v>187.78777416149032</v>
      </c>
      <c r="AM121" s="279">
        <f>VLOOKUP(TableWRRanks3242[[#This Row],[Player]],WR!B:O,9,FALSE)</f>
        <v>1.0702454556744887</v>
      </c>
      <c r="AN121" s="272">
        <f>VLOOKUP(TableWRRanks3242[[#This Row],[Player]],WR!B:O,13,FALSE)</f>
        <v>25.280290759337788</v>
      </c>
      <c r="AO121" s="273">
        <f>IF(VLOOKUP(TableWRRanks3242[[#This Row],[RK]],'Ranks w Proj'!AD:AO,12,FALSE)&lt;0,0,VLOOKUP(TableWRRanks3242[[#This Row],[RK]],'Ranks w Proj'!AD:AO,12,FALSE))</f>
        <v>0</v>
      </c>
    </row>
    <row r="122" spans="16:41" x14ac:dyDescent="0.3">
      <c r="P122" s="22">
        <v>121</v>
      </c>
      <c r="Q122" s="22" t="str">
        <f>VLOOKUP(TableRBRanks3141[[#This Row],[RK]],Rankings!A:Q,7,FALSE)</f>
        <v>Kennedy Brooks</v>
      </c>
      <c r="R122" s="22" t="str">
        <f>IFERROR(INDEX(TableRBCalcPts[TM],MATCH(TableRBRanks3141[[#This Row],[Player]],TableRBCalcPts[PLAYER],0)),"")</f>
        <v>PHI</v>
      </c>
      <c r="S122" s="22">
        <f>IFERROR(INDEX(TableRBCalcPts[BYE],MATCH(TableRBRanks3141[[#This Row],[RK]],TableRBCalcPts[RK],0)),"")</f>
        <v>9</v>
      </c>
      <c r="T122" s="279">
        <f>VLOOKUP(TableRBRanks3141[[#This Row],[Player]],RB!B:O,4,FALSE)</f>
        <v>10.058249345612223</v>
      </c>
      <c r="U122" s="279">
        <f>VLOOKUP(TableRBRanks3141[[#This Row],[Player]],RB!B:O,5,FALSE)</f>
        <v>42.144064758115221</v>
      </c>
      <c r="V122" s="279">
        <f>VLOOKUP(TableRBRanks3141[[#This Row],[Player]],RB!B:O,6,FALSE)</f>
        <v>0.11783328661682548</v>
      </c>
      <c r="W122" s="279">
        <f>VLOOKUP(TableRBRanks3141[[#This Row],[Player]],RB!B:O,7,FALSE)</f>
        <v>3.8467833595511887</v>
      </c>
      <c r="X122" s="279">
        <f>VLOOKUP(TableRBRanks3141[[#This Row],[Player]],RB!B:O,8,FALSE)</f>
        <v>2.4507856783700621</v>
      </c>
      <c r="Y122" s="279">
        <f>VLOOKUP(TableRBRanks3141[[#This Row],[Player]],RB!B:O,9,FALSE)</f>
        <v>16.420264045079417</v>
      </c>
      <c r="Z122" s="279">
        <f>VLOOKUP(TableRBRanks3141[[#This Row],[Player]],RB!B:O,10,FALSE)</f>
        <v>2.3794035712330703E-2</v>
      </c>
      <c r="AA122" s="272">
        <f>VLOOKUP(TableRBRanks3141[[#This Row],[Player]],RB!B:O,14,FALSE)</f>
        <v>6.7061968142944002</v>
      </c>
      <c r="AB122" s="273">
        <f>IF(VLOOKUP(TableRBRanks3141[[#This Row],[RK]],'Ranks w Proj'!$P:$AB,13,FALSE)&lt;0,0,VLOOKUP(TableRBRanks3141[[#This Row],[RK]],'Ranks w Proj'!$P:$AB,13,FALSE))</f>
        <v>0</v>
      </c>
      <c r="AD122" s="22">
        <v>121</v>
      </c>
      <c r="AE122" s="22" t="str">
        <f>VLOOKUP(TableWRRanks3242[[#This Row],[RK]],Rankings!A:Q,11,FALSE)</f>
        <v>Zach Pascal</v>
      </c>
      <c r="AF122" s="22" t="str">
        <f>IFERROR(INDEX(TableWRCalcPts[TM],MATCH(TableWRRanks3242[[#This Row],[Player]],TableWRCalcPts[PLAYER],0)),"")</f>
        <v>PHI</v>
      </c>
      <c r="AG122" s="22">
        <f>IFERROR(INDEX(TableWRCalcPts[BYE],MATCH(TableWRRanks3242[[#This Row],[RK]],TableWRCalcPts[RK],0)),"")</f>
        <v>11</v>
      </c>
      <c r="AH122" s="279">
        <f>VLOOKUP(TableWRRanks3242[[#This Row],[Player]],WR!B:O,4,FALSE)</f>
        <v>0</v>
      </c>
      <c r="AI122" s="279">
        <f>VLOOKUP(TableWRRanks3242[[#This Row],[Player]],WR!B:O,5,FALSE)</f>
        <v>0</v>
      </c>
      <c r="AJ122" s="279">
        <f>VLOOKUP(TableWRRanks3242[[#This Row],[Player]],WR!B:O,6,FALSE)</f>
        <v>25.305931741463546</v>
      </c>
      <c r="AK122" s="279">
        <f>VLOOKUP(TableWRRanks3242[[#This Row],[Player]],WR!B:O,7,FALSE)</f>
        <v>14.598992021650318</v>
      </c>
      <c r="AL122" s="279">
        <f>VLOOKUP(TableWRRanks3242[[#This Row],[Player]],WR!B:O,8,FALSE)</f>
        <v>161.17287191901949</v>
      </c>
      <c r="AM122" s="279">
        <f>VLOOKUP(TableWRRanks3242[[#This Row],[Player]],WR!B:O,9,FALSE)</f>
        <v>1.278140153820293</v>
      </c>
      <c r="AN122" s="272">
        <f>VLOOKUP(TableWRRanks3242[[#This Row],[Player]],WR!B:O,13,FALSE)</f>
        <v>23.786128114823704</v>
      </c>
      <c r="AO122" s="273">
        <f>IF(VLOOKUP(TableWRRanks3242[[#This Row],[RK]],'Ranks w Proj'!AD:AO,12,FALSE)&lt;0,0,VLOOKUP(TableWRRanks3242[[#This Row],[RK]],'Ranks w Proj'!AD:AO,12,FALSE))</f>
        <v>0</v>
      </c>
    </row>
    <row r="123" spans="16:41" x14ac:dyDescent="0.3">
      <c r="P123" s="22">
        <v>122</v>
      </c>
      <c r="Q123" s="22" t="str">
        <f>VLOOKUP(TableRBRanks3141[[#This Row],[RK]],Rankings!A:Q,7,FALSE)</f>
        <v>Gary Brightwell</v>
      </c>
      <c r="R123" s="22" t="str">
        <f>IFERROR(INDEX(TableRBCalcPts[TM],MATCH(TableRBRanks3141[[#This Row],[Player]],TableRBCalcPts[PLAYER],0)),"")</f>
        <v>NYG</v>
      </c>
      <c r="S123" s="22">
        <f>IFERROR(INDEX(TableRBCalcPts[BYE],MATCH(TableRBRanks3141[[#This Row],[RK]],TableRBCalcPts[RK],0)),"")</f>
        <v>9</v>
      </c>
      <c r="T123" s="279">
        <f>VLOOKUP(TableRBRanks3141[[#This Row],[Player]],RB!B:O,4,FALSE)</f>
        <v>7.0303550579618008</v>
      </c>
      <c r="U123" s="279">
        <f>VLOOKUP(TableRBRanks3141[[#This Row],[Player]],RB!B:O,5,FALSE)</f>
        <v>28.262027333006436</v>
      </c>
      <c r="V123" s="279">
        <f>VLOOKUP(TableRBRanks3141[[#This Row],[Player]],RB!B:O,6,FALSE)</f>
        <v>0.15537084678095581</v>
      </c>
      <c r="W123" s="279">
        <f>VLOOKUP(TableRBRanks3141[[#This Row],[Player]],RB!B:O,7,FALSE)</f>
        <v>4.7461115102395839</v>
      </c>
      <c r="X123" s="279">
        <f>VLOOKUP(TableRBRanks3141[[#This Row],[Player]],RB!B:O,8,FALSE)</f>
        <v>2.8619052406744689</v>
      </c>
      <c r="Y123" s="279">
        <f>VLOOKUP(TableRBRanks3141[[#This Row],[Player]],RB!B:O,9,FALSE)</f>
        <v>17.510472483011732</v>
      </c>
      <c r="Z123" s="279">
        <f>VLOOKUP(TableRBRanks3141[[#This Row],[Player]],RB!B:O,10,FALSE)</f>
        <v>3.9887181054696429E-2</v>
      </c>
      <c r="AA123" s="272">
        <f>VLOOKUP(TableRBRanks3141[[#This Row],[Player]],RB!B:O,14,FALSE)</f>
        <v>5.7487981486157302</v>
      </c>
      <c r="AB123" s="273">
        <f>IF(VLOOKUP(TableRBRanks3141[[#This Row],[RK]],'Ranks w Proj'!$P:$AB,13,FALSE)&lt;0,0,VLOOKUP(TableRBRanks3141[[#This Row],[RK]],'Ranks w Proj'!$P:$AB,13,FALSE))</f>
        <v>0</v>
      </c>
      <c r="AD123" s="274">
        <v>122</v>
      </c>
      <c r="AE123" s="22" t="str">
        <f>VLOOKUP(TableWRRanks3242[[#This Row],[RK]],Rankings!A:Q,11,FALSE)</f>
        <v>Ashton Dulin</v>
      </c>
      <c r="AF123" s="22" t="str">
        <f>IFERROR(INDEX(TableWRCalcPts[TM],MATCH(TableWRRanks3242[[#This Row],[Player]],TableWRCalcPts[PLAYER],0)),"")</f>
        <v>IND</v>
      </c>
      <c r="AG123" s="22">
        <f>IFERROR(INDEX(TableWRCalcPts[BYE],MATCH(TableWRRanks3242[[#This Row],[RK]],TableWRCalcPts[RK],0)),"")</f>
        <v>7</v>
      </c>
      <c r="AH123" s="279">
        <f>VLOOKUP(TableWRRanks3242[[#This Row],[Player]],WR!B:O,4,FALSE)</f>
        <v>27.873232254532546</v>
      </c>
      <c r="AI123" s="279">
        <f>VLOOKUP(TableWRRanks3242[[#This Row],[Player]],WR!B:O,5,FALSE)</f>
        <v>6.6645702734219311E-2</v>
      </c>
      <c r="AJ123" s="279">
        <f>VLOOKUP(TableWRRanks3242[[#This Row],[Player]],WR!B:O,6,FALSE)</f>
        <v>22.157796496131279</v>
      </c>
      <c r="AK123" s="279">
        <f>VLOOKUP(TableWRRanks3242[[#This Row],[Player]],WR!B:O,7,FALSE)</f>
        <v>12.540800766891273</v>
      </c>
      <c r="AL123" s="279">
        <f>VLOOKUP(TableWRRanks3242[[#This Row],[Player]],WR!B:O,8,FALSE)</f>
        <v>150.39371621785912</v>
      </c>
      <c r="AM123" s="279">
        <f>VLOOKUP(TableWRRanks3242[[#This Row],[Player]],WR!B:O,9,FALSE)</f>
        <v>1.088106077935018</v>
      </c>
      <c r="AN123" s="272">
        <f>VLOOKUP(TableWRRanks3242[[#This Row],[Player]],WR!B:O,13,FALSE)</f>
        <v>24.755205531254589</v>
      </c>
      <c r="AO123" s="273">
        <f>IF(VLOOKUP(TableWRRanks3242[[#This Row],[RK]],'Ranks w Proj'!AD:AO,12,FALSE)&lt;0,0,VLOOKUP(TableWRRanks3242[[#This Row],[RK]],'Ranks w Proj'!AD:AO,12,FALSE))</f>
        <v>0</v>
      </c>
    </row>
    <row r="124" spans="16:41" x14ac:dyDescent="0.3">
      <c r="P124" s="22">
        <v>123</v>
      </c>
      <c r="Q124" s="22" t="str">
        <f>VLOOKUP(TableRBRanks3141[[#This Row],[RK]],Rankings!A:Q,7,FALSE)</f>
        <v>Ryquell Armstead</v>
      </c>
      <c r="R124" s="22" t="str">
        <f>IFERROR(INDEX(TableRBCalcPts[TM],MATCH(TableRBRanks3141[[#This Row],[Player]],TableRBCalcPts[PLAYER],0)),"")</f>
        <v>JAX</v>
      </c>
      <c r="S124" s="22">
        <f>IFERROR(INDEX(TableRBCalcPts[BYE],MATCH(TableRBRanks3141[[#This Row],[RK]],TableRBCalcPts[RK],0)),"")</f>
        <v>7</v>
      </c>
      <c r="T124" s="279">
        <f>VLOOKUP(TableRBRanks3141[[#This Row],[Player]],RB!B:O,4,FALSE)</f>
        <v>2.9442626544432819</v>
      </c>
      <c r="U124" s="279">
        <f>VLOOKUP(TableRBRanks3141[[#This Row],[Player]],RB!B:O,5,FALSE)</f>
        <v>19.260384864483136</v>
      </c>
      <c r="V124" s="279">
        <f>VLOOKUP(TableRBRanks3141[[#This Row],[Player]],RB!B:O,6,FALSE)</f>
        <v>6.8601319848528478E-2</v>
      </c>
      <c r="W124" s="279">
        <f>VLOOKUP(TableRBRanks3141[[#This Row],[Player]],RB!B:O,7,FALSE)</f>
        <v>6.0026479947269396</v>
      </c>
      <c r="X124" s="279">
        <f>VLOOKUP(TableRBRanks3141[[#This Row],[Player]],RB!B:O,8,FALSE)</f>
        <v>3.6075914448308906</v>
      </c>
      <c r="Y124" s="279">
        <f>VLOOKUP(TableRBRanks3141[[#This Row],[Player]],RB!B:O,9,FALSE)</f>
        <v>24.567697739298364</v>
      </c>
      <c r="Z124" s="279">
        <f>VLOOKUP(TableRBRanks3141[[#This Row],[Player]],RB!B:O,10,FALSE)</f>
        <v>7.2151828896617809E-2</v>
      </c>
      <c r="AA124" s="272">
        <f>VLOOKUP(TableRBRanks3141[[#This Row],[Player]],RB!B:O,14,FALSE)</f>
        <v>5.2273271528490284</v>
      </c>
      <c r="AB124" s="273">
        <f>IF(VLOOKUP(TableRBRanks3141[[#This Row],[RK]],'Ranks w Proj'!$P:$AB,13,FALSE)&lt;0,0,VLOOKUP(TableRBRanks3141[[#This Row],[RK]],'Ranks w Proj'!$P:$AB,13,FALSE))</f>
        <v>0</v>
      </c>
      <c r="AD124" s="22">
        <v>123</v>
      </c>
      <c r="AE124" s="22" t="str">
        <f>VLOOKUP(TableWRRanks3242[[#This Row],[RK]],Rankings!A:Q,11,FALSE)</f>
        <v>Nelson Agholor</v>
      </c>
      <c r="AF124" s="22" t="str">
        <f>IFERROR(INDEX(TableWRCalcPts[TM],MATCH(TableWRRanks3242[[#This Row],[Player]],TableWRCalcPts[PLAYER],0)),"")</f>
        <v>NE</v>
      </c>
      <c r="AG124" s="22">
        <f>IFERROR(INDEX(TableWRCalcPts[BYE],MATCH(TableWRRanks3242[[#This Row],[RK]],TableWRCalcPts[RK],0)),"")</f>
        <v>10</v>
      </c>
      <c r="AH124" s="279">
        <f>VLOOKUP(TableWRRanks3242[[#This Row],[Player]],WR!B:O,4,FALSE)</f>
        <v>0</v>
      </c>
      <c r="AI124" s="279">
        <f>VLOOKUP(TableWRRanks3242[[#This Row],[Player]],WR!B:O,5,FALSE)</f>
        <v>0</v>
      </c>
      <c r="AJ124" s="279">
        <f>VLOOKUP(TableWRRanks3242[[#This Row],[Player]],WR!B:O,6,FALSE)</f>
        <v>18.898119537579198</v>
      </c>
      <c r="AK124" s="279">
        <f>VLOOKUP(TableWRRanks3242[[#This Row],[Player]],WR!B:O,7,FALSE)</f>
        <v>12.385827544929406</v>
      </c>
      <c r="AL124" s="279">
        <f>VLOOKUP(TableWRRanks3242[[#This Row],[Player]],WR!B:O,8,FALSE)</f>
        <v>128.44103164091791</v>
      </c>
      <c r="AM124" s="279">
        <f>VLOOKUP(TableWRRanks3242[[#This Row],[Player]],WR!B:O,9,FALSE)</f>
        <v>1.0759207619565749</v>
      </c>
      <c r="AN124" s="272">
        <f>VLOOKUP(TableWRRanks3242[[#This Row],[Player]],WR!B:O,13,FALSE)</f>
        <v>19.29962773583124</v>
      </c>
      <c r="AO124" s="273">
        <f>IF(VLOOKUP(TableWRRanks3242[[#This Row],[RK]],'Ranks w Proj'!AD:AO,12,FALSE)&lt;0,0,VLOOKUP(TableWRRanks3242[[#This Row],[RK]],'Ranks w Proj'!AD:AO,12,FALSE))</f>
        <v>0</v>
      </c>
    </row>
    <row r="125" spans="16:41" x14ac:dyDescent="0.3">
      <c r="P125" s="22">
        <v>124</v>
      </c>
      <c r="Q125" s="22" t="str">
        <f>VLOOKUP(TableRBRanks3141[[#This Row],[RK]],Rankings!A:Q,7,FALSE)</f>
        <v>Jake Funk</v>
      </c>
      <c r="R125" s="22" t="str">
        <f>IFERROR(INDEX(TableRBCalcPts[TM],MATCH(TableRBRanks3141[[#This Row],[Player]],TableRBCalcPts[PLAYER],0)),"")</f>
        <v>LAR</v>
      </c>
      <c r="S125" s="22">
        <f>IFERROR(INDEX(TableRBCalcPts[BYE],MATCH(TableRBRanks3141[[#This Row],[RK]],TableRBCalcPts[RK],0)),"")</f>
        <v>11</v>
      </c>
      <c r="T125" s="279">
        <f>VLOOKUP(TableRBRanks3141[[#This Row],[Player]],RB!B:O,4,FALSE)</f>
        <v>8.1170824394252286</v>
      </c>
      <c r="U125" s="279">
        <f>VLOOKUP(TableRBRanks3141[[#This Row],[Player]],RB!B:O,5,FALSE)</f>
        <v>31.457597190577371</v>
      </c>
      <c r="V125" s="279">
        <f>VLOOKUP(TableRBRanks3141[[#This Row],[Player]],RB!B:O,6,FALSE)</f>
        <v>0.1760058225608834</v>
      </c>
      <c r="W125" s="279">
        <f>VLOOKUP(TableRBRanks3141[[#This Row],[Player]],RB!B:O,7,FALSE)</f>
        <v>3.1627450827369503</v>
      </c>
      <c r="X125" s="279">
        <f>VLOOKUP(TableRBRanks3141[[#This Row],[Player]],RB!B:O,8,FALSE)</f>
        <v>2.0307986176253956</v>
      </c>
      <c r="Y125" s="279">
        <f>VLOOKUP(TableRBRanks3141[[#This Row],[Player]],RB!B:O,9,FALSE)</f>
        <v>13.427162624770263</v>
      </c>
      <c r="Z125" s="279">
        <f>VLOOKUP(TableRBRanks3141[[#This Row],[Player]],RB!B:O,10,FALSE)</f>
        <v>2.3891748442651711E-2</v>
      </c>
      <c r="AA125" s="272">
        <f>VLOOKUP(TableRBRanks3141[[#This Row],[Player]],RB!B:O,14,FALSE)</f>
        <v>5.6878614075559746</v>
      </c>
      <c r="AB125" s="273">
        <f>IF(VLOOKUP(TableRBRanks3141[[#This Row],[RK]],'Ranks w Proj'!$P:$AB,13,FALSE)&lt;0,0,VLOOKUP(TableRBRanks3141[[#This Row],[RK]],'Ranks w Proj'!$P:$AB,13,FALSE))</f>
        <v>0</v>
      </c>
      <c r="AD125" s="22">
        <v>124</v>
      </c>
      <c r="AE125" s="274" t="str">
        <f>VLOOKUP(TableWRRanks3242[[#This Row],[RK]],Rankings!A:Q,11,FALSE)</f>
        <v>Dyami Brown</v>
      </c>
      <c r="AF125" s="22" t="str">
        <f>IFERROR(INDEX(TableWRCalcPts[TM],MATCH(TableWRRanks3242[[#This Row],[Player]],TableWRCalcPts[PLAYER],0)),"")</f>
        <v>WSH</v>
      </c>
      <c r="AG125" s="22">
        <f>IFERROR(INDEX(TableWRCalcPts[BYE],MATCH(TableWRRanks3242[[#This Row],[RK]],TableWRCalcPts[RK],0)),"")</f>
        <v>14</v>
      </c>
      <c r="AH125" s="279">
        <f>VLOOKUP(TableWRRanks3242[[#This Row],[Player]],WR!B:O,4,FALSE)</f>
        <v>0</v>
      </c>
      <c r="AI125" s="279">
        <f>VLOOKUP(TableWRRanks3242[[#This Row],[Player]],WR!B:O,5,FALSE)</f>
        <v>0</v>
      </c>
      <c r="AJ125" s="279">
        <f>VLOOKUP(TableWRRanks3242[[#This Row],[Player]],WR!B:O,6,FALSE)</f>
        <v>24.666487413940445</v>
      </c>
      <c r="AK125" s="279">
        <f>VLOOKUP(TableWRRanks3242[[#This Row],[Player]],WR!B:O,7,FALSE)</f>
        <v>14.71602639115687</v>
      </c>
      <c r="AL125" s="279">
        <f>VLOOKUP(TableWRRanks3242[[#This Row],[Player]],WR!B:O,8,FALSE)</f>
        <v>198.96067680844087</v>
      </c>
      <c r="AM125" s="279">
        <f>VLOOKUP(TableWRRanks3242[[#This Row],[Player]],WR!B:O,9,FALSE)</f>
        <v>0.62709260847478154</v>
      </c>
      <c r="AN125" s="272">
        <f>VLOOKUP(TableWRRanks3242[[#This Row],[Player]],WR!B:O,13,FALSE)</f>
        <v>23.658623331692777</v>
      </c>
      <c r="AO125" s="273">
        <f>IF(VLOOKUP(TableWRRanks3242[[#This Row],[RK]],'Ranks w Proj'!AD:AO,12,FALSE)&lt;0,0,VLOOKUP(TableWRRanks3242[[#This Row],[RK]],'Ranks w Proj'!AD:AO,12,FALSE))</f>
        <v>0</v>
      </c>
    </row>
    <row r="126" spans="16:41" x14ac:dyDescent="0.3">
      <c r="P126" s="22">
        <v>125</v>
      </c>
      <c r="Q126" s="22">
        <f>VLOOKUP(TableRBRanks3141[[#This Row],[RK]],Rankings!A:Q,7,FALSE)</f>
        <v>0</v>
      </c>
      <c r="R126" s="22" t="str">
        <f>IFERROR(INDEX(TableRBCalcPts[TM],MATCH(TableRBRanks3141[[#This Row],[Player]],TableRBCalcPts[PLAYER],0)),"")</f>
        <v/>
      </c>
      <c r="S126" s="22" t="str">
        <f>IFERROR(INDEX(TableRBCalcPts[BYE],MATCH(TableRBRanks3141[[#This Row],[RK]],TableRBCalcPts[RK],0)),"")</f>
        <v/>
      </c>
      <c r="T126" s="279">
        <f>VLOOKUP(TableRBRanks3141[[#This Row],[Player]],RB!B:O,4,FALSE)</f>
        <v>0</v>
      </c>
      <c r="U126" s="279">
        <f>VLOOKUP(TableRBRanks3141[[#This Row],[Player]],RB!B:O,5,FALSE)</f>
        <v>0</v>
      </c>
      <c r="V126" s="279">
        <f>VLOOKUP(TableRBRanks3141[[#This Row],[Player]],RB!B:O,6,FALSE)</f>
        <v>0</v>
      </c>
      <c r="W126" s="279">
        <f>VLOOKUP(TableRBRanks3141[[#This Row],[Player]],RB!B:O,7,FALSE)</f>
        <v>0</v>
      </c>
      <c r="X126" s="279">
        <f>VLOOKUP(TableRBRanks3141[[#This Row],[Player]],RB!B:O,8,FALSE)</f>
        <v>0</v>
      </c>
      <c r="Y126" s="279">
        <f>VLOOKUP(TableRBRanks3141[[#This Row],[Player]],RB!B:O,9,FALSE)</f>
        <v>0</v>
      </c>
      <c r="Z126" s="279">
        <f>VLOOKUP(TableRBRanks3141[[#This Row],[Player]],RB!B:O,10,FALSE)</f>
        <v>0</v>
      </c>
      <c r="AA126" s="272">
        <f>VLOOKUP(TableRBRanks3141[[#This Row],[Player]],RB!B:O,14,FALSE)</f>
        <v>0</v>
      </c>
      <c r="AB126" s="273" t="e">
        <f>IF(VLOOKUP(TableRBRanks3141[[#This Row],[RK]],'Ranks w Proj'!$P:$AB,13,FALSE)&lt;0,0,VLOOKUP(TableRBRanks3141[[#This Row],[RK]],'Ranks w Proj'!$P:$AB,13,FALSE))</f>
        <v>#VALUE!</v>
      </c>
      <c r="AD126" s="274">
        <v>125</v>
      </c>
      <c r="AE126" s="274" t="str">
        <f>VLOOKUP(TableWRRanks3242[[#This Row],[RK]],Rankings!A:Q,11,FALSE)</f>
        <v>Auden Tate</v>
      </c>
      <c r="AF126" s="22" t="str">
        <f>IFERROR(INDEX(TableWRCalcPts[TM],MATCH(TableWRRanks3242[[#This Row],[Player]],TableWRCalcPts[PLAYER],0)),"")</f>
        <v>ATL</v>
      </c>
      <c r="AG126" s="22">
        <f>IFERROR(INDEX(TableWRCalcPts[BYE],MATCH(TableWRRanks3242[[#This Row],[RK]],TableWRCalcPts[RK],0)),"")</f>
        <v>13</v>
      </c>
      <c r="AH126" s="279">
        <f>VLOOKUP(TableWRRanks3242[[#This Row],[Player]],WR!B:O,4,FALSE)</f>
        <v>0</v>
      </c>
      <c r="AI126" s="279">
        <f>VLOOKUP(TableWRRanks3242[[#This Row],[Player]],WR!B:O,5,FALSE)</f>
        <v>0</v>
      </c>
      <c r="AJ126" s="279">
        <f>VLOOKUP(TableWRRanks3242[[#This Row],[Player]],WR!B:O,6,FALSE)</f>
        <v>30.43184498842022</v>
      </c>
      <c r="AK126" s="279">
        <f>VLOOKUP(TableWRRanks3242[[#This Row],[Player]],WR!B:O,7,FALSE)</f>
        <v>16.4207920091049</v>
      </c>
      <c r="AL126" s="279">
        <f>VLOOKUP(TableWRRanks3242[[#This Row],[Player]],WR!B:O,8,FALSE)</f>
        <v>193.61558464419318</v>
      </c>
      <c r="AM126" s="279">
        <f>VLOOKUP(TableWRRanks3242[[#This Row],[Player]],WR!B:O,9,FALSE)</f>
        <v>0.55830692830956663</v>
      </c>
      <c r="AN126" s="272">
        <f>VLOOKUP(TableWRRanks3242[[#This Row],[Player]],WR!B:O,13,FALSE)</f>
        <v>22.711400034276718</v>
      </c>
      <c r="AO126" s="273">
        <f>IF(VLOOKUP(TableWRRanks3242[[#This Row],[RK]],'Ranks w Proj'!AD:AO,12,FALSE)&lt;0,0,VLOOKUP(TableWRRanks3242[[#This Row],[RK]],'Ranks w Proj'!AD:AO,12,FALSE))</f>
        <v>0</v>
      </c>
    </row>
    <row r="127" spans="16:41" x14ac:dyDescent="0.3">
      <c r="P127" s="22">
        <v>126</v>
      </c>
      <c r="Q127" s="22">
        <f>VLOOKUP(TableRBRanks3141[[#This Row],[RK]],Rankings!A:Q,7,FALSE)</f>
        <v>0</v>
      </c>
      <c r="R127" s="22" t="str">
        <f>IFERROR(INDEX(TableRBCalcPts[TM],MATCH(TableRBRanks3141[[#This Row],[Player]],TableRBCalcPts[PLAYER],0)),"")</f>
        <v/>
      </c>
      <c r="S127" s="22" t="str">
        <f>IFERROR(INDEX(TableRBCalcPts[BYE],MATCH(TableRBRanks3141[[#This Row],[RK]],TableRBCalcPts[RK],0)),"")</f>
        <v/>
      </c>
      <c r="T127" s="279">
        <f>VLOOKUP(TableRBRanks3141[[#This Row],[Player]],RB!B:O,4,FALSE)</f>
        <v>0</v>
      </c>
      <c r="U127" s="279">
        <f>VLOOKUP(TableRBRanks3141[[#This Row],[Player]],RB!B:O,5,FALSE)</f>
        <v>0</v>
      </c>
      <c r="V127" s="279">
        <f>VLOOKUP(TableRBRanks3141[[#This Row],[Player]],RB!B:O,6,FALSE)</f>
        <v>0</v>
      </c>
      <c r="W127" s="279">
        <f>VLOOKUP(TableRBRanks3141[[#This Row],[Player]],RB!B:O,7,FALSE)</f>
        <v>0</v>
      </c>
      <c r="X127" s="279">
        <f>VLOOKUP(TableRBRanks3141[[#This Row],[Player]],RB!B:O,8,FALSE)</f>
        <v>0</v>
      </c>
      <c r="Y127" s="279">
        <f>VLOOKUP(TableRBRanks3141[[#This Row],[Player]],RB!B:O,9,FALSE)</f>
        <v>0</v>
      </c>
      <c r="Z127" s="279">
        <f>VLOOKUP(TableRBRanks3141[[#This Row],[Player]],RB!B:O,10,FALSE)</f>
        <v>0</v>
      </c>
      <c r="AA127" s="272">
        <f>VLOOKUP(TableRBRanks3141[[#This Row],[Player]],RB!B:O,14,FALSE)</f>
        <v>0</v>
      </c>
      <c r="AB127" s="273" t="e">
        <f>IF(VLOOKUP(TableRBRanks3141[[#This Row],[RK]],'Ranks w Proj'!$P:$AB,13,FALSE)&lt;0,0,VLOOKUP(TableRBRanks3141[[#This Row],[RK]],'Ranks w Proj'!$P:$AB,13,FALSE))</f>
        <v>#VALUE!</v>
      </c>
      <c r="AD127" s="22">
        <v>126</v>
      </c>
      <c r="AE127" s="22" t="str">
        <f>VLOOKUP(TableWRRanks3242[[#This Row],[RK]],Rankings!A:Q,11,FALSE)</f>
        <v>Jaylon Moore</v>
      </c>
      <c r="AF127" s="22" t="str">
        <f>IFERROR(INDEX(TableWRCalcPts[TM],MATCH(TableWRRanks3242[[#This Row],[Player]],TableWRCalcPts[PLAYER],0)),"")</f>
        <v>BAL</v>
      </c>
      <c r="AG127" s="22">
        <f>IFERROR(INDEX(TableWRCalcPts[BYE],MATCH(TableWRRanks3242[[#This Row],[RK]],TableWRCalcPts[RK],0)),"")</f>
        <v>14</v>
      </c>
      <c r="AH127" s="279">
        <f>VLOOKUP(TableWRRanks3242[[#This Row],[Player]],WR!B:O,4,FALSE)</f>
        <v>0</v>
      </c>
      <c r="AI127" s="279">
        <f>VLOOKUP(TableWRRanks3242[[#This Row],[Player]],WR!B:O,5,FALSE)</f>
        <v>0</v>
      </c>
      <c r="AJ127" s="279">
        <f>VLOOKUP(TableWRRanks3242[[#This Row],[Player]],WR!B:O,6,FALSE)</f>
        <v>21.929189619346964</v>
      </c>
      <c r="AK127" s="279">
        <f>VLOOKUP(TableWRRanks3242[[#This Row],[Player]],WR!B:O,7,FALSE)</f>
        <v>13.569782536451902</v>
      </c>
      <c r="AL127" s="279">
        <f>VLOOKUP(TableWRRanks3242[[#This Row],[Player]],WR!B:O,8,FALSE)</f>
        <v>164.33006651643251</v>
      </c>
      <c r="AM127" s="279">
        <f>VLOOKUP(TableWRRanks3242[[#This Row],[Player]],WR!B:O,9,FALSE)</f>
        <v>1.2212804282806711</v>
      </c>
      <c r="AN127" s="272">
        <f>VLOOKUP(TableWRRanks3242[[#This Row],[Player]],WR!B:O,13,FALSE)</f>
        <v>23.760689221327276</v>
      </c>
      <c r="AO127" s="273">
        <f>IF(VLOOKUP(TableWRRanks3242[[#This Row],[RK]],'Ranks w Proj'!AD:AO,12,FALSE)&lt;0,0,VLOOKUP(TableWRRanks3242[[#This Row],[RK]],'Ranks w Proj'!AD:AO,12,FALSE))</f>
        <v>0</v>
      </c>
    </row>
    <row r="128" spans="16:41" x14ac:dyDescent="0.3">
      <c r="P128" s="22">
        <v>127</v>
      </c>
      <c r="Q128" s="22">
        <f>VLOOKUP(TableRBRanks3141[[#This Row],[RK]],Rankings!A:Q,7,FALSE)</f>
        <v>0</v>
      </c>
      <c r="R128" s="22" t="str">
        <f>IFERROR(INDEX(TableRBCalcPts[TM],MATCH(TableRBRanks3141[[#This Row],[Player]],TableRBCalcPts[PLAYER],0)),"")</f>
        <v/>
      </c>
      <c r="S128" s="22" t="str">
        <f>IFERROR(INDEX(TableRBCalcPts[BYE],MATCH(TableRBRanks3141[[#This Row],[RK]],TableRBCalcPts[RK],0)),"")</f>
        <v/>
      </c>
      <c r="T128" s="279">
        <f>VLOOKUP(TableRBRanks3141[[#This Row],[Player]],RB!B:O,4,FALSE)</f>
        <v>0</v>
      </c>
      <c r="U128" s="279">
        <f>VLOOKUP(TableRBRanks3141[[#This Row],[Player]],RB!B:O,5,FALSE)</f>
        <v>0</v>
      </c>
      <c r="V128" s="279">
        <f>VLOOKUP(TableRBRanks3141[[#This Row],[Player]],RB!B:O,6,FALSE)</f>
        <v>0</v>
      </c>
      <c r="W128" s="279">
        <f>VLOOKUP(TableRBRanks3141[[#This Row],[Player]],RB!B:O,7,FALSE)</f>
        <v>0</v>
      </c>
      <c r="X128" s="279">
        <f>VLOOKUP(TableRBRanks3141[[#This Row],[Player]],RB!B:O,8,FALSE)</f>
        <v>0</v>
      </c>
      <c r="Y128" s="279">
        <f>VLOOKUP(TableRBRanks3141[[#This Row],[Player]],RB!B:O,9,FALSE)</f>
        <v>0</v>
      </c>
      <c r="Z128" s="279">
        <f>VLOOKUP(TableRBRanks3141[[#This Row],[Player]],RB!B:O,10,FALSE)</f>
        <v>0</v>
      </c>
      <c r="AA128" s="272">
        <f>VLOOKUP(TableRBRanks3141[[#This Row],[Player]],RB!B:O,14,FALSE)</f>
        <v>0</v>
      </c>
      <c r="AB128" s="273" t="e">
        <f>IF(VLOOKUP(TableRBRanks3141[[#This Row],[RK]],'Ranks w Proj'!$P:$AB,13,FALSE)&lt;0,0,VLOOKUP(TableRBRanks3141[[#This Row],[RK]],'Ranks w Proj'!$P:$AB,13,FALSE))</f>
        <v>#VALUE!</v>
      </c>
      <c r="AD128" s="22">
        <v>127</v>
      </c>
      <c r="AE128" s="22" t="str">
        <f>VLOOKUP(TableWRRanks3242[[#This Row],[RK]],Rankings!A:Q,11,FALSE)</f>
        <v>Breshad Perriman</v>
      </c>
      <c r="AF128" s="22" t="str">
        <f>IFERROR(INDEX(TableWRCalcPts[TM],MATCH(TableWRRanks3242[[#This Row],[Player]],TableWRCalcPts[PLAYER],0)),"")</f>
        <v>TB</v>
      </c>
      <c r="AG128" s="22">
        <f>IFERROR(INDEX(TableWRCalcPts[BYE],MATCH(TableWRRanks3242[[#This Row],[RK]],TableWRCalcPts[RK],0)),"")</f>
        <v>9</v>
      </c>
      <c r="AH128" s="279">
        <f>VLOOKUP(TableWRRanks3242[[#This Row],[Player]],WR!B:O,4,FALSE)</f>
        <v>2.0000747309171722</v>
      </c>
      <c r="AI128" s="279">
        <f>VLOOKUP(TableWRRanks3242[[#This Row],[Player]],WR!B:O,5,FALSE)</f>
        <v>0</v>
      </c>
      <c r="AJ128" s="279">
        <f>VLOOKUP(TableWRRanks3242[[#This Row],[Player]],WR!B:O,6,FALSE)</f>
        <v>18.741613421280483</v>
      </c>
      <c r="AK128" s="279">
        <f>VLOOKUP(TableWRRanks3242[[#This Row],[Player]],WR!B:O,7,FALSE)</f>
        <v>11.39864928282279</v>
      </c>
      <c r="AL128" s="279">
        <f>VLOOKUP(TableWRRanks3242[[#This Row],[Player]],WR!B:O,8,FALSE)</f>
        <v>182.43850005730869</v>
      </c>
      <c r="AM128" s="279">
        <f>VLOOKUP(TableWRRanks3242[[#This Row],[Player]],WR!B:O,9,FALSE)</f>
        <v>1.0018588690681425</v>
      </c>
      <c r="AN128" s="272">
        <f>VLOOKUP(TableWRRanks3242[[#This Row],[Player]],WR!B:O,13,FALSE)</f>
        <v>24.455010693231443</v>
      </c>
      <c r="AO128" s="273">
        <f>IF(VLOOKUP(TableWRRanks3242[[#This Row],[RK]],'Ranks w Proj'!AD:AO,12,FALSE)&lt;0,0,VLOOKUP(TableWRRanks3242[[#This Row],[RK]],'Ranks w Proj'!AD:AO,12,FALSE))</f>
        <v>0</v>
      </c>
    </row>
    <row r="129" spans="16:41" x14ac:dyDescent="0.3">
      <c r="P129" s="22">
        <v>128</v>
      </c>
      <c r="Q129" s="22">
        <f>VLOOKUP(TableRBRanks3141[[#This Row],[RK]],Rankings!A:Q,7,FALSE)</f>
        <v>0</v>
      </c>
      <c r="R129" s="22" t="str">
        <f>IFERROR(INDEX(TableRBCalcPts[TM],MATCH(TableRBRanks3141[[#This Row],[Player]],TableRBCalcPts[PLAYER],0)),"")</f>
        <v/>
      </c>
      <c r="S129" s="22" t="str">
        <f>IFERROR(INDEX(TableRBCalcPts[BYE],MATCH(TableRBRanks3141[[#This Row],[RK]],TableRBCalcPts[RK],0)),"")</f>
        <v/>
      </c>
      <c r="T129" s="279">
        <f>VLOOKUP(TableRBRanks3141[[#This Row],[Player]],RB!B:O,4,FALSE)</f>
        <v>0</v>
      </c>
      <c r="U129" s="279">
        <f>VLOOKUP(TableRBRanks3141[[#This Row],[Player]],RB!B:O,5,FALSE)</f>
        <v>0</v>
      </c>
      <c r="V129" s="279">
        <f>VLOOKUP(TableRBRanks3141[[#This Row],[Player]],RB!B:O,6,FALSE)</f>
        <v>0</v>
      </c>
      <c r="W129" s="279">
        <f>VLOOKUP(TableRBRanks3141[[#This Row],[Player]],RB!B:O,7,FALSE)</f>
        <v>0</v>
      </c>
      <c r="X129" s="279">
        <f>VLOOKUP(TableRBRanks3141[[#This Row],[Player]],RB!B:O,8,FALSE)</f>
        <v>0</v>
      </c>
      <c r="Y129" s="279">
        <f>VLOOKUP(TableRBRanks3141[[#This Row],[Player]],RB!B:O,9,FALSE)</f>
        <v>0</v>
      </c>
      <c r="Z129" s="279">
        <f>VLOOKUP(TableRBRanks3141[[#This Row],[Player]],RB!B:O,10,FALSE)</f>
        <v>0</v>
      </c>
      <c r="AA129" s="272">
        <f>VLOOKUP(TableRBRanks3141[[#This Row],[Player]],RB!B:O,14,FALSE)</f>
        <v>0</v>
      </c>
      <c r="AB129" s="273" t="e">
        <f>IF(VLOOKUP(TableRBRanks3141[[#This Row],[RK]],'Ranks w Proj'!$P:$AB,13,FALSE)&lt;0,0,VLOOKUP(TableRBRanks3141[[#This Row],[RK]],'Ranks w Proj'!$P:$AB,13,FALSE))</f>
        <v>#VALUE!</v>
      </c>
      <c r="AD129" s="274">
        <v>128</v>
      </c>
      <c r="AE129" s="274" t="str">
        <f>VLOOKUP(TableWRRanks3242[[#This Row],[RK]],Rankings!A:Q,11,FALSE)</f>
        <v>KhaDarel Hodge</v>
      </c>
      <c r="AF129" s="22" t="str">
        <f>IFERROR(INDEX(TableWRCalcPts[TM],MATCH(TableWRRanks3242[[#This Row],[Player]],TableWRCalcPts[PLAYER],0)),"")</f>
        <v>ATL</v>
      </c>
      <c r="AG129" s="22">
        <f>IFERROR(INDEX(TableWRCalcPts[BYE],MATCH(TableWRRanks3242[[#This Row],[RK]],TableWRCalcPts[RK],0)),"")</f>
        <v>14</v>
      </c>
      <c r="AH129" s="279">
        <f>VLOOKUP(TableWRRanks3242[[#This Row],[Player]],WR!B:O,4,FALSE)</f>
        <v>0</v>
      </c>
      <c r="AI129" s="279">
        <f>VLOOKUP(TableWRRanks3242[[#This Row],[Player]],WR!B:O,5,FALSE)</f>
        <v>0</v>
      </c>
      <c r="AJ129" s="279">
        <f>VLOOKUP(TableWRRanks3242[[#This Row],[Player]],WR!B:O,6,FALSE)</f>
        <v>27.841900734086583</v>
      </c>
      <c r="AK129" s="279">
        <f>VLOOKUP(TableWRRanks3242[[#This Row],[Player]],WR!B:O,7,FALSE)</f>
        <v>14.830679606064409</v>
      </c>
      <c r="AL129" s="279">
        <f>VLOOKUP(TableWRRanks3242[[#This Row],[Player]],WR!B:O,8,FALSE)</f>
        <v>189.18620223463469</v>
      </c>
      <c r="AM129" s="279">
        <f>VLOOKUP(TableWRRanks3242[[#This Row],[Player]],WR!B:O,9,FALSE)</f>
        <v>0.55781150771439203</v>
      </c>
      <c r="AN129" s="272">
        <f>VLOOKUP(TableWRRanks3242[[#This Row],[Player]],WR!B:O,13,FALSE)</f>
        <v>22.265489269749821</v>
      </c>
      <c r="AO129" s="273">
        <f>IF(VLOOKUP(TableWRRanks3242[[#This Row],[RK]],'Ranks w Proj'!AD:AO,12,FALSE)&lt;0,0,VLOOKUP(TableWRRanks3242[[#This Row],[RK]],'Ranks w Proj'!AD:AO,12,FALSE))</f>
        <v>0</v>
      </c>
    </row>
    <row r="130" spans="16:41" x14ac:dyDescent="0.3">
      <c r="P130" s="22">
        <v>129</v>
      </c>
      <c r="Q130" s="22">
        <f>VLOOKUP(TableRBRanks3141[[#This Row],[RK]],Rankings!A:Q,7,FALSE)</f>
        <v>0</v>
      </c>
      <c r="R130" s="22" t="str">
        <f>IFERROR(INDEX(TableRBCalcPts[TM],MATCH(TableRBRanks3141[[#This Row],[Player]],TableRBCalcPts[PLAYER],0)),"")</f>
        <v/>
      </c>
      <c r="S130" s="22" t="str">
        <f>IFERROR(INDEX(TableRBCalcPts[BYE],MATCH(TableRBRanks3141[[#This Row],[RK]],TableRBCalcPts[RK],0)),"")</f>
        <v/>
      </c>
      <c r="T130" s="279">
        <f>VLOOKUP(TableRBRanks3141[[#This Row],[Player]],RB!B:O,4,FALSE)</f>
        <v>0</v>
      </c>
      <c r="U130" s="279">
        <f>VLOOKUP(TableRBRanks3141[[#This Row],[Player]],RB!B:O,5,FALSE)</f>
        <v>0</v>
      </c>
      <c r="V130" s="279">
        <f>VLOOKUP(TableRBRanks3141[[#This Row],[Player]],RB!B:O,6,FALSE)</f>
        <v>0</v>
      </c>
      <c r="W130" s="279">
        <f>VLOOKUP(TableRBRanks3141[[#This Row],[Player]],RB!B:O,7,FALSE)</f>
        <v>0</v>
      </c>
      <c r="X130" s="279">
        <f>VLOOKUP(TableRBRanks3141[[#This Row],[Player]],RB!B:O,8,FALSE)</f>
        <v>0</v>
      </c>
      <c r="Y130" s="279">
        <f>VLOOKUP(TableRBRanks3141[[#This Row],[Player]],RB!B:O,9,FALSE)</f>
        <v>0</v>
      </c>
      <c r="Z130" s="279">
        <f>VLOOKUP(TableRBRanks3141[[#This Row],[Player]],RB!B:O,10,FALSE)</f>
        <v>0</v>
      </c>
      <c r="AA130" s="272">
        <f>VLOOKUP(TableRBRanks3141[[#This Row],[Player]],RB!B:O,14,FALSE)</f>
        <v>0</v>
      </c>
      <c r="AB130" s="273" t="e">
        <f>IF(VLOOKUP(TableRBRanks3141[[#This Row],[RK]],'Ranks w Proj'!$P:$AB,13,FALSE)&lt;0,0,VLOOKUP(TableRBRanks3141[[#This Row],[RK]],'Ranks w Proj'!$P:$AB,13,FALSE))</f>
        <v>#VALUE!</v>
      </c>
      <c r="AD130" s="22">
        <v>129</v>
      </c>
      <c r="AE130" s="22" t="str">
        <f>VLOOKUP(TableWRRanks3242[[#This Row],[RK]],Rankings!A:Q,11,FALSE)</f>
        <v>Noah Brown</v>
      </c>
      <c r="AF130" s="22" t="str">
        <f>IFERROR(INDEX(TableWRCalcPts[TM],MATCH(TableWRRanks3242[[#This Row],[Player]],TableWRCalcPts[PLAYER],0)),"")</f>
        <v>DAL</v>
      </c>
      <c r="AG130" s="22">
        <f>IFERROR(INDEX(TableWRCalcPts[BYE],MATCH(TableWRRanks3242[[#This Row],[RK]],TableWRCalcPts[RK],0)),"")</f>
        <v>7</v>
      </c>
      <c r="AH130" s="279">
        <f>VLOOKUP(TableWRRanks3242[[#This Row],[Player]],WR!B:O,4,FALSE)</f>
        <v>0</v>
      </c>
      <c r="AI130" s="279">
        <f>VLOOKUP(TableWRRanks3242[[#This Row],[Player]],WR!B:O,5,FALSE)</f>
        <v>0</v>
      </c>
      <c r="AJ130" s="279">
        <f>VLOOKUP(TableWRRanks3242[[#This Row],[Player]],WR!B:O,6,FALSE)</f>
        <v>22.850338483137158</v>
      </c>
      <c r="AK130" s="279">
        <f>VLOOKUP(TableWRRanks3242[[#This Row],[Player]],WR!B:O,7,FALSE)</f>
        <v>14.226620739601195</v>
      </c>
      <c r="AL130" s="279">
        <f>VLOOKUP(TableWRRanks3242[[#This Row],[Player]],WR!B:O,8,FALSE)</f>
        <v>163.51879011356093</v>
      </c>
      <c r="AM130" s="279">
        <f>VLOOKUP(TableWRRanks3242[[#This Row],[Player]],WR!B:O,9,FALSE)</f>
        <v>0.9958634517720838</v>
      </c>
      <c r="AN130" s="272">
        <f>VLOOKUP(TableWRRanks3242[[#This Row],[Player]],WR!B:O,13,FALSE)</f>
        <v>22.327059721988597</v>
      </c>
      <c r="AO130" s="273">
        <f>IF(VLOOKUP(TableWRRanks3242[[#This Row],[RK]],'Ranks w Proj'!AD:AO,12,FALSE)&lt;0,0,VLOOKUP(TableWRRanks3242[[#This Row],[RK]],'Ranks w Proj'!AD:AO,12,FALSE))</f>
        <v>0</v>
      </c>
    </row>
    <row r="131" spans="16:41" x14ac:dyDescent="0.3">
      <c r="P131" s="22">
        <v>130</v>
      </c>
      <c r="Q131" s="22">
        <f>VLOOKUP(TableRBRanks3141[[#This Row],[RK]],Rankings!A:Q,7,FALSE)</f>
        <v>0</v>
      </c>
      <c r="R131" s="22" t="str">
        <f>IFERROR(INDEX(TableRBCalcPts[TM],MATCH(TableRBRanks3141[[#This Row],[Player]],TableRBCalcPts[PLAYER],0)),"")</f>
        <v/>
      </c>
      <c r="S131" s="22" t="str">
        <f>IFERROR(INDEX(TableRBCalcPts[BYE],MATCH(TableRBRanks3141[[#This Row],[RK]],TableRBCalcPts[RK],0)),"")</f>
        <v/>
      </c>
      <c r="T131" s="279">
        <f>VLOOKUP(TableRBRanks3141[[#This Row],[Player]],RB!B:O,4,FALSE)</f>
        <v>0</v>
      </c>
      <c r="U131" s="279">
        <f>VLOOKUP(TableRBRanks3141[[#This Row],[Player]],RB!B:O,5,FALSE)</f>
        <v>0</v>
      </c>
      <c r="V131" s="279">
        <f>VLOOKUP(TableRBRanks3141[[#This Row],[Player]],RB!B:O,6,FALSE)</f>
        <v>0</v>
      </c>
      <c r="W131" s="279">
        <f>VLOOKUP(TableRBRanks3141[[#This Row],[Player]],RB!B:O,7,FALSE)</f>
        <v>0</v>
      </c>
      <c r="X131" s="279">
        <f>VLOOKUP(TableRBRanks3141[[#This Row],[Player]],RB!B:O,8,FALSE)</f>
        <v>0</v>
      </c>
      <c r="Y131" s="279">
        <f>VLOOKUP(TableRBRanks3141[[#This Row],[Player]],RB!B:O,9,FALSE)</f>
        <v>0</v>
      </c>
      <c r="Z131" s="279">
        <f>VLOOKUP(TableRBRanks3141[[#This Row],[Player]],RB!B:O,10,FALSE)</f>
        <v>0</v>
      </c>
      <c r="AA131" s="272">
        <f>VLOOKUP(TableRBRanks3141[[#This Row],[Player]],RB!B:O,14,FALSE)</f>
        <v>0</v>
      </c>
      <c r="AB131" s="273" t="e">
        <f>IF(VLOOKUP(TableRBRanks3141[[#This Row],[RK]],'Ranks w Proj'!$P:$AB,13,FALSE)&lt;0,0,VLOOKUP(TableRBRanks3141[[#This Row],[RK]],'Ranks w Proj'!$P:$AB,13,FALSE))</f>
        <v>#VALUE!</v>
      </c>
      <c r="AD131" s="22">
        <v>130</v>
      </c>
      <c r="AE131" s="274" t="str">
        <f>VLOOKUP(TableWRRanks3242[[#This Row],[RK]],Rankings!A:Q,11,FALSE)</f>
        <v>Tre'Quan Smith</v>
      </c>
      <c r="AF131" s="22" t="str">
        <f>IFERROR(INDEX(TableWRCalcPts[TM],MATCH(TableWRRanks3242[[#This Row],[Player]],TableWRCalcPts[PLAYER],0)),"")</f>
        <v>NO</v>
      </c>
      <c r="AG131" s="22">
        <f>IFERROR(INDEX(TableWRCalcPts[BYE],MATCH(TableWRRanks3242[[#This Row],[RK]],TableWRCalcPts[RK],0)),"")</f>
        <v>9</v>
      </c>
      <c r="AH131" s="279">
        <f>VLOOKUP(TableWRRanks3242[[#This Row],[Player]],WR!B:O,4,FALSE)</f>
        <v>13.172098418013222</v>
      </c>
      <c r="AI131" s="279">
        <f>VLOOKUP(TableWRRanks3242[[#This Row],[Player]],WR!B:O,5,FALSE)</f>
        <v>0</v>
      </c>
      <c r="AJ131" s="279">
        <f>VLOOKUP(TableWRRanks3242[[#This Row],[Player]],WR!B:O,6,FALSE)</f>
        <v>17.640988658179783</v>
      </c>
      <c r="AK131" s="279">
        <f>VLOOKUP(TableWRRanks3242[[#This Row],[Player]],WR!B:O,7,FALSE)</f>
        <v>10.967402648790371</v>
      </c>
      <c r="AL131" s="279">
        <f>VLOOKUP(TableWRRanks3242[[#This Row],[Player]],WR!B:O,8,FALSE)</f>
        <v>133.45987020722123</v>
      </c>
      <c r="AM131" s="279">
        <f>VLOOKUP(TableWRRanks3242[[#This Row],[Player]],WR!B:O,9,FALSE)</f>
        <v>1.009001043688714</v>
      </c>
      <c r="AN131" s="272">
        <f>VLOOKUP(TableWRRanks3242[[#This Row],[Player]],WR!B:O,13,FALSE)</f>
        <v>20.717203124655729</v>
      </c>
      <c r="AO131" s="273">
        <f>IF(VLOOKUP(TableWRRanks3242[[#This Row],[RK]],'Ranks w Proj'!AD:AO,12,FALSE)&lt;0,0,VLOOKUP(TableWRRanks3242[[#This Row],[RK]],'Ranks w Proj'!AD:AO,12,FALSE))</f>
        <v>0</v>
      </c>
    </row>
    <row r="132" spans="16:41" x14ac:dyDescent="0.3">
      <c r="P132" s="22">
        <v>131</v>
      </c>
      <c r="Q132" s="22">
        <f>VLOOKUP(TableRBRanks3141[[#This Row],[RK]],Rankings!A:Q,7,FALSE)</f>
        <v>0</v>
      </c>
      <c r="R132" s="22" t="str">
        <f>IFERROR(INDEX(TableRBCalcPts[TM],MATCH(TableRBRanks3141[[#This Row],[Player]],TableRBCalcPts[PLAYER],0)),"")</f>
        <v/>
      </c>
      <c r="S132" s="22" t="str">
        <f>IFERROR(INDEX(TableRBCalcPts[BYE],MATCH(TableRBRanks3141[[#This Row],[RK]],TableRBCalcPts[RK],0)),"")</f>
        <v/>
      </c>
      <c r="T132" s="279">
        <f>VLOOKUP(TableRBRanks3141[[#This Row],[Player]],RB!B:O,4,FALSE)</f>
        <v>0</v>
      </c>
      <c r="U132" s="279">
        <f>VLOOKUP(TableRBRanks3141[[#This Row],[Player]],RB!B:O,5,FALSE)</f>
        <v>0</v>
      </c>
      <c r="V132" s="279">
        <f>VLOOKUP(TableRBRanks3141[[#This Row],[Player]],RB!B:O,6,FALSE)</f>
        <v>0</v>
      </c>
      <c r="W132" s="279">
        <f>VLOOKUP(TableRBRanks3141[[#This Row],[Player]],RB!B:O,7,FALSE)</f>
        <v>0</v>
      </c>
      <c r="X132" s="279">
        <f>VLOOKUP(TableRBRanks3141[[#This Row],[Player]],RB!B:O,8,FALSE)</f>
        <v>0</v>
      </c>
      <c r="Y132" s="279">
        <f>VLOOKUP(TableRBRanks3141[[#This Row],[Player]],RB!B:O,9,FALSE)</f>
        <v>0</v>
      </c>
      <c r="Z132" s="279">
        <f>VLOOKUP(TableRBRanks3141[[#This Row],[Player]],RB!B:O,10,FALSE)</f>
        <v>0</v>
      </c>
      <c r="AA132" s="272">
        <f>VLOOKUP(TableRBRanks3141[[#This Row],[Player]],RB!B:O,14,FALSE)</f>
        <v>0</v>
      </c>
      <c r="AB132" s="273" t="e">
        <f>IF(VLOOKUP(TableRBRanks3141[[#This Row],[RK]],'Ranks w Proj'!$P:$AB,13,FALSE)&lt;0,0,VLOOKUP(TableRBRanks3141[[#This Row],[RK]],'Ranks w Proj'!$P:$AB,13,FALSE))</f>
        <v>#VALUE!</v>
      </c>
      <c r="AD132" s="274">
        <v>131</v>
      </c>
      <c r="AE132" s="274" t="str">
        <f>VLOOKUP(TableWRRanks3242[[#This Row],[RK]],Rankings!A:Q,11,FALSE)</f>
        <v>Ben Skowronek</v>
      </c>
      <c r="AF132" s="22" t="str">
        <f>IFERROR(INDEX(TableWRCalcPts[TM],MATCH(TableWRRanks3242[[#This Row],[Player]],TableWRCalcPts[PLAYER],0)),"")</f>
        <v>LAR</v>
      </c>
      <c r="AG132" s="22">
        <f>IFERROR(INDEX(TableWRCalcPts[BYE],MATCH(TableWRRanks3242[[#This Row],[RK]],TableWRCalcPts[RK],0)),"")</f>
        <v>14</v>
      </c>
      <c r="AH132" s="279">
        <f>VLOOKUP(TableWRRanks3242[[#This Row],[Player]],WR!B:O,4,FALSE)</f>
        <v>0</v>
      </c>
      <c r="AI132" s="279">
        <f>VLOOKUP(TableWRRanks3242[[#This Row],[Player]],WR!B:O,5,FALSE)</f>
        <v>0</v>
      </c>
      <c r="AJ132" s="279">
        <f>VLOOKUP(TableWRRanks3242[[#This Row],[Player]],WR!B:O,6,FALSE)</f>
        <v>20.007220958038392</v>
      </c>
      <c r="AK132" s="279">
        <f>VLOOKUP(TableWRRanks3242[[#This Row],[Player]],WR!B:O,7,FALSE)</f>
        <v>12.644563645480265</v>
      </c>
      <c r="AL132" s="279">
        <f>VLOOKUP(TableWRRanks3242[[#This Row],[Player]],WR!B:O,8,FALSE)</f>
        <v>152.39715350301844</v>
      </c>
      <c r="AM132" s="279">
        <f>VLOOKUP(TableWRRanks3242[[#This Row],[Player]],WR!B:O,9,FALSE)</f>
        <v>1.1380107280932237</v>
      </c>
      <c r="AN132" s="272">
        <f>VLOOKUP(TableWRRanks3242[[#This Row],[Player]],WR!B:O,13,FALSE)</f>
        <v>22.067779718861189</v>
      </c>
      <c r="AO132" s="273">
        <f>IF(VLOOKUP(TableWRRanks3242[[#This Row],[RK]],'Ranks w Proj'!AD:AO,12,FALSE)&lt;0,0,VLOOKUP(TableWRRanks3242[[#This Row],[RK]],'Ranks w Proj'!AD:AO,12,FALSE))</f>
        <v>0</v>
      </c>
    </row>
    <row r="133" spans="16:41" x14ac:dyDescent="0.3">
      <c r="P133" s="22">
        <v>132</v>
      </c>
      <c r="Q133" s="22">
        <f>VLOOKUP(TableRBRanks3141[[#This Row],[RK]],Rankings!A:Q,7,FALSE)</f>
        <v>0</v>
      </c>
      <c r="R133" s="22" t="str">
        <f>IFERROR(INDEX(TableRBCalcPts[TM],MATCH(TableRBRanks3141[[#This Row],[Player]],TableRBCalcPts[PLAYER],0)),"")</f>
        <v/>
      </c>
      <c r="S133" s="22" t="str">
        <f>IFERROR(INDEX(TableRBCalcPts[BYE],MATCH(TableRBRanks3141[[#This Row],[RK]],TableRBCalcPts[RK],0)),"")</f>
        <v/>
      </c>
      <c r="T133" s="279">
        <f>VLOOKUP(TableRBRanks3141[[#This Row],[Player]],RB!B:O,4,FALSE)</f>
        <v>0</v>
      </c>
      <c r="U133" s="279">
        <f>VLOOKUP(TableRBRanks3141[[#This Row],[Player]],RB!B:O,5,FALSE)</f>
        <v>0</v>
      </c>
      <c r="V133" s="279">
        <f>VLOOKUP(TableRBRanks3141[[#This Row],[Player]],RB!B:O,6,FALSE)</f>
        <v>0</v>
      </c>
      <c r="W133" s="279">
        <f>VLOOKUP(TableRBRanks3141[[#This Row],[Player]],RB!B:O,7,FALSE)</f>
        <v>0</v>
      </c>
      <c r="X133" s="279">
        <f>VLOOKUP(TableRBRanks3141[[#This Row],[Player]],RB!B:O,8,FALSE)</f>
        <v>0</v>
      </c>
      <c r="Y133" s="279">
        <f>VLOOKUP(TableRBRanks3141[[#This Row],[Player]],RB!B:O,9,FALSE)</f>
        <v>0</v>
      </c>
      <c r="Z133" s="279">
        <f>VLOOKUP(TableRBRanks3141[[#This Row],[Player]],RB!B:O,10,FALSE)</f>
        <v>0</v>
      </c>
      <c r="AA133" s="272">
        <f>VLOOKUP(TableRBRanks3141[[#This Row],[Player]],RB!B:O,14,FALSE)</f>
        <v>0</v>
      </c>
      <c r="AB133" s="273" t="e">
        <f>IF(VLOOKUP(TableRBRanks3141[[#This Row],[RK]],'Ranks w Proj'!$P:$AB,13,FALSE)&lt;0,0,VLOOKUP(TableRBRanks3141[[#This Row],[RK]],'Ranks w Proj'!$P:$AB,13,FALSE))</f>
        <v>#VALUE!</v>
      </c>
      <c r="AD133" s="22">
        <v>132</v>
      </c>
      <c r="AE133" s="274" t="str">
        <f>VLOOKUP(TableWRRanks3242[[#This Row],[RK]],Rankings!A:Q,11,FALSE)</f>
        <v>Malik Turner</v>
      </c>
      <c r="AF133" s="22" t="str">
        <f>IFERROR(INDEX(TableWRCalcPts[TM],MATCH(TableWRRanks3242[[#This Row],[Player]],TableWRCalcPts[PLAYER],0)),"")</f>
        <v>SF</v>
      </c>
      <c r="AG133" s="22">
        <f>IFERROR(INDEX(TableWRCalcPts[BYE],MATCH(TableWRRanks3242[[#This Row],[RK]],TableWRCalcPts[RK],0)),"")</f>
        <v>14</v>
      </c>
      <c r="AH133" s="279">
        <f>VLOOKUP(TableWRRanks3242[[#This Row],[Player]],WR!B:O,4,FALSE)</f>
        <v>0</v>
      </c>
      <c r="AI133" s="279">
        <f>VLOOKUP(TableWRRanks3242[[#This Row],[Player]],WR!B:O,5,FALSE)</f>
        <v>0</v>
      </c>
      <c r="AJ133" s="279">
        <f>VLOOKUP(TableWRRanks3242[[#This Row],[Player]],WR!B:O,6,FALSE)</f>
        <v>23.020022009540362</v>
      </c>
      <c r="AK133" s="279">
        <f>VLOOKUP(TableWRRanks3242[[#This Row],[Player]],WR!B:O,7,FALSE)</f>
        <v>12.974084404576947</v>
      </c>
      <c r="AL133" s="279">
        <f>VLOOKUP(TableWRRanks3242[[#This Row],[Player]],WR!B:O,8,FALSE)</f>
        <v>169.05231979163761</v>
      </c>
      <c r="AM133" s="279">
        <f>VLOOKUP(TableWRRanks3242[[#This Row],[Player]],WR!B:O,9,FALSE)</f>
        <v>0.81088027528605922</v>
      </c>
      <c r="AN133" s="272">
        <f>VLOOKUP(TableWRRanks3242[[#This Row],[Player]],WR!B:O,13,FALSE)</f>
        <v>21.770513630880117</v>
      </c>
      <c r="AO133" s="273">
        <f>IF(VLOOKUP(TableWRRanks3242[[#This Row],[RK]],'Ranks w Proj'!AD:AO,12,FALSE)&lt;0,0,VLOOKUP(TableWRRanks3242[[#This Row],[RK]],'Ranks w Proj'!AD:AO,12,FALSE))</f>
        <v>0</v>
      </c>
    </row>
    <row r="134" spans="16:41" x14ac:dyDescent="0.3">
      <c r="P134" s="22">
        <v>133</v>
      </c>
      <c r="Q134" s="22">
        <f>VLOOKUP(TableRBRanks3141[[#This Row],[RK]],Rankings!A:Q,7,FALSE)</f>
        <v>0</v>
      </c>
      <c r="R134" s="22" t="str">
        <f>IFERROR(INDEX(TableRBCalcPts[TM],MATCH(TableRBRanks3141[[#This Row],[Player]],TableRBCalcPts[PLAYER],0)),"")</f>
        <v/>
      </c>
      <c r="S134" s="22" t="str">
        <f>IFERROR(INDEX(TableRBCalcPts[BYE],MATCH(TableRBRanks3141[[#This Row],[RK]],TableRBCalcPts[RK],0)),"")</f>
        <v/>
      </c>
      <c r="T134" s="279">
        <f>VLOOKUP(TableRBRanks3141[[#This Row],[Player]],RB!B:O,4,FALSE)</f>
        <v>0</v>
      </c>
      <c r="U134" s="279">
        <f>VLOOKUP(TableRBRanks3141[[#This Row],[Player]],RB!B:O,5,FALSE)</f>
        <v>0</v>
      </c>
      <c r="V134" s="279">
        <f>VLOOKUP(TableRBRanks3141[[#This Row],[Player]],RB!B:O,6,FALSE)</f>
        <v>0</v>
      </c>
      <c r="W134" s="279">
        <f>VLOOKUP(TableRBRanks3141[[#This Row],[Player]],RB!B:O,7,FALSE)</f>
        <v>0</v>
      </c>
      <c r="X134" s="279">
        <f>VLOOKUP(TableRBRanks3141[[#This Row],[Player]],RB!B:O,8,FALSE)</f>
        <v>0</v>
      </c>
      <c r="Y134" s="279">
        <f>VLOOKUP(TableRBRanks3141[[#This Row],[Player]],RB!B:O,9,FALSE)</f>
        <v>0</v>
      </c>
      <c r="Z134" s="279">
        <f>VLOOKUP(TableRBRanks3141[[#This Row],[Player]],RB!B:O,10,FALSE)</f>
        <v>0</v>
      </c>
      <c r="AA134" s="272">
        <f>VLOOKUP(TableRBRanks3141[[#This Row],[Player]],RB!B:O,14,FALSE)</f>
        <v>0</v>
      </c>
      <c r="AB134" s="273" t="e">
        <f>IF(VLOOKUP(TableRBRanks3141[[#This Row],[RK]],'Ranks w Proj'!$P:$AB,13,FALSE)&lt;0,0,VLOOKUP(TableRBRanks3141[[#This Row],[RK]],'Ranks w Proj'!$P:$AB,13,FALSE))</f>
        <v>#VALUE!</v>
      </c>
      <c r="AD134" s="22">
        <v>133</v>
      </c>
      <c r="AE134" s="274" t="str">
        <f>VLOOKUP(TableWRRanks3242[[#This Row],[RK]],Rankings!A:Q,11,FALSE)</f>
        <v>Miles Boykin</v>
      </c>
      <c r="AF134" s="22" t="str">
        <f>IFERROR(INDEX(TableWRCalcPts[TM],MATCH(TableWRRanks3242[[#This Row],[Player]],TableWRCalcPts[PLAYER],0)),"")</f>
        <v>PIT</v>
      </c>
      <c r="AG134" s="22">
        <f>IFERROR(INDEX(TableWRCalcPts[BYE],MATCH(TableWRRanks3242[[#This Row],[RK]],TableWRCalcPts[RK],0)),"")</f>
        <v>9</v>
      </c>
      <c r="AH134" s="279">
        <f>VLOOKUP(TableWRRanks3242[[#This Row],[Player]],WR!B:O,4,FALSE)</f>
        <v>0</v>
      </c>
      <c r="AI134" s="279">
        <f>VLOOKUP(TableWRRanks3242[[#This Row],[Player]],WR!B:O,5,FALSE)</f>
        <v>0</v>
      </c>
      <c r="AJ134" s="279">
        <f>VLOOKUP(TableWRRanks3242[[#This Row],[Player]],WR!B:O,6,FALSE)</f>
        <v>23.752799334643477</v>
      </c>
      <c r="AK134" s="279">
        <f>VLOOKUP(TableWRRanks3242[[#This Row],[Player]],WR!B:O,7,FALSE)</f>
        <v>13.900138170633364</v>
      </c>
      <c r="AL134" s="279">
        <f>VLOOKUP(TableWRRanks3242[[#This Row],[Player]],WR!B:O,8,FALSE)</f>
        <v>172.22271193414738</v>
      </c>
      <c r="AM134" s="279">
        <f>VLOOKUP(TableWRRanks3242[[#This Row],[Player]],WR!B:O,9,FALSE)</f>
        <v>0.52125518139875116</v>
      </c>
      <c r="AN134" s="272">
        <f>VLOOKUP(TableWRRanks3242[[#This Row],[Player]],WR!B:O,13,FALSE)</f>
        <v>20.349802281807243</v>
      </c>
      <c r="AO134" s="273">
        <f>IF(VLOOKUP(TableWRRanks3242[[#This Row],[RK]],'Ranks w Proj'!AD:AO,12,FALSE)&lt;0,0,VLOOKUP(TableWRRanks3242[[#This Row],[RK]],'Ranks w Proj'!AD:AO,12,FALSE))</f>
        <v>0</v>
      </c>
    </row>
    <row r="135" spans="16:41" x14ac:dyDescent="0.3">
      <c r="P135" s="22">
        <v>134</v>
      </c>
      <c r="Q135" s="22">
        <f>VLOOKUP(TableRBRanks3141[[#This Row],[RK]],Rankings!A:Q,7,FALSE)</f>
        <v>0</v>
      </c>
      <c r="R135" s="22" t="str">
        <f>IFERROR(INDEX(TableRBCalcPts[TM],MATCH(TableRBRanks3141[[#This Row],[Player]],TableRBCalcPts[PLAYER],0)),"")</f>
        <v/>
      </c>
      <c r="S135" s="22" t="str">
        <f>IFERROR(INDEX(TableRBCalcPts[BYE],MATCH(TableRBRanks3141[[#This Row],[RK]],TableRBCalcPts[RK],0)),"")</f>
        <v/>
      </c>
      <c r="T135" s="279">
        <f>VLOOKUP(TableRBRanks3141[[#This Row],[Player]],RB!B:O,4,FALSE)</f>
        <v>0</v>
      </c>
      <c r="U135" s="279">
        <f>VLOOKUP(TableRBRanks3141[[#This Row],[Player]],RB!B:O,5,FALSE)</f>
        <v>0</v>
      </c>
      <c r="V135" s="279">
        <f>VLOOKUP(TableRBRanks3141[[#This Row],[Player]],RB!B:O,6,FALSE)</f>
        <v>0</v>
      </c>
      <c r="W135" s="279">
        <f>VLOOKUP(TableRBRanks3141[[#This Row],[Player]],RB!B:O,7,FALSE)</f>
        <v>0</v>
      </c>
      <c r="X135" s="279">
        <f>VLOOKUP(TableRBRanks3141[[#This Row],[Player]],RB!B:O,8,FALSE)</f>
        <v>0</v>
      </c>
      <c r="Y135" s="279">
        <f>VLOOKUP(TableRBRanks3141[[#This Row],[Player]],RB!B:O,9,FALSE)</f>
        <v>0</v>
      </c>
      <c r="Z135" s="279">
        <f>VLOOKUP(TableRBRanks3141[[#This Row],[Player]],RB!B:O,10,FALSE)</f>
        <v>0</v>
      </c>
      <c r="AA135" s="272">
        <f>VLOOKUP(TableRBRanks3141[[#This Row],[Player]],RB!B:O,14,FALSE)</f>
        <v>0</v>
      </c>
      <c r="AB135" s="273" t="e">
        <f>IF(VLOOKUP(TableRBRanks3141[[#This Row],[RK]],'Ranks w Proj'!$P:$AB,13,FALSE)&lt;0,0,VLOOKUP(TableRBRanks3141[[#This Row],[RK]],'Ranks w Proj'!$P:$AB,13,FALSE))</f>
        <v>#VALUE!</v>
      </c>
      <c r="AD135" s="274">
        <v>134</v>
      </c>
      <c r="AE135" s="22" t="str">
        <f>VLOOKUP(TableWRRanks3242[[#This Row],[RK]],Rankings!A:Q,11,FALSE)</f>
        <v>Equanimeous St. Brown</v>
      </c>
      <c r="AF135" s="22" t="str">
        <f>IFERROR(INDEX(TableWRCalcPts[TM],MATCH(TableWRRanks3242[[#This Row],[Player]],TableWRCalcPts[PLAYER],0)),"")</f>
        <v>CHI</v>
      </c>
      <c r="AG135" s="22">
        <f>IFERROR(INDEX(TableWRCalcPts[BYE],MATCH(TableWRRanks3242[[#This Row],[RK]],TableWRCalcPts[RK],0)),"")</f>
        <v>6</v>
      </c>
      <c r="AH135" s="279">
        <f>VLOOKUP(TableWRRanks3242[[#This Row],[Player]],WR!B:O,4,FALSE)</f>
        <v>0</v>
      </c>
      <c r="AI135" s="279">
        <f>VLOOKUP(TableWRRanks3242[[#This Row],[Player]],WR!B:O,5,FALSE)</f>
        <v>0</v>
      </c>
      <c r="AJ135" s="279">
        <f>VLOOKUP(TableWRRanks3242[[#This Row],[Player]],WR!B:O,6,FALSE)</f>
        <v>22.241952190599669</v>
      </c>
      <c r="AK135" s="279">
        <f>VLOOKUP(TableWRRanks3242[[#This Row],[Player]],WR!B:O,7,FALSE)</f>
        <v>12.268660828334777</v>
      </c>
      <c r="AL135" s="279">
        <f>VLOOKUP(TableWRRanks3242[[#This Row],[Player]],WR!B:O,8,FALSE)</f>
        <v>154.70781304530155</v>
      </c>
      <c r="AM135" s="279">
        <f>VLOOKUP(TableWRRanks3242[[#This Row],[Player]],WR!B:O,9,FALSE)</f>
        <v>0.93469932443815062</v>
      </c>
      <c r="AN135" s="272">
        <f>VLOOKUP(TableWRRanks3242[[#This Row],[Player]],WR!B:O,13,FALSE)</f>
        <v>21.07897725115906</v>
      </c>
      <c r="AO135" s="273">
        <f>IF(VLOOKUP(TableWRRanks3242[[#This Row],[RK]],'Ranks w Proj'!AD:AO,12,FALSE)&lt;0,0,VLOOKUP(TableWRRanks3242[[#This Row],[RK]],'Ranks w Proj'!AD:AO,12,FALSE))</f>
        <v>0</v>
      </c>
    </row>
    <row r="136" spans="16:41" x14ac:dyDescent="0.3">
      <c r="P136" s="22">
        <v>135</v>
      </c>
      <c r="Q136" s="22">
        <f>VLOOKUP(TableRBRanks3141[[#This Row],[RK]],Rankings!A:Q,7,FALSE)</f>
        <v>0</v>
      </c>
      <c r="R136" s="22" t="str">
        <f>IFERROR(INDEX(TableRBCalcPts[TM],MATCH(TableRBRanks3141[[#This Row],[Player]],TableRBCalcPts[PLAYER],0)),"")</f>
        <v/>
      </c>
      <c r="S136" s="22" t="str">
        <f>IFERROR(INDEX(TableRBCalcPts[BYE],MATCH(TableRBRanks3141[[#This Row],[RK]],TableRBCalcPts[RK],0)),"")</f>
        <v/>
      </c>
      <c r="T136" s="279">
        <f>VLOOKUP(TableRBRanks3141[[#This Row],[Player]],RB!B:O,4,FALSE)</f>
        <v>0</v>
      </c>
      <c r="U136" s="279">
        <f>VLOOKUP(TableRBRanks3141[[#This Row],[Player]],RB!B:O,5,FALSE)</f>
        <v>0</v>
      </c>
      <c r="V136" s="279">
        <f>VLOOKUP(TableRBRanks3141[[#This Row],[Player]],RB!B:O,6,FALSE)</f>
        <v>0</v>
      </c>
      <c r="W136" s="279">
        <f>VLOOKUP(TableRBRanks3141[[#This Row],[Player]],RB!B:O,7,FALSE)</f>
        <v>0</v>
      </c>
      <c r="X136" s="279">
        <f>VLOOKUP(TableRBRanks3141[[#This Row],[Player]],RB!B:O,8,FALSE)</f>
        <v>0</v>
      </c>
      <c r="Y136" s="279">
        <f>VLOOKUP(TableRBRanks3141[[#This Row],[Player]],RB!B:O,9,FALSE)</f>
        <v>0</v>
      </c>
      <c r="Z136" s="279">
        <f>VLOOKUP(TableRBRanks3141[[#This Row],[Player]],RB!B:O,10,FALSE)</f>
        <v>0</v>
      </c>
      <c r="AA136" s="272">
        <f>VLOOKUP(TableRBRanks3141[[#This Row],[Player]],RB!B:O,14,FALSE)</f>
        <v>0</v>
      </c>
      <c r="AB136" s="273" t="e">
        <f>IF(VLOOKUP(TableRBRanks3141[[#This Row],[RK]],'Ranks w Proj'!$P:$AB,13,FALSE)&lt;0,0,VLOOKUP(TableRBRanks3141[[#This Row],[RK]],'Ranks w Proj'!$P:$AB,13,FALSE))</f>
        <v>#VALUE!</v>
      </c>
      <c r="AD136" s="22">
        <v>135</v>
      </c>
      <c r="AE136" s="22" t="str">
        <f>VLOOKUP(TableWRRanks3242[[#This Row],[RK]],Rankings!A:Q,11,FALSE)</f>
        <v>Keelan Cole</v>
      </c>
      <c r="AF136" s="22" t="str">
        <f>IFERROR(INDEX(TableWRCalcPts[TM],MATCH(TableWRRanks3242[[#This Row],[Player]],TableWRCalcPts[PLAYER],0)),"")</f>
        <v>LV</v>
      </c>
      <c r="AG136" s="22">
        <f>IFERROR(INDEX(TableWRCalcPts[BYE],MATCH(TableWRRanks3242[[#This Row],[RK]],TableWRCalcPts[RK],0)),"")</f>
        <v>10</v>
      </c>
      <c r="AH136" s="279">
        <f>VLOOKUP(TableWRRanks3242[[#This Row],[Player]],WR!B:O,4,FALSE)</f>
        <v>0</v>
      </c>
      <c r="AI136" s="279">
        <f>VLOOKUP(TableWRRanks3242[[#This Row],[Player]],WR!B:O,5,FALSE)</f>
        <v>0</v>
      </c>
      <c r="AJ136" s="279">
        <f>VLOOKUP(TableWRRanks3242[[#This Row],[Player]],WR!B:O,6,FALSE)</f>
        <v>17.639678279999995</v>
      </c>
      <c r="AK136" s="279">
        <f>VLOOKUP(TableWRRanks3242[[#This Row],[Player]],WR!B:O,7,FALSE)</f>
        <v>10.035212973491996</v>
      </c>
      <c r="AL136" s="279">
        <f>VLOOKUP(TableWRRanks3242[[#This Row],[Player]],WR!B:O,8,FALSE)</f>
        <v>143.2399050194409</v>
      </c>
      <c r="AM136" s="279">
        <f>VLOOKUP(TableWRRanks3242[[#This Row],[Player]],WR!B:O,9,FALSE)</f>
        <v>0.85077478946913287</v>
      </c>
      <c r="AN136" s="272">
        <f>VLOOKUP(TableWRRanks3242[[#This Row],[Player]],WR!B:O,13,FALSE)</f>
        <v>19.428639238758887</v>
      </c>
      <c r="AO136" s="273">
        <f>IF(VLOOKUP(TableWRRanks3242[[#This Row],[RK]],'Ranks w Proj'!AD:AO,12,FALSE)&lt;0,0,VLOOKUP(TableWRRanks3242[[#This Row],[RK]],'Ranks w Proj'!AD:AO,12,FALSE))</f>
        <v>0</v>
      </c>
    </row>
    <row r="137" spans="16:41" x14ac:dyDescent="0.3">
      <c r="P137" s="22">
        <v>136</v>
      </c>
      <c r="Q137" s="22">
        <f>VLOOKUP(TableRBRanks3141[[#This Row],[RK]],Rankings!A:Q,7,FALSE)</f>
        <v>0</v>
      </c>
      <c r="R137" s="22" t="str">
        <f>IFERROR(INDEX(TableRBCalcPts[TM],MATCH(TableRBRanks3141[[#This Row],[Player]],TableRBCalcPts[PLAYER],0)),"")</f>
        <v/>
      </c>
      <c r="S137" s="22" t="str">
        <f>IFERROR(INDEX(TableRBCalcPts[BYE],MATCH(TableRBRanks3141[[#This Row],[RK]],TableRBCalcPts[RK],0)),"")</f>
        <v/>
      </c>
      <c r="T137" s="279">
        <f>VLOOKUP(TableRBRanks3141[[#This Row],[Player]],RB!B:O,4,FALSE)</f>
        <v>0</v>
      </c>
      <c r="U137" s="279">
        <f>VLOOKUP(TableRBRanks3141[[#This Row],[Player]],RB!B:O,5,FALSE)</f>
        <v>0</v>
      </c>
      <c r="V137" s="279">
        <f>VLOOKUP(TableRBRanks3141[[#This Row],[Player]],RB!B:O,6,FALSE)</f>
        <v>0</v>
      </c>
      <c r="W137" s="279">
        <f>VLOOKUP(TableRBRanks3141[[#This Row],[Player]],RB!B:O,7,FALSE)</f>
        <v>0</v>
      </c>
      <c r="X137" s="279">
        <f>VLOOKUP(TableRBRanks3141[[#This Row],[Player]],RB!B:O,8,FALSE)</f>
        <v>0</v>
      </c>
      <c r="Y137" s="279">
        <f>VLOOKUP(TableRBRanks3141[[#This Row],[Player]],RB!B:O,9,FALSE)</f>
        <v>0</v>
      </c>
      <c r="Z137" s="279">
        <f>VLOOKUP(TableRBRanks3141[[#This Row],[Player]],RB!B:O,10,FALSE)</f>
        <v>0</v>
      </c>
      <c r="AA137" s="272">
        <f>VLOOKUP(TableRBRanks3141[[#This Row],[Player]],RB!B:O,14,FALSE)</f>
        <v>0</v>
      </c>
      <c r="AB137" s="273" t="e">
        <f>IF(VLOOKUP(TableRBRanks3141[[#This Row],[RK]],'Ranks w Proj'!$P:$AB,13,FALSE)&lt;0,0,VLOOKUP(TableRBRanks3141[[#This Row],[RK]],'Ranks w Proj'!$P:$AB,13,FALSE))</f>
        <v>#VALUE!</v>
      </c>
      <c r="AD137" s="22">
        <v>136</v>
      </c>
      <c r="AE137" s="22" t="str">
        <f>VLOOKUP(TableWRRanks3242[[#This Row],[RK]],Rankings!A:Q,11,FALSE)</f>
        <v>Ray-Ray McCloud</v>
      </c>
      <c r="AF137" s="22" t="str">
        <f>IFERROR(INDEX(TableWRCalcPts[TM],MATCH(TableWRRanks3242[[#This Row],[Player]],TableWRCalcPts[PLAYER],0)),"")</f>
        <v>SF</v>
      </c>
      <c r="AG137" s="22">
        <f>IFERROR(INDEX(TableWRCalcPts[BYE],MATCH(TableWRRanks3242[[#This Row],[RK]],TableWRCalcPts[RK],0)),"")</f>
        <v>6</v>
      </c>
      <c r="AH137" s="279">
        <f>VLOOKUP(TableWRRanks3242[[#This Row],[Player]],WR!B:O,4,FALSE)</f>
        <v>0</v>
      </c>
      <c r="AI137" s="279">
        <f>VLOOKUP(TableWRRanks3242[[#This Row],[Player]],WR!B:O,5,FALSE)</f>
        <v>0</v>
      </c>
      <c r="AJ137" s="279">
        <f>VLOOKUP(TableWRRanks3242[[#This Row],[Player]],WR!B:O,6,FALSE)</f>
        <v>21.375734723144621</v>
      </c>
      <c r="AK137" s="279">
        <f>VLOOKUP(TableWRRanks3242[[#This Row],[Player]],WR!B:O,7,FALSE)</f>
        <v>13.201653765014118</v>
      </c>
      <c r="AL137" s="279">
        <f>VLOOKUP(TableWRRanks3242[[#This Row],[Player]],WR!B:O,8,FALSE)</f>
        <v>146.27432371635643</v>
      </c>
      <c r="AM137" s="279">
        <f>VLOOKUP(TableWRRanks3242[[#This Row],[Player]],WR!B:O,9,FALSE)</f>
        <v>0.49467373225376432</v>
      </c>
      <c r="AN137" s="272">
        <f>VLOOKUP(TableWRRanks3242[[#This Row],[Player]],WR!B:O,13,FALSE)</f>
        <v>17.59547476515823</v>
      </c>
      <c r="AO137" s="273">
        <f>IF(VLOOKUP(TableWRRanks3242[[#This Row],[RK]],'Ranks w Proj'!AD:AO,12,FALSE)&lt;0,0,VLOOKUP(TableWRRanks3242[[#This Row],[RK]],'Ranks w Proj'!AD:AO,12,FALSE))</f>
        <v>0</v>
      </c>
    </row>
    <row r="138" spans="16:41" x14ac:dyDescent="0.3">
      <c r="P138" s="22">
        <v>137</v>
      </c>
      <c r="Q138" s="22">
        <f>VLOOKUP(TableRBRanks3141[[#This Row],[RK]],Rankings!A:Q,7,FALSE)</f>
        <v>0</v>
      </c>
      <c r="R138" s="22" t="str">
        <f>IFERROR(INDEX(TableRBCalcPts[TM],MATCH(TableRBRanks3141[[#This Row],[Player]],TableRBCalcPts[PLAYER],0)),"")</f>
        <v/>
      </c>
      <c r="S138" s="22" t="str">
        <f>IFERROR(INDEX(TableRBCalcPts[BYE],MATCH(TableRBRanks3141[[#This Row],[RK]],TableRBCalcPts[RK],0)),"")</f>
        <v/>
      </c>
      <c r="T138" s="279">
        <f>VLOOKUP(TableRBRanks3141[[#This Row],[Player]],RB!B:O,4,FALSE)</f>
        <v>0</v>
      </c>
      <c r="U138" s="279">
        <f>VLOOKUP(TableRBRanks3141[[#This Row],[Player]],RB!B:O,5,FALSE)</f>
        <v>0</v>
      </c>
      <c r="V138" s="279">
        <f>VLOOKUP(TableRBRanks3141[[#This Row],[Player]],RB!B:O,6,FALSE)</f>
        <v>0</v>
      </c>
      <c r="W138" s="279">
        <f>VLOOKUP(TableRBRanks3141[[#This Row],[Player]],RB!B:O,7,FALSE)</f>
        <v>0</v>
      </c>
      <c r="X138" s="279">
        <f>VLOOKUP(TableRBRanks3141[[#This Row],[Player]],RB!B:O,8,FALSE)</f>
        <v>0</v>
      </c>
      <c r="Y138" s="279">
        <f>VLOOKUP(TableRBRanks3141[[#This Row],[Player]],RB!B:O,9,FALSE)</f>
        <v>0</v>
      </c>
      <c r="Z138" s="279">
        <f>VLOOKUP(TableRBRanks3141[[#This Row],[Player]],RB!B:O,10,FALSE)</f>
        <v>0</v>
      </c>
      <c r="AA138" s="272">
        <f>VLOOKUP(TableRBRanks3141[[#This Row],[Player]],RB!B:O,14,FALSE)</f>
        <v>0</v>
      </c>
      <c r="AB138" s="273" t="e">
        <f>IF(VLOOKUP(TableRBRanks3141[[#This Row],[RK]],'Ranks w Proj'!$P:$AB,13,FALSE)&lt;0,0,VLOOKUP(TableRBRanks3141[[#This Row],[RK]],'Ranks w Proj'!$P:$AB,13,FALSE))</f>
        <v>#VALUE!</v>
      </c>
      <c r="AD138" s="274">
        <v>137</v>
      </c>
      <c r="AE138" s="22" t="str">
        <f>VLOOKUP(TableWRRanks3242[[#This Row],[RK]],Rankings!A:Q,11,FALSE)</f>
        <v>Romeo Doubs</v>
      </c>
      <c r="AF138" s="22" t="str">
        <f>IFERROR(INDEX(TableWRCalcPts[TM],MATCH(TableWRRanks3242[[#This Row],[Player]],TableWRCalcPts[PLAYER],0)),"")</f>
        <v>GB</v>
      </c>
      <c r="AG138" s="22">
        <f>IFERROR(INDEX(TableWRCalcPts[BYE],MATCH(TableWRRanks3242[[#This Row],[RK]],TableWRCalcPts[RK],0)),"")</f>
        <v>14</v>
      </c>
      <c r="AH138" s="279">
        <f>VLOOKUP(TableWRRanks3242[[#This Row],[Player]],WR!B:O,4,FALSE)</f>
        <v>0</v>
      </c>
      <c r="AI138" s="279">
        <f>VLOOKUP(TableWRRanks3242[[#This Row],[Player]],WR!B:O,5,FALSE)</f>
        <v>0</v>
      </c>
      <c r="AJ138" s="279">
        <f>VLOOKUP(TableWRRanks3242[[#This Row],[Player]],WR!B:O,6,FALSE)</f>
        <v>17.775161699999991</v>
      </c>
      <c r="AK138" s="279">
        <f>VLOOKUP(TableWRRanks3242[[#This Row],[Player]],WR!B:O,7,FALSE)</f>
        <v>11.481073301038057</v>
      </c>
      <c r="AL138" s="279">
        <f>VLOOKUP(TableWRRanks3242[[#This Row],[Player]],WR!B:O,8,FALSE)</f>
        <v>147.41698118532864</v>
      </c>
      <c r="AM138" s="279">
        <f>VLOOKUP(TableWRRanks3242[[#This Row],[Player]],WR!B:O,9,FALSE)</f>
        <v>0.61505749826989586</v>
      </c>
      <c r="AN138" s="272">
        <f>VLOOKUP(TableWRRanks3242[[#This Row],[Player]],WR!B:O,13,FALSE)</f>
        <v>18.432043108152239</v>
      </c>
      <c r="AO138" s="273">
        <f>IF(VLOOKUP(TableWRRanks3242[[#This Row],[RK]],'Ranks w Proj'!AD:AO,12,FALSE)&lt;0,0,VLOOKUP(TableWRRanks3242[[#This Row],[RK]],'Ranks w Proj'!AD:AO,12,FALSE))</f>
        <v>0</v>
      </c>
    </row>
    <row r="139" spans="16:41" x14ac:dyDescent="0.3">
      <c r="P139" s="22">
        <v>138</v>
      </c>
      <c r="Q139" s="22">
        <f>VLOOKUP(TableRBRanks3141[[#This Row],[RK]],Rankings!A:Q,7,FALSE)</f>
        <v>0</v>
      </c>
      <c r="R139" s="22" t="str">
        <f>IFERROR(INDEX(TableRBCalcPts[TM],MATCH(TableRBRanks3141[[#This Row],[Player]],TableRBCalcPts[PLAYER],0)),"")</f>
        <v/>
      </c>
      <c r="S139" s="22" t="str">
        <f>IFERROR(INDEX(TableRBCalcPts[BYE],MATCH(TableRBRanks3141[[#This Row],[RK]],TableRBCalcPts[RK],0)),"")</f>
        <v/>
      </c>
      <c r="T139" s="279">
        <f>VLOOKUP(TableRBRanks3141[[#This Row],[Player]],RB!B:O,4,FALSE)</f>
        <v>0</v>
      </c>
      <c r="U139" s="279">
        <f>VLOOKUP(TableRBRanks3141[[#This Row],[Player]],RB!B:O,5,FALSE)</f>
        <v>0</v>
      </c>
      <c r="V139" s="279">
        <f>VLOOKUP(TableRBRanks3141[[#This Row],[Player]],RB!B:O,6,FALSE)</f>
        <v>0</v>
      </c>
      <c r="W139" s="279">
        <f>VLOOKUP(TableRBRanks3141[[#This Row],[Player]],RB!B:O,7,FALSE)</f>
        <v>0</v>
      </c>
      <c r="X139" s="279">
        <f>VLOOKUP(TableRBRanks3141[[#This Row],[Player]],RB!B:O,8,FALSE)</f>
        <v>0</v>
      </c>
      <c r="Y139" s="279">
        <f>VLOOKUP(TableRBRanks3141[[#This Row],[Player]],RB!B:O,9,FALSE)</f>
        <v>0</v>
      </c>
      <c r="Z139" s="279">
        <f>VLOOKUP(TableRBRanks3141[[#This Row],[Player]],RB!B:O,10,FALSE)</f>
        <v>0</v>
      </c>
      <c r="AA139" s="272">
        <f>VLOOKUP(TableRBRanks3141[[#This Row],[Player]],RB!B:O,14,FALSE)</f>
        <v>0</v>
      </c>
      <c r="AB139" s="273" t="e">
        <f>IF(VLOOKUP(TableRBRanks3141[[#This Row],[RK]],'Ranks w Proj'!$P:$AB,13,FALSE)&lt;0,0,VLOOKUP(TableRBRanks3141[[#This Row],[RK]],'Ranks w Proj'!$P:$AB,13,FALSE))</f>
        <v>#VALUE!</v>
      </c>
      <c r="AD139" s="22">
        <v>138</v>
      </c>
      <c r="AE139" s="274" t="str">
        <f>VLOOKUP(TableWRRanks3242[[#This Row],[RK]],Rankings!A:Q,11,FALSE)</f>
        <v>Richie James</v>
      </c>
      <c r="AF139" s="22" t="str">
        <f>IFERROR(INDEX(TableWRCalcPts[TM],MATCH(TableWRRanks3242[[#This Row],[Player]],TableWRCalcPts[PLAYER],0)),"")</f>
        <v>NYG</v>
      </c>
      <c r="AG139" s="22">
        <f>IFERROR(INDEX(TableWRCalcPts[BYE],MATCH(TableWRRanks3242[[#This Row],[RK]],TableWRCalcPts[RK],0)),"")</f>
        <v>9</v>
      </c>
      <c r="AH139" s="279">
        <f>VLOOKUP(TableWRRanks3242[[#This Row],[Player]],WR!B:O,4,FALSE)</f>
        <v>0</v>
      </c>
      <c r="AI139" s="279">
        <f>VLOOKUP(TableWRRanks3242[[#This Row],[Player]],WR!B:O,5,FALSE)</f>
        <v>0</v>
      </c>
      <c r="AJ139" s="279">
        <f>VLOOKUP(TableWRRanks3242[[#This Row],[Player]],WR!B:O,6,FALSE)</f>
        <v>17.540185107616306</v>
      </c>
      <c r="AK139" s="279">
        <f>VLOOKUP(TableWRRanks3242[[#This Row],[Player]],WR!B:O,7,FALSE)</f>
        <v>11.343237709095467</v>
      </c>
      <c r="AL139" s="279">
        <f>VLOOKUP(TableWRRanks3242[[#This Row],[Player]],WR!B:O,8,FALSE)</f>
        <v>143.09930648397358</v>
      </c>
      <c r="AM139" s="279">
        <f>VLOOKUP(TableWRRanks3242[[#This Row],[Player]],WR!B:O,9,FALSE)</f>
        <v>0.66925102483663257</v>
      </c>
      <c r="AN139" s="272">
        <f>VLOOKUP(TableWRRanks3242[[#This Row],[Player]],WR!B:O,13,FALSE)</f>
        <v>18.325436797417154</v>
      </c>
      <c r="AO139" s="273">
        <f>IF(VLOOKUP(TableWRRanks3242[[#This Row],[RK]],'Ranks w Proj'!AD:AO,12,FALSE)&lt;0,0,VLOOKUP(TableWRRanks3242[[#This Row],[RK]],'Ranks w Proj'!AD:AO,12,FALSE))</f>
        <v>0</v>
      </c>
    </row>
    <row r="140" spans="16:41" x14ac:dyDescent="0.3">
      <c r="P140" s="22">
        <v>139</v>
      </c>
      <c r="Q140" s="22">
        <f>VLOOKUP(TableRBRanks3141[[#This Row],[RK]],Rankings!A:Q,7,FALSE)</f>
        <v>0</v>
      </c>
      <c r="R140" s="22" t="str">
        <f>IFERROR(INDEX(TableRBCalcPts[TM],MATCH(TableRBRanks3141[[#This Row],[Player]],TableRBCalcPts[PLAYER],0)),"")</f>
        <v/>
      </c>
      <c r="S140" s="22" t="str">
        <f>IFERROR(INDEX(TableRBCalcPts[BYE],MATCH(TableRBRanks3141[[#This Row],[RK]],TableRBCalcPts[RK],0)),"")</f>
        <v/>
      </c>
      <c r="T140" s="279">
        <f>VLOOKUP(TableRBRanks3141[[#This Row],[Player]],RB!B:O,4,FALSE)</f>
        <v>0</v>
      </c>
      <c r="U140" s="279">
        <f>VLOOKUP(TableRBRanks3141[[#This Row],[Player]],RB!B:O,5,FALSE)</f>
        <v>0</v>
      </c>
      <c r="V140" s="279">
        <f>VLOOKUP(TableRBRanks3141[[#This Row],[Player]],RB!B:O,6,FALSE)</f>
        <v>0</v>
      </c>
      <c r="W140" s="279">
        <f>VLOOKUP(TableRBRanks3141[[#This Row],[Player]],RB!B:O,7,FALSE)</f>
        <v>0</v>
      </c>
      <c r="X140" s="279">
        <f>VLOOKUP(TableRBRanks3141[[#This Row],[Player]],RB!B:O,8,FALSE)</f>
        <v>0</v>
      </c>
      <c r="Y140" s="279">
        <f>VLOOKUP(TableRBRanks3141[[#This Row],[Player]],RB!B:O,9,FALSE)</f>
        <v>0</v>
      </c>
      <c r="Z140" s="279">
        <f>VLOOKUP(TableRBRanks3141[[#This Row],[Player]],RB!B:O,10,FALSE)</f>
        <v>0</v>
      </c>
      <c r="AA140" s="272">
        <f>VLOOKUP(TableRBRanks3141[[#This Row],[Player]],RB!B:O,14,FALSE)</f>
        <v>0</v>
      </c>
      <c r="AB140" s="273" t="e">
        <f>IF(VLOOKUP(TableRBRanks3141[[#This Row],[RK]],'Ranks w Proj'!$P:$AB,13,FALSE)&lt;0,0,VLOOKUP(TableRBRanks3141[[#This Row],[RK]],'Ranks w Proj'!$P:$AB,13,FALSE))</f>
        <v>#VALUE!</v>
      </c>
      <c r="AD140" s="22">
        <v>139</v>
      </c>
      <c r="AE140" s="274" t="str">
        <f>VLOOKUP(TableWRRanks3242[[#This Row],[RK]],Rankings!A:Q,11,FALSE)</f>
        <v>Danny Gray</v>
      </c>
      <c r="AF140" s="22" t="str">
        <f>IFERROR(INDEX(TableWRCalcPts[TM],MATCH(TableWRRanks3242[[#This Row],[Player]],TableWRCalcPts[PLAYER],0)),"")</f>
        <v>SF</v>
      </c>
      <c r="AG140" s="22">
        <f>IFERROR(INDEX(TableWRCalcPts[BYE],MATCH(TableWRRanks3242[[#This Row],[RK]],TableWRCalcPts[RK],0)),"")</f>
        <v>9</v>
      </c>
      <c r="AH140" s="279">
        <f>VLOOKUP(TableWRRanks3242[[#This Row],[Player]],WR!B:O,4,FALSE)</f>
        <v>0</v>
      </c>
      <c r="AI140" s="279">
        <f>VLOOKUP(TableWRRanks3242[[#This Row],[Player]],WR!B:O,5,FALSE)</f>
        <v>0</v>
      </c>
      <c r="AJ140" s="279">
        <f>VLOOKUP(TableWRRanks3242[[#This Row],[Player]],WR!B:O,6,FALSE)</f>
        <v>16.990968626089316</v>
      </c>
      <c r="AK140" s="279">
        <f>VLOOKUP(TableWRRanks3242[[#This Row],[Player]],WR!B:O,7,FALSE)</f>
        <v>9.9957868427283447</v>
      </c>
      <c r="AL140" s="279">
        <f>VLOOKUP(TableWRRanks3242[[#This Row],[Player]],WR!B:O,8,FALSE)</f>
        <v>116.96073006970452</v>
      </c>
      <c r="AM140" s="279">
        <f>VLOOKUP(TableWRRanks3242[[#This Row],[Player]],WR!B:O,9,FALSE)</f>
        <v>0.78634950529885139</v>
      </c>
      <c r="AN140" s="272">
        <f>VLOOKUP(TableWRRanks3242[[#This Row],[Player]],WR!B:O,13,FALSE)</f>
        <v>16.414170038763562</v>
      </c>
      <c r="AO140" s="273">
        <f>IF(VLOOKUP(TableWRRanks3242[[#This Row],[RK]],'Ranks w Proj'!AD:AO,12,FALSE)&lt;0,0,VLOOKUP(TableWRRanks3242[[#This Row],[RK]],'Ranks w Proj'!AD:AO,12,FALSE))</f>
        <v>0</v>
      </c>
    </row>
    <row r="141" spans="16:41" x14ac:dyDescent="0.3">
      <c r="P141" s="22">
        <v>140</v>
      </c>
      <c r="Q141" s="22">
        <f>VLOOKUP(TableRBRanks3141[[#This Row],[RK]],Rankings!A:Q,7,FALSE)</f>
        <v>0</v>
      </c>
      <c r="R141" s="22" t="str">
        <f>IFERROR(INDEX(TableRBCalcPts[TM],MATCH(TableRBRanks3141[[#This Row],[Player]],TableRBCalcPts[PLAYER],0)),"")</f>
        <v/>
      </c>
      <c r="S141" s="22" t="str">
        <f>IFERROR(INDEX(TableRBCalcPts[BYE],MATCH(TableRBRanks3141[[#This Row],[RK]],TableRBCalcPts[RK],0)),"")</f>
        <v/>
      </c>
      <c r="T141" s="279">
        <f>VLOOKUP(TableRBRanks3141[[#This Row],[Player]],RB!B:O,4,FALSE)</f>
        <v>0</v>
      </c>
      <c r="U141" s="279">
        <f>VLOOKUP(TableRBRanks3141[[#This Row],[Player]],RB!B:O,5,FALSE)</f>
        <v>0</v>
      </c>
      <c r="V141" s="279">
        <f>VLOOKUP(TableRBRanks3141[[#This Row],[Player]],RB!B:O,6,FALSE)</f>
        <v>0</v>
      </c>
      <c r="W141" s="279">
        <f>VLOOKUP(TableRBRanks3141[[#This Row],[Player]],RB!B:O,7,FALSE)</f>
        <v>0</v>
      </c>
      <c r="X141" s="279">
        <f>VLOOKUP(TableRBRanks3141[[#This Row],[Player]],RB!B:O,8,FALSE)</f>
        <v>0</v>
      </c>
      <c r="Y141" s="279">
        <f>VLOOKUP(TableRBRanks3141[[#This Row],[Player]],RB!B:O,9,FALSE)</f>
        <v>0</v>
      </c>
      <c r="Z141" s="279">
        <f>VLOOKUP(TableRBRanks3141[[#This Row],[Player]],RB!B:O,10,FALSE)</f>
        <v>0</v>
      </c>
      <c r="AA141" s="272">
        <f>VLOOKUP(TableRBRanks3141[[#This Row],[Player]],RB!B:O,14,FALSE)</f>
        <v>0</v>
      </c>
      <c r="AB141" s="273" t="e">
        <f>IF(VLOOKUP(TableRBRanks3141[[#This Row],[RK]],'Ranks w Proj'!$P:$AB,13,FALSE)&lt;0,0,VLOOKUP(TableRBRanks3141[[#This Row],[RK]],'Ranks w Proj'!$P:$AB,13,FALSE))</f>
        <v>#VALUE!</v>
      </c>
      <c r="AD141" s="274">
        <v>140</v>
      </c>
      <c r="AE141" s="274" t="str">
        <f>VLOOKUP(TableWRRanks3242[[#This Row],[RK]],Rankings!A:Q,11,FALSE)</f>
        <v>Mack Hollins</v>
      </c>
      <c r="AF141" s="22" t="str">
        <f>IFERROR(INDEX(TableWRCalcPts[TM],MATCH(TableWRRanks3242[[#This Row],[Player]],TableWRCalcPts[PLAYER],0)),"")</f>
        <v>LV</v>
      </c>
      <c r="AG141" s="22">
        <f>IFERROR(INDEX(TableWRCalcPts[BYE],MATCH(TableWRRanks3242[[#This Row],[RK]],TableWRCalcPts[RK],0)),"")</f>
        <v>7</v>
      </c>
      <c r="AH141" s="279">
        <f>VLOOKUP(TableWRRanks3242[[#This Row],[Player]],WR!B:O,4,FALSE)</f>
        <v>0</v>
      </c>
      <c r="AI141" s="279">
        <f>VLOOKUP(TableWRRanks3242[[#This Row],[Player]],WR!B:O,5,FALSE)</f>
        <v>0</v>
      </c>
      <c r="AJ141" s="279">
        <f>VLOOKUP(TableWRRanks3242[[#This Row],[Player]],WR!B:O,6,FALSE)</f>
        <v>16.379701259999994</v>
      </c>
      <c r="AK141" s="279">
        <f>VLOOKUP(TableWRRanks3242[[#This Row],[Player]],WR!B:O,7,FALSE)</f>
        <v>9.9408406946939962</v>
      </c>
      <c r="AL141" s="279">
        <f>VLOOKUP(TableWRRanks3242[[#This Row],[Player]],WR!B:O,8,FALSE)</f>
        <v>134.40016619226282</v>
      </c>
      <c r="AM141" s="279">
        <f>VLOOKUP(TableWRRanks3242[[#This Row],[Player]],WR!B:O,9,FALSE)</f>
        <v>0.90461650321715359</v>
      </c>
      <c r="AN141" s="272">
        <f>VLOOKUP(TableWRRanks3242[[#This Row],[Player]],WR!B:O,13,FALSE)</f>
        <v>18.867715638529205</v>
      </c>
      <c r="AO141" s="273">
        <f>IF(VLOOKUP(TableWRRanks3242[[#This Row],[RK]],'Ranks w Proj'!AD:AO,12,FALSE)&lt;0,0,VLOOKUP(TableWRRanks3242[[#This Row],[RK]],'Ranks w Proj'!AD:AO,12,FALSE))</f>
        <v>0</v>
      </c>
    </row>
    <row r="142" spans="16:41" x14ac:dyDescent="0.3">
      <c r="P142" s="22">
        <v>141</v>
      </c>
      <c r="Q142" s="22">
        <f>VLOOKUP(TableRBRanks3141[[#This Row],[RK]],Rankings!A:Q,7,FALSE)</f>
        <v>0</v>
      </c>
      <c r="R142" s="22" t="str">
        <f>IFERROR(INDEX(TableRBCalcPts[TM],MATCH(TableRBRanks3141[[#This Row],[Player]],TableRBCalcPts[PLAYER],0)),"")</f>
        <v/>
      </c>
      <c r="S142" s="22" t="str">
        <f>IFERROR(INDEX(TableRBCalcPts[BYE],MATCH(TableRBRanks3141[[#This Row],[RK]],TableRBCalcPts[RK],0)),"")</f>
        <v/>
      </c>
      <c r="T142" s="279">
        <f>VLOOKUP(TableRBRanks3141[[#This Row],[Player]],RB!B:O,4,FALSE)</f>
        <v>0</v>
      </c>
      <c r="U142" s="279">
        <f>VLOOKUP(TableRBRanks3141[[#This Row],[Player]],RB!B:O,5,FALSE)</f>
        <v>0</v>
      </c>
      <c r="V142" s="279">
        <f>VLOOKUP(TableRBRanks3141[[#This Row],[Player]],RB!B:O,6,FALSE)</f>
        <v>0</v>
      </c>
      <c r="W142" s="279">
        <f>VLOOKUP(TableRBRanks3141[[#This Row],[Player]],RB!B:O,7,FALSE)</f>
        <v>0</v>
      </c>
      <c r="X142" s="279">
        <f>VLOOKUP(TableRBRanks3141[[#This Row],[Player]],RB!B:O,8,FALSE)</f>
        <v>0</v>
      </c>
      <c r="Y142" s="279">
        <f>VLOOKUP(TableRBRanks3141[[#This Row],[Player]],RB!B:O,9,FALSE)</f>
        <v>0</v>
      </c>
      <c r="Z142" s="279">
        <f>VLOOKUP(TableRBRanks3141[[#This Row],[Player]],RB!B:O,10,FALSE)</f>
        <v>0</v>
      </c>
      <c r="AA142" s="272">
        <f>VLOOKUP(TableRBRanks3141[[#This Row],[Player]],RB!B:O,14,FALSE)</f>
        <v>0</v>
      </c>
      <c r="AB142" s="273" t="e">
        <f>IF(VLOOKUP(TableRBRanks3141[[#This Row],[RK]],'Ranks w Proj'!$P:$AB,13,FALSE)&lt;0,0,VLOOKUP(TableRBRanks3141[[#This Row],[RK]],'Ranks w Proj'!$P:$AB,13,FALSE))</f>
        <v>#VALUE!</v>
      </c>
      <c r="AD142" s="22">
        <v>141</v>
      </c>
      <c r="AE142" s="22" t="str">
        <f>VLOOKUP(TableWRRanks3242[[#This Row],[RK]],Rankings!A:Q,11,FALSE)</f>
        <v>Bisi Johnson</v>
      </c>
      <c r="AF142" s="22" t="str">
        <f>IFERROR(INDEX(TableWRCalcPts[TM],MATCH(TableWRRanks3242[[#This Row],[Player]],TableWRCalcPts[PLAYER],0)),"")</f>
        <v/>
      </c>
      <c r="AG142" s="22">
        <f>IFERROR(INDEX(TableWRCalcPts[BYE],MATCH(TableWRRanks3242[[#This Row],[RK]],TableWRCalcPts[RK],0)),"")</f>
        <v>7</v>
      </c>
      <c r="AH142" s="279" t="e">
        <f>VLOOKUP(TableWRRanks3242[[#This Row],[Player]],WR!B:O,4,FALSE)</f>
        <v>#N/A</v>
      </c>
      <c r="AI142" s="279" t="e">
        <f>VLOOKUP(TableWRRanks3242[[#This Row],[Player]],WR!B:O,5,FALSE)</f>
        <v>#N/A</v>
      </c>
      <c r="AJ142" s="279" t="e">
        <f>VLOOKUP(TableWRRanks3242[[#This Row],[Player]],WR!B:O,6,FALSE)</f>
        <v>#N/A</v>
      </c>
      <c r="AK142" s="279" t="e">
        <f>VLOOKUP(TableWRRanks3242[[#This Row],[Player]],WR!B:O,7,FALSE)</f>
        <v>#N/A</v>
      </c>
      <c r="AL142" s="279" t="e">
        <f>VLOOKUP(TableWRRanks3242[[#This Row],[Player]],WR!B:O,8,FALSE)</f>
        <v>#N/A</v>
      </c>
      <c r="AM142" s="279" t="e">
        <f>VLOOKUP(TableWRRanks3242[[#This Row],[Player]],WR!B:O,9,FALSE)</f>
        <v>#N/A</v>
      </c>
      <c r="AN142" s="272" t="e">
        <f>VLOOKUP(TableWRRanks3242[[#This Row],[Player]],WR!B:O,13,FALSE)</f>
        <v>#N/A</v>
      </c>
      <c r="AO142" s="273">
        <f>IF(VLOOKUP(TableWRRanks3242[[#This Row],[RK]],'Ranks w Proj'!AD:AO,12,FALSE)&lt;0,0,VLOOKUP(TableWRRanks3242[[#This Row],[RK]],'Ranks w Proj'!AD:AO,12,FALSE))</f>
        <v>0</v>
      </c>
    </row>
    <row r="143" spans="16:41" x14ac:dyDescent="0.3">
      <c r="P143" s="22">
        <v>142</v>
      </c>
      <c r="Q143" s="22">
        <f>VLOOKUP(TableRBRanks3141[[#This Row],[RK]],Rankings!A:Q,7,FALSE)</f>
        <v>0</v>
      </c>
      <c r="R143" s="22" t="str">
        <f>IFERROR(INDEX(TableRBCalcPts[TM],MATCH(TableRBRanks3141[[#This Row],[Player]],TableRBCalcPts[PLAYER],0)),"")</f>
        <v/>
      </c>
      <c r="S143" s="22" t="str">
        <f>IFERROR(INDEX(TableRBCalcPts[BYE],MATCH(TableRBRanks3141[[#This Row],[RK]],TableRBCalcPts[RK],0)),"")</f>
        <v/>
      </c>
      <c r="T143" s="279">
        <f>VLOOKUP(TableRBRanks3141[[#This Row],[Player]],RB!B:O,4,FALSE)</f>
        <v>0</v>
      </c>
      <c r="U143" s="279">
        <f>VLOOKUP(TableRBRanks3141[[#This Row],[Player]],RB!B:O,5,FALSE)</f>
        <v>0</v>
      </c>
      <c r="V143" s="279">
        <f>VLOOKUP(TableRBRanks3141[[#This Row],[Player]],RB!B:O,6,FALSE)</f>
        <v>0</v>
      </c>
      <c r="W143" s="279">
        <f>VLOOKUP(TableRBRanks3141[[#This Row],[Player]],RB!B:O,7,FALSE)</f>
        <v>0</v>
      </c>
      <c r="X143" s="279">
        <f>VLOOKUP(TableRBRanks3141[[#This Row],[Player]],RB!B:O,8,FALSE)</f>
        <v>0</v>
      </c>
      <c r="Y143" s="279">
        <f>VLOOKUP(TableRBRanks3141[[#This Row],[Player]],RB!B:O,9,FALSE)</f>
        <v>0</v>
      </c>
      <c r="Z143" s="279">
        <f>VLOOKUP(TableRBRanks3141[[#This Row],[Player]],RB!B:O,10,FALSE)</f>
        <v>0</v>
      </c>
      <c r="AA143" s="272">
        <f>VLOOKUP(TableRBRanks3141[[#This Row],[Player]],RB!B:O,14,FALSE)</f>
        <v>0</v>
      </c>
      <c r="AB143" s="273" t="e">
        <f>IF(VLOOKUP(TableRBRanks3141[[#This Row],[RK]],'Ranks w Proj'!$P:$AB,13,FALSE)&lt;0,0,VLOOKUP(TableRBRanks3141[[#This Row],[RK]],'Ranks w Proj'!$P:$AB,13,FALSE))</f>
        <v>#VALUE!</v>
      </c>
      <c r="AD143" s="22">
        <v>142</v>
      </c>
      <c r="AE143" s="274" t="str">
        <f>VLOOKUP(TableWRRanks3242[[#This Row],[RK]],Rankings!A:Q,11,FALSE)</f>
        <v>Khalil Shakir</v>
      </c>
      <c r="AF143" s="22" t="str">
        <f>IFERROR(INDEX(TableWRCalcPts[TM],MATCH(TableWRRanks3242[[#This Row],[Player]],TableWRCalcPts[PLAYER],0)),"")</f>
        <v>BUF</v>
      </c>
      <c r="AG143" s="22">
        <f>IFERROR(INDEX(TableWRCalcPts[BYE],MATCH(TableWRRanks3242[[#This Row],[RK]],TableWRCalcPts[RK],0)),"")</f>
        <v>6</v>
      </c>
      <c r="AH143" s="279">
        <f>VLOOKUP(TableWRRanks3242[[#This Row],[Player]],WR!B:O,4,FALSE)</f>
        <v>8.0369397139775973</v>
      </c>
      <c r="AI143" s="279">
        <f>VLOOKUP(TableWRRanks3242[[#This Row],[Player]],WR!B:O,5,FALSE)</f>
        <v>3.3348297568371772E-2</v>
      </c>
      <c r="AJ143" s="279">
        <f>VLOOKUP(TableWRRanks3242[[#This Row],[Player]],WR!B:O,6,FALSE)</f>
        <v>15.499165145637411</v>
      </c>
      <c r="AK143" s="279">
        <f>VLOOKUP(TableWRRanks3242[[#This Row],[Player]],WR!B:O,7,FALSE)</f>
        <v>11.142349823198735</v>
      </c>
      <c r="AL143" s="279">
        <f>VLOOKUP(TableWRRanks3242[[#This Row],[Player]],WR!B:O,8,FALSE)</f>
        <v>110.47376941416765</v>
      </c>
      <c r="AM143" s="279">
        <f>VLOOKUP(TableWRRanks3242[[#This Row],[Player]],WR!B:O,9,FALSE)</f>
        <v>0.77826689296363449</v>
      </c>
      <c r="AN143" s="272">
        <f>VLOOKUP(TableWRRanks3242[[#This Row],[Player]],WR!B:O,13,FALSE)</f>
        <v>16.720762056006564</v>
      </c>
      <c r="AO143" s="273">
        <f>IF(VLOOKUP(TableWRRanks3242[[#This Row],[RK]],'Ranks w Proj'!AD:AO,12,FALSE)&lt;0,0,VLOOKUP(TableWRRanks3242[[#This Row],[RK]],'Ranks w Proj'!AD:AO,12,FALSE))</f>
        <v>0</v>
      </c>
    </row>
    <row r="144" spans="16:41" x14ac:dyDescent="0.3">
      <c r="P144" s="22">
        <v>143</v>
      </c>
      <c r="Q144" s="22">
        <f>VLOOKUP(TableRBRanks3141[[#This Row],[RK]],Rankings!A:Q,7,FALSE)</f>
        <v>0</v>
      </c>
      <c r="R144" s="22" t="str">
        <f>IFERROR(INDEX(TableRBCalcPts[TM],MATCH(TableRBRanks3141[[#This Row],[Player]],TableRBCalcPts[PLAYER],0)),"")</f>
        <v/>
      </c>
      <c r="S144" s="22" t="str">
        <f>IFERROR(INDEX(TableRBCalcPts[BYE],MATCH(TableRBRanks3141[[#This Row],[RK]],TableRBCalcPts[RK],0)),"")</f>
        <v/>
      </c>
      <c r="T144" s="279">
        <f>VLOOKUP(TableRBRanks3141[[#This Row],[Player]],RB!B:O,4,FALSE)</f>
        <v>0</v>
      </c>
      <c r="U144" s="279">
        <f>VLOOKUP(TableRBRanks3141[[#This Row],[Player]],RB!B:O,5,FALSE)</f>
        <v>0</v>
      </c>
      <c r="V144" s="279">
        <f>VLOOKUP(TableRBRanks3141[[#This Row],[Player]],RB!B:O,6,FALSE)</f>
        <v>0</v>
      </c>
      <c r="W144" s="279">
        <f>VLOOKUP(TableRBRanks3141[[#This Row],[Player]],RB!B:O,7,FALSE)</f>
        <v>0</v>
      </c>
      <c r="X144" s="279">
        <f>VLOOKUP(TableRBRanks3141[[#This Row],[Player]],RB!B:O,8,FALSE)</f>
        <v>0</v>
      </c>
      <c r="Y144" s="279">
        <f>VLOOKUP(TableRBRanks3141[[#This Row],[Player]],RB!B:O,9,FALSE)</f>
        <v>0</v>
      </c>
      <c r="Z144" s="279">
        <f>VLOOKUP(TableRBRanks3141[[#This Row],[Player]],RB!B:O,10,FALSE)</f>
        <v>0</v>
      </c>
      <c r="AA144" s="272">
        <f>VLOOKUP(TableRBRanks3141[[#This Row],[Player]],RB!B:O,14,FALSE)</f>
        <v>0</v>
      </c>
      <c r="AB144" s="273" t="e">
        <f>IF(VLOOKUP(TableRBRanks3141[[#This Row],[RK]],'Ranks w Proj'!$P:$AB,13,FALSE)&lt;0,0,VLOOKUP(TableRBRanks3141[[#This Row],[RK]],'Ranks w Proj'!$P:$AB,13,FALSE))</f>
        <v>#VALUE!</v>
      </c>
      <c r="AD144" s="274">
        <v>143</v>
      </c>
      <c r="AE144" s="22" t="str">
        <f>VLOOKUP(TableWRRanks3242[[#This Row],[RK]],Rankings!A:Q,11,FALSE)</f>
        <v>Tutu Atwell</v>
      </c>
      <c r="AF144" s="22" t="str">
        <f>IFERROR(INDEX(TableWRCalcPts[TM],MATCH(TableWRRanks3242[[#This Row],[Player]],TableWRCalcPts[PLAYER],0)),"")</f>
        <v>LAR</v>
      </c>
      <c r="AG144" s="22">
        <f>IFERROR(INDEX(TableWRCalcPts[BYE],MATCH(TableWRRanks3242[[#This Row],[RK]],TableWRCalcPts[RK],0)),"")</f>
        <v>7</v>
      </c>
      <c r="AH144" s="279">
        <f>VLOOKUP(TableWRRanks3242[[#This Row],[Player]],WR!B:O,4,FALSE)</f>
        <v>0</v>
      </c>
      <c r="AI144" s="279">
        <f>VLOOKUP(TableWRRanks3242[[#This Row],[Player]],WR!B:O,5,FALSE)</f>
        <v>0</v>
      </c>
      <c r="AJ144" s="279">
        <f>VLOOKUP(TableWRRanks3242[[#This Row],[Player]],WR!B:O,6,FALSE)</f>
        <v>17.727551145095806</v>
      </c>
      <c r="AK144" s="279">
        <f>VLOOKUP(TableWRRanks3242[[#This Row],[Player]],WR!B:O,7,FALSE)</f>
        <v>9.7324255786575975</v>
      </c>
      <c r="AL144" s="279">
        <f>VLOOKUP(TableWRRanks3242[[#This Row],[Player]],WR!B:O,8,FALSE)</f>
        <v>120.13106978258229</v>
      </c>
      <c r="AM144" s="279">
        <f>VLOOKUP(TableWRRanks3242[[#This Row],[Player]],WR!B:O,9,FALSE)</f>
        <v>0.89968890158927806</v>
      </c>
      <c r="AN144" s="272">
        <f>VLOOKUP(TableWRRanks3242[[#This Row],[Player]],WR!B:O,13,FALSE)</f>
        <v>17.411240387793896</v>
      </c>
      <c r="AO144" s="273">
        <f>IF(VLOOKUP(TableWRRanks3242[[#This Row],[RK]],'Ranks w Proj'!AD:AO,12,FALSE)&lt;0,0,VLOOKUP(TableWRRanks3242[[#This Row],[RK]],'Ranks w Proj'!AD:AO,12,FALSE))</f>
        <v>0</v>
      </c>
    </row>
    <row r="145" spans="16:41" x14ac:dyDescent="0.3">
      <c r="P145" s="22">
        <v>144</v>
      </c>
      <c r="Q145" s="22">
        <f>VLOOKUP(TableRBRanks3141[[#This Row],[RK]],Rankings!A:Q,7,FALSE)</f>
        <v>0</v>
      </c>
      <c r="R145" s="22" t="str">
        <f>IFERROR(INDEX(TableRBCalcPts[TM],MATCH(TableRBRanks3141[[#This Row],[Player]],TableRBCalcPts[PLAYER],0)),"")</f>
        <v/>
      </c>
      <c r="S145" s="22" t="str">
        <f>IFERROR(INDEX(TableRBCalcPts[BYE],MATCH(TableRBRanks3141[[#This Row],[RK]],TableRBCalcPts[RK],0)),"")</f>
        <v/>
      </c>
      <c r="T145" s="279">
        <f>VLOOKUP(TableRBRanks3141[[#This Row],[Player]],RB!B:O,4,FALSE)</f>
        <v>0</v>
      </c>
      <c r="U145" s="279">
        <f>VLOOKUP(TableRBRanks3141[[#This Row],[Player]],RB!B:O,5,FALSE)</f>
        <v>0</v>
      </c>
      <c r="V145" s="279">
        <f>VLOOKUP(TableRBRanks3141[[#This Row],[Player]],RB!B:O,6,FALSE)</f>
        <v>0</v>
      </c>
      <c r="W145" s="279">
        <f>VLOOKUP(TableRBRanks3141[[#This Row],[Player]],RB!B:O,7,FALSE)</f>
        <v>0</v>
      </c>
      <c r="X145" s="279">
        <f>VLOOKUP(TableRBRanks3141[[#This Row],[Player]],RB!B:O,8,FALSE)</f>
        <v>0</v>
      </c>
      <c r="Y145" s="279">
        <f>VLOOKUP(TableRBRanks3141[[#This Row],[Player]],RB!B:O,9,FALSE)</f>
        <v>0</v>
      </c>
      <c r="Z145" s="279">
        <f>VLOOKUP(TableRBRanks3141[[#This Row],[Player]],RB!B:O,10,FALSE)</f>
        <v>0</v>
      </c>
      <c r="AA145" s="272">
        <f>VLOOKUP(TableRBRanks3141[[#This Row],[Player]],RB!B:O,14,FALSE)</f>
        <v>0</v>
      </c>
      <c r="AB145" s="273" t="e">
        <f>IF(VLOOKUP(TableRBRanks3141[[#This Row],[RK]],'Ranks w Proj'!$P:$AB,13,FALSE)&lt;0,0,VLOOKUP(TableRBRanks3141[[#This Row],[RK]],'Ranks w Proj'!$P:$AB,13,FALSE))</f>
        <v>#VALUE!</v>
      </c>
      <c r="AD145" s="22">
        <v>144</v>
      </c>
      <c r="AE145" s="274" t="str">
        <f>VLOOKUP(TableWRRanks3242[[#This Row],[RK]],Rankings!A:Q,11,FALSE)</f>
        <v>Racey McMath</v>
      </c>
      <c r="AF145" s="22" t="str">
        <f>IFERROR(INDEX(TableWRCalcPts[TM],MATCH(TableWRRanks3242[[#This Row],[Player]],TableWRCalcPts[PLAYER],0)),"")</f>
        <v>TEN</v>
      </c>
      <c r="AG145" s="22">
        <f>IFERROR(INDEX(TableWRCalcPts[BYE],MATCH(TableWRRanks3242[[#This Row],[RK]],TableWRCalcPts[RK],0)),"")</f>
        <v>9</v>
      </c>
      <c r="AH145" s="279">
        <f>VLOOKUP(TableWRRanks3242[[#This Row],[Player]],WR!B:O,4,FALSE)</f>
        <v>0</v>
      </c>
      <c r="AI145" s="279">
        <f>VLOOKUP(TableWRRanks3242[[#This Row],[Player]],WR!B:O,5,FALSE)</f>
        <v>0</v>
      </c>
      <c r="AJ145" s="279">
        <f>VLOOKUP(TableWRRanks3242[[#This Row],[Player]],WR!B:O,6,FALSE)</f>
        <v>15.457119263704227</v>
      </c>
      <c r="AK145" s="279">
        <f>VLOOKUP(TableWRRanks3242[[#This Row],[Player]],WR!B:O,7,FALSE)</f>
        <v>10.037853249849524</v>
      </c>
      <c r="AL145" s="279">
        <f>VLOOKUP(TableWRRanks3242[[#This Row],[Player]],WR!B:O,8,FALSE)</f>
        <v>130.24532835565168</v>
      </c>
      <c r="AM145" s="279">
        <f>VLOOKUP(TableWRRanks3242[[#This Row],[Player]],WR!B:O,9,FALSE)</f>
        <v>0.69707314235066142</v>
      </c>
      <c r="AN145" s="272">
        <f>VLOOKUP(TableWRRanks3242[[#This Row],[Player]],WR!B:O,13,FALSE)</f>
        <v>17.206971689669135</v>
      </c>
      <c r="AO145" s="273">
        <f>IF(VLOOKUP(TableWRRanks3242[[#This Row],[RK]],'Ranks w Proj'!AD:AO,12,FALSE)&lt;0,0,VLOOKUP(TableWRRanks3242[[#This Row],[RK]],'Ranks w Proj'!AD:AO,12,FALSE))</f>
        <v>0</v>
      </c>
    </row>
    <row r="146" spans="16:41" x14ac:dyDescent="0.3">
      <c r="P146" s="22">
        <v>145</v>
      </c>
      <c r="Q146" s="22">
        <f>VLOOKUP(TableRBRanks3141[[#This Row],[RK]],Rankings!A:Q,7,FALSE)</f>
        <v>0</v>
      </c>
      <c r="R146" s="22" t="str">
        <f>IFERROR(INDEX(TableRBCalcPts[TM],MATCH(TableRBRanks3141[[#This Row],[Player]],TableRBCalcPts[PLAYER],0)),"")</f>
        <v/>
      </c>
      <c r="S146" s="22" t="str">
        <f>IFERROR(INDEX(TableRBCalcPts[BYE],MATCH(TableRBRanks3141[[#This Row],[RK]],TableRBCalcPts[RK],0)),"")</f>
        <v/>
      </c>
      <c r="T146" s="279">
        <f>VLOOKUP(TableRBRanks3141[[#This Row],[Player]],RB!B:O,4,FALSE)</f>
        <v>0</v>
      </c>
      <c r="U146" s="279">
        <f>VLOOKUP(TableRBRanks3141[[#This Row],[Player]],RB!B:O,5,FALSE)</f>
        <v>0</v>
      </c>
      <c r="V146" s="279">
        <f>VLOOKUP(TableRBRanks3141[[#This Row],[Player]],RB!B:O,6,FALSE)</f>
        <v>0</v>
      </c>
      <c r="W146" s="279">
        <f>VLOOKUP(TableRBRanks3141[[#This Row],[Player]],RB!B:O,7,FALSE)</f>
        <v>0</v>
      </c>
      <c r="X146" s="279">
        <f>VLOOKUP(TableRBRanks3141[[#This Row],[Player]],RB!B:O,8,FALSE)</f>
        <v>0</v>
      </c>
      <c r="Y146" s="279">
        <f>VLOOKUP(TableRBRanks3141[[#This Row],[Player]],RB!B:O,9,FALSE)</f>
        <v>0</v>
      </c>
      <c r="Z146" s="279">
        <f>VLOOKUP(TableRBRanks3141[[#This Row],[Player]],RB!B:O,10,FALSE)</f>
        <v>0</v>
      </c>
      <c r="AA146" s="272">
        <f>VLOOKUP(TableRBRanks3141[[#This Row],[Player]],RB!B:O,14,FALSE)</f>
        <v>0</v>
      </c>
      <c r="AB146" s="273" t="e">
        <f>IF(VLOOKUP(TableRBRanks3141[[#This Row],[RK]],'Ranks w Proj'!$P:$AB,13,FALSE)&lt;0,0,VLOOKUP(TableRBRanks3141[[#This Row],[RK]],'Ranks w Proj'!$P:$AB,13,FALSE))</f>
        <v>#VALUE!</v>
      </c>
      <c r="AD146" s="22">
        <v>145</v>
      </c>
      <c r="AE146" s="274" t="str">
        <f>VLOOKUP(TableWRRanks3242[[#This Row],[RK]],Rankings!A:Q,11,FALSE)</f>
        <v>Dez Fitzpatrick</v>
      </c>
      <c r="AF146" s="22" t="str">
        <f>IFERROR(INDEX(TableWRCalcPts[TM],MATCH(TableWRRanks3242[[#This Row],[Player]],TableWRCalcPts[PLAYER],0)),"")</f>
        <v>TEN</v>
      </c>
      <c r="AG146" s="22">
        <f>IFERROR(INDEX(TableWRCalcPts[BYE],MATCH(TableWRRanks3242[[#This Row],[RK]],TableWRCalcPts[RK],0)),"")</f>
        <v>6</v>
      </c>
      <c r="AH146" s="279">
        <f>VLOOKUP(TableWRRanks3242[[#This Row],[Player]],WR!B:O,4,FALSE)</f>
        <v>0</v>
      </c>
      <c r="AI146" s="279">
        <f>VLOOKUP(TableWRRanks3242[[#This Row],[Player]],WR!B:O,5,FALSE)</f>
        <v>0</v>
      </c>
      <c r="AJ146" s="279">
        <f>VLOOKUP(TableWRRanks3242[[#This Row],[Player]],WR!B:O,6,FALSE)</f>
        <v>16.00915923740795</v>
      </c>
      <c r="AK146" s="279">
        <f>VLOOKUP(TableWRRanks3242[[#This Row],[Player]],WR!B:O,7,FALSE)</f>
        <v>10.38834342915402</v>
      </c>
      <c r="AL146" s="279">
        <f>VLOOKUP(TableWRRanks3242[[#This Row],[Player]],WR!B:O,8,FALSE)</f>
        <v>122.24440500993597</v>
      </c>
      <c r="AM146" s="279">
        <f>VLOOKUP(TableWRRanks3242[[#This Row],[Player]],WR!B:O,9,FALSE)</f>
        <v>0.69457048301099988</v>
      </c>
      <c r="AN146" s="272">
        <f>VLOOKUP(TableWRRanks3242[[#This Row],[Player]],WR!B:O,13,FALSE)</f>
        <v>16.391863399059599</v>
      </c>
      <c r="AO146" s="273">
        <f>IF(VLOOKUP(TableWRRanks3242[[#This Row],[RK]],'Ranks w Proj'!AD:AO,12,FALSE)&lt;0,0,VLOOKUP(TableWRRanks3242[[#This Row],[RK]],'Ranks w Proj'!AD:AO,12,FALSE))</f>
        <v>0</v>
      </c>
    </row>
    <row r="147" spans="16:41" x14ac:dyDescent="0.3">
      <c r="P147" s="22">
        <v>146</v>
      </c>
      <c r="Q147" s="22">
        <f>VLOOKUP(TableRBRanks3141[[#This Row],[RK]],Rankings!A:Q,7,FALSE)</f>
        <v>0</v>
      </c>
      <c r="R147" s="22" t="str">
        <f>IFERROR(INDEX(TableRBCalcPts[TM],MATCH(TableRBRanks3141[[#This Row],[Player]],TableRBCalcPts[PLAYER],0)),"")</f>
        <v/>
      </c>
      <c r="S147" s="22" t="str">
        <f>IFERROR(INDEX(TableRBCalcPts[BYE],MATCH(TableRBRanks3141[[#This Row],[RK]],TableRBCalcPts[RK],0)),"")</f>
        <v/>
      </c>
      <c r="T147" s="279">
        <f>VLOOKUP(TableRBRanks3141[[#This Row],[Player]],RB!B:O,4,FALSE)</f>
        <v>0</v>
      </c>
      <c r="U147" s="279">
        <f>VLOOKUP(TableRBRanks3141[[#This Row],[Player]],RB!B:O,5,FALSE)</f>
        <v>0</v>
      </c>
      <c r="V147" s="279">
        <f>VLOOKUP(TableRBRanks3141[[#This Row],[Player]],RB!B:O,6,FALSE)</f>
        <v>0</v>
      </c>
      <c r="W147" s="279">
        <f>VLOOKUP(TableRBRanks3141[[#This Row],[Player]],RB!B:O,7,FALSE)</f>
        <v>0</v>
      </c>
      <c r="X147" s="279">
        <f>VLOOKUP(TableRBRanks3141[[#This Row],[Player]],RB!B:O,8,FALSE)</f>
        <v>0</v>
      </c>
      <c r="Y147" s="279">
        <f>VLOOKUP(TableRBRanks3141[[#This Row],[Player]],RB!B:O,9,FALSE)</f>
        <v>0</v>
      </c>
      <c r="Z147" s="279">
        <f>VLOOKUP(TableRBRanks3141[[#This Row],[Player]],RB!B:O,10,FALSE)</f>
        <v>0</v>
      </c>
      <c r="AA147" s="272">
        <f>VLOOKUP(TableRBRanks3141[[#This Row],[Player]],RB!B:O,14,FALSE)</f>
        <v>0</v>
      </c>
      <c r="AB147" s="273" t="e">
        <f>IF(VLOOKUP(TableRBRanks3141[[#This Row],[RK]],'Ranks w Proj'!$P:$AB,13,FALSE)&lt;0,0,VLOOKUP(TableRBRanks3141[[#This Row],[RK]],'Ranks w Proj'!$P:$AB,13,FALSE))</f>
        <v>#VALUE!</v>
      </c>
      <c r="AD147" s="274">
        <v>146</v>
      </c>
      <c r="AE147" s="274" t="str">
        <f>VLOOKUP(TableWRRanks3242[[#This Row],[RK]],Rankings!A:Q,11,FALSE)</f>
        <v>Deonte Harris</v>
      </c>
      <c r="AF147" s="22" t="str">
        <f>IFERROR(INDEX(TableWRCalcPts[TM],MATCH(TableWRRanks3242[[#This Row],[Player]],TableWRCalcPts[PLAYER],0)),"")</f>
        <v/>
      </c>
      <c r="AG147" s="22">
        <f>IFERROR(INDEX(TableWRCalcPts[BYE],MATCH(TableWRRanks3242[[#This Row],[RK]],TableWRCalcPts[RK],0)),"")</f>
        <v>14</v>
      </c>
      <c r="AH147" s="279" t="e">
        <f>VLOOKUP(TableWRRanks3242[[#This Row],[Player]],WR!B:O,4,FALSE)</f>
        <v>#N/A</v>
      </c>
      <c r="AI147" s="279" t="e">
        <f>VLOOKUP(TableWRRanks3242[[#This Row],[Player]],WR!B:O,5,FALSE)</f>
        <v>#N/A</v>
      </c>
      <c r="AJ147" s="279" t="e">
        <f>VLOOKUP(TableWRRanks3242[[#This Row],[Player]],WR!B:O,6,FALSE)</f>
        <v>#N/A</v>
      </c>
      <c r="AK147" s="279" t="e">
        <f>VLOOKUP(TableWRRanks3242[[#This Row],[Player]],WR!B:O,7,FALSE)</f>
        <v>#N/A</v>
      </c>
      <c r="AL147" s="279" t="e">
        <f>VLOOKUP(TableWRRanks3242[[#This Row],[Player]],WR!B:O,8,FALSE)</f>
        <v>#N/A</v>
      </c>
      <c r="AM147" s="279" t="e">
        <f>VLOOKUP(TableWRRanks3242[[#This Row],[Player]],WR!B:O,9,FALSE)</f>
        <v>#N/A</v>
      </c>
      <c r="AN147" s="272" t="e">
        <f>VLOOKUP(TableWRRanks3242[[#This Row],[Player]],WR!B:O,13,FALSE)</f>
        <v>#N/A</v>
      </c>
      <c r="AO147" s="273">
        <f>IF(VLOOKUP(TableWRRanks3242[[#This Row],[RK]],'Ranks w Proj'!AD:AO,12,FALSE)&lt;0,0,VLOOKUP(TableWRRanks3242[[#This Row],[RK]],'Ranks w Proj'!AD:AO,12,FALSE))</f>
        <v>0</v>
      </c>
    </row>
    <row r="148" spans="16:41" x14ac:dyDescent="0.3">
      <c r="P148" s="22">
        <v>147</v>
      </c>
      <c r="Q148" s="22">
        <f>VLOOKUP(TableRBRanks3141[[#This Row],[RK]],Rankings!A:Q,7,FALSE)</f>
        <v>0</v>
      </c>
      <c r="R148" s="22" t="str">
        <f>IFERROR(INDEX(TableRBCalcPts[TM],MATCH(TableRBRanks3141[[#This Row],[Player]],TableRBCalcPts[PLAYER],0)),"")</f>
        <v/>
      </c>
      <c r="S148" s="22" t="str">
        <f>IFERROR(INDEX(TableRBCalcPts[BYE],MATCH(TableRBRanks3141[[#This Row],[RK]],TableRBCalcPts[RK],0)),"")</f>
        <v/>
      </c>
      <c r="T148" s="279">
        <f>VLOOKUP(TableRBRanks3141[[#This Row],[Player]],RB!B:O,4,FALSE)</f>
        <v>0</v>
      </c>
      <c r="U148" s="279">
        <f>VLOOKUP(TableRBRanks3141[[#This Row],[Player]],RB!B:O,5,FALSE)</f>
        <v>0</v>
      </c>
      <c r="V148" s="279">
        <f>VLOOKUP(TableRBRanks3141[[#This Row],[Player]],RB!B:O,6,FALSE)</f>
        <v>0</v>
      </c>
      <c r="W148" s="279">
        <f>VLOOKUP(TableRBRanks3141[[#This Row],[Player]],RB!B:O,7,FALSE)</f>
        <v>0</v>
      </c>
      <c r="X148" s="279">
        <f>VLOOKUP(TableRBRanks3141[[#This Row],[Player]],RB!B:O,8,FALSE)</f>
        <v>0</v>
      </c>
      <c r="Y148" s="279">
        <f>VLOOKUP(TableRBRanks3141[[#This Row],[Player]],RB!B:O,9,FALSE)</f>
        <v>0</v>
      </c>
      <c r="Z148" s="279">
        <f>VLOOKUP(TableRBRanks3141[[#This Row],[Player]],RB!B:O,10,FALSE)</f>
        <v>0</v>
      </c>
      <c r="AA148" s="272">
        <f>VLOOKUP(TableRBRanks3141[[#This Row],[Player]],RB!B:O,14,FALSE)</f>
        <v>0</v>
      </c>
      <c r="AB148" s="273" t="e">
        <f>IF(VLOOKUP(TableRBRanks3141[[#This Row],[RK]],'Ranks w Proj'!$P:$AB,13,FALSE)&lt;0,0,VLOOKUP(TableRBRanks3141[[#This Row],[RK]],'Ranks w Proj'!$P:$AB,13,FALSE))</f>
        <v>#VALUE!</v>
      </c>
      <c r="AD148" s="22">
        <v>147</v>
      </c>
      <c r="AE148" s="274" t="str">
        <f>VLOOKUP(TableWRRanks3242[[#This Row],[RK]],Rankings!A:Q,11,FALSE)</f>
        <v>Andy Isabella</v>
      </c>
      <c r="AF148" s="22" t="str">
        <f>IFERROR(INDEX(TableWRCalcPts[TM],MATCH(TableWRRanks3242[[#This Row],[Player]],TableWRCalcPts[PLAYER],0)),"")</f>
        <v>ARI</v>
      </c>
      <c r="AG148" s="22">
        <f>IFERROR(INDEX(TableWRCalcPts[BYE],MATCH(TableWRRanks3242[[#This Row],[RK]],TableWRCalcPts[RK],0)),"")</f>
        <v>10</v>
      </c>
      <c r="AH148" s="279">
        <f>VLOOKUP(TableWRRanks3242[[#This Row],[Player]],WR!B:O,4,FALSE)</f>
        <v>0</v>
      </c>
      <c r="AI148" s="279">
        <f>VLOOKUP(TableWRRanks3242[[#This Row],[Player]],WR!B:O,5,FALSE)</f>
        <v>0</v>
      </c>
      <c r="AJ148" s="279">
        <f>VLOOKUP(TableWRRanks3242[[#This Row],[Player]],WR!B:O,6,FALSE)</f>
        <v>16.213331029999999</v>
      </c>
      <c r="AK148" s="279">
        <f>VLOOKUP(TableWRRanks3242[[#This Row],[Player]],WR!B:O,7,FALSE)</f>
        <v>10.342058331428571</v>
      </c>
      <c r="AL148" s="279">
        <f>VLOOKUP(TableWRRanks3242[[#This Row],[Player]],WR!B:O,8,FALSE)</f>
        <v>132.17150547565714</v>
      </c>
      <c r="AM148" s="279">
        <f>VLOOKUP(TableWRRanks3242[[#This Row],[Player]],WR!B:O,9,FALSE)</f>
        <v>0.21545954857142852</v>
      </c>
      <c r="AN148" s="272">
        <f>VLOOKUP(TableWRRanks3242[[#This Row],[Player]],WR!B:O,13,FALSE)</f>
        <v>14.509907838994287</v>
      </c>
      <c r="AO148" s="273">
        <f>IF(VLOOKUP(TableWRRanks3242[[#This Row],[RK]],'Ranks w Proj'!AD:AO,12,FALSE)&lt;0,0,VLOOKUP(TableWRRanks3242[[#This Row],[RK]],'Ranks w Proj'!AD:AO,12,FALSE))</f>
        <v>0</v>
      </c>
    </row>
    <row r="149" spans="16:41" x14ac:dyDescent="0.3">
      <c r="P149" s="22">
        <v>148</v>
      </c>
      <c r="Q149" s="22">
        <f>VLOOKUP(TableRBRanks3141[[#This Row],[RK]],Rankings!A:Q,7,FALSE)</f>
        <v>0</v>
      </c>
      <c r="R149" s="22" t="str">
        <f>IFERROR(INDEX(TableRBCalcPts[TM],MATCH(TableRBRanks3141[[#This Row],[Player]],TableRBCalcPts[PLAYER],0)),"")</f>
        <v/>
      </c>
      <c r="S149" s="22" t="str">
        <f>IFERROR(INDEX(TableRBCalcPts[BYE],MATCH(TableRBRanks3141[[#This Row],[RK]],TableRBCalcPts[RK],0)),"")</f>
        <v/>
      </c>
      <c r="T149" s="279">
        <f>VLOOKUP(TableRBRanks3141[[#This Row],[Player]],RB!B:O,4,FALSE)</f>
        <v>0</v>
      </c>
      <c r="U149" s="279">
        <f>VLOOKUP(TableRBRanks3141[[#This Row],[Player]],RB!B:O,5,FALSE)</f>
        <v>0</v>
      </c>
      <c r="V149" s="279">
        <f>VLOOKUP(TableRBRanks3141[[#This Row],[Player]],RB!B:O,6,FALSE)</f>
        <v>0</v>
      </c>
      <c r="W149" s="279">
        <f>VLOOKUP(TableRBRanks3141[[#This Row],[Player]],RB!B:O,7,FALSE)</f>
        <v>0</v>
      </c>
      <c r="X149" s="279">
        <f>VLOOKUP(TableRBRanks3141[[#This Row],[Player]],RB!B:O,8,FALSE)</f>
        <v>0</v>
      </c>
      <c r="Y149" s="279">
        <f>VLOOKUP(TableRBRanks3141[[#This Row],[Player]],RB!B:O,9,FALSE)</f>
        <v>0</v>
      </c>
      <c r="Z149" s="279">
        <f>VLOOKUP(TableRBRanks3141[[#This Row],[Player]],RB!B:O,10,FALSE)</f>
        <v>0</v>
      </c>
      <c r="AA149" s="272">
        <f>VLOOKUP(TableRBRanks3141[[#This Row],[Player]],RB!B:O,14,FALSE)</f>
        <v>0</v>
      </c>
      <c r="AB149" s="273" t="e">
        <f>IF(VLOOKUP(TableRBRanks3141[[#This Row],[RK]],'Ranks w Proj'!$P:$AB,13,FALSE)&lt;0,0,VLOOKUP(TableRBRanks3141[[#This Row],[RK]],'Ranks w Proj'!$P:$AB,13,FALSE))</f>
        <v>#VALUE!</v>
      </c>
      <c r="AD149" s="22">
        <v>148</v>
      </c>
      <c r="AE149" s="22" t="str">
        <f>VLOOKUP(TableWRRanks3242[[#This Row],[RK]],Rankings!A:Q,11,FALSE)</f>
        <v>Kyle Philips</v>
      </c>
      <c r="AF149" s="22" t="str">
        <f>IFERROR(INDEX(TableWRCalcPts[TM],MATCH(TableWRRanks3242[[#This Row],[Player]],TableWRCalcPts[PLAYER],0)),"")</f>
        <v>TEN</v>
      </c>
      <c r="AG149" s="22">
        <f>IFERROR(INDEX(TableWRCalcPts[BYE],MATCH(TableWRRanks3242[[#This Row],[RK]],TableWRCalcPts[RK],0)),"")</f>
        <v>6</v>
      </c>
      <c r="AH149" s="279">
        <f>VLOOKUP(TableWRRanks3242[[#This Row],[Player]],WR!B:O,4,FALSE)</f>
        <v>0</v>
      </c>
      <c r="AI149" s="279">
        <f>VLOOKUP(TableWRRanks3242[[#This Row],[Player]],WR!B:O,5,FALSE)</f>
        <v>0</v>
      </c>
      <c r="AJ149" s="279">
        <f>VLOOKUP(TableWRRanks3242[[#This Row],[Player]],WR!B:O,6,FALSE)</f>
        <v>16.561199211111671</v>
      </c>
      <c r="AK149" s="279">
        <f>VLOOKUP(TableWRRanks3242[[#This Row],[Player]],WR!B:O,7,FALSE)</f>
        <v>9.4016891880073725</v>
      </c>
      <c r="AL149" s="279">
        <f>VLOOKUP(TableWRRanks3242[[#This Row],[Player]],WR!B:O,8,FALSE)</f>
        <v>105.33603083668784</v>
      </c>
      <c r="AM149" s="279">
        <f>VLOOKUP(TableWRRanks3242[[#This Row],[Player]],WR!B:O,9,FALSE)</f>
        <v>0.68038540176369144</v>
      </c>
      <c r="AN149" s="272">
        <f>VLOOKUP(TableWRRanks3242[[#This Row],[Player]],WR!B:O,13,FALSE)</f>
        <v>14.615915494250935</v>
      </c>
      <c r="AO149" s="273">
        <f>IF(VLOOKUP(TableWRRanks3242[[#This Row],[RK]],'Ranks w Proj'!AD:AO,12,FALSE)&lt;0,0,VLOOKUP(TableWRRanks3242[[#This Row],[RK]],'Ranks w Proj'!AD:AO,12,FALSE))</f>
        <v>0</v>
      </c>
    </row>
    <row r="150" spans="16:41" x14ac:dyDescent="0.3">
      <c r="P150" s="22">
        <v>149</v>
      </c>
      <c r="Q150" s="22">
        <f>VLOOKUP(TableRBRanks3141[[#This Row],[RK]],Rankings!A:Q,7,FALSE)</f>
        <v>0</v>
      </c>
      <c r="R150" s="22" t="str">
        <f>IFERROR(INDEX(TableRBCalcPts[TM],MATCH(TableRBRanks3141[[#This Row],[Player]],TableRBCalcPts[PLAYER],0)),"")</f>
        <v/>
      </c>
      <c r="S150" s="22" t="str">
        <f>IFERROR(INDEX(TableRBCalcPts[BYE],MATCH(TableRBRanks3141[[#This Row],[RK]],TableRBCalcPts[RK],0)),"")</f>
        <v/>
      </c>
      <c r="T150" s="279">
        <f>VLOOKUP(TableRBRanks3141[[#This Row],[Player]],RB!B:O,4,FALSE)</f>
        <v>0</v>
      </c>
      <c r="U150" s="279">
        <f>VLOOKUP(TableRBRanks3141[[#This Row],[Player]],RB!B:O,5,FALSE)</f>
        <v>0</v>
      </c>
      <c r="V150" s="279">
        <f>VLOOKUP(TableRBRanks3141[[#This Row],[Player]],RB!B:O,6,FALSE)</f>
        <v>0</v>
      </c>
      <c r="W150" s="279">
        <f>VLOOKUP(TableRBRanks3141[[#This Row],[Player]],RB!B:O,7,FALSE)</f>
        <v>0</v>
      </c>
      <c r="X150" s="279">
        <f>VLOOKUP(TableRBRanks3141[[#This Row],[Player]],RB!B:O,8,FALSE)</f>
        <v>0</v>
      </c>
      <c r="Y150" s="279">
        <f>VLOOKUP(TableRBRanks3141[[#This Row],[Player]],RB!B:O,9,FALSE)</f>
        <v>0</v>
      </c>
      <c r="Z150" s="279">
        <f>VLOOKUP(TableRBRanks3141[[#This Row],[Player]],RB!B:O,10,FALSE)</f>
        <v>0</v>
      </c>
      <c r="AA150" s="272">
        <f>VLOOKUP(TableRBRanks3141[[#This Row],[Player]],RB!B:O,14,FALSE)</f>
        <v>0</v>
      </c>
      <c r="AB150" s="273" t="e">
        <f>IF(VLOOKUP(TableRBRanks3141[[#This Row],[RK]],'Ranks w Proj'!$P:$AB,13,FALSE)&lt;0,0,VLOOKUP(TableRBRanks3141[[#This Row],[RK]],'Ranks w Proj'!$P:$AB,13,FALSE))</f>
        <v>#VALUE!</v>
      </c>
      <c r="AD150" s="274">
        <v>149</v>
      </c>
      <c r="AE150" s="274" t="str">
        <f>VLOOKUP(TableWRRanks3242[[#This Row],[RK]],Rankings!A:Q,11,FALSE)</f>
        <v>Dante Pettis</v>
      </c>
      <c r="AF150" s="22" t="str">
        <f>IFERROR(INDEX(TableWRCalcPts[TM],MATCH(TableWRRanks3242[[#This Row],[Player]],TableWRCalcPts[PLAYER],0)),"")</f>
        <v>CHI</v>
      </c>
      <c r="AG150" s="22">
        <f>IFERROR(INDEX(TableWRCalcPts[BYE],MATCH(TableWRRanks3242[[#This Row],[RK]],TableWRCalcPts[RK],0)),"")</f>
        <v>13</v>
      </c>
      <c r="AH150" s="279">
        <f>VLOOKUP(TableWRRanks3242[[#This Row],[Player]],WR!B:O,4,FALSE)</f>
        <v>0</v>
      </c>
      <c r="AI150" s="279">
        <f>VLOOKUP(TableWRRanks3242[[#This Row],[Player]],WR!B:O,5,FALSE)</f>
        <v>0</v>
      </c>
      <c r="AJ150" s="279">
        <f>VLOOKUP(TableWRRanks3242[[#This Row],[Player]],WR!B:O,6,FALSE)</f>
        <v>20.486008596604961</v>
      </c>
      <c r="AK150" s="279">
        <f>VLOOKUP(TableWRRanks3242[[#This Row],[Player]],WR!B:O,7,FALSE)</f>
        <v>10.48678780060208</v>
      </c>
      <c r="AL150" s="279">
        <f>VLOOKUP(TableWRRanks3242[[#This Row],[Player]],WR!B:O,8,FALSE)</f>
        <v>123.74409604710455</v>
      </c>
      <c r="AM150" s="279">
        <f>VLOOKUP(TableWRRanks3242[[#This Row],[Player]],WR!B:O,9,FALSE)</f>
        <v>0.22921940547764114</v>
      </c>
      <c r="AN150" s="272">
        <f>VLOOKUP(TableWRRanks3242[[#This Row],[Player]],WR!B:O,13,FALSE)</f>
        <v>13.749726037576302</v>
      </c>
      <c r="AO150" s="273">
        <f>IF(VLOOKUP(TableWRRanks3242[[#This Row],[RK]],'Ranks w Proj'!AD:AO,12,FALSE)&lt;0,0,VLOOKUP(TableWRRanks3242[[#This Row],[RK]],'Ranks w Proj'!AD:AO,12,FALSE))</f>
        <v>0</v>
      </c>
    </row>
    <row r="151" spans="16:41" x14ac:dyDescent="0.3">
      <c r="P151" s="22">
        <v>150</v>
      </c>
      <c r="Q151" s="22">
        <f>VLOOKUP(TableRBRanks3141[[#This Row],[RK]],Rankings!A:Q,7,FALSE)</f>
        <v>0</v>
      </c>
      <c r="R151" s="22" t="str">
        <f>IFERROR(INDEX(TableRBCalcPts[TM],MATCH(TableRBRanks3141[[#This Row],[Player]],TableRBCalcPts[PLAYER],0)),"")</f>
        <v/>
      </c>
      <c r="S151" s="22" t="str">
        <f>IFERROR(INDEX(TableRBCalcPts[BYE],MATCH(TableRBRanks3141[[#This Row],[RK]],TableRBCalcPts[RK],0)),"")</f>
        <v/>
      </c>
      <c r="T151" s="279">
        <f>VLOOKUP(TableRBRanks3141[[#This Row],[Player]],RB!B:O,4,FALSE)</f>
        <v>0</v>
      </c>
      <c r="U151" s="279">
        <f>VLOOKUP(TableRBRanks3141[[#This Row],[Player]],RB!B:O,5,FALSE)</f>
        <v>0</v>
      </c>
      <c r="V151" s="279">
        <f>VLOOKUP(TableRBRanks3141[[#This Row],[Player]],RB!B:O,6,FALSE)</f>
        <v>0</v>
      </c>
      <c r="W151" s="279">
        <f>VLOOKUP(TableRBRanks3141[[#This Row],[Player]],RB!B:O,7,FALSE)</f>
        <v>0</v>
      </c>
      <c r="X151" s="279">
        <f>VLOOKUP(TableRBRanks3141[[#This Row],[Player]],RB!B:O,8,FALSE)</f>
        <v>0</v>
      </c>
      <c r="Y151" s="279">
        <f>VLOOKUP(TableRBRanks3141[[#This Row],[Player]],RB!B:O,9,FALSE)</f>
        <v>0</v>
      </c>
      <c r="Z151" s="279">
        <f>VLOOKUP(TableRBRanks3141[[#This Row],[Player]],RB!B:O,10,FALSE)</f>
        <v>0</v>
      </c>
      <c r="AA151" s="272">
        <f>VLOOKUP(TableRBRanks3141[[#This Row],[Player]],RB!B:O,14,FALSE)</f>
        <v>0</v>
      </c>
      <c r="AB151" s="273" t="e">
        <f>IF(VLOOKUP(TableRBRanks3141[[#This Row],[RK]],'Ranks w Proj'!$P:$AB,13,FALSE)&lt;0,0,VLOOKUP(TableRBRanks3141[[#This Row],[RK]],'Ranks w Proj'!$P:$AB,13,FALSE))</f>
        <v>#VALUE!</v>
      </c>
      <c r="AD151" s="22">
        <v>150</v>
      </c>
      <c r="AE151" s="274" t="str">
        <f>VLOOKUP(TableWRRanks3242[[#This Row],[RK]],Rankings!A:Q,11,FALSE)</f>
        <v>Antoine Wesley</v>
      </c>
      <c r="AF151" s="22" t="str">
        <f>IFERROR(INDEX(TableWRCalcPts[TM],MATCH(TableWRRanks3242[[#This Row],[Player]],TableWRCalcPts[PLAYER],0)),"")</f>
        <v>ARI</v>
      </c>
      <c r="AG151" s="22">
        <f>IFERROR(INDEX(TableWRCalcPts[BYE],MATCH(TableWRRanks3242[[#This Row],[RK]],TableWRCalcPts[RK],0)),"")</f>
        <v>6</v>
      </c>
      <c r="AH151" s="279">
        <f>VLOOKUP(TableWRRanks3242[[#This Row],[Player]],WR!B:O,4,FALSE)</f>
        <v>0</v>
      </c>
      <c r="AI151" s="279">
        <f>VLOOKUP(TableWRRanks3242[[#This Row],[Player]],WR!B:O,5,FALSE)</f>
        <v>0</v>
      </c>
      <c r="AJ151" s="279">
        <f>VLOOKUP(TableWRRanks3242[[#This Row],[Player]],WR!B:O,6,FALSE)</f>
        <v>12.471793100000001</v>
      </c>
      <c r="AK151" s="279">
        <f>VLOOKUP(TableWRRanks3242[[#This Row],[Player]],WR!B:O,7,FALSE)</f>
        <v>7.4018092198294481</v>
      </c>
      <c r="AL151" s="279">
        <f>VLOOKUP(TableWRRanks3242[[#This Row],[Player]],WR!B:O,8,FALSE)</f>
        <v>93.33681426204933</v>
      </c>
      <c r="AM151" s="279">
        <f>VLOOKUP(TableWRRanks3242[[#This Row],[Player]],WR!B:O,9,FALSE)</f>
        <v>0.52552845460789077</v>
      </c>
      <c r="AN151" s="272">
        <f>VLOOKUP(TableWRRanks3242[[#This Row],[Player]],WR!B:O,13,FALSE)</f>
        <v>12.486852153852277</v>
      </c>
      <c r="AO151" s="273">
        <f>IF(VLOOKUP(TableWRRanks3242[[#This Row],[RK]],'Ranks w Proj'!AD:AO,12,FALSE)&lt;0,0,VLOOKUP(TableWRRanks3242[[#This Row],[RK]],'Ranks w Proj'!AD:AO,12,FALSE))</f>
        <v>0</v>
      </c>
    </row>
    <row r="152" spans="16:41" x14ac:dyDescent="0.3">
      <c r="P152" s="22">
        <v>151</v>
      </c>
      <c r="Q152" s="22">
        <f>VLOOKUP(TableRBRanks3141[[#This Row],[RK]],Rankings!A:Q,7,FALSE)</f>
        <v>0</v>
      </c>
      <c r="R152" s="22" t="str">
        <f>IFERROR(INDEX(TableRBCalcPts[TM],MATCH(TableRBRanks3141[[#This Row],[Player]],TableRBCalcPts[PLAYER],0)),"")</f>
        <v/>
      </c>
      <c r="S152" s="22" t="str">
        <f>IFERROR(INDEX(TableRBCalcPts[BYE],MATCH(TableRBRanks3141[[#This Row],[RK]],TableRBCalcPts[RK],0)),"")</f>
        <v/>
      </c>
      <c r="T152" s="279">
        <f>VLOOKUP(TableRBRanks3141[[#This Row],[Player]],RB!B:O,4,FALSE)</f>
        <v>0</v>
      </c>
      <c r="U152" s="279">
        <f>VLOOKUP(TableRBRanks3141[[#This Row],[Player]],RB!B:O,5,FALSE)</f>
        <v>0</v>
      </c>
      <c r="V152" s="279">
        <f>VLOOKUP(TableRBRanks3141[[#This Row],[Player]],RB!B:O,6,FALSE)</f>
        <v>0</v>
      </c>
      <c r="W152" s="279">
        <f>VLOOKUP(TableRBRanks3141[[#This Row],[Player]],RB!B:O,7,FALSE)</f>
        <v>0</v>
      </c>
      <c r="X152" s="279">
        <f>VLOOKUP(TableRBRanks3141[[#This Row],[Player]],RB!B:O,8,FALSE)</f>
        <v>0</v>
      </c>
      <c r="Y152" s="279">
        <f>VLOOKUP(TableRBRanks3141[[#This Row],[Player]],RB!B:O,9,FALSE)</f>
        <v>0</v>
      </c>
      <c r="Z152" s="279">
        <f>VLOOKUP(TableRBRanks3141[[#This Row],[Player]],RB!B:O,10,FALSE)</f>
        <v>0</v>
      </c>
      <c r="AA152" s="272">
        <f>VLOOKUP(TableRBRanks3141[[#This Row],[Player]],RB!B:O,14,FALSE)</f>
        <v>0</v>
      </c>
      <c r="AB152" s="273" t="e">
        <f>IF(VLOOKUP(TableRBRanks3141[[#This Row],[RK]],'Ranks w Proj'!$P:$AB,13,FALSE)&lt;0,0,VLOOKUP(TableRBRanks3141[[#This Row],[RK]],'Ranks w Proj'!$P:$AB,13,FALSE))</f>
        <v>#VALUE!</v>
      </c>
      <c r="AD152" s="22">
        <v>151</v>
      </c>
      <c r="AE152" s="22" t="str">
        <f>VLOOKUP(TableWRRanks3242[[#This Row],[RK]],Rankings!A:Q,11,FALSE)</f>
        <v>Quintez Cephus</v>
      </c>
      <c r="AF152" s="22" t="str">
        <f>IFERROR(INDEX(TableWRCalcPts[TM],MATCH(TableWRRanks3242[[#This Row],[Player]],TableWRCalcPts[PLAYER],0)),"")</f>
        <v>DET</v>
      </c>
      <c r="AG152" s="22">
        <f>IFERROR(INDEX(TableWRCalcPts[BYE],MATCH(TableWRRanks3242[[#This Row],[RK]],TableWRCalcPts[RK],0)),"")</f>
        <v>14</v>
      </c>
      <c r="AH152" s="279">
        <f>VLOOKUP(TableWRRanks3242[[#This Row],[Player]],WR!B:O,4,FALSE)</f>
        <v>0</v>
      </c>
      <c r="AI152" s="279">
        <f>VLOOKUP(TableWRRanks3242[[#This Row],[Player]],WR!B:O,5,FALSE)</f>
        <v>0</v>
      </c>
      <c r="AJ152" s="279">
        <f>VLOOKUP(TableWRRanks3242[[#This Row],[Player]],WR!B:O,6,FALSE)</f>
        <v>13.912593333274707</v>
      </c>
      <c r="AK152" s="279">
        <f>VLOOKUP(TableWRRanks3242[[#This Row],[Player]],WR!B:O,7,FALSE)</f>
        <v>8.8762345466292629</v>
      </c>
      <c r="AL152" s="279">
        <f>VLOOKUP(TableWRRanks3242[[#This Row],[Player]],WR!B:O,8,FALSE)</f>
        <v>106.78110159595003</v>
      </c>
      <c r="AM152" s="279">
        <f>VLOOKUP(TableWRRanks3242[[#This Row],[Player]],WR!B:O,9,FALSE)</f>
        <v>0.55032654189101426</v>
      </c>
      <c r="AN152" s="272">
        <f>VLOOKUP(TableWRRanks3242[[#This Row],[Player]],WR!B:O,13,FALSE)</f>
        <v>13.980069410941089</v>
      </c>
      <c r="AO152" s="273">
        <f>IF(VLOOKUP(TableWRRanks3242[[#This Row],[RK]],'Ranks w Proj'!AD:AO,12,FALSE)&lt;0,0,VLOOKUP(TableWRRanks3242[[#This Row],[RK]],'Ranks w Proj'!AD:AO,12,FALSE))</f>
        <v>0</v>
      </c>
    </row>
    <row r="153" spans="16:41" x14ac:dyDescent="0.3">
      <c r="P153" s="22">
        <v>152</v>
      </c>
      <c r="Q153" s="22">
        <f>VLOOKUP(TableRBRanks3141[[#This Row],[RK]],Rankings!A:Q,7,FALSE)</f>
        <v>0</v>
      </c>
      <c r="R153" s="22" t="str">
        <f>IFERROR(INDEX(TableRBCalcPts[TM],MATCH(TableRBRanks3141[[#This Row],[Player]],TableRBCalcPts[PLAYER],0)),"")</f>
        <v/>
      </c>
      <c r="S153" s="22" t="str">
        <f>IFERROR(INDEX(TableRBCalcPts[BYE],MATCH(TableRBRanks3141[[#This Row],[RK]],TableRBCalcPts[RK],0)),"")</f>
        <v/>
      </c>
      <c r="T153" s="279">
        <f>VLOOKUP(TableRBRanks3141[[#This Row],[Player]],RB!B:O,4,FALSE)</f>
        <v>0</v>
      </c>
      <c r="U153" s="279">
        <f>VLOOKUP(TableRBRanks3141[[#This Row],[Player]],RB!B:O,5,FALSE)</f>
        <v>0</v>
      </c>
      <c r="V153" s="279">
        <f>VLOOKUP(TableRBRanks3141[[#This Row],[Player]],RB!B:O,6,FALSE)</f>
        <v>0</v>
      </c>
      <c r="W153" s="279">
        <f>VLOOKUP(TableRBRanks3141[[#This Row],[Player]],RB!B:O,7,FALSE)</f>
        <v>0</v>
      </c>
      <c r="X153" s="279">
        <f>VLOOKUP(TableRBRanks3141[[#This Row],[Player]],RB!B:O,8,FALSE)</f>
        <v>0</v>
      </c>
      <c r="Y153" s="279">
        <f>VLOOKUP(TableRBRanks3141[[#This Row],[Player]],RB!B:O,9,FALSE)</f>
        <v>0</v>
      </c>
      <c r="Z153" s="279">
        <f>VLOOKUP(TableRBRanks3141[[#This Row],[Player]],RB!B:O,10,FALSE)</f>
        <v>0</v>
      </c>
      <c r="AA153" s="272">
        <f>VLOOKUP(TableRBRanks3141[[#This Row],[Player]],RB!B:O,14,FALSE)</f>
        <v>0</v>
      </c>
      <c r="AB153" s="273" t="e">
        <f>IF(VLOOKUP(TableRBRanks3141[[#This Row],[RK]],'Ranks w Proj'!$P:$AB,13,FALSE)&lt;0,0,VLOOKUP(TableRBRanks3141[[#This Row],[RK]],'Ranks w Proj'!$P:$AB,13,FALSE))</f>
        <v>#VALUE!</v>
      </c>
      <c r="AD153" s="274">
        <v>152</v>
      </c>
      <c r="AE153" s="22" t="str">
        <f>VLOOKUP(TableWRRanks3242[[#This Row],[RK]],Rankings!A:Q,11,FALSE)</f>
        <v>Cam Sims</v>
      </c>
      <c r="AF153" s="22" t="str">
        <f>IFERROR(INDEX(TableWRCalcPts[TM],MATCH(TableWRRanks3242[[#This Row],[Player]],TableWRCalcPts[PLAYER],0)),"")</f>
        <v>WSH</v>
      </c>
      <c r="AG153" s="22">
        <f>IFERROR(INDEX(TableWRCalcPts[BYE],MATCH(TableWRRanks3242[[#This Row],[RK]],TableWRCalcPts[RK],0)),"")</f>
        <v>14</v>
      </c>
      <c r="AH153" s="279">
        <f>VLOOKUP(TableWRRanks3242[[#This Row],[Player]],WR!B:O,4,FALSE)</f>
        <v>0</v>
      </c>
      <c r="AI153" s="279">
        <f>VLOOKUP(TableWRRanks3242[[#This Row],[Player]],WR!B:O,5,FALSE)</f>
        <v>0</v>
      </c>
      <c r="AJ153" s="279">
        <f>VLOOKUP(TableWRRanks3242[[#This Row],[Player]],WR!B:O,6,FALSE)</f>
        <v>14.183230263015757</v>
      </c>
      <c r="AK153" s="279">
        <f>VLOOKUP(TableWRRanks3242[[#This Row],[Player]],WR!B:O,7,FALSE)</f>
        <v>8.7666546255700393</v>
      </c>
      <c r="AL153" s="279">
        <f>VLOOKUP(TableWRRanks3242[[#This Row],[Player]],WR!B:O,8,FALSE)</f>
        <v>113.37697415334515</v>
      </c>
      <c r="AM153" s="279">
        <f>VLOOKUP(TableWRRanks3242[[#This Row],[Player]],WR!B:O,9,FALSE)</f>
        <v>0.42956607665293195</v>
      </c>
      <c r="AN153" s="272">
        <f>VLOOKUP(TableWRRanks3242[[#This Row],[Player]],WR!B:O,13,FALSE)</f>
        <v>13.915093875252108</v>
      </c>
      <c r="AO153" s="273">
        <f>IF(VLOOKUP(TableWRRanks3242[[#This Row],[RK]],'Ranks w Proj'!AD:AO,12,FALSE)&lt;0,0,VLOOKUP(TableWRRanks3242[[#This Row],[RK]],'Ranks w Proj'!AD:AO,12,FALSE))</f>
        <v>0</v>
      </c>
    </row>
    <row r="154" spans="16:41" x14ac:dyDescent="0.3">
      <c r="P154" s="22">
        <v>153</v>
      </c>
      <c r="Q154" s="274">
        <f>VLOOKUP(TableRBRanks3141[[#This Row],[RK]],Rankings!A:Q,7,FALSE)</f>
        <v>0</v>
      </c>
      <c r="R154" s="274" t="str">
        <f>IFERROR(INDEX(TableRBCalcPts[TM],MATCH(TableRBRanks3141[[#This Row],[Player]],TableRBCalcPts[PLAYER],0)),"")</f>
        <v/>
      </c>
      <c r="S154" s="274" t="str">
        <f>IFERROR(INDEX(TableRBCalcPts[BYE],MATCH(TableRBRanks3141[[#This Row],[RK]],TableRBCalcPts[RK],0)),"")</f>
        <v/>
      </c>
      <c r="T154" s="279">
        <f>VLOOKUP(TableRBRanks3141[[#This Row],[Player]],RB!B:O,4,FALSE)</f>
        <v>0</v>
      </c>
      <c r="U154" s="279">
        <f>VLOOKUP(TableRBRanks3141[[#This Row],[Player]],RB!B:O,5,FALSE)</f>
        <v>0</v>
      </c>
      <c r="V154" s="279">
        <f>VLOOKUP(TableRBRanks3141[[#This Row],[Player]],RB!B:O,6,FALSE)</f>
        <v>0</v>
      </c>
      <c r="W154" s="279">
        <f>VLOOKUP(TableRBRanks3141[[#This Row],[Player]],RB!B:O,7,FALSE)</f>
        <v>0</v>
      </c>
      <c r="X154" s="279">
        <f>VLOOKUP(TableRBRanks3141[[#This Row],[Player]],RB!B:O,8,FALSE)</f>
        <v>0</v>
      </c>
      <c r="Y154" s="279">
        <f>VLOOKUP(TableRBRanks3141[[#This Row],[Player]],RB!B:O,9,FALSE)</f>
        <v>0</v>
      </c>
      <c r="Z154" s="279">
        <f>VLOOKUP(TableRBRanks3141[[#This Row],[Player]],RB!B:O,10,FALSE)</f>
        <v>0</v>
      </c>
      <c r="AA154" s="272">
        <f>VLOOKUP(TableRBRanks3141[[#This Row],[Player]],RB!B:O,14,FALSE)</f>
        <v>0</v>
      </c>
      <c r="AB154" s="273" t="e">
        <f>IF(VLOOKUP(TableRBRanks3141[[#This Row],[RK]],'Ranks w Proj'!$P:$AB,13,FALSE)&lt;0,0,VLOOKUP(TableRBRanks3141[[#This Row],[RK]],'Ranks w Proj'!$P:$AB,13,FALSE))</f>
        <v>#VALUE!</v>
      </c>
      <c r="AD154" s="22">
        <v>153</v>
      </c>
      <c r="AE154" s="274" t="str">
        <f>VLOOKUP(TableWRRanks3242[[#This Row],[RK]],Rankings!A:Q,11,FALSE)</f>
        <v>Brandon Zylstra</v>
      </c>
      <c r="AF154" s="22" t="str">
        <f>IFERROR(INDEX(TableWRCalcPts[TM],MATCH(TableWRRanks3242[[#This Row],[Player]],TableWRCalcPts[PLAYER],0)),"")</f>
        <v>CAR</v>
      </c>
      <c r="AG154" s="22">
        <f>IFERROR(INDEX(TableWRCalcPts[BYE],MATCH(TableWRRanks3242[[#This Row],[RK]],TableWRCalcPts[RK],0)),"")</f>
        <v>13</v>
      </c>
      <c r="AH154" s="279">
        <f>VLOOKUP(TableWRRanks3242[[#This Row],[Player]],WR!B:O,4,FALSE)</f>
        <v>0</v>
      </c>
      <c r="AI154" s="279">
        <f>VLOOKUP(TableWRRanks3242[[#This Row],[Player]],WR!B:O,5,FALSE)</f>
        <v>0</v>
      </c>
      <c r="AJ154" s="279">
        <f>VLOOKUP(TableWRRanks3242[[#This Row],[Player]],WR!B:O,6,FALSE)</f>
        <v>14.977368749213095</v>
      </c>
      <c r="AK154" s="279">
        <f>VLOOKUP(TableWRRanks3242[[#This Row],[Player]],WR!B:O,7,FALSE)</f>
        <v>8.9594619857792726</v>
      </c>
      <c r="AL154" s="279">
        <f>VLOOKUP(TableWRRanks3242[[#This Row],[Player]],WR!B:O,8,FALSE)</f>
        <v>108.01507764067911</v>
      </c>
      <c r="AM154" s="279">
        <f>VLOOKUP(TableWRRanks3242[[#This Row],[Player]],WR!B:O,9,FALSE)</f>
        <v>0.48999157670396126</v>
      </c>
      <c r="AN154" s="272">
        <f>VLOOKUP(TableWRRanks3242[[#This Row],[Player]],WR!B:O,13,FALSE)</f>
        <v>13.741457224291679</v>
      </c>
      <c r="AO154" s="273">
        <f>IF(VLOOKUP(TableWRRanks3242[[#This Row],[RK]],'Ranks w Proj'!AD:AO,12,FALSE)&lt;0,0,VLOOKUP(TableWRRanks3242[[#This Row],[RK]],'Ranks w Proj'!AD:AO,12,FALSE))</f>
        <v>0</v>
      </c>
    </row>
    <row r="155" spans="16:41" x14ac:dyDescent="0.3">
      <c r="P155" s="22">
        <v>154</v>
      </c>
      <c r="Q155" s="274">
        <f>VLOOKUP(TableRBRanks3141[[#This Row],[RK]],Rankings!A:Q,7,FALSE)</f>
        <v>0</v>
      </c>
      <c r="R155" s="274" t="str">
        <f>IFERROR(INDEX(TableRBCalcPts[TM],MATCH(TableRBRanks3141[[#This Row],[Player]],TableRBCalcPts[PLAYER],0)),"")</f>
        <v/>
      </c>
      <c r="S155" s="274" t="str">
        <f>IFERROR(INDEX(TableRBCalcPts[BYE],MATCH(TableRBRanks3141[[#This Row],[RK]],TableRBCalcPts[RK],0)),"")</f>
        <v/>
      </c>
      <c r="T155" s="279">
        <f>VLOOKUP(TableRBRanks3141[[#This Row],[Player]],RB!B:O,4,FALSE)</f>
        <v>0</v>
      </c>
      <c r="U155" s="279">
        <f>VLOOKUP(TableRBRanks3141[[#This Row],[Player]],RB!B:O,5,FALSE)</f>
        <v>0</v>
      </c>
      <c r="V155" s="279">
        <f>VLOOKUP(TableRBRanks3141[[#This Row],[Player]],RB!B:O,6,FALSE)</f>
        <v>0</v>
      </c>
      <c r="W155" s="279">
        <f>VLOOKUP(TableRBRanks3141[[#This Row],[Player]],RB!B:O,7,FALSE)</f>
        <v>0</v>
      </c>
      <c r="X155" s="279">
        <f>VLOOKUP(TableRBRanks3141[[#This Row],[Player]],RB!B:O,8,FALSE)</f>
        <v>0</v>
      </c>
      <c r="Y155" s="279">
        <f>VLOOKUP(TableRBRanks3141[[#This Row],[Player]],RB!B:O,9,FALSE)</f>
        <v>0</v>
      </c>
      <c r="Z155" s="279">
        <f>VLOOKUP(TableRBRanks3141[[#This Row],[Player]],RB!B:O,10,FALSE)</f>
        <v>0</v>
      </c>
      <c r="AA155" s="272">
        <f>VLOOKUP(TableRBRanks3141[[#This Row],[Player]],RB!B:O,14,FALSE)</f>
        <v>0</v>
      </c>
      <c r="AB155" s="273" t="e">
        <f>IF(VLOOKUP(TableRBRanks3141[[#This Row],[RK]],'Ranks w Proj'!$P:$AB,13,FALSE)&lt;0,0,VLOOKUP(TableRBRanks3141[[#This Row],[RK]],'Ranks w Proj'!$P:$AB,13,FALSE))</f>
        <v>#VALUE!</v>
      </c>
      <c r="AD155" s="22">
        <v>154</v>
      </c>
      <c r="AE155" s="274" t="str">
        <f>VLOOKUP(TableWRRanks3242[[#This Row],[RK]],Rankings!A:Q,11,FALSE)</f>
        <v>Preston Williams</v>
      </c>
      <c r="AF155" s="22" t="str">
        <f>IFERROR(INDEX(TableWRCalcPts[TM],MATCH(TableWRRanks3242[[#This Row],[Player]],TableWRCalcPts[PLAYER],0)),"")</f>
        <v>MIA</v>
      </c>
      <c r="AG155" s="22">
        <f>IFERROR(INDEX(TableWRCalcPts[BYE],MATCH(TableWRRanks3242[[#This Row],[RK]],TableWRCalcPts[RK],0)),"")</f>
        <v>8</v>
      </c>
      <c r="AH155" s="279">
        <f>VLOOKUP(TableWRRanks3242[[#This Row],[Player]],WR!B:O,4,FALSE)</f>
        <v>0</v>
      </c>
      <c r="AI155" s="279">
        <f>VLOOKUP(TableWRRanks3242[[#This Row],[Player]],WR!B:O,5,FALSE)</f>
        <v>0</v>
      </c>
      <c r="AJ155" s="279">
        <f>VLOOKUP(TableWRRanks3242[[#This Row],[Player]],WR!B:O,6,FALSE)</f>
        <v>15.119724239999996</v>
      </c>
      <c r="AK155" s="279">
        <f>VLOOKUP(TableWRRanks3242[[#This Row],[Player]],WR!B:O,7,FALSE)</f>
        <v>8.9372689982639972</v>
      </c>
      <c r="AL155" s="279">
        <f>VLOOKUP(TableWRRanks3242[[#This Row],[Player]],WR!B:O,8,FALSE)</f>
        <v>107.78346411906381</v>
      </c>
      <c r="AM155" s="279">
        <f>VLOOKUP(TableWRRanks3242[[#This Row],[Player]],WR!B:O,9,FALSE)</f>
        <v>0.37778087601312527</v>
      </c>
      <c r="AN155" s="272">
        <f>VLOOKUP(TableWRRanks3242[[#This Row],[Player]],WR!B:O,13,FALSE)</f>
        <v>13.045031667985134</v>
      </c>
      <c r="AO155" s="273">
        <f>IF(VLOOKUP(TableWRRanks3242[[#This Row],[RK]],'Ranks w Proj'!AD:AO,12,FALSE)&lt;0,0,VLOOKUP(TableWRRanks3242[[#This Row],[RK]],'Ranks w Proj'!AD:AO,12,FALSE))</f>
        <v>0</v>
      </c>
    </row>
    <row r="156" spans="16:41" x14ac:dyDescent="0.3">
      <c r="P156" s="22">
        <v>155</v>
      </c>
      <c r="Q156" s="274">
        <f>VLOOKUP(TableRBRanks3141[[#This Row],[RK]],Rankings!A:Q,7,FALSE)</f>
        <v>0</v>
      </c>
      <c r="R156" s="274" t="str">
        <f>IFERROR(INDEX(TableRBCalcPts[TM],MATCH(TableRBRanks3141[[#This Row],[Player]],TableRBCalcPts[PLAYER],0)),"")</f>
        <v/>
      </c>
      <c r="S156" s="274" t="str">
        <f>IFERROR(INDEX(TableRBCalcPts[BYE],MATCH(TableRBRanks3141[[#This Row],[RK]],TableRBCalcPts[RK],0)),"")</f>
        <v/>
      </c>
      <c r="T156" s="279">
        <f>VLOOKUP(TableRBRanks3141[[#This Row],[Player]],RB!B:O,4,FALSE)</f>
        <v>0</v>
      </c>
      <c r="U156" s="279">
        <f>VLOOKUP(TableRBRanks3141[[#This Row],[Player]],RB!B:O,5,FALSE)</f>
        <v>0</v>
      </c>
      <c r="V156" s="279">
        <f>VLOOKUP(TableRBRanks3141[[#This Row],[Player]],RB!B:O,6,FALSE)</f>
        <v>0</v>
      </c>
      <c r="W156" s="279">
        <f>VLOOKUP(TableRBRanks3141[[#This Row],[Player]],RB!B:O,7,FALSE)</f>
        <v>0</v>
      </c>
      <c r="X156" s="279">
        <f>VLOOKUP(TableRBRanks3141[[#This Row],[Player]],RB!B:O,8,FALSE)</f>
        <v>0</v>
      </c>
      <c r="Y156" s="279">
        <f>VLOOKUP(TableRBRanks3141[[#This Row],[Player]],RB!B:O,9,FALSE)</f>
        <v>0</v>
      </c>
      <c r="Z156" s="279">
        <f>VLOOKUP(TableRBRanks3141[[#This Row],[Player]],RB!B:O,10,FALSE)</f>
        <v>0</v>
      </c>
      <c r="AA156" s="272">
        <f>VLOOKUP(TableRBRanks3141[[#This Row],[Player]],RB!B:O,14,FALSE)</f>
        <v>0</v>
      </c>
      <c r="AB156" s="273" t="e">
        <f>IF(VLOOKUP(TableRBRanks3141[[#This Row],[RK]],'Ranks w Proj'!$P:$AB,13,FALSE)&lt;0,0,VLOOKUP(TableRBRanks3141[[#This Row],[RK]],'Ranks w Proj'!$P:$AB,13,FALSE))</f>
        <v>#VALUE!</v>
      </c>
      <c r="AD156" s="274">
        <v>155</v>
      </c>
      <c r="AE156" s="274" t="str">
        <f>VLOOKUP(TableWRRanks3242[[#This Row],[RK]],Rankings!A:Q,11,FALSE)</f>
        <v>D.J. Montgomery</v>
      </c>
      <c r="AF156" s="22" t="str">
        <f>IFERROR(INDEX(TableWRCalcPts[TM],MATCH(TableWRRanks3242[[#This Row],[Player]],TableWRCalcPts[PLAYER],0)),"")</f>
        <v/>
      </c>
      <c r="AG156" s="22">
        <f>IFERROR(INDEX(TableWRCalcPts[BYE],MATCH(TableWRRanks3242[[#This Row],[RK]],TableWRCalcPts[RK],0)),"")</f>
        <v>7</v>
      </c>
      <c r="AH156" s="279" t="e">
        <f>VLOOKUP(TableWRRanks3242[[#This Row],[Player]],WR!B:O,4,FALSE)</f>
        <v>#N/A</v>
      </c>
      <c r="AI156" s="279" t="e">
        <f>VLOOKUP(TableWRRanks3242[[#This Row],[Player]],WR!B:O,5,FALSE)</f>
        <v>#N/A</v>
      </c>
      <c r="AJ156" s="279" t="e">
        <f>VLOOKUP(TableWRRanks3242[[#This Row],[Player]],WR!B:O,6,FALSE)</f>
        <v>#N/A</v>
      </c>
      <c r="AK156" s="279" t="e">
        <f>VLOOKUP(TableWRRanks3242[[#This Row],[Player]],WR!B:O,7,FALSE)</f>
        <v>#N/A</v>
      </c>
      <c r="AL156" s="279" t="e">
        <f>VLOOKUP(TableWRRanks3242[[#This Row],[Player]],WR!B:O,8,FALSE)</f>
        <v>#N/A</v>
      </c>
      <c r="AM156" s="279" t="e">
        <f>VLOOKUP(TableWRRanks3242[[#This Row],[Player]],WR!B:O,9,FALSE)</f>
        <v>#N/A</v>
      </c>
      <c r="AN156" s="272" t="e">
        <f>VLOOKUP(TableWRRanks3242[[#This Row],[Player]],WR!B:O,13,FALSE)</f>
        <v>#N/A</v>
      </c>
      <c r="AO156" s="273">
        <f>IF(VLOOKUP(TableWRRanks3242[[#This Row],[RK]],'Ranks w Proj'!AD:AO,12,FALSE)&lt;0,0,VLOOKUP(TableWRRanks3242[[#This Row],[RK]],'Ranks w Proj'!AD:AO,12,FALSE))</f>
        <v>0</v>
      </c>
    </row>
    <row r="157" spans="16:41" x14ac:dyDescent="0.3">
      <c r="P157" s="22">
        <v>156</v>
      </c>
      <c r="Q157" s="274">
        <f>VLOOKUP(TableRBRanks3141[[#This Row],[RK]],Rankings!A:Q,7,FALSE)</f>
        <v>0</v>
      </c>
      <c r="R157" s="274" t="str">
        <f>IFERROR(INDEX(TableRBCalcPts[TM],MATCH(TableRBRanks3141[[#This Row],[Player]],TableRBCalcPts[PLAYER],0)),"")</f>
        <v/>
      </c>
      <c r="S157" s="274" t="str">
        <f>IFERROR(INDEX(TableRBCalcPts[BYE],MATCH(TableRBRanks3141[[#This Row],[RK]],TableRBCalcPts[RK],0)),"")</f>
        <v/>
      </c>
      <c r="T157" s="279">
        <f>VLOOKUP(TableRBRanks3141[[#This Row],[Player]],RB!B:O,4,FALSE)</f>
        <v>0</v>
      </c>
      <c r="U157" s="279">
        <f>VLOOKUP(TableRBRanks3141[[#This Row],[Player]],RB!B:O,5,FALSE)</f>
        <v>0</v>
      </c>
      <c r="V157" s="279">
        <f>VLOOKUP(TableRBRanks3141[[#This Row],[Player]],RB!B:O,6,FALSE)</f>
        <v>0</v>
      </c>
      <c r="W157" s="279">
        <f>VLOOKUP(TableRBRanks3141[[#This Row],[Player]],RB!B:O,7,FALSE)</f>
        <v>0</v>
      </c>
      <c r="X157" s="279">
        <f>VLOOKUP(TableRBRanks3141[[#This Row],[Player]],RB!B:O,8,FALSE)</f>
        <v>0</v>
      </c>
      <c r="Y157" s="279">
        <f>VLOOKUP(TableRBRanks3141[[#This Row],[Player]],RB!B:O,9,FALSE)</f>
        <v>0</v>
      </c>
      <c r="Z157" s="279">
        <f>VLOOKUP(TableRBRanks3141[[#This Row],[Player]],RB!B:O,10,FALSE)</f>
        <v>0</v>
      </c>
      <c r="AA157" s="272">
        <f>VLOOKUP(TableRBRanks3141[[#This Row],[Player]],RB!B:O,14,FALSE)</f>
        <v>0</v>
      </c>
      <c r="AB157" s="273" t="e">
        <f>IF(VLOOKUP(TableRBRanks3141[[#This Row],[RK]],'Ranks w Proj'!$P:$AB,13,FALSE)&lt;0,0,VLOOKUP(TableRBRanks3141[[#This Row],[RK]],'Ranks w Proj'!$P:$AB,13,FALSE))</f>
        <v>#VALUE!</v>
      </c>
      <c r="AD157" s="22">
        <v>156</v>
      </c>
      <c r="AE157" s="22" t="str">
        <f>VLOOKUP(TableWRRanks3242[[#This Row],[RK]],Rankings!A:Q,11,FALSE)</f>
        <v>Jakeem Grant</v>
      </c>
      <c r="AF157" s="22" t="str">
        <f>IFERROR(INDEX(TableWRCalcPts[TM],MATCH(TableWRRanks3242[[#This Row],[Player]],TableWRCalcPts[PLAYER],0)),"")</f>
        <v>CLE</v>
      </c>
      <c r="AG157" s="22">
        <f>IFERROR(INDEX(TableWRCalcPts[BYE],MATCH(TableWRRanks3242[[#This Row],[RK]],TableWRCalcPts[RK],0)),"")</f>
        <v>11</v>
      </c>
      <c r="AH157" s="279">
        <f>VLOOKUP(TableWRRanks3242[[#This Row],[Player]],WR!B:O,4,FALSE)</f>
        <v>8.5649579196456358</v>
      </c>
      <c r="AI157" s="279">
        <f>VLOOKUP(TableWRRanks3242[[#This Row],[Player]],WR!B:O,5,FALSE)</f>
        <v>3.3326684512239829E-2</v>
      </c>
      <c r="AJ157" s="279">
        <f>VLOOKUP(TableWRRanks3242[[#This Row],[Player]],WR!B:O,6,FALSE)</f>
        <v>13.945730470021115</v>
      </c>
      <c r="AK157" s="279">
        <f>VLOOKUP(TableWRRanks3242[[#This Row],[Player]],WR!B:O,7,FALSE)</f>
        <v>8.9461860965185451</v>
      </c>
      <c r="AL157" s="279">
        <f>VLOOKUP(TableWRRanks3242[[#This Row],[Player]],WR!B:O,8,FALSE)</f>
        <v>89.909170270011387</v>
      </c>
      <c r="AM157" s="279">
        <f>VLOOKUP(TableWRRanks3242[[#This Row],[Player]],WR!B:O,9,FALSE)</f>
        <v>0.47468687005643201</v>
      </c>
      <c r="AN157" s="272">
        <f>VLOOKUP(TableWRRanks3242[[#This Row],[Player]],WR!B:O,13,FALSE)</f>
        <v>12.895494146377734</v>
      </c>
      <c r="AO157" s="273">
        <f>IF(VLOOKUP(TableWRRanks3242[[#This Row],[RK]],'Ranks w Proj'!AD:AO,12,FALSE)&lt;0,0,VLOOKUP(TableWRRanks3242[[#This Row],[RK]],'Ranks w Proj'!AD:AO,12,FALSE))</f>
        <v>0</v>
      </c>
    </row>
    <row r="158" spans="16:41" x14ac:dyDescent="0.3">
      <c r="P158" s="22">
        <v>157</v>
      </c>
      <c r="Q158" s="274">
        <f>VLOOKUP(TableRBRanks3141[[#This Row],[RK]],Rankings!A:Q,7,FALSE)</f>
        <v>0</v>
      </c>
      <c r="R158" s="274" t="str">
        <f>IFERROR(INDEX(TableRBCalcPts[TM],MATCH(TableRBRanks3141[[#This Row],[Player]],TableRBCalcPts[PLAYER],0)),"")</f>
        <v/>
      </c>
      <c r="S158" s="274" t="str">
        <f>IFERROR(INDEX(TableRBCalcPts[BYE],MATCH(TableRBRanks3141[[#This Row],[RK]],TableRBCalcPts[RK],0)),"")</f>
        <v/>
      </c>
      <c r="T158" s="279">
        <f>VLOOKUP(TableRBRanks3141[[#This Row],[Player]],RB!B:O,4,FALSE)</f>
        <v>0</v>
      </c>
      <c r="U158" s="279">
        <f>VLOOKUP(TableRBRanks3141[[#This Row],[Player]],RB!B:O,5,FALSE)</f>
        <v>0</v>
      </c>
      <c r="V158" s="279">
        <f>VLOOKUP(TableRBRanks3141[[#This Row],[Player]],RB!B:O,6,FALSE)</f>
        <v>0</v>
      </c>
      <c r="W158" s="279">
        <f>VLOOKUP(TableRBRanks3141[[#This Row],[Player]],RB!B:O,7,FALSE)</f>
        <v>0</v>
      </c>
      <c r="X158" s="279">
        <f>VLOOKUP(TableRBRanks3141[[#This Row],[Player]],RB!B:O,8,FALSE)</f>
        <v>0</v>
      </c>
      <c r="Y158" s="279">
        <f>VLOOKUP(TableRBRanks3141[[#This Row],[Player]],RB!B:O,9,FALSE)</f>
        <v>0</v>
      </c>
      <c r="Z158" s="279">
        <f>VLOOKUP(TableRBRanks3141[[#This Row],[Player]],RB!B:O,10,FALSE)</f>
        <v>0</v>
      </c>
      <c r="AA158" s="272">
        <f>VLOOKUP(TableRBRanks3141[[#This Row],[Player]],RB!B:O,14,FALSE)</f>
        <v>0</v>
      </c>
      <c r="AB158" s="273" t="e">
        <f>IF(VLOOKUP(TableRBRanks3141[[#This Row],[RK]],'Ranks w Proj'!$P:$AB,13,FALSE)&lt;0,0,VLOOKUP(TableRBRanks3141[[#This Row],[RK]],'Ranks w Proj'!$P:$AB,13,FALSE))</f>
        <v>#VALUE!</v>
      </c>
      <c r="AD158" s="22">
        <v>157</v>
      </c>
      <c r="AE158" s="22" t="str">
        <f>VLOOKUP(TableWRRanks3242[[#This Row],[RK]],Rankings!A:Q,11,FALSE)</f>
        <v>Ihmir Smith-Marsette</v>
      </c>
      <c r="AF158" s="22" t="str">
        <f>IFERROR(INDEX(TableWRCalcPts[TM],MATCH(TableWRRanks3242[[#This Row],[Player]],TableWRCalcPts[PLAYER],0)),"")</f>
        <v>MIN</v>
      </c>
      <c r="AG158" s="22">
        <f>IFERROR(INDEX(TableWRCalcPts[BYE],MATCH(TableWRRanks3242[[#This Row],[RK]],TableWRCalcPts[RK],0)),"")</f>
        <v>9</v>
      </c>
      <c r="AH158" s="279">
        <f>VLOOKUP(TableWRRanks3242[[#This Row],[Player]],WR!B:O,4,FALSE)</f>
        <v>0</v>
      </c>
      <c r="AI158" s="279">
        <f>VLOOKUP(TableWRRanks3242[[#This Row],[Player]],WR!B:O,5,FALSE)</f>
        <v>0</v>
      </c>
      <c r="AJ158" s="279">
        <f>VLOOKUP(TableWRRanks3242[[#This Row],[Player]],WR!B:O,6,FALSE)</f>
        <v>13.497497619077659</v>
      </c>
      <c r="AK158" s="279">
        <f>VLOOKUP(TableWRRanks3242[[#This Row],[Player]],WR!B:O,7,FALSE)</f>
        <v>8.0735032054853413</v>
      </c>
      <c r="AL158" s="279">
        <f>VLOOKUP(TableWRRanks3242[[#This Row],[Player]],WR!B:O,8,FALSE)</f>
        <v>97.9315938825372</v>
      </c>
      <c r="AM158" s="279">
        <f>VLOOKUP(TableWRRanks3242[[#This Row],[Player]],WR!B:O,9,FALSE)</f>
        <v>0.57321872758945913</v>
      </c>
      <c r="AN158" s="272">
        <f>VLOOKUP(TableWRRanks3242[[#This Row],[Player]],WR!B:O,13,FALSE)</f>
        <v>13.232471753790474</v>
      </c>
      <c r="AO158" s="273">
        <f>IF(VLOOKUP(TableWRRanks3242[[#This Row],[RK]],'Ranks w Proj'!AD:AO,12,FALSE)&lt;0,0,VLOOKUP(TableWRRanks3242[[#This Row],[RK]],'Ranks w Proj'!AD:AO,12,FALSE))</f>
        <v>0</v>
      </c>
    </row>
    <row r="159" spans="16:41" x14ac:dyDescent="0.3">
      <c r="P159" s="22">
        <v>158</v>
      </c>
      <c r="Q159" s="274">
        <f>VLOOKUP(TableRBRanks3141[[#This Row],[RK]],Rankings!A:Q,7,FALSE)</f>
        <v>0</v>
      </c>
      <c r="R159" s="274" t="str">
        <f>IFERROR(INDEX(TableRBCalcPts[TM],MATCH(TableRBRanks3141[[#This Row],[Player]],TableRBCalcPts[PLAYER],0)),"")</f>
        <v/>
      </c>
      <c r="S159" s="274" t="str">
        <f>IFERROR(INDEX(TableRBCalcPts[BYE],MATCH(TableRBRanks3141[[#This Row],[RK]],TableRBCalcPts[RK],0)),"")</f>
        <v/>
      </c>
      <c r="T159" s="279">
        <f>VLOOKUP(TableRBRanks3141[[#This Row],[Player]],RB!B:O,4,FALSE)</f>
        <v>0</v>
      </c>
      <c r="U159" s="279">
        <f>VLOOKUP(TableRBRanks3141[[#This Row],[Player]],RB!B:O,5,FALSE)</f>
        <v>0</v>
      </c>
      <c r="V159" s="279">
        <f>VLOOKUP(TableRBRanks3141[[#This Row],[Player]],RB!B:O,6,FALSE)</f>
        <v>0</v>
      </c>
      <c r="W159" s="279">
        <f>VLOOKUP(TableRBRanks3141[[#This Row],[Player]],RB!B:O,7,FALSE)</f>
        <v>0</v>
      </c>
      <c r="X159" s="279">
        <f>VLOOKUP(TableRBRanks3141[[#This Row],[Player]],RB!B:O,8,FALSE)</f>
        <v>0</v>
      </c>
      <c r="Y159" s="279">
        <f>VLOOKUP(TableRBRanks3141[[#This Row],[Player]],RB!B:O,9,FALSE)</f>
        <v>0</v>
      </c>
      <c r="Z159" s="279">
        <f>VLOOKUP(TableRBRanks3141[[#This Row],[Player]],RB!B:O,10,FALSE)</f>
        <v>0</v>
      </c>
      <c r="AA159" s="272">
        <f>VLOOKUP(TableRBRanks3141[[#This Row],[Player]],RB!B:O,14,FALSE)</f>
        <v>0</v>
      </c>
      <c r="AB159" s="273" t="e">
        <f>IF(VLOOKUP(TableRBRanks3141[[#This Row],[RK]],'Ranks w Proj'!$P:$AB,13,FALSE)&lt;0,0,VLOOKUP(TableRBRanks3141[[#This Row],[RK]],'Ranks w Proj'!$P:$AB,13,FALSE))</f>
        <v>#VALUE!</v>
      </c>
      <c r="AD159" s="274">
        <v>158</v>
      </c>
      <c r="AE159" s="274" t="str">
        <f>VLOOKUP(TableWRRanks3242[[#This Row],[RK]],Rankings!A:Q,11,FALSE)</f>
        <v>DeAndre Carter</v>
      </c>
      <c r="AF159" s="22" t="str">
        <f>IFERROR(INDEX(TableWRCalcPts[TM],MATCH(TableWRRanks3242[[#This Row],[Player]],TableWRCalcPts[PLAYER],0)),"")</f>
        <v>LAC</v>
      </c>
      <c r="AG159" s="22">
        <f>IFERROR(INDEX(TableWRCalcPts[BYE],MATCH(TableWRRanks3242[[#This Row],[RK]],TableWRCalcPts[RK],0)),"")</f>
        <v>6</v>
      </c>
      <c r="AH159" s="279">
        <f>VLOOKUP(TableWRRanks3242[[#This Row],[Player]],WR!B:O,4,FALSE)</f>
        <v>0</v>
      </c>
      <c r="AI159" s="279">
        <f>VLOOKUP(TableWRRanks3242[[#This Row],[Player]],WR!B:O,5,FALSE)</f>
        <v>0</v>
      </c>
      <c r="AJ159" s="279">
        <f>VLOOKUP(TableWRRanks3242[[#This Row],[Player]],WR!B:O,6,FALSE)</f>
        <v>11.732391185395022</v>
      </c>
      <c r="AK159" s="279">
        <f>VLOOKUP(TableWRRanks3242[[#This Row],[Player]],WR!B:O,7,FALSE)</f>
        <v>7.4787589663233121</v>
      </c>
      <c r="AL159" s="279">
        <f>VLOOKUP(TableWRRanks3242[[#This Row],[Player]],WR!B:O,8,FALSE)</f>
        <v>97.822167279508918</v>
      </c>
      <c r="AM159" s="279">
        <f>VLOOKUP(TableWRRanks3242[[#This Row],[Player]],WR!B:O,9,FALSE)</f>
        <v>0.59082195833954165</v>
      </c>
      <c r="AN159" s="272">
        <f>VLOOKUP(TableWRRanks3242[[#This Row],[Player]],WR!B:O,13,FALSE)</f>
        <v>13.327148477988143</v>
      </c>
      <c r="AO159" s="273">
        <f>IF(VLOOKUP(TableWRRanks3242[[#This Row],[RK]],'Ranks w Proj'!AD:AO,12,FALSE)&lt;0,0,VLOOKUP(TableWRRanks3242[[#This Row],[RK]],'Ranks w Proj'!AD:AO,12,FALSE))</f>
        <v>0</v>
      </c>
    </row>
    <row r="160" spans="16:41" x14ac:dyDescent="0.3">
      <c r="P160" s="22">
        <v>159</v>
      </c>
      <c r="Q160" s="274">
        <f>VLOOKUP(TableRBRanks3141[[#This Row],[RK]],Rankings!A:Q,7,FALSE)</f>
        <v>0</v>
      </c>
      <c r="R160" s="274" t="str">
        <f>IFERROR(INDEX(TableRBCalcPts[TM],MATCH(TableRBRanks3141[[#This Row],[Player]],TableRBCalcPts[PLAYER],0)),"")</f>
        <v/>
      </c>
      <c r="S160" s="274" t="str">
        <f>IFERROR(INDEX(TableRBCalcPts[BYE],MATCH(TableRBRanks3141[[#This Row],[RK]],TableRBCalcPts[RK],0)),"")</f>
        <v/>
      </c>
      <c r="T160" s="279">
        <f>VLOOKUP(TableRBRanks3141[[#This Row],[Player]],RB!B:O,4,FALSE)</f>
        <v>0</v>
      </c>
      <c r="U160" s="279">
        <f>VLOOKUP(TableRBRanks3141[[#This Row],[Player]],RB!B:O,5,FALSE)</f>
        <v>0</v>
      </c>
      <c r="V160" s="279">
        <f>VLOOKUP(TableRBRanks3141[[#This Row],[Player]],RB!B:O,6,FALSE)</f>
        <v>0</v>
      </c>
      <c r="W160" s="279">
        <f>VLOOKUP(TableRBRanks3141[[#This Row],[Player]],RB!B:O,7,FALSE)</f>
        <v>0</v>
      </c>
      <c r="X160" s="279">
        <f>VLOOKUP(TableRBRanks3141[[#This Row],[Player]],RB!B:O,8,FALSE)</f>
        <v>0</v>
      </c>
      <c r="Y160" s="279">
        <f>VLOOKUP(TableRBRanks3141[[#This Row],[Player]],RB!B:O,9,FALSE)</f>
        <v>0</v>
      </c>
      <c r="Z160" s="279">
        <f>VLOOKUP(TableRBRanks3141[[#This Row],[Player]],RB!B:O,10,FALSE)</f>
        <v>0</v>
      </c>
      <c r="AA160" s="272">
        <f>VLOOKUP(TableRBRanks3141[[#This Row],[Player]],RB!B:O,14,FALSE)</f>
        <v>0</v>
      </c>
      <c r="AB160" s="273" t="e">
        <f>IF(VLOOKUP(TableRBRanks3141[[#This Row],[RK]],'Ranks w Proj'!$P:$AB,13,FALSE)&lt;0,0,VLOOKUP(TableRBRanks3141[[#This Row],[RK]],'Ranks w Proj'!$P:$AB,13,FALSE))</f>
        <v>#VALUE!</v>
      </c>
      <c r="AD160" s="22">
        <v>159</v>
      </c>
      <c r="AE160" s="22" t="str">
        <f>VLOOKUP(TableWRRanks3242[[#This Row],[RK]],Rankings!A:Q,11,FALSE)</f>
        <v>Mike Thomas</v>
      </c>
      <c r="AF160" s="22" t="str">
        <f>IFERROR(INDEX(TableWRCalcPts[TM],MATCH(TableWRRanks3242[[#This Row],[Player]],TableWRCalcPts[PLAYER],0)),"")</f>
        <v>CIN</v>
      </c>
      <c r="AG160" s="22">
        <f>IFERROR(INDEX(TableWRCalcPts[BYE],MATCH(TableWRRanks3242[[#This Row],[RK]],TableWRCalcPts[RK],0)),"")</f>
        <v>10</v>
      </c>
      <c r="AH160" s="279">
        <f>VLOOKUP(TableWRRanks3242[[#This Row],[Player]],WR!B:O,4,FALSE)</f>
        <v>0</v>
      </c>
      <c r="AI160" s="279">
        <f>VLOOKUP(TableWRRanks3242[[#This Row],[Player]],WR!B:O,5,FALSE)</f>
        <v>0</v>
      </c>
      <c r="AJ160" s="279">
        <f>VLOOKUP(TableWRRanks3242[[#This Row],[Player]],WR!B:O,6,FALSE)</f>
        <v>12.395724530649938</v>
      </c>
      <c r="AK160" s="279">
        <f>VLOOKUP(TableWRRanks3242[[#This Row],[Player]],WR!B:O,7,FALSE)</f>
        <v>7.847733200354476</v>
      </c>
      <c r="AL160" s="279">
        <f>VLOOKUP(TableWRRanks3242[[#This Row],[Player]],WR!B:O,8,FALSE)</f>
        <v>93.781712183469239</v>
      </c>
      <c r="AM160" s="279">
        <f>VLOOKUP(TableWRRanks3242[[#This Row],[Player]],WR!B:O,9,FALSE)</f>
        <v>0.54934132402481339</v>
      </c>
      <c r="AN160" s="272">
        <f>VLOOKUP(TableWRRanks3242[[#This Row],[Player]],WR!B:O,13,FALSE)</f>
        <v>12.674219162495806</v>
      </c>
      <c r="AO160" s="273">
        <f>IF(VLOOKUP(TableWRRanks3242[[#This Row],[RK]],'Ranks w Proj'!AD:AO,12,FALSE)&lt;0,0,VLOOKUP(TableWRRanks3242[[#This Row],[RK]],'Ranks w Proj'!AD:AO,12,FALSE))</f>
        <v>0</v>
      </c>
    </row>
    <row r="161" spans="16:41" x14ac:dyDescent="0.3">
      <c r="P161" s="22">
        <v>160</v>
      </c>
      <c r="Q161" s="274">
        <f>VLOOKUP(TableRBRanks3141[[#This Row],[RK]],Rankings!A:Q,7,FALSE)</f>
        <v>0</v>
      </c>
      <c r="R161" s="274" t="str">
        <f>IFERROR(INDEX(TableRBCalcPts[TM],MATCH(TableRBRanks3141[[#This Row],[Player]],TableRBCalcPts[PLAYER],0)),"")</f>
        <v/>
      </c>
      <c r="S161" s="274" t="str">
        <f>IFERROR(INDEX(TableRBCalcPts[BYE],MATCH(TableRBRanks3141[[#This Row],[RK]],TableRBCalcPts[RK],0)),"")</f>
        <v/>
      </c>
      <c r="T161" s="279">
        <f>VLOOKUP(TableRBRanks3141[[#This Row],[Player]],RB!B:O,4,FALSE)</f>
        <v>0</v>
      </c>
      <c r="U161" s="279">
        <f>VLOOKUP(TableRBRanks3141[[#This Row],[Player]],RB!B:O,5,FALSE)</f>
        <v>0</v>
      </c>
      <c r="V161" s="279">
        <f>VLOOKUP(TableRBRanks3141[[#This Row],[Player]],RB!B:O,6,FALSE)</f>
        <v>0</v>
      </c>
      <c r="W161" s="279">
        <f>VLOOKUP(TableRBRanks3141[[#This Row],[Player]],RB!B:O,7,FALSE)</f>
        <v>0</v>
      </c>
      <c r="X161" s="279">
        <f>VLOOKUP(TableRBRanks3141[[#This Row],[Player]],RB!B:O,8,FALSE)</f>
        <v>0</v>
      </c>
      <c r="Y161" s="279">
        <f>VLOOKUP(TableRBRanks3141[[#This Row],[Player]],RB!B:O,9,FALSE)</f>
        <v>0</v>
      </c>
      <c r="Z161" s="279">
        <f>VLOOKUP(TableRBRanks3141[[#This Row],[Player]],RB!B:O,10,FALSE)</f>
        <v>0</v>
      </c>
      <c r="AA161" s="272">
        <f>VLOOKUP(TableRBRanks3141[[#This Row],[Player]],RB!B:O,14,FALSE)</f>
        <v>0</v>
      </c>
      <c r="AB161" s="273" t="e">
        <f>IF(VLOOKUP(TableRBRanks3141[[#This Row],[RK]],'Ranks w Proj'!$P:$AB,13,FALSE)&lt;0,0,VLOOKUP(TableRBRanks3141[[#This Row],[RK]],'Ranks w Proj'!$P:$AB,13,FALSE))</f>
        <v>#VALUE!</v>
      </c>
      <c r="AD161" s="22">
        <v>160</v>
      </c>
      <c r="AE161" s="274" t="str">
        <f>VLOOKUP(TableWRRanks3242[[#This Row],[RK]],Rankings!A:Q,11,FALSE)</f>
        <v>Phillip Dorsett</v>
      </c>
      <c r="AF161" s="22" t="str">
        <f>IFERROR(INDEX(TableWRCalcPts[TM],MATCH(TableWRRanks3242[[#This Row],[Player]],TableWRCalcPts[PLAYER],0)),"")</f>
        <v>HOU</v>
      </c>
      <c r="AG161" s="22">
        <f>IFERROR(INDEX(TableWRCalcPts[BYE],MATCH(TableWRRanks3242[[#This Row],[RK]],TableWRCalcPts[RK],0)),"")</f>
        <v>13</v>
      </c>
      <c r="AH161" s="279">
        <f>VLOOKUP(TableWRRanks3242[[#This Row],[Player]],WR!B:O,4,FALSE)</f>
        <v>0</v>
      </c>
      <c r="AI161" s="279">
        <f>VLOOKUP(TableWRRanks3242[[#This Row],[Player]],WR!B:O,5,FALSE)</f>
        <v>0</v>
      </c>
      <c r="AJ161" s="279">
        <f>VLOOKUP(TableWRRanks3242[[#This Row],[Player]],WR!B:O,6,FALSE)</f>
        <v>11.376933574985218</v>
      </c>
      <c r="AK161" s="279">
        <f>VLOOKUP(TableWRRanks3242[[#This Row],[Player]],WR!B:O,7,FALSE)</f>
        <v>7.2004612596081445</v>
      </c>
      <c r="AL161" s="279">
        <f>VLOOKUP(TableWRRanks3242[[#This Row],[Player]],WR!B:O,8,FALSE)</f>
        <v>98.376253491024869</v>
      </c>
      <c r="AM161" s="279">
        <f>VLOOKUP(TableWRRanks3242[[#This Row],[Player]],WR!B:O,9,FALSE)</f>
        <v>0.50645041928535772</v>
      </c>
      <c r="AN161" s="272">
        <f>VLOOKUP(TableWRRanks3242[[#This Row],[Player]],WR!B:O,13,FALSE)</f>
        <v>12.876327864814634</v>
      </c>
      <c r="AO161" s="273">
        <f>IF(VLOOKUP(TableWRRanks3242[[#This Row],[RK]],'Ranks w Proj'!AD:AO,12,FALSE)&lt;0,0,VLOOKUP(TableWRRanks3242[[#This Row],[RK]],'Ranks w Proj'!AD:AO,12,FALSE))</f>
        <v>0</v>
      </c>
    </row>
    <row r="162" spans="16:41" x14ac:dyDescent="0.3">
      <c r="P162" s="22">
        <v>161</v>
      </c>
      <c r="Q162" s="274">
        <f>VLOOKUP(TableRBRanks3141[[#This Row],[RK]],Rankings!A:Q,7,FALSE)</f>
        <v>0</v>
      </c>
      <c r="R162" s="274" t="str">
        <f>IFERROR(INDEX(TableRBCalcPts[TM],MATCH(TableRBRanks3141[[#This Row],[Player]],TableRBCalcPts[PLAYER],0)),"")</f>
        <v/>
      </c>
      <c r="S162" s="274" t="str">
        <f>IFERROR(INDEX(TableRBCalcPts[BYE],MATCH(TableRBRanks3141[[#This Row],[RK]],TableRBCalcPts[RK],0)),"")</f>
        <v/>
      </c>
      <c r="T162" s="279">
        <f>VLOOKUP(TableRBRanks3141[[#This Row],[Player]],RB!B:O,4,FALSE)</f>
        <v>0</v>
      </c>
      <c r="U162" s="279">
        <f>VLOOKUP(TableRBRanks3141[[#This Row],[Player]],RB!B:O,5,FALSE)</f>
        <v>0</v>
      </c>
      <c r="V162" s="279">
        <f>VLOOKUP(TableRBRanks3141[[#This Row],[Player]],RB!B:O,6,FALSE)</f>
        <v>0</v>
      </c>
      <c r="W162" s="279">
        <f>VLOOKUP(TableRBRanks3141[[#This Row],[Player]],RB!B:O,7,FALSE)</f>
        <v>0</v>
      </c>
      <c r="X162" s="279">
        <f>VLOOKUP(TableRBRanks3141[[#This Row],[Player]],RB!B:O,8,FALSE)</f>
        <v>0</v>
      </c>
      <c r="Y162" s="279">
        <f>VLOOKUP(TableRBRanks3141[[#This Row],[Player]],RB!B:O,9,FALSE)</f>
        <v>0</v>
      </c>
      <c r="Z162" s="279">
        <f>VLOOKUP(TableRBRanks3141[[#This Row],[Player]],RB!B:O,10,FALSE)</f>
        <v>0</v>
      </c>
      <c r="AA162" s="272">
        <f>VLOOKUP(TableRBRanks3141[[#This Row],[Player]],RB!B:O,14,FALSE)</f>
        <v>0</v>
      </c>
      <c r="AB162" s="273" t="e">
        <f>IF(VLOOKUP(TableRBRanks3141[[#This Row],[RK]],'Ranks w Proj'!$P:$AB,13,FALSE)&lt;0,0,VLOOKUP(TableRBRanks3141[[#This Row],[RK]],'Ranks w Proj'!$P:$AB,13,FALSE))</f>
        <v>#VALUE!</v>
      </c>
      <c r="AD162" s="274">
        <v>161</v>
      </c>
      <c r="AE162" s="274" t="str">
        <f>VLOOKUP(TableWRRanks3242[[#This Row],[RK]],Rankings!A:Q,11,FALSE)</f>
        <v>Greg Ward</v>
      </c>
      <c r="AF162" s="22" t="str">
        <f>IFERROR(INDEX(TableWRCalcPts[TM],MATCH(TableWRRanks3242[[#This Row],[Player]],TableWRCalcPts[PLAYER],0)),"")</f>
        <v>PHI</v>
      </c>
      <c r="AG162" s="22">
        <f>IFERROR(INDEX(TableWRCalcPts[BYE],MATCH(TableWRRanks3242[[#This Row],[RK]],TableWRCalcPts[RK],0)),"")</f>
        <v>14</v>
      </c>
      <c r="AH162" s="279">
        <f>VLOOKUP(TableWRRanks3242[[#This Row],[Player]],WR!B:O,4,FALSE)</f>
        <v>0</v>
      </c>
      <c r="AI162" s="279">
        <f>VLOOKUP(TableWRRanks3242[[#This Row],[Player]],WR!B:O,5,FALSE)</f>
        <v>0</v>
      </c>
      <c r="AJ162" s="279">
        <f>VLOOKUP(TableWRRanks3242[[#This Row],[Player]],WR!B:O,6,FALSE)</f>
        <v>14.460532423693452</v>
      </c>
      <c r="AK162" s="279">
        <f>VLOOKUP(TableWRRanks3242[[#This Row],[Player]],WR!B:O,7,FALSE)</f>
        <v>9.2099131006503594</v>
      </c>
      <c r="AL162" s="279">
        <f>VLOOKUP(TableWRRanks3242[[#This Row],[Player]],WR!B:O,8,FALSE)</f>
        <v>96.969758127039839</v>
      </c>
      <c r="AM162" s="279">
        <f>VLOOKUP(TableWRRanks3242[[#This Row],[Player]],WR!B:O,9,FALSE)</f>
        <v>0.35918661092536402</v>
      </c>
      <c r="AN162" s="272">
        <f>VLOOKUP(TableWRRanks3242[[#This Row],[Player]],WR!B:O,13,FALSE)</f>
        <v>11.852095478256167</v>
      </c>
      <c r="AO162" s="273">
        <f>IF(VLOOKUP(TableWRRanks3242[[#This Row],[RK]],'Ranks w Proj'!AD:AO,12,FALSE)&lt;0,0,VLOOKUP(TableWRRanks3242[[#This Row],[RK]],'Ranks w Proj'!AD:AO,12,FALSE))</f>
        <v>0</v>
      </c>
    </row>
    <row r="163" spans="16:41" x14ac:dyDescent="0.3">
      <c r="P163" s="22">
        <v>162</v>
      </c>
      <c r="Q163" s="274">
        <f>VLOOKUP(TableRBRanks3141[[#This Row],[RK]],Rankings!A:Q,7,FALSE)</f>
        <v>0</v>
      </c>
      <c r="R163" s="274" t="str">
        <f>IFERROR(INDEX(TableRBCalcPts[TM],MATCH(TableRBRanks3141[[#This Row],[Player]],TableRBCalcPts[PLAYER],0)),"")</f>
        <v/>
      </c>
      <c r="S163" s="274" t="str">
        <f>IFERROR(INDEX(TableRBCalcPts[BYE],MATCH(TableRBRanks3141[[#This Row],[RK]],TableRBCalcPts[RK],0)),"")</f>
        <v/>
      </c>
      <c r="T163" s="279">
        <f>VLOOKUP(TableRBRanks3141[[#This Row],[Player]],RB!B:O,4,FALSE)</f>
        <v>0</v>
      </c>
      <c r="U163" s="279">
        <f>VLOOKUP(TableRBRanks3141[[#This Row],[Player]],RB!B:O,5,FALSE)</f>
        <v>0</v>
      </c>
      <c r="V163" s="279">
        <f>VLOOKUP(TableRBRanks3141[[#This Row],[Player]],RB!B:O,6,FALSE)</f>
        <v>0</v>
      </c>
      <c r="W163" s="279">
        <f>VLOOKUP(TableRBRanks3141[[#This Row],[Player]],RB!B:O,7,FALSE)</f>
        <v>0</v>
      </c>
      <c r="X163" s="279">
        <f>VLOOKUP(TableRBRanks3141[[#This Row],[Player]],RB!B:O,8,FALSE)</f>
        <v>0</v>
      </c>
      <c r="Y163" s="279">
        <f>VLOOKUP(TableRBRanks3141[[#This Row],[Player]],RB!B:O,9,FALSE)</f>
        <v>0</v>
      </c>
      <c r="Z163" s="279">
        <f>VLOOKUP(TableRBRanks3141[[#This Row],[Player]],RB!B:O,10,FALSE)</f>
        <v>0</v>
      </c>
      <c r="AA163" s="272">
        <f>VLOOKUP(TableRBRanks3141[[#This Row],[Player]],RB!B:O,14,FALSE)</f>
        <v>0</v>
      </c>
      <c r="AB163" s="273" t="e">
        <f>IF(VLOOKUP(TableRBRanks3141[[#This Row],[RK]],'Ranks w Proj'!$P:$AB,13,FALSE)&lt;0,0,VLOOKUP(TableRBRanks3141[[#This Row],[RK]],'Ranks w Proj'!$P:$AB,13,FALSE))</f>
        <v>#VALUE!</v>
      </c>
      <c r="AD163" s="22">
        <v>162</v>
      </c>
      <c r="AE163" s="22" t="str">
        <f>VLOOKUP(TableWRRanks3242[[#This Row],[RK]],Rankings!A:Q,11,FALSE)</f>
        <v>Dazz Newsome</v>
      </c>
      <c r="AF163" s="22" t="str">
        <f>IFERROR(INDEX(TableWRCalcPts[TM],MATCH(TableWRRanks3242[[#This Row],[Player]],TableWRCalcPts[PLAYER],0)),"")</f>
        <v>CHI</v>
      </c>
      <c r="AG163" s="22">
        <f>IFERROR(INDEX(TableWRCalcPts[BYE],MATCH(TableWRRanks3242[[#This Row],[RK]],TableWRCalcPts[RK],0)),"")</f>
        <v>7</v>
      </c>
      <c r="AH163" s="279">
        <f>VLOOKUP(TableWRRanks3242[[#This Row],[Player]],WR!B:O,4,FALSE)</f>
        <v>0</v>
      </c>
      <c r="AI163" s="279">
        <f>VLOOKUP(TableWRRanks3242[[#This Row],[Player]],WR!B:O,5,FALSE)</f>
        <v>0</v>
      </c>
      <c r="AJ163" s="279">
        <f>VLOOKUP(TableWRRanks3242[[#This Row],[Player]],WR!B:O,6,FALSE)</f>
        <v>13.462234220626115</v>
      </c>
      <c r="AK163" s="279">
        <f>VLOOKUP(TableWRRanks3242[[#This Row],[Player]],WR!B:O,7,FALSE)</f>
        <v>7.7677091453012679</v>
      </c>
      <c r="AL163" s="279">
        <f>VLOOKUP(TableWRRanks3242[[#This Row],[Player]],WR!B:O,8,FALSE)</f>
        <v>96.483124120584165</v>
      </c>
      <c r="AM163" s="279">
        <f>VLOOKUP(TableWRRanks3242[[#This Row],[Player]],WR!B:O,9,FALSE)</f>
        <v>0.42109160103475296</v>
      </c>
      <c r="AN163" s="272">
        <f>VLOOKUP(TableWRRanks3242[[#This Row],[Player]],WR!B:O,13,FALSE)</f>
        <v>12.174862018266934</v>
      </c>
      <c r="AO163" s="273">
        <f>IF(VLOOKUP(TableWRRanks3242[[#This Row],[RK]],'Ranks w Proj'!AD:AO,12,FALSE)&lt;0,0,VLOOKUP(TableWRRanks3242[[#This Row],[RK]],'Ranks w Proj'!AD:AO,12,FALSE))</f>
        <v>0</v>
      </c>
    </row>
    <row r="164" spans="16:41" x14ac:dyDescent="0.3">
      <c r="P164" s="22">
        <v>163</v>
      </c>
      <c r="Q164" s="274">
        <f>VLOOKUP(TableRBRanks3141[[#This Row],[RK]],Rankings!A:Q,7,FALSE)</f>
        <v>0</v>
      </c>
      <c r="R164" s="274" t="str">
        <f>IFERROR(INDEX(TableRBCalcPts[TM],MATCH(TableRBRanks3141[[#This Row],[Player]],TableRBCalcPts[PLAYER],0)),"")</f>
        <v/>
      </c>
      <c r="S164" s="274" t="str">
        <f>IFERROR(INDEX(TableRBCalcPts[BYE],MATCH(TableRBRanks3141[[#This Row],[RK]],TableRBCalcPts[RK],0)),"")</f>
        <v/>
      </c>
      <c r="T164" s="279">
        <f>VLOOKUP(TableRBRanks3141[[#This Row],[Player]],RB!B:O,4,FALSE)</f>
        <v>0</v>
      </c>
      <c r="U164" s="279">
        <f>VLOOKUP(TableRBRanks3141[[#This Row],[Player]],RB!B:O,5,FALSE)</f>
        <v>0</v>
      </c>
      <c r="V164" s="279">
        <f>VLOOKUP(TableRBRanks3141[[#This Row],[Player]],RB!B:O,6,FALSE)</f>
        <v>0</v>
      </c>
      <c r="W164" s="279">
        <f>VLOOKUP(TableRBRanks3141[[#This Row],[Player]],RB!B:O,7,FALSE)</f>
        <v>0</v>
      </c>
      <c r="X164" s="279">
        <f>VLOOKUP(TableRBRanks3141[[#This Row],[Player]],RB!B:O,8,FALSE)</f>
        <v>0</v>
      </c>
      <c r="Y164" s="279">
        <f>VLOOKUP(TableRBRanks3141[[#This Row],[Player]],RB!B:O,9,FALSE)</f>
        <v>0</v>
      </c>
      <c r="Z164" s="279">
        <f>VLOOKUP(TableRBRanks3141[[#This Row],[Player]],RB!B:O,10,FALSE)</f>
        <v>0</v>
      </c>
      <c r="AA164" s="272">
        <f>VLOOKUP(TableRBRanks3141[[#This Row],[Player]],RB!B:O,14,FALSE)</f>
        <v>0</v>
      </c>
      <c r="AB164" s="273" t="e">
        <f>IF(VLOOKUP(TableRBRanks3141[[#This Row],[RK]],'Ranks w Proj'!$P:$AB,13,FALSE)&lt;0,0,VLOOKUP(TableRBRanks3141[[#This Row],[RK]],'Ranks w Proj'!$P:$AB,13,FALSE))</f>
        <v>#VALUE!</v>
      </c>
      <c r="AD164" s="22">
        <v>163</v>
      </c>
      <c r="AE164" s="22" t="str">
        <f>VLOOKUP(TableWRRanks3242[[#This Row],[RK]],Rankings!A:Q,11,FALSE)</f>
        <v>Denzel Mims</v>
      </c>
      <c r="AF164" s="22" t="str">
        <f>IFERROR(INDEX(TableWRCalcPts[TM],MATCH(TableWRRanks3242[[#This Row],[Player]],TableWRCalcPts[PLAYER],0)),"")</f>
        <v>NYJ</v>
      </c>
      <c r="AG164" s="22">
        <f>IFERROR(INDEX(TableWRCalcPts[BYE],MATCH(TableWRRanks3242[[#This Row],[RK]],TableWRCalcPts[RK],0)),"")</f>
        <v>10</v>
      </c>
      <c r="AH164" s="279">
        <f>VLOOKUP(TableWRRanks3242[[#This Row],[Player]],WR!B:O,4,FALSE)</f>
        <v>0</v>
      </c>
      <c r="AI164" s="279">
        <f>VLOOKUP(TableWRRanks3242[[#This Row],[Player]],WR!B:O,5,FALSE)</f>
        <v>0</v>
      </c>
      <c r="AJ164" s="279">
        <f>VLOOKUP(TableWRRanks3242[[#This Row],[Player]],WR!B:O,6,FALSE)</f>
        <v>12.106713272000864</v>
      </c>
      <c r="AK164" s="279">
        <f>VLOOKUP(TableWRRanks3242[[#This Row],[Player]],WR!B:O,7,FALSE)</f>
        <v>6.1211542303236373</v>
      </c>
      <c r="AL164" s="279">
        <f>VLOOKUP(TableWRRanks3242[[#This Row],[Player]],WR!B:O,8,FALSE)</f>
        <v>92.735486589403109</v>
      </c>
      <c r="AM164" s="279">
        <f>VLOOKUP(TableWRRanks3242[[#This Row],[Player]],WR!B:O,9,FALSE)</f>
        <v>0.36726925381941822</v>
      </c>
      <c r="AN164" s="272">
        <f>VLOOKUP(TableWRRanks3242[[#This Row],[Player]],WR!B:O,13,FALSE)</f>
        <v>11.477164181856821</v>
      </c>
      <c r="AO164" s="273">
        <f>IF(VLOOKUP(TableWRRanks3242[[#This Row],[RK]],'Ranks w Proj'!AD:AO,12,FALSE)&lt;0,0,VLOOKUP(TableWRRanks3242[[#This Row],[RK]],'Ranks w Proj'!AD:AO,12,FALSE))</f>
        <v>0</v>
      </c>
    </row>
    <row r="165" spans="16:41" x14ac:dyDescent="0.3">
      <c r="P165" s="22">
        <v>164</v>
      </c>
      <c r="Q165" s="274">
        <f>VLOOKUP(TableRBRanks3141[[#This Row],[RK]],Rankings!A:Q,7,FALSE)</f>
        <v>0</v>
      </c>
      <c r="R165" s="274" t="str">
        <f>IFERROR(INDEX(TableRBCalcPts[TM],MATCH(TableRBRanks3141[[#This Row],[Player]],TableRBCalcPts[PLAYER],0)),"")</f>
        <v/>
      </c>
      <c r="S165" s="274" t="str">
        <f>IFERROR(INDEX(TableRBCalcPts[BYE],MATCH(TableRBRanks3141[[#This Row],[RK]],TableRBCalcPts[RK],0)),"")</f>
        <v/>
      </c>
      <c r="T165" s="279">
        <f>VLOOKUP(TableRBRanks3141[[#This Row],[Player]],RB!B:O,4,FALSE)</f>
        <v>0</v>
      </c>
      <c r="U165" s="279">
        <f>VLOOKUP(TableRBRanks3141[[#This Row],[Player]],RB!B:O,5,FALSE)</f>
        <v>0</v>
      </c>
      <c r="V165" s="279">
        <f>VLOOKUP(TableRBRanks3141[[#This Row],[Player]],RB!B:O,6,FALSE)</f>
        <v>0</v>
      </c>
      <c r="W165" s="279">
        <f>VLOOKUP(TableRBRanks3141[[#This Row],[Player]],RB!B:O,7,FALSE)</f>
        <v>0</v>
      </c>
      <c r="X165" s="279">
        <f>VLOOKUP(TableRBRanks3141[[#This Row],[Player]],RB!B:O,8,FALSE)</f>
        <v>0</v>
      </c>
      <c r="Y165" s="279">
        <f>VLOOKUP(TableRBRanks3141[[#This Row],[Player]],RB!B:O,9,FALSE)</f>
        <v>0</v>
      </c>
      <c r="Z165" s="279">
        <f>VLOOKUP(TableRBRanks3141[[#This Row],[Player]],RB!B:O,10,FALSE)</f>
        <v>0</v>
      </c>
      <c r="AA165" s="272">
        <f>VLOOKUP(TableRBRanks3141[[#This Row],[Player]],RB!B:O,14,FALSE)</f>
        <v>0</v>
      </c>
      <c r="AB165" s="273" t="e">
        <f>IF(VLOOKUP(TableRBRanks3141[[#This Row],[RK]],'Ranks w Proj'!$P:$AB,13,FALSE)&lt;0,0,VLOOKUP(TableRBRanks3141[[#This Row],[RK]],'Ranks w Proj'!$P:$AB,13,FALSE))</f>
        <v>#VALUE!</v>
      </c>
      <c r="AD165" s="274">
        <v>164</v>
      </c>
      <c r="AE165" s="274" t="str">
        <f>VLOOKUP(TableWRRanks3242[[#This Row],[RK]],Rankings!A:Q,11,FALSE)</f>
        <v>Simi Fehoko</v>
      </c>
      <c r="AF165" s="22" t="str">
        <f>IFERROR(INDEX(TableWRCalcPts[TM],MATCH(TableWRRanks3242[[#This Row],[Player]],TableWRCalcPts[PLAYER],0)),"")</f>
        <v>DAL</v>
      </c>
      <c r="AG165" s="22">
        <f>IFERROR(INDEX(TableWRCalcPts[BYE],MATCH(TableWRRanks3242[[#This Row],[RK]],TableWRCalcPts[RK],0)),"")</f>
        <v>11</v>
      </c>
      <c r="AH165" s="279">
        <f>VLOOKUP(TableWRRanks3242[[#This Row],[Player]],WR!B:O,4,FALSE)</f>
        <v>0</v>
      </c>
      <c r="AI165" s="279">
        <f>VLOOKUP(TableWRRanks3242[[#This Row],[Player]],WR!B:O,5,FALSE)</f>
        <v>0</v>
      </c>
      <c r="AJ165" s="279">
        <f>VLOOKUP(TableWRRanks3242[[#This Row],[Player]],WR!B:O,6,FALSE)</f>
        <v>11.65686937498282</v>
      </c>
      <c r="AK165" s="279">
        <f>VLOOKUP(TableWRRanks3242[[#This Row],[Player]],WR!B:O,7,FALSE)</f>
        <v>6.9428313997397684</v>
      </c>
      <c r="AL165" s="279">
        <f>VLOOKUP(TableWRRanks3242[[#This Row],[Player]],WR!B:O,8,FALSE)</f>
        <v>80.335641975494383</v>
      </c>
      <c r="AM165" s="279">
        <f>VLOOKUP(TableWRRanks3242[[#This Row],[Player]],WR!B:O,9,FALSE)</f>
        <v>0.49294102938152351</v>
      </c>
      <c r="AN165" s="272">
        <f>VLOOKUP(TableWRRanks3242[[#This Row],[Player]],WR!B:O,13,FALSE)</f>
        <v>10.99121037383858</v>
      </c>
      <c r="AO165" s="273">
        <f>IF(VLOOKUP(TableWRRanks3242[[#This Row],[RK]],'Ranks w Proj'!AD:AO,12,FALSE)&lt;0,0,VLOOKUP(TableWRRanks3242[[#This Row],[RK]],'Ranks w Proj'!AD:AO,12,FALSE))</f>
        <v>0</v>
      </c>
    </row>
    <row r="166" spans="16:41" x14ac:dyDescent="0.3">
      <c r="P166" s="22">
        <v>165</v>
      </c>
      <c r="Q166" s="274">
        <f>VLOOKUP(TableRBRanks3141[[#This Row],[RK]],Rankings!A:Q,7,FALSE)</f>
        <v>0</v>
      </c>
      <c r="R166" s="274" t="str">
        <f>IFERROR(INDEX(TableRBCalcPts[TM],MATCH(TableRBRanks3141[[#This Row],[Player]],TableRBCalcPts[PLAYER],0)),"")</f>
        <v/>
      </c>
      <c r="S166" s="274" t="str">
        <f>IFERROR(INDEX(TableRBCalcPts[BYE],MATCH(TableRBRanks3141[[#This Row],[RK]],TableRBCalcPts[RK],0)),"")</f>
        <v/>
      </c>
      <c r="T166" s="279">
        <f>VLOOKUP(TableRBRanks3141[[#This Row],[Player]],RB!B:O,4,FALSE)</f>
        <v>0</v>
      </c>
      <c r="U166" s="279">
        <f>VLOOKUP(TableRBRanks3141[[#This Row],[Player]],RB!B:O,5,FALSE)</f>
        <v>0</v>
      </c>
      <c r="V166" s="279">
        <f>VLOOKUP(TableRBRanks3141[[#This Row],[Player]],RB!B:O,6,FALSE)</f>
        <v>0</v>
      </c>
      <c r="W166" s="279">
        <f>VLOOKUP(TableRBRanks3141[[#This Row],[Player]],RB!B:O,7,FALSE)</f>
        <v>0</v>
      </c>
      <c r="X166" s="279">
        <f>VLOOKUP(TableRBRanks3141[[#This Row],[Player]],RB!B:O,8,FALSE)</f>
        <v>0</v>
      </c>
      <c r="Y166" s="279">
        <f>VLOOKUP(TableRBRanks3141[[#This Row],[Player]],RB!B:O,9,FALSE)</f>
        <v>0</v>
      </c>
      <c r="Z166" s="279">
        <f>VLOOKUP(TableRBRanks3141[[#This Row],[Player]],RB!B:O,10,FALSE)</f>
        <v>0</v>
      </c>
      <c r="AA166" s="272">
        <f>VLOOKUP(TableRBRanks3141[[#This Row],[Player]],RB!B:O,14,FALSE)</f>
        <v>0</v>
      </c>
      <c r="AB166" s="273" t="e">
        <f>IF(VLOOKUP(TableRBRanks3141[[#This Row],[RK]],'Ranks w Proj'!$P:$AB,13,FALSE)&lt;0,0,VLOOKUP(TableRBRanks3141[[#This Row],[RK]],'Ranks w Proj'!$P:$AB,13,FALSE))</f>
        <v>#VALUE!</v>
      </c>
      <c r="AD166" s="22">
        <v>165</v>
      </c>
      <c r="AE166" s="274" t="str">
        <f>VLOOKUP(TableWRRanks3242[[#This Row],[RK]],Rankings!A:Q,11,FALSE)</f>
        <v>Trent Sherfield</v>
      </c>
      <c r="AF166" s="22" t="str">
        <f>IFERROR(INDEX(TableWRCalcPts[TM],MATCH(TableWRRanks3242[[#This Row],[Player]],TableWRCalcPts[PLAYER],0)),"")</f>
        <v>MIA</v>
      </c>
      <c r="AG166" s="22">
        <f>IFERROR(INDEX(TableWRCalcPts[BYE],MATCH(TableWRRanks3242[[#This Row],[RK]],TableWRCalcPts[RK],0)),"")</f>
        <v>9</v>
      </c>
      <c r="AH166" s="279">
        <f>VLOOKUP(TableWRRanks3242[[#This Row],[Player]],WR!B:O,4,FALSE)</f>
        <v>0</v>
      </c>
      <c r="AI166" s="279">
        <f>VLOOKUP(TableWRRanks3242[[#This Row],[Player]],WR!B:O,5,FALSE)</f>
        <v>0</v>
      </c>
      <c r="AJ166" s="279">
        <f>VLOOKUP(TableWRRanks3242[[#This Row],[Player]],WR!B:O,6,FALSE)</f>
        <v>11.969781689999996</v>
      </c>
      <c r="AK166" s="279">
        <f>VLOOKUP(TableWRRanks3242[[#This Row],[Player]],WR!B:O,7,FALSE)</f>
        <v>6.7263909839938938</v>
      </c>
      <c r="AL166" s="279">
        <f>VLOOKUP(TableWRRanks3242[[#This Row],[Player]],WR!B:O,8,FALSE)</f>
        <v>74.662939922332214</v>
      </c>
      <c r="AM166" s="279">
        <f>VLOOKUP(TableWRRanks3242[[#This Row],[Player]],WR!B:O,9,FALSE)</f>
        <v>0.60127275466046504</v>
      </c>
      <c r="AN166" s="272">
        <f>VLOOKUP(TableWRRanks3242[[#This Row],[Player]],WR!B:O,13,FALSE)</f>
        <v>11.073930520196011</v>
      </c>
      <c r="AO166" s="273">
        <f>IF(VLOOKUP(TableWRRanks3242[[#This Row],[RK]],'Ranks w Proj'!AD:AO,12,FALSE)&lt;0,0,VLOOKUP(TableWRRanks3242[[#This Row],[RK]],'Ranks w Proj'!AD:AO,12,FALSE))</f>
        <v>0</v>
      </c>
    </row>
    <row r="167" spans="16:41" x14ac:dyDescent="0.3">
      <c r="P167" s="22">
        <v>166</v>
      </c>
      <c r="Q167" s="274">
        <f>VLOOKUP(TableRBRanks3141[[#This Row],[RK]],Rankings!A:Q,7,FALSE)</f>
        <v>0</v>
      </c>
      <c r="R167" s="274" t="str">
        <f>IFERROR(INDEX(TableRBCalcPts[TM],MATCH(TableRBRanks3141[[#This Row],[Player]],TableRBCalcPts[PLAYER],0)),"")</f>
        <v/>
      </c>
      <c r="S167" s="274" t="str">
        <f>IFERROR(INDEX(TableRBCalcPts[BYE],MATCH(TableRBRanks3141[[#This Row],[RK]],TableRBCalcPts[RK],0)),"")</f>
        <v/>
      </c>
      <c r="T167" s="279">
        <f>VLOOKUP(TableRBRanks3141[[#This Row],[Player]],RB!B:O,4,FALSE)</f>
        <v>0</v>
      </c>
      <c r="U167" s="279">
        <f>VLOOKUP(TableRBRanks3141[[#This Row],[Player]],RB!B:O,5,FALSE)</f>
        <v>0</v>
      </c>
      <c r="V167" s="279">
        <f>VLOOKUP(TableRBRanks3141[[#This Row],[Player]],RB!B:O,6,FALSE)</f>
        <v>0</v>
      </c>
      <c r="W167" s="279">
        <f>VLOOKUP(TableRBRanks3141[[#This Row],[Player]],RB!B:O,7,FALSE)</f>
        <v>0</v>
      </c>
      <c r="X167" s="279">
        <f>VLOOKUP(TableRBRanks3141[[#This Row],[Player]],RB!B:O,8,FALSE)</f>
        <v>0</v>
      </c>
      <c r="Y167" s="279">
        <f>VLOOKUP(TableRBRanks3141[[#This Row],[Player]],RB!B:O,9,FALSE)</f>
        <v>0</v>
      </c>
      <c r="Z167" s="279">
        <f>VLOOKUP(TableRBRanks3141[[#This Row],[Player]],RB!B:O,10,FALSE)</f>
        <v>0</v>
      </c>
      <c r="AA167" s="272">
        <f>VLOOKUP(TableRBRanks3141[[#This Row],[Player]],RB!B:O,14,FALSE)</f>
        <v>0</v>
      </c>
      <c r="AB167" s="273" t="e">
        <f>IF(VLOOKUP(TableRBRanks3141[[#This Row],[RK]],'Ranks w Proj'!$P:$AB,13,FALSE)&lt;0,0,VLOOKUP(TableRBRanks3141[[#This Row],[RK]],'Ranks w Proj'!$P:$AB,13,FALSE))</f>
        <v>#VALUE!</v>
      </c>
      <c r="AD167" s="22">
        <v>166</v>
      </c>
      <c r="AE167" s="274" t="str">
        <f>VLOOKUP(TableWRRanks3242[[#This Row],[RK]],Rankings!A:Q,11,FALSE)</f>
        <v>Jamal Agnew</v>
      </c>
      <c r="AF167" s="22" t="str">
        <f>IFERROR(INDEX(TableWRCalcPts[TM],MATCH(TableWRRanks3242[[#This Row],[Player]],TableWRCalcPts[PLAYER],0)),"")</f>
        <v>JAX</v>
      </c>
      <c r="AG167" s="22">
        <f>IFERROR(INDEX(TableWRCalcPts[BYE],MATCH(TableWRRanks3242[[#This Row],[RK]],TableWRCalcPts[RK],0)),"")</f>
        <v>11</v>
      </c>
      <c r="AH167" s="279">
        <f>VLOOKUP(TableWRRanks3242[[#This Row],[Player]],WR!B:O,4,FALSE)</f>
        <v>0</v>
      </c>
      <c r="AI167" s="279">
        <f>VLOOKUP(TableWRRanks3242[[#This Row],[Player]],WR!B:O,5,FALSE)</f>
        <v>0</v>
      </c>
      <c r="AJ167" s="279">
        <f>VLOOKUP(TableWRRanks3242[[#This Row],[Player]],WR!B:O,6,FALSE)</f>
        <v>11.785839178766663</v>
      </c>
      <c r="AK167" s="279">
        <f>VLOOKUP(TableWRRanks3242[[#This Row],[Player]],WR!B:O,7,FALSE)</f>
        <v>7.1657902206901305</v>
      </c>
      <c r="AL167" s="279">
        <f>VLOOKUP(TableWRRanks3242[[#This Row],[Player]],WR!B:O,8,FALSE)</f>
        <v>81.024708241287271</v>
      </c>
      <c r="AM167" s="279">
        <f>VLOOKUP(TableWRRanks3242[[#This Row],[Player]],WR!B:O,9,FALSE)</f>
        <v>0.44427899368278811</v>
      </c>
      <c r="AN167" s="272">
        <f>VLOOKUP(TableWRRanks3242[[#This Row],[Player]],WR!B:O,13,FALSE)</f>
        <v>10.768144786225456</v>
      </c>
      <c r="AO167" s="273">
        <f>IF(VLOOKUP(TableWRRanks3242[[#This Row],[RK]],'Ranks w Proj'!AD:AO,12,FALSE)&lt;0,0,VLOOKUP(TableWRRanks3242[[#This Row],[RK]],'Ranks w Proj'!AD:AO,12,FALSE))</f>
        <v>0</v>
      </c>
    </row>
    <row r="168" spans="16:41" x14ac:dyDescent="0.3">
      <c r="P168" s="22">
        <v>167</v>
      </c>
      <c r="Q168" s="274">
        <f>VLOOKUP(TableRBRanks3141[[#This Row],[RK]],Rankings!A:Q,7,FALSE)</f>
        <v>0</v>
      </c>
      <c r="R168" s="274" t="str">
        <f>IFERROR(INDEX(TableRBCalcPts[TM],MATCH(TableRBRanks3141[[#This Row],[Player]],TableRBCalcPts[PLAYER],0)),"")</f>
        <v/>
      </c>
      <c r="S168" s="274" t="str">
        <f>IFERROR(INDEX(TableRBCalcPts[BYE],MATCH(TableRBRanks3141[[#This Row],[RK]],TableRBCalcPts[RK],0)),"")</f>
        <v/>
      </c>
      <c r="T168" s="279">
        <f>VLOOKUP(TableRBRanks3141[[#This Row],[Player]],RB!B:O,4,FALSE)</f>
        <v>0</v>
      </c>
      <c r="U168" s="279">
        <f>VLOOKUP(TableRBRanks3141[[#This Row],[Player]],RB!B:O,5,FALSE)</f>
        <v>0</v>
      </c>
      <c r="V168" s="279">
        <f>VLOOKUP(TableRBRanks3141[[#This Row],[Player]],RB!B:O,6,FALSE)</f>
        <v>0</v>
      </c>
      <c r="W168" s="279">
        <f>VLOOKUP(TableRBRanks3141[[#This Row],[Player]],RB!B:O,7,FALSE)</f>
        <v>0</v>
      </c>
      <c r="X168" s="279">
        <f>VLOOKUP(TableRBRanks3141[[#This Row],[Player]],RB!B:O,8,FALSE)</f>
        <v>0</v>
      </c>
      <c r="Y168" s="279">
        <f>VLOOKUP(TableRBRanks3141[[#This Row],[Player]],RB!B:O,9,FALSE)</f>
        <v>0</v>
      </c>
      <c r="Z168" s="279">
        <f>VLOOKUP(TableRBRanks3141[[#This Row],[Player]],RB!B:O,10,FALSE)</f>
        <v>0</v>
      </c>
      <c r="AA168" s="272">
        <f>VLOOKUP(TableRBRanks3141[[#This Row],[Player]],RB!B:O,14,FALSE)</f>
        <v>0</v>
      </c>
      <c r="AB168" s="273" t="e">
        <f>IF(VLOOKUP(TableRBRanks3141[[#This Row],[RK]],'Ranks w Proj'!$P:$AB,13,FALSE)&lt;0,0,VLOOKUP(TableRBRanks3141[[#This Row],[RK]],'Ranks w Proj'!$P:$AB,13,FALSE))</f>
        <v>#VALUE!</v>
      </c>
      <c r="AD168" s="274">
        <v>167</v>
      </c>
      <c r="AE168" s="22" t="str">
        <f>VLOOKUP(TableWRRanks3242[[#This Row],[RK]],Rankings!A:Q,11,FALSE)</f>
        <v>Kendall Hinton</v>
      </c>
      <c r="AF168" s="22" t="str">
        <f>IFERROR(INDEX(TableWRCalcPts[TM],MATCH(TableWRRanks3242[[#This Row],[Player]],TableWRCalcPts[PLAYER],0)),"")</f>
        <v>DEN</v>
      </c>
      <c r="AG168" s="22">
        <f>IFERROR(INDEX(TableWRCalcPts[BYE],MATCH(TableWRRanks3242[[#This Row],[RK]],TableWRCalcPts[RK],0)),"")</f>
        <v>8</v>
      </c>
      <c r="AH168" s="279">
        <f>VLOOKUP(TableWRRanks3242[[#This Row],[Player]],WR!B:O,4,FALSE)</f>
        <v>0</v>
      </c>
      <c r="AI168" s="279">
        <f>VLOOKUP(TableWRRanks3242[[#This Row],[Player]],WR!B:O,5,FALSE)</f>
        <v>0</v>
      </c>
      <c r="AJ168" s="279">
        <f>VLOOKUP(TableWRRanks3242[[#This Row],[Player]],WR!B:O,6,FALSE)</f>
        <v>10.399645003070717</v>
      </c>
      <c r="AK168" s="279">
        <f>VLOOKUP(TableWRRanks3242[[#This Row],[Player]],WR!B:O,7,FALSE)</f>
        <v>6.408261250892175</v>
      </c>
      <c r="AL168" s="279">
        <f>VLOOKUP(TableWRRanks3242[[#This Row],[Player]],WR!B:O,8,FALSE)</f>
        <v>72.901411038207087</v>
      </c>
      <c r="AM168" s="279">
        <f>VLOOKUP(TableWRRanks3242[[#This Row],[Player]],WR!B:O,9,FALSE)</f>
        <v>0.47390410919781817</v>
      </c>
      <c r="AN168" s="272">
        <f>VLOOKUP(TableWRRanks3242[[#This Row],[Player]],WR!B:O,13,FALSE)</f>
        <v>10.133565759007617</v>
      </c>
      <c r="AO168" s="273">
        <f>IF(VLOOKUP(TableWRRanks3242[[#This Row],[RK]],'Ranks w Proj'!AD:AO,12,FALSE)&lt;0,0,VLOOKUP(TableWRRanks3242[[#This Row],[RK]],'Ranks w Proj'!AD:AO,12,FALSE))</f>
        <v>0</v>
      </c>
    </row>
    <row r="169" spans="16:41" x14ac:dyDescent="0.3">
      <c r="P169" s="22">
        <v>168</v>
      </c>
      <c r="Q169" s="274">
        <f>VLOOKUP(TableRBRanks3141[[#This Row],[RK]],Rankings!A:Q,7,FALSE)</f>
        <v>0</v>
      </c>
      <c r="R169" s="274" t="str">
        <f>IFERROR(INDEX(TableRBCalcPts[TM],MATCH(TableRBRanks3141[[#This Row],[Player]],TableRBCalcPts[PLAYER],0)),"")</f>
        <v/>
      </c>
      <c r="S169" s="274" t="str">
        <f>IFERROR(INDEX(TableRBCalcPts[BYE],MATCH(TableRBRanks3141[[#This Row],[RK]],TableRBCalcPts[RK],0)),"")</f>
        <v/>
      </c>
      <c r="T169" s="279">
        <f>VLOOKUP(TableRBRanks3141[[#This Row],[Player]],RB!B:O,4,FALSE)</f>
        <v>0</v>
      </c>
      <c r="U169" s="279">
        <f>VLOOKUP(TableRBRanks3141[[#This Row],[Player]],RB!B:O,5,FALSE)</f>
        <v>0</v>
      </c>
      <c r="V169" s="279">
        <f>VLOOKUP(TableRBRanks3141[[#This Row],[Player]],RB!B:O,6,FALSE)</f>
        <v>0</v>
      </c>
      <c r="W169" s="279">
        <f>VLOOKUP(TableRBRanks3141[[#This Row],[Player]],RB!B:O,7,FALSE)</f>
        <v>0</v>
      </c>
      <c r="X169" s="279">
        <f>VLOOKUP(TableRBRanks3141[[#This Row],[Player]],RB!B:O,8,FALSE)</f>
        <v>0</v>
      </c>
      <c r="Y169" s="279">
        <f>VLOOKUP(TableRBRanks3141[[#This Row],[Player]],RB!B:O,9,FALSE)</f>
        <v>0</v>
      </c>
      <c r="Z169" s="279">
        <f>VLOOKUP(TableRBRanks3141[[#This Row],[Player]],RB!B:O,10,FALSE)</f>
        <v>0</v>
      </c>
      <c r="AA169" s="272">
        <f>VLOOKUP(TableRBRanks3141[[#This Row],[Player]],RB!B:O,14,FALSE)</f>
        <v>0</v>
      </c>
      <c r="AB169" s="273" t="e">
        <f>IF(VLOOKUP(TableRBRanks3141[[#This Row],[RK]],'Ranks w Proj'!$P:$AB,13,FALSE)&lt;0,0,VLOOKUP(TableRBRanks3141[[#This Row],[RK]],'Ranks w Proj'!$P:$AB,13,FALSE))</f>
        <v>#VALUE!</v>
      </c>
      <c r="AD169" s="22">
        <v>168</v>
      </c>
      <c r="AE169" s="274" t="str">
        <f>VLOOKUP(TableWRRanks3242[[#This Row],[RK]],Rankings!A:Q,11,FALSE)</f>
        <v>Josh Gordon</v>
      </c>
      <c r="AF169" s="22" t="str">
        <f>IFERROR(INDEX(TableWRCalcPts[TM],MATCH(TableWRRanks3242[[#This Row],[Player]],TableWRCalcPts[PLAYER],0)),"")</f>
        <v>KC</v>
      </c>
      <c r="AG169" s="22">
        <f>IFERROR(INDEX(TableWRCalcPts[BYE],MATCH(TableWRRanks3242[[#This Row],[RK]],TableWRCalcPts[RK],0)),"")</f>
        <v>9</v>
      </c>
      <c r="AH169" s="279">
        <f>VLOOKUP(TableWRRanks3242[[#This Row],[Player]],WR!B:O,4,FALSE)</f>
        <v>0</v>
      </c>
      <c r="AI169" s="279">
        <f>VLOOKUP(TableWRRanks3242[[#This Row],[Player]],WR!B:O,5,FALSE)</f>
        <v>0</v>
      </c>
      <c r="AJ169" s="279">
        <f>VLOOKUP(TableWRRanks3242[[#This Row],[Player]],WR!B:O,6,FALSE)</f>
        <v>9.5848646550067897</v>
      </c>
      <c r="AK169" s="279">
        <f>VLOOKUP(TableWRRanks3242[[#This Row],[Player]],WR!B:O,7,FALSE)</f>
        <v>5.9456658157671667</v>
      </c>
      <c r="AL169" s="279">
        <f>VLOOKUP(TableWRRanks3242[[#This Row],[Player]],WR!B:O,8,FALSE)</f>
        <v>76.853187506508988</v>
      </c>
      <c r="AM169" s="279">
        <f>VLOOKUP(TableWRRanks3242[[#This Row],[Player]],WR!B:O,9,FALSE)</f>
        <v>0.42214227291946882</v>
      </c>
      <c r="AN169" s="272">
        <f>VLOOKUP(TableWRRanks3242[[#This Row],[Player]],WR!B:O,13,FALSE)</f>
        <v>10.218172388167712</v>
      </c>
      <c r="AO169" s="273">
        <f>IF(VLOOKUP(TableWRRanks3242[[#This Row],[RK]],'Ranks w Proj'!AD:AO,12,FALSE)&lt;0,0,VLOOKUP(TableWRRanks3242[[#This Row],[RK]],'Ranks w Proj'!AD:AO,12,FALSE))</f>
        <v>0</v>
      </c>
    </row>
    <row r="170" spans="16:41" x14ac:dyDescent="0.3">
      <c r="P170" s="22">
        <v>169</v>
      </c>
      <c r="Q170" s="274">
        <f>VLOOKUP(TableRBRanks3141[[#This Row],[RK]],Rankings!A:Q,7,FALSE)</f>
        <v>0</v>
      </c>
      <c r="R170" s="274" t="str">
        <f>IFERROR(INDEX(TableRBCalcPts[TM],MATCH(TableRBRanks3141[[#This Row],[Player]],TableRBCalcPts[PLAYER],0)),"")</f>
        <v/>
      </c>
      <c r="S170" s="274" t="str">
        <f>IFERROR(INDEX(TableRBCalcPts[BYE],MATCH(TableRBRanks3141[[#This Row],[RK]],TableRBCalcPts[RK],0)),"")</f>
        <v/>
      </c>
      <c r="T170" s="279">
        <f>VLOOKUP(TableRBRanks3141[[#This Row],[Player]],RB!B:O,4,FALSE)</f>
        <v>0</v>
      </c>
      <c r="U170" s="279">
        <f>VLOOKUP(TableRBRanks3141[[#This Row],[Player]],RB!B:O,5,FALSE)</f>
        <v>0</v>
      </c>
      <c r="V170" s="279">
        <f>VLOOKUP(TableRBRanks3141[[#This Row],[Player]],RB!B:O,6,FALSE)</f>
        <v>0</v>
      </c>
      <c r="W170" s="279">
        <f>VLOOKUP(TableRBRanks3141[[#This Row],[Player]],RB!B:O,7,FALSE)</f>
        <v>0</v>
      </c>
      <c r="X170" s="279">
        <f>VLOOKUP(TableRBRanks3141[[#This Row],[Player]],RB!B:O,8,FALSE)</f>
        <v>0</v>
      </c>
      <c r="Y170" s="279">
        <f>VLOOKUP(TableRBRanks3141[[#This Row],[Player]],RB!B:O,9,FALSE)</f>
        <v>0</v>
      </c>
      <c r="Z170" s="279">
        <f>VLOOKUP(TableRBRanks3141[[#This Row],[Player]],RB!B:O,10,FALSE)</f>
        <v>0</v>
      </c>
      <c r="AA170" s="272">
        <f>VLOOKUP(TableRBRanks3141[[#This Row],[Player]],RB!B:O,14,FALSE)</f>
        <v>0</v>
      </c>
      <c r="AB170" s="273" t="e">
        <f>IF(VLOOKUP(TableRBRanks3141[[#This Row],[RK]],'Ranks w Proj'!$P:$AB,13,FALSE)&lt;0,0,VLOOKUP(TableRBRanks3141[[#This Row],[RK]],'Ranks w Proj'!$P:$AB,13,FALSE))</f>
        <v>#VALUE!</v>
      </c>
      <c r="AD170" s="22">
        <v>169</v>
      </c>
      <c r="AE170" s="274" t="str">
        <f>VLOOKUP(TableWRRanks3242[[#This Row],[RK]],Rankings!A:Q,11,FALSE)</f>
        <v>Mike Strachan</v>
      </c>
      <c r="AF170" s="22" t="str">
        <f>IFERROR(INDEX(TableWRCalcPts[TM],MATCH(TableWRRanks3242[[#This Row],[Player]],TableWRCalcPts[PLAYER],0)),"")</f>
        <v>IND</v>
      </c>
      <c r="AG170" s="22">
        <f>IFERROR(INDEX(TableWRCalcPts[BYE],MATCH(TableWRRanks3242[[#This Row],[RK]],TableWRCalcPts[RK],0)),"")</f>
        <v>14</v>
      </c>
      <c r="AH170" s="279">
        <f>VLOOKUP(TableWRRanks3242[[#This Row],[Player]],WR!B:O,4,FALSE)</f>
        <v>0</v>
      </c>
      <c r="AI170" s="279">
        <f>VLOOKUP(TableWRRanks3242[[#This Row],[Player]],WR!B:O,5,FALSE)</f>
        <v>0</v>
      </c>
      <c r="AJ170" s="279">
        <f>VLOOKUP(TableWRRanks3242[[#This Row],[Player]],WR!B:O,6,FALSE)</f>
        <v>11.931121190224536</v>
      </c>
      <c r="AK170" s="279">
        <f>VLOOKUP(TableWRRanks3242[[#This Row],[Player]],WR!B:O,7,FALSE)</f>
        <v>6.9606161023769948</v>
      </c>
      <c r="AL170" s="279">
        <f>VLOOKUP(TableWRRanks3242[[#This Row],[Player]],WR!B:O,8,FALSE)</f>
        <v>76.962746335551572</v>
      </c>
      <c r="AM170" s="279">
        <f>VLOOKUP(TableWRRanks3242[[#This Row],[Player]],WR!B:O,9,FALSE)</f>
        <v>0.29805369061785075</v>
      </c>
      <c r="AN170" s="272">
        <f>VLOOKUP(TableWRRanks3242[[#This Row],[Player]],WR!B:O,13,FALSE)</f>
        <v>9.4845967772622615</v>
      </c>
      <c r="AO170" s="273">
        <f>IF(VLOOKUP(TableWRRanks3242[[#This Row],[RK]],'Ranks w Proj'!AD:AO,12,FALSE)&lt;0,0,VLOOKUP(TableWRRanks3242[[#This Row],[RK]],'Ranks w Proj'!AD:AO,12,FALSE))</f>
        <v>0</v>
      </c>
    </row>
    <row r="171" spans="16:41" x14ac:dyDescent="0.3">
      <c r="P171" s="22">
        <v>170</v>
      </c>
      <c r="Q171" s="274">
        <f>VLOOKUP(TableRBRanks3141[[#This Row],[RK]],Rankings!A:Q,7,FALSE)</f>
        <v>0</v>
      </c>
      <c r="R171" s="274" t="str">
        <f>IFERROR(INDEX(TableRBCalcPts[TM],MATCH(TableRBRanks3141[[#This Row],[Player]],TableRBCalcPts[PLAYER],0)),"")</f>
        <v/>
      </c>
      <c r="S171" s="274" t="str">
        <f>IFERROR(INDEX(TableRBCalcPts[BYE],MATCH(TableRBRanks3141[[#This Row],[RK]],TableRBCalcPts[RK],0)),"")</f>
        <v/>
      </c>
      <c r="T171" s="279">
        <f>VLOOKUP(TableRBRanks3141[[#This Row],[Player]],RB!B:O,4,FALSE)</f>
        <v>0</v>
      </c>
      <c r="U171" s="279">
        <f>VLOOKUP(TableRBRanks3141[[#This Row],[Player]],RB!B:O,5,FALSE)</f>
        <v>0</v>
      </c>
      <c r="V171" s="279">
        <f>VLOOKUP(TableRBRanks3141[[#This Row],[Player]],RB!B:O,6,FALSE)</f>
        <v>0</v>
      </c>
      <c r="W171" s="279">
        <f>VLOOKUP(TableRBRanks3141[[#This Row],[Player]],RB!B:O,7,FALSE)</f>
        <v>0</v>
      </c>
      <c r="X171" s="279">
        <f>VLOOKUP(TableRBRanks3141[[#This Row],[Player]],RB!B:O,8,FALSE)</f>
        <v>0</v>
      </c>
      <c r="Y171" s="279">
        <f>VLOOKUP(TableRBRanks3141[[#This Row],[Player]],RB!B:O,9,FALSE)</f>
        <v>0</v>
      </c>
      <c r="Z171" s="279">
        <f>VLOOKUP(TableRBRanks3141[[#This Row],[Player]],RB!B:O,10,FALSE)</f>
        <v>0</v>
      </c>
      <c r="AA171" s="272">
        <f>VLOOKUP(TableRBRanks3141[[#This Row],[Player]],RB!B:O,14,FALSE)</f>
        <v>0</v>
      </c>
      <c r="AB171" s="273" t="e">
        <f>IF(VLOOKUP(TableRBRanks3141[[#This Row],[RK]],'Ranks w Proj'!$P:$AB,13,FALSE)&lt;0,0,VLOOKUP(TableRBRanks3141[[#This Row],[RK]],'Ranks w Proj'!$P:$AB,13,FALSE))</f>
        <v>#VALUE!</v>
      </c>
      <c r="AD171" s="274">
        <v>170</v>
      </c>
      <c r="AE171" s="22" t="str">
        <f>VLOOKUP(TableWRRanks3242[[#This Row],[RK]],Rankings!A:Q,11,FALSE)</f>
        <v>Juwann Winfree</v>
      </c>
      <c r="AF171" s="22" t="str">
        <f>IFERROR(INDEX(TableWRCalcPts[TM],MATCH(TableWRRanks3242[[#This Row],[Player]],TableWRCalcPts[PLAYER],0)),"")</f>
        <v>GB</v>
      </c>
      <c r="AG171" s="22">
        <f>IFERROR(INDEX(TableWRCalcPts[BYE],MATCH(TableWRRanks3242[[#This Row],[RK]],TableWRCalcPts[RK],0)),"")</f>
        <v>6</v>
      </c>
      <c r="AH171" s="279">
        <f>VLOOKUP(TableWRRanks3242[[#This Row],[Player]],WR!B:O,4,FALSE)</f>
        <v>0</v>
      </c>
      <c r="AI171" s="279">
        <f>VLOOKUP(TableWRRanks3242[[#This Row],[Player]],WR!B:O,5,FALSE)</f>
        <v>0</v>
      </c>
      <c r="AJ171" s="279">
        <f>VLOOKUP(TableWRRanks3242[[#This Row],[Player]],WR!B:O,6,FALSE)</f>
        <v>10.072591629999998</v>
      </c>
      <c r="AK171" s="279">
        <f>VLOOKUP(TableWRRanks3242[[#This Row],[Player]],WR!B:O,7,FALSE)</f>
        <v>6.115070378572999</v>
      </c>
      <c r="AL171" s="279">
        <f>VLOOKUP(TableWRRanks3242[[#This Row],[Player]],WR!B:O,8,FALSE)</f>
        <v>66.715417830231416</v>
      </c>
      <c r="AM171" s="279">
        <f>VLOOKUP(TableWRRanks3242[[#This Row],[Player]],WR!B:O,9,FALSE)</f>
        <v>0.52589605255727789</v>
      </c>
      <c r="AN171" s="272">
        <f>VLOOKUP(TableWRRanks3242[[#This Row],[Player]],WR!B:O,13,FALSE)</f>
        <v>9.826918098366809</v>
      </c>
      <c r="AO171" s="273">
        <f>IF(VLOOKUP(TableWRRanks3242[[#This Row],[RK]],'Ranks w Proj'!AD:AO,12,FALSE)&lt;0,0,VLOOKUP(TableWRRanks3242[[#This Row],[RK]],'Ranks w Proj'!AD:AO,12,FALSE))</f>
        <v>0</v>
      </c>
    </row>
    <row r="172" spans="16:41" x14ac:dyDescent="0.3">
      <c r="AD172" s="22">
        <v>171</v>
      </c>
      <c r="AE172" s="274" t="str">
        <f>VLOOKUP(TableWRRanks3242[[#This Row],[RK]],Rankings!A:Q,11,FALSE)</f>
        <v>Erik Ezukanma</v>
      </c>
      <c r="AF172" s="22" t="str">
        <f>IFERROR(INDEX(TableWRCalcPts[TM],MATCH(TableWRRanks3242[[#This Row],[Player]],TableWRCalcPts[PLAYER],0)),"")</f>
        <v>MIA</v>
      </c>
      <c r="AG172" s="22">
        <f>IFERROR(INDEX(TableWRCalcPts[BYE],MATCH(TableWRRanks3242[[#This Row],[RK]],TableWRCalcPts[RK],0)),"")</f>
        <v>14</v>
      </c>
      <c r="AH172" s="279">
        <f>VLOOKUP(TableWRRanks3242[[#This Row],[Player]],WR!B:O,4,FALSE)</f>
        <v>0</v>
      </c>
      <c r="AI172" s="279">
        <f>VLOOKUP(TableWRRanks3242[[#This Row],[Player]],WR!B:O,5,FALSE)</f>
        <v>0</v>
      </c>
      <c r="AJ172" s="279">
        <f>VLOOKUP(TableWRRanks3242[[#This Row],[Player]],WR!B:O,6,FALSE)</f>
        <v>9.4498276499999978</v>
      </c>
      <c r="AK172" s="279">
        <f>VLOOKUP(TableWRRanks3242[[#This Row],[Player]],WR!B:O,7,FALSE)</f>
        <v>5.8796827638299982</v>
      </c>
      <c r="AL172" s="279">
        <f>VLOOKUP(TableWRRanks3242[[#This Row],[Player]],WR!B:O,8,FALSE)</f>
        <v>64.850080373017946</v>
      </c>
      <c r="AM172" s="279">
        <f>VLOOKUP(TableWRRanks3242[[#This Row],[Player]],WR!B:O,9,FALSE)</f>
        <v>0.47731741994191873</v>
      </c>
      <c r="AN172" s="272">
        <f>VLOOKUP(TableWRRanks3242[[#This Row],[Player]],WR!B:O,13,FALSE)</f>
        <v>9.3489125569533069</v>
      </c>
      <c r="AO172" s="273">
        <f>IF(VLOOKUP(TableWRRanks3242[[#This Row],[RK]],'Ranks w Proj'!AD:AO,12,FALSE)&lt;0,0,VLOOKUP(TableWRRanks3242[[#This Row],[RK]],'Ranks w Proj'!AD:AO,12,FALSE))</f>
        <v>0</v>
      </c>
    </row>
    <row r="173" spans="16:41" x14ac:dyDescent="0.3">
      <c r="AD173" s="22">
        <v>172</v>
      </c>
      <c r="AE173" s="274" t="str">
        <f>VLOOKUP(TableWRRanks3242[[#This Row],[RK]],Rankings!A:Q,11,FALSE)</f>
        <v>Kalif Raymond</v>
      </c>
      <c r="AF173" s="22" t="str">
        <f>IFERROR(INDEX(TableWRCalcPts[TM],MATCH(TableWRRanks3242[[#This Row],[Player]],TableWRCalcPts[PLAYER],0)),"")</f>
        <v>DET</v>
      </c>
      <c r="AG173" s="22">
        <f>IFERROR(INDEX(TableWRCalcPts[BYE],MATCH(TableWRRanks3242[[#This Row],[RK]],TableWRCalcPts[RK],0)),"")</f>
        <v>11</v>
      </c>
      <c r="AH173" s="279">
        <f>VLOOKUP(TableWRRanks3242[[#This Row],[Player]],WR!B:O,4,FALSE)</f>
        <v>17.985313784904868</v>
      </c>
      <c r="AI173" s="279">
        <f>VLOOKUP(TableWRRanks3242[[#This Row],[Player]],WR!B:O,5,FALSE)</f>
        <v>3.3347512255770803E-2</v>
      </c>
      <c r="AJ173" s="279">
        <f>VLOOKUP(TableWRRanks3242[[#This Row],[Player]],WR!B:O,6,FALSE)</f>
        <v>9.485859090869118</v>
      </c>
      <c r="AK173" s="279">
        <f>VLOOKUP(TableWRRanks3242[[#This Row],[Player]],WR!B:O,7,FALSE)</f>
        <v>5.0995978472512373</v>
      </c>
      <c r="AL173" s="279">
        <f>VLOOKUP(TableWRRanks3242[[#This Row],[Player]],WR!B:O,8,FALSE)</f>
        <v>55.457823346213388</v>
      </c>
      <c r="AM173" s="279">
        <f>VLOOKUP(TableWRRanks3242[[#This Row],[Player]],WR!B:O,9,FALSE)</f>
        <v>0.32637426222407917</v>
      </c>
      <c r="AN173" s="272">
        <f>VLOOKUP(TableWRRanks3242[[#This Row],[Player]],WR!B:O,13,FALSE)</f>
        <v>9.502644359990926</v>
      </c>
      <c r="AO173" s="273">
        <f>IF(VLOOKUP(TableWRRanks3242[[#This Row],[RK]],'Ranks w Proj'!AD:AO,12,FALSE)&lt;0,0,VLOOKUP(TableWRRanks3242[[#This Row],[RK]],'Ranks w Proj'!AD:AO,12,FALSE))</f>
        <v>0</v>
      </c>
    </row>
    <row r="174" spans="16:41" x14ac:dyDescent="0.3">
      <c r="AD174" s="274">
        <v>173</v>
      </c>
      <c r="AE174" s="22" t="str">
        <f>VLOOKUP(TableWRRanks3242[[#This Row],[RK]],Rankings!A:Q,11,FALSE)</f>
        <v>Jason Moore</v>
      </c>
      <c r="AF174" s="22" t="str">
        <f>IFERROR(INDEX(TableWRCalcPts[TM],MATCH(TableWRRanks3242[[#This Row],[Player]],TableWRCalcPts[PLAYER],0)),"")</f>
        <v>LAC</v>
      </c>
      <c r="AG174" s="22">
        <f>IFERROR(INDEX(TableWRCalcPts[BYE],MATCH(TableWRRanks3242[[#This Row],[RK]],TableWRCalcPts[RK],0)),"")</f>
        <v>8</v>
      </c>
      <c r="AH174" s="279">
        <f>VLOOKUP(TableWRRanks3242[[#This Row],[Player]],WR!B:O,4,FALSE)</f>
        <v>0</v>
      </c>
      <c r="AI174" s="279">
        <f>VLOOKUP(TableWRRanks3242[[#This Row],[Player]],WR!B:O,5,FALSE)</f>
        <v>0</v>
      </c>
      <c r="AJ174" s="279">
        <f>VLOOKUP(TableWRRanks3242[[#This Row],[Player]],WR!B:O,6,FALSE)</f>
        <v>8.9718285535373692</v>
      </c>
      <c r="AK174" s="279">
        <f>VLOOKUP(TableWRRanks3242[[#This Row],[Player]],WR!B:O,7,FALSE)</f>
        <v>5.6023893261906146</v>
      </c>
      <c r="AL174" s="279">
        <f>VLOOKUP(TableWRRanks3242[[#This Row],[Player]],WR!B:O,8,FALSE)</f>
        <v>68.610333511532119</v>
      </c>
      <c r="AM174" s="279">
        <f>VLOOKUP(TableWRRanks3242[[#This Row],[Player]],WR!B:O,9,FALSE)</f>
        <v>0.34507032898220652</v>
      </c>
      <c r="AN174" s="272">
        <f>VLOOKUP(TableWRRanks3242[[#This Row],[Player]],WR!B:O,13,FALSE)</f>
        <v>8.9314553250464517</v>
      </c>
      <c r="AO174" s="273">
        <f>IF(VLOOKUP(TableWRRanks3242[[#This Row],[RK]],'Ranks w Proj'!AD:AO,12,FALSE)&lt;0,0,VLOOKUP(TableWRRanks3242[[#This Row],[RK]],'Ranks w Proj'!AD:AO,12,FALSE))</f>
        <v>0</v>
      </c>
    </row>
    <row r="175" spans="16:41" x14ac:dyDescent="0.3">
      <c r="AD175" s="22">
        <v>174</v>
      </c>
      <c r="AE175" s="274" t="str">
        <f>VLOOKUP(TableWRRanks3242[[#This Row],[RK]],Rankings!A:Q,11,FALSE)</f>
        <v>Chris Moore</v>
      </c>
      <c r="AF175" s="22" t="str">
        <f>IFERROR(INDEX(TableWRCalcPts[TM],MATCH(TableWRRanks3242[[#This Row],[Player]],TableWRCalcPts[PLAYER],0)),"")</f>
        <v>HOU</v>
      </c>
      <c r="AG175" s="22">
        <f>IFERROR(INDEX(TableWRCalcPts[BYE],MATCH(TableWRRanks3242[[#This Row],[RK]],TableWRCalcPts[RK],0)),"")</f>
        <v>7</v>
      </c>
      <c r="AH175" s="279">
        <f>VLOOKUP(TableWRRanks3242[[#This Row],[Player]],WR!B:O,4,FALSE)</f>
        <v>0</v>
      </c>
      <c r="AI175" s="279">
        <f>VLOOKUP(TableWRRanks3242[[#This Row],[Player]],WR!B:O,5,FALSE)</f>
        <v>0</v>
      </c>
      <c r="AJ175" s="279">
        <f>VLOOKUP(TableWRRanks3242[[#This Row],[Player]],WR!B:O,6,FALSE)</f>
        <v>8.3830036868312128</v>
      </c>
      <c r="AK175" s="279">
        <f>VLOOKUP(TableWRRanks3242[[#This Row],[Player]],WR!B:O,7,FALSE)</f>
        <v>6.0173200464074448</v>
      </c>
      <c r="AL175" s="279">
        <f>VLOOKUP(TableWRRanks3242[[#This Row],[Player]],WR!B:O,8,FALSE)</f>
        <v>62.46551286270585</v>
      </c>
      <c r="AM175" s="279">
        <f>VLOOKUP(TableWRRanks3242[[#This Row],[Player]],WR!B:O,9,FALSE)</f>
        <v>0.39073506794853535</v>
      </c>
      <c r="AN175" s="272">
        <f>VLOOKUP(TableWRRanks3242[[#This Row],[Player]],WR!B:O,13,FALSE)</f>
        <v>8.5909616939617983</v>
      </c>
      <c r="AO175" s="273">
        <f>IF(VLOOKUP(TableWRRanks3242[[#This Row],[RK]],'Ranks w Proj'!AD:AO,12,FALSE)&lt;0,0,VLOOKUP(TableWRRanks3242[[#This Row],[RK]],'Ranks w Proj'!AD:AO,12,FALSE))</f>
        <v>0</v>
      </c>
    </row>
    <row r="176" spans="16:41" x14ac:dyDescent="0.3">
      <c r="AD176" s="22">
        <v>175</v>
      </c>
      <c r="AE176" s="274" t="str">
        <f>VLOOKUP(TableWRRanks3242[[#This Row],[RK]],Rankings!A:Q,11,FALSE)</f>
        <v>Jalen Nailor</v>
      </c>
      <c r="AF176" s="22" t="str">
        <f>IFERROR(INDEX(TableWRCalcPts[TM],MATCH(TableWRRanks3242[[#This Row],[Player]],TableWRCalcPts[PLAYER],0)),"")</f>
        <v>MIN</v>
      </c>
      <c r="AG176" s="22">
        <f>IFERROR(INDEX(TableWRCalcPts[BYE],MATCH(TableWRRanks3242[[#This Row],[RK]],TableWRCalcPts[RK],0)),"")</f>
        <v>6</v>
      </c>
      <c r="AH176" s="279">
        <f>VLOOKUP(TableWRRanks3242[[#This Row],[Player]],WR!B:O,4,FALSE)</f>
        <v>0</v>
      </c>
      <c r="AI176" s="279">
        <f>VLOOKUP(TableWRRanks3242[[#This Row],[Player]],WR!B:O,5,FALSE)</f>
        <v>0</v>
      </c>
      <c r="AJ176" s="279">
        <f>VLOOKUP(TableWRRanks3242[[#This Row],[Player]],WR!B:O,6,FALSE)</f>
        <v>8.4484336949041623</v>
      </c>
      <c r="AK176" s="279">
        <f>VLOOKUP(TableWRRanks3242[[#This Row],[Player]],WR!B:O,7,FALSE)</f>
        <v>5.3301168181150365</v>
      </c>
      <c r="AL176" s="279">
        <f>VLOOKUP(TableWRRanks3242[[#This Row],[Player]],WR!B:O,8,FALSE)</f>
        <v>67.934761627248008</v>
      </c>
      <c r="AM176" s="279">
        <f>VLOOKUP(TableWRRanks3242[[#This Row],[Player]],WR!B:O,9,FALSE)</f>
        <v>0.30914677545067215</v>
      </c>
      <c r="AN176" s="272">
        <f>VLOOKUP(TableWRRanks3242[[#This Row],[Player]],WR!B:O,13,FALSE)</f>
        <v>8.6483568154288335</v>
      </c>
      <c r="AO176" s="273">
        <f>IF(VLOOKUP(TableWRRanks3242[[#This Row],[RK]],'Ranks w Proj'!AD:AO,12,FALSE)&lt;0,0,VLOOKUP(TableWRRanks3242[[#This Row],[RK]],'Ranks w Proj'!AD:AO,12,FALSE))</f>
        <v>0</v>
      </c>
    </row>
    <row r="177" spans="30:41" x14ac:dyDescent="0.3">
      <c r="AD177" s="274">
        <v>176</v>
      </c>
      <c r="AE177" s="274" t="str">
        <f>VLOOKUP(TableWRRanks3242[[#This Row],[RK]],Rankings!A:Q,11,FALSE)</f>
        <v>Marquez Stevenson</v>
      </c>
      <c r="AF177" s="22" t="str">
        <f>IFERROR(INDEX(TableWRCalcPts[TM],MATCH(TableWRRanks3242[[#This Row],[Player]],TableWRCalcPts[PLAYER],0)),"")</f>
        <v>BUF</v>
      </c>
      <c r="AG177" s="22">
        <f>IFERROR(INDEX(TableWRCalcPts[BYE],MATCH(TableWRRanks3242[[#This Row],[RK]],TableWRCalcPts[RK],0)),"")</f>
        <v>7</v>
      </c>
      <c r="AH177" s="279">
        <f>VLOOKUP(TableWRRanks3242[[#This Row],[Player]],WR!B:O,4,FALSE)</f>
        <v>0</v>
      </c>
      <c r="AI177" s="279">
        <f>VLOOKUP(TableWRRanks3242[[#This Row],[Player]],WR!B:O,5,FALSE)</f>
        <v>0</v>
      </c>
      <c r="AJ177" s="279">
        <f>VLOOKUP(TableWRRanks3242[[#This Row],[Player]],WR!B:O,6,FALSE)</f>
        <v>7.2434575999736426</v>
      </c>
      <c r="AK177" s="279">
        <f>VLOOKUP(TableWRRanks3242[[#This Row],[Player]],WR!B:O,7,FALSE)</f>
        <v>4.828971733315762</v>
      </c>
      <c r="AL177" s="279">
        <f>VLOOKUP(TableWRRanks3242[[#This Row],[Player]],WR!B:O,8,FALSE)</f>
        <v>62.486894229105957</v>
      </c>
      <c r="AM177" s="279">
        <f>VLOOKUP(TableWRRanks3242[[#This Row],[Player]],WR!B:O,9,FALSE)</f>
        <v>0.38631773866526098</v>
      </c>
      <c r="AN177" s="272">
        <f>VLOOKUP(TableWRRanks3242[[#This Row],[Player]],WR!B:O,13,FALSE)</f>
        <v>8.566595854902161</v>
      </c>
      <c r="AO177" s="273">
        <f>IF(VLOOKUP(TableWRRanks3242[[#This Row],[RK]],'Ranks w Proj'!AD:AO,12,FALSE)&lt;0,0,VLOOKUP(TableWRRanks3242[[#This Row],[RK]],'Ranks w Proj'!AD:AO,12,FALSE))</f>
        <v>0</v>
      </c>
    </row>
    <row r="178" spans="30:41" x14ac:dyDescent="0.3">
      <c r="AD178" s="22">
        <v>177</v>
      </c>
      <c r="AE178" s="22" t="str">
        <f>VLOOKUP(TableWRRanks3242[[#This Row],[RK]],Rankings!A:Q,11,FALSE)</f>
        <v>Dezmon Patmon</v>
      </c>
      <c r="AF178" s="22" t="str">
        <f>IFERROR(INDEX(TableWRCalcPts[TM],MATCH(TableWRRanks3242[[#This Row],[Player]],TableWRCalcPts[PLAYER],0)),"")</f>
        <v>IND</v>
      </c>
      <c r="AG178" s="22">
        <f>IFERROR(INDEX(TableWRCalcPts[BYE],MATCH(TableWRRanks3242[[#This Row],[RK]],TableWRCalcPts[RK],0)),"")</f>
        <v>10</v>
      </c>
      <c r="AH178" s="279">
        <f>VLOOKUP(TableWRRanks3242[[#This Row],[Player]],WR!B:O,4,FALSE)</f>
        <v>0</v>
      </c>
      <c r="AI178" s="279">
        <f>VLOOKUP(TableWRRanks3242[[#This Row],[Player]],WR!B:O,5,FALSE)</f>
        <v>0</v>
      </c>
      <c r="AJ178" s="279">
        <f>VLOOKUP(TableWRRanks3242[[#This Row],[Player]],WR!B:O,6,FALSE)</f>
        <v>9.0903780496948841</v>
      </c>
      <c r="AK178" s="279">
        <f>VLOOKUP(TableWRRanks3242[[#This Row],[Player]],WR!B:O,7,FALSE)</f>
        <v>5.4569539432318388</v>
      </c>
      <c r="AL178" s="279">
        <f>VLOOKUP(TableWRRanks3242[[#This Row],[Player]],WR!B:O,8,FALSE)</f>
        <v>63.267938456338094</v>
      </c>
      <c r="AM178" s="279">
        <f>VLOOKUP(TableWRRanks3242[[#This Row],[Player]],WR!B:O,9,FALSE)</f>
        <v>0.16042786838841214</v>
      </c>
      <c r="AN178" s="272">
        <f>VLOOKUP(TableWRRanks3242[[#This Row],[Player]],WR!B:O,13,FALSE)</f>
        <v>7.2893610559642825</v>
      </c>
      <c r="AO178" s="273">
        <f>IF(VLOOKUP(TableWRRanks3242[[#This Row],[RK]],'Ranks w Proj'!AD:AO,12,FALSE)&lt;0,0,VLOOKUP(TableWRRanks3242[[#This Row],[RK]],'Ranks w Proj'!AD:AO,12,FALSE))</f>
        <v>0</v>
      </c>
    </row>
    <row r="179" spans="30:41" x14ac:dyDescent="0.3">
      <c r="AD179" s="22">
        <v>178</v>
      </c>
      <c r="AE179" s="22" t="str">
        <f>VLOOKUP(TableWRRanks3242[[#This Row],[RK]],Rankings!A:Q,11,FALSE)</f>
        <v>Stanley Morgan</v>
      </c>
      <c r="AF179" s="22" t="str">
        <f>IFERROR(INDEX(TableWRCalcPts[TM],MATCH(TableWRRanks3242[[#This Row],[Player]],TableWRCalcPts[PLAYER],0)),"")</f>
        <v>CIN</v>
      </c>
      <c r="AG179" s="22">
        <f>IFERROR(INDEX(TableWRCalcPts[BYE],MATCH(TableWRRanks3242[[#This Row],[RK]],TableWRCalcPts[RK],0)),"")</f>
        <v>14</v>
      </c>
      <c r="AH179" s="279">
        <f>VLOOKUP(TableWRRanks3242[[#This Row],[Player]],WR!B:O,4,FALSE)</f>
        <v>0</v>
      </c>
      <c r="AI179" s="279">
        <f>VLOOKUP(TableWRRanks3242[[#This Row],[Player]],WR!B:O,5,FALSE)</f>
        <v>0</v>
      </c>
      <c r="AJ179" s="279">
        <f>VLOOKUP(TableWRRanks3242[[#This Row],[Player]],WR!B:O,6,FALSE)</f>
        <v>6.9975864285927072</v>
      </c>
      <c r="AK179" s="279">
        <f>VLOOKUP(TableWRRanks3242[[#This Row],[Player]],WR!B:O,7,FALSE)</f>
        <v>4.4952495217279553</v>
      </c>
      <c r="AL179" s="279">
        <f>VLOOKUP(TableWRRanks3242[[#This Row],[Player]],WR!B:O,8,FALSE)</f>
        <v>56.202852273385595</v>
      </c>
      <c r="AM179" s="279">
        <f>VLOOKUP(TableWRRanks3242[[#This Row],[Player]],WR!B:O,9,FALSE)</f>
        <v>0.30118171795577303</v>
      </c>
      <c r="AN179" s="272">
        <f>VLOOKUP(TableWRRanks3242[[#This Row],[Player]],WR!B:O,13,FALSE)</f>
        <v>7.4273755350731978</v>
      </c>
      <c r="AO179" s="273">
        <f>IF(VLOOKUP(TableWRRanks3242[[#This Row],[RK]],'Ranks w Proj'!AD:AO,12,FALSE)&lt;0,0,VLOOKUP(TableWRRanks3242[[#This Row],[RK]],'Ranks w Proj'!AD:AO,12,FALSE))</f>
        <v>0</v>
      </c>
    </row>
    <row r="180" spans="30:41" x14ac:dyDescent="0.3">
      <c r="AD180" s="274">
        <v>179</v>
      </c>
      <c r="AE180" s="274" t="str">
        <f>VLOOKUP(TableWRRanks3242[[#This Row],[RK]],Rankings!A:Q,11,FALSE)</f>
        <v>Jaelon Darden</v>
      </c>
      <c r="AF180" s="22" t="str">
        <f>IFERROR(INDEX(TableWRCalcPts[TM],MATCH(TableWRRanks3242[[#This Row],[Player]],TableWRCalcPts[PLAYER],0)),"")</f>
        <v>TB</v>
      </c>
      <c r="AG180" s="22">
        <f>IFERROR(INDEX(TableWRCalcPts[BYE],MATCH(TableWRRanks3242[[#This Row],[RK]],TableWRCalcPts[RK],0)),"")</f>
        <v>11</v>
      </c>
      <c r="AH180" s="279">
        <f>VLOOKUP(TableWRRanks3242[[#This Row],[Player]],WR!B:O,4,FALSE)</f>
        <v>0</v>
      </c>
      <c r="AI180" s="279">
        <f>VLOOKUP(TableWRRanks3242[[#This Row],[Player]],WR!B:O,5,FALSE)</f>
        <v>0</v>
      </c>
      <c r="AJ180" s="279">
        <f>VLOOKUP(TableWRRanks3242[[#This Row],[Player]],WR!B:O,6,FALSE)</f>
        <v>7.7812949922600305</v>
      </c>
      <c r="AK180" s="279">
        <f>VLOOKUP(TableWRRanks3242[[#This Row],[Player]],WR!B:O,7,FALSE)</f>
        <v>4.7076834703173187</v>
      </c>
      <c r="AL180" s="279">
        <f>VLOOKUP(TableWRRanks3242[[#This Row],[Player]],WR!B:O,8,FALSE)</f>
        <v>55.255840328370965</v>
      </c>
      <c r="AM180" s="279">
        <f>VLOOKUP(TableWRRanks3242[[#This Row],[Player]],WR!B:O,9,FALSE)</f>
        <v>0.28531414971620123</v>
      </c>
      <c r="AN180" s="272">
        <f>VLOOKUP(TableWRRanks3242[[#This Row],[Player]],WR!B:O,13,FALSE)</f>
        <v>7.2374689311343037</v>
      </c>
      <c r="AO180" s="273">
        <f>IF(VLOOKUP(TableWRRanks3242[[#This Row],[RK]],'Ranks w Proj'!AD:AO,12,FALSE)&lt;0,0,VLOOKUP(TableWRRanks3242[[#This Row],[RK]],'Ranks w Proj'!AD:AO,12,FALSE))</f>
        <v>0</v>
      </c>
    </row>
    <row r="181" spans="30:41" x14ac:dyDescent="0.3">
      <c r="AD181" s="22">
        <v>180</v>
      </c>
      <c r="AE181" s="274" t="str">
        <f>VLOOKUP(TableWRRanks3242[[#This Row],[RK]],Rankings!A:Q,11,FALSE)</f>
        <v>Penny Hart</v>
      </c>
      <c r="AF181" s="22" t="str">
        <f>IFERROR(INDEX(TableWRCalcPts[TM],MATCH(TableWRRanks3242[[#This Row],[Player]],TableWRCalcPts[PLAYER],0)),"")</f>
        <v>SEA</v>
      </c>
      <c r="AG181" s="22">
        <f>IFERROR(INDEX(TableWRCalcPts[BYE],MATCH(TableWRRanks3242[[#This Row],[RK]],TableWRCalcPts[RK],0)),"")</f>
        <v>10</v>
      </c>
      <c r="AH181" s="279">
        <f>VLOOKUP(TableWRRanks3242[[#This Row],[Player]],WR!B:O,4,FALSE)</f>
        <v>0</v>
      </c>
      <c r="AI181" s="279">
        <f>VLOOKUP(TableWRRanks3242[[#This Row],[Player]],WR!B:O,5,FALSE)</f>
        <v>0</v>
      </c>
      <c r="AJ181" s="279">
        <f>VLOOKUP(TableWRRanks3242[[#This Row],[Player]],WR!B:O,6,FALSE)</f>
        <v>8.0020883561703435</v>
      </c>
      <c r="AK181" s="279">
        <f>VLOOKUP(TableWRRanks3242[[#This Row],[Player]],WR!B:O,7,FALSE)</f>
        <v>4.8564674233597813</v>
      </c>
      <c r="AL181" s="279">
        <f>VLOOKUP(TableWRRanks3242[[#This Row],[Player]],WR!B:O,8,FALSE)</f>
        <v>57.741440511927699</v>
      </c>
      <c r="AM181" s="279">
        <f>VLOOKUP(TableWRRanks3242[[#This Row],[Player]],WR!B:O,9,FALSE)</f>
        <v>0.22256912558790376</v>
      </c>
      <c r="AN181" s="272">
        <f>VLOOKUP(TableWRRanks3242[[#This Row],[Player]],WR!B:O,13,FALSE)</f>
        <v>7.1095588047201934</v>
      </c>
      <c r="AO181" s="273">
        <f>IF(VLOOKUP(TableWRRanks3242[[#This Row],[RK]],'Ranks w Proj'!AD:AO,12,FALSE)&lt;0,0,VLOOKUP(TableWRRanks3242[[#This Row],[RK]],'Ranks w Proj'!AD:AO,12,FALSE))</f>
        <v>0</v>
      </c>
    </row>
    <row r="182" spans="30:41" x14ac:dyDescent="0.3">
      <c r="AD182" s="22">
        <v>181</v>
      </c>
      <c r="AE182" s="274" t="str">
        <f>VLOOKUP(TableWRRanks3242[[#This Row],[RK]],Rankings!A:Q,11,FALSE)</f>
        <v>Tylan Wallace</v>
      </c>
      <c r="AF182" s="22" t="str">
        <f>IFERROR(INDEX(TableWRCalcPts[TM],MATCH(TableWRRanks3242[[#This Row],[Player]],TableWRCalcPts[PLAYER],0)),"")</f>
        <v>BAL</v>
      </c>
      <c r="AG182" s="22">
        <f>IFERROR(INDEX(TableWRCalcPts[BYE],MATCH(TableWRRanks3242[[#This Row],[RK]],TableWRCalcPts[RK],0)),"")</f>
        <v>11</v>
      </c>
      <c r="AH182" s="279">
        <f>VLOOKUP(TableWRRanks3242[[#This Row],[Player]],WR!B:O,4,FALSE)</f>
        <v>0</v>
      </c>
      <c r="AI182" s="279">
        <f>VLOOKUP(TableWRRanks3242[[#This Row],[Player]],WR!B:O,5,FALSE)</f>
        <v>0</v>
      </c>
      <c r="AJ182" s="279">
        <f>VLOOKUP(TableWRRanks3242[[#This Row],[Player]],WR!B:O,6,FALSE)</f>
        <v>6.6297550011979203</v>
      </c>
      <c r="AK182" s="279">
        <f>VLOOKUP(TableWRRanks3242[[#This Row],[Player]],WR!B:O,7,FALSE)</f>
        <v>4.0189574817261793</v>
      </c>
      <c r="AL182" s="279">
        <f>VLOOKUP(TableWRRanks3242[[#This Row],[Player]],WR!B:O,8,FALSE)</f>
        <v>54.391905767722726</v>
      </c>
      <c r="AM182" s="279">
        <f>VLOOKUP(TableWRRanks3242[[#This Row],[Player]],WR!B:O,9,FALSE)</f>
        <v>0.28936493868428487</v>
      </c>
      <c r="AN182" s="272">
        <f>VLOOKUP(TableWRRanks3242[[#This Row],[Player]],WR!B:O,13,FALSE)</f>
        <v>7.1753802088779821</v>
      </c>
      <c r="AO182" s="273">
        <f>IF(VLOOKUP(TableWRRanks3242[[#This Row],[RK]],'Ranks w Proj'!AD:AO,12,FALSE)&lt;0,0,VLOOKUP(TableWRRanks3242[[#This Row],[RK]],'Ranks w Proj'!AD:AO,12,FALSE))</f>
        <v>0</v>
      </c>
    </row>
    <row r="183" spans="30:41" x14ac:dyDescent="0.3">
      <c r="AD183" s="274">
        <v>182</v>
      </c>
      <c r="AE183" s="274" t="str">
        <f>VLOOKUP(TableWRRanks3242[[#This Row],[RK]],Rankings!A:Q,11,FALSE)</f>
        <v>Dax Milne</v>
      </c>
      <c r="AF183" s="22" t="str">
        <f>IFERROR(INDEX(TableWRCalcPts[TM],MATCH(TableWRRanks3242[[#This Row],[Player]],TableWRCalcPts[PLAYER],0)),"")</f>
        <v>WSH</v>
      </c>
      <c r="AG183" s="22">
        <f>IFERROR(INDEX(TableWRCalcPts[BYE],MATCH(TableWRRanks3242[[#This Row],[RK]],TableWRCalcPts[RK],0)),"")</f>
        <v>14</v>
      </c>
      <c r="AH183" s="279">
        <f>VLOOKUP(TableWRRanks3242[[#This Row],[Player]],WR!B:O,4,FALSE)</f>
        <v>0</v>
      </c>
      <c r="AI183" s="279">
        <f>VLOOKUP(TableWRRanks3242[[#This Row],[Player]],WR!B:O,5,FALSE)</f>
        <v>0</v>
      </c>
      <c r="AJ183" s="279">
        <f>VLOOKUP(TableWRRanks3242[[#This Row],[Player]],WR!B:O,6,FALSE)</f>
        <v>8.633270594879157</v>
      </c>
      <c r="AK183" s="279">
        <f>VLOOKUP(TableWRRanks3242[[#This Row],[Player]],WR!B:O,7,FALSE)</f>
        <v>5.1221194439418047</v>
      </c>
      <c r="AL183" s="279">
        <f>VLOOKUP(TableWRRanks3242[[#This Row],[Player]],WR!B:O,8,FALSE)</f>
        <v>52.000647398278765</v>
      </c>
      <c r="AM183" s="279">
        <f>VLOOKUP(TableWRRanks3242[[#This Row],[Player]],WR!B:O,9,FALSE)</f>
        <v>0.22270084538877416</v>
      </c>
      <c r="AN183" s="272">
        <f>VLOOKUP(TableWRRanks3242[[#This Row],[Player]],WR!B:O,13,FALSE)</f>
        <v>6.5362698121605209</v>
      </c>
      <c r="AO183" s="273">
        <f>IF(VLOOKUP(TableWRRanks3242[[#This Row],[RK]],'Ranks w Proj'!AD:AO,12,FALSE)&lt;0,0,VLOOKUP(TableWRRanks3242[[#This Row],[RK]],'Ranks w Proj'!AD:AO,12,FALSE))</f>
        <v>0</v>
      </c>
    </row>
    <row r="184" spans="30:41" x14ac:dyDescent="0.3">
      <c r="AD184" s="22">
        <v>183</v>
      </c>
      <c r="AE184" s="22" t="str">
        <f>VLOOKUP(TableWRRanks3242[[#This Row],[RK]],Rankings!A:Q,11,FALSE)</f>
        <v>Montrell Washington</v>
      </c>
      <c r="AF184" s="22" t="str">
        <f>IFERROR(INDEX(TableWRCalcPts[TM],MATCH(TableWRRanks3242[[#This Row],[Player]],TableWRCalcPts[PLAYER],0)),"")</f>
        <v>DEN</v>
      </c>
      <c r="AG184" s="22">
        <f>IFERROR(INDEX(TableWRCalcPts[BYE],MATCH(TableWRRanks3242[[#This Row],[RK]],TableWRCalcPts[RK],0)),"")</f>
        <v>9</v>
      </c>
      <c r="AH184" s="279">
        <f>VLOOKUP(TableWRRanks3242[[#This Row],[Player]],WR!B:O,4,FALSE)</f>
        <v>0</v>
      </c>
      <c r="AI184" s="279">
        <f>VLOOKUP(TableWRRanks3242[[#This Row],[Player]],WR!B:O,5,FALSE)</f>
        <v>0</v>
      </c>
      <c r="AJ184" s="279">
        <f>VLOOKUP(TableWRRanks3242[[#This Row],[Player]],WR!B:O,6,FALSE)</f>
        <v>4.9998293283993815</v>
      </c>
      <c r="AK184" s="279">
        <f>VLOOKUP(TableWRRanks3242[[#This Row],[Player]],WR!B:O,7,FALSE)</f>
        <v>3.0288966071443455</v>
      </c>
      <c r="AL184" s="279">
        <f>VLOOKUP(TableWRRanks3242[[#This Row],[Player]],WR!B:O,8,FALSE)</f>
        <v>33.998864204211088</v>
      </c>
      <c r="AM184" s="279">
        <f>VLOOKUP(TableWRRanks3242[[#This Row],[Player]],WR!B:O,9,FALSE)</f>
        <v>0.22700050854109477</v>
      </c>
      <c r="AN184" s="272">
        <f>VLOOKUP(TableWRRanks3242[[#This Row],[Player]],WR!B:O,13,FALSE)</f>
        <v>4.7618894716676774</v>
      </c>
      <c r="AO184" s="273">
        <f>IF(VLOOKUP(TableWRRanks3242[[#This Row],[RK]],'Ranks w Proj'!AD:AO,12,FALSE)&lt;0,0,VLOOKUP(TableWRRanks3242[[#This Row],[RK]],'Ranks w Proj'!AD:AO,12,FALSE))</f>
        <v>0</v>
      </c>
    </row>
    <row r="185" spans="30:41" x14ac:dyDescent="0.3">
      <c r="AD185" s="22">
        <v>184</v>
      </c>
      <c r="AE185" s="22" t="str">
        <f>VLOOKUP(TableWRRanks3242[[#This Row],[RK]],Rankings!A:Q,11,FALSE)</f>
        <v>Jeff Smith</v>
      </c>
      <c r="AF185" s="22" t="str">
        <f>IFERROR(INDEX(TableWRCalcPts[TM],MATCH(TableWRRanks3242[[#This Row],[Player]],TableWRCalcPts[PLAYER],0)),"")</f>
        <v>NYJ</v>
      </c>
      <c r="AG185" s="22">
        <f>IFERROR(INDEX(TableWRCalcPts[BYE],MATCH(TableWRRanks3242[[#This Row],[RK]],TableWRCalcPts[RK],0)),"")</f>
        <v>10</v>
      </c>
      <c r="AH185" s="279">
        <f>VLOOKUP(TableWRRanks3242[[#This Row],[Player]],WR!B:O,4,FALSE)</f>
        <v>0</v>
      </c>
      <c r="AI185" s="279">
        <f>VLOOKUP(TableWRRanks3242[[#This Row],[Player]],WR!B:O,5,FALSE)</f>
        <v>0</v>
      </c>
      <c r="AJ185" s="279">
        <f>VLOOKUP(TableWRRanks3242[[#This Row],[Player]],WR!B:O,6,FALSE)</f>
        <v>4.0011632209207528</v>
      </c>
      <c r="AK185" s="279">
        <f>VLOOKUP(TableWRRanks3242[[#This Row],[Player]],WR!B:O,7,FALSE)</f>
        <v>2.2926665255875913</v>
      </c>
      <c r="AL185" s="279">
        <f>VLOOKUP(TableWRRanks3242[[#This Row],[Player]],WR!B:O,8,FALSE)</f>
        <v>31.226118078502992</v>
      </c>
      <c r="AM185" s="279">
        <f>VLOOKUP(TableWRRanks3242[[#This Row],[Player]],WR!B:O,9,FALSE)</f>
        <v>0.1329746584840803</v>
      </c>
      <c r="AN185" s="272">
        <f>VLOOKUP(TableWRRanks3242[[#This Row],[Player]],WR!B:O,13,FALSE)</f>
        <v>3.9204597587547814</v>
      </c>
      <c r="AO185" s="273">
        <f>IF(VLOOKUP(TableWRRanks3242[[#This Row],[RK]],'Ranks w Proj'!AD:AO,12,FALSE)&lt;0,0,VLOOKUP(TableWRRanks3242[[#This Row],[RK]],'Ranks w Proj'!AD:AO,12,FALSE))</f>
        <v>0</v>
      </c>
    </row>
    <row r="186" spans="30:41" x14ac:dyDescent="0.3">
      <c r="AD186" s="274">
        <v>185</v>
      </c>
      <c r="AE186" s="22" t="str">
        <f>VLOOKUP(TableWRRanks3242[[#This Row],[RK]],Rankings!A:Q,11,FALSE)</f>
        <v>Makai Polk</v>
      </c>
      <c r="AF186" s="22" t="str">
        <f>IFERROR(INDEX(TableWRCalcPts[TM],MATCH(TableWRRanks3242[[#This Row],[Player]],TableWRCalcPts[PLAYER],0)),"")</f>
        <v>BAL</v>
      </c>
      <c r="AG186" s="22">
        <f>IFERROR(INDEX(TableWRCalcPts[BYE],MATCH(TableWRRanks3242[[#This Row],[RK]],TableWRCalcPts[RK],0)),"")</f>
        <v>10</v>
      </c>
      <c r="AH186" s="279">
        <f>VLOOKUP(TableWRRanks3242[[#This Row],[Player]],WR!B:O,4,FALSE)</f>
        <v>0</v>
      </c>
      <c r="AI186" s="279">
        <f>VLOOKUP(TableWRRanks3242[[#This Row],[Player]],WR!B:O,5,FALSE)</f>
        <v>0</v>
      </c>
      <c r="AJ186" s="279">
        <f>VLOOKUP(TableWRRanks3242[[#This Row],[Player]],WR!B:O,6,FALSE)</f>
        <v>1.6839823370600591</v>
      </c>
      <c r="AK186" s="279">
        <f>VLOOKUP(TableWRRanks3242[[#This Row],[Player]],WR!B:O,7,FALSE)</f>
        <v>1.0065162428607972</v>
      </c>
      <c r="AL186" s="279">
        <f>VLOOKUP(TableWRRanks3242[[#This Row],[Player]],WR!B:O,8,FALSE)</f>
        <v>12.444812359515288</v>
      </c>
      <c r="AM186" s="279">
        <f>VLOOKUP(TableWRRanks3242[[#This Row],[Player]],WR!B:O,9,FALSE)</f>
        <v>7.0456137000255811E-2</v>
      </c>
      <c r="AN186" s="272">
        <f>VLOOKUP(TableWRRanks3242[[#This Row],[Player]],WR!B:O,13,FALSE)</f>
        <v>1.6672180579530638</v>
      </c>
      <c r="AO186" s="273">
        <f>IF(VLOOKUP(TableWRRanks3242[[#This Row],[RK]],'Ranks w Proj'!AD:AO,12,FALSE)&lt;0,0,VLOOKUP(TableWRRanks3242[[#This Row],[RK]],'Ranks w Proj'!AD:AO,12,FALSE))</f>
        <v>0</v>
      </c>
    </row>
    <row r="187" spans="30:41" x14ac:dyDescent="0.3">
      <c r="AD187" s="22">
        <v>186</v>
      </c>
      <c r="AE187" s="274" t="e">
        <f>VLOOKUP(TableWRRanks3242[[#This Row],[RK]],Rankings!A:Q,11,FALSE)</f>
        <v>#N/A</v>
      </c>
      <c r="AF187" s="22" t="str">
        <f>IFERROR(INDEX(TableWRCalcPts[TM],MATCH(TableWRRanks3242[[#This Row],[Player]],TableWRCalcPts[PLAYER],0)),"")</f>
        <v/>
      </c>
      <c r="AG187" s="22" t="str">
        <f>IFERROR(INDEX(TableWRCalcPts[BYE],MATCH(TableWRRanks3242[[#This Row],[RK]],TableWRCalcPts[RK],0)),"")</f>
        <v/>
      </c>
      <c r="AH187" s="279" t="e">
        <f>VLOOKUP(TableWRRanks3242[[#This Row],[Player]],WR!B:O,4,FALSE)</f>
        <v>#N/A</v>
      </c>
      <c r="AI187" s="279" t="e">
        <f>VLOOKUP(TableWRRanks3242[[#This Row],[Player]],WR!B:O,5,FALSE)</f>
        <v>#N/A</v>
      </c>
      <c r="AJ187" s="279" t="e">
        <f>VLOOKUP(TableWRRanks3242[[#This Row],[Player]],WR!B:O,6,FALSE)</f>
        <v>#N/A</v>
      </c>
      <c r="AK187" s="279" t="e">
        <f>VLOOKUP(TableWRRanks3242[[#This Row],[Player]],WR!B:O,7,FALSE)</f>
        <v>#N/A</v>
      </c>
      <c r="AL187" s="279" t="e">
        <f>VLOOKUP(TableWRRanks3242[[#This Row],[Player]],WR!B:O,8,FALSE)</f>
        <v>#N/A</v>
      </c>
      <c r="AM187" s="279" t="e">
        <f>VLOOKUP(TableWRRanks3242[[#This Row],[Player]],WR!B:O,9,FALSE)</f>
        <v>#N/A</v>
      </c>
      <c r="AN187" s="272" t="e">
        <f>VLOOKUP(TableWRRanks3242[[#This Row],[Player]],WR!B:O,13,FALSE)</f>
        <v>#N/A</v>
      </c>
      <c r="AO187" s="273" t="e">
        <f>IF(VLOOKUP(TableWRRanks3242[[#This Row],[RK]],'Ranks w Proj'!AD:AO,12,FALSE)&lt;0,0,VLOOKUP(TableWRRanks3242[[#This Row],[RK]],'Ranks w Proj'!AD:AO,12,FALSE))</f>
        <v>#VALUE!</v>
      </c>
    </row>
    <row r="188" spans="30:41" x14ac:dyDescent="0.3">
      <c r="AD188" s="22">
        <v>187</v>
      </c>
      <c r="AE188" s="274" t="e">
        <f>VLOOKUP(TableWRRanks3242[[#This Row],[RK]],Rankings!A:Q,11,FALSE)</f>
        <v>#N/A</v>
      </c>
      <c r="AF188" s="22" t="str">
        <f>IFERROR(INDEX(TableWRCalcPts[TM],MATCH(TableWRRanks3242[[#This Row],[Player]],TableWRCalcPts[PLAYER],0)),"")</f>
        <v/>
      </c>
      <c r="AG188" s="22" t="str">
        <f>IFERROR(INDEX(TableWRCalcPts[BYE],MATCH(TableWRRanks3242[[#This Row],[RK]],TableWRCalcPts[RK],0)),"")</f>
        <v/>
      </c>
      <c r="AH188" s="279" t="e">
        <f>VLOOKUP(TableWRRanks3242[[#This Row],[Player]],WR!B:O,4,FALSE)</f>
        <v>#N/A</v>
      </c>
      <c r="AI188" s="279" t="e">
        <f>VLOOKUP(TableWRRanks3242[[#This Row],[Player]],WR!B:O,5,FALSE)</f>
        <v>#N/A</v>
      </c>
      <c r="AJ188" s="279" t="e">
        <f>VLOOKUP(TableWRRanks3242[[#This Row],[Player]],WR!B:O,6,FALSE)</f>
        <v>#N/A</v>
      </c>
      <c r="AK188" s="279" t="e">
        <f>VLOOKUP(TableWRRanks3242[[#This Row],[Player]],WR!B:O,7,FALSE)</f>
        <v>#N/A</v>
      </c>
      <c r="AL188" s="279" t="e">
        <f>VLOOKUP(TableWRRanks3242[[#This Row],[Player]],WR!B:O,8,FALSE)</f>
        <v>#N/A</v>
      </c>
      <c r="AM188" s="279" t="e">
        <f>VLOOKUP(TableWRRanks3242[[#This Row],[Player]],WR!B:O,9,FALSE)</f>
        <v>#N/A</v>
      </c>
      <c r="AN188" s="272" t="e">
        <f>VLOOKUP(TableWRRanks3242[[#This Row],[Player]],WR!B:O,13,FALSE)</f>
        <v>#N/A</v>
      </c>
      <c r="AO188" s="273" t="e">
        <f>IF(VLOOKUP(TableWRRanks3242[[#This Row],[RK]],'Ranks w Proj'!AD:AO,12,FALSE)&lt;0,0,VLOOKUP(TableWRRanks3242[[#This Row],[RK]],'Ranks w Proj'!AD:AO,12,FALSE))</f>
        <v>#VALUE!</v>
      </c>
    </row>
    <row r="189" spans="30:41" x14ac:dyDescent="0.3">
      <c r="AD189" s="274">
        <v>188</v>
      </c>
      <c r="AE189" s="274" t="e">
        <f>VLOOKUP(TableWRRanks3242[[#This Row],[RK]],Rankings!A:Q,11,FALSE)</f>
        <v>#N/A</v>
      </c>
      <c r="AF189" s="22" t="str">
        <f>IFERROR(INDEX(TableWRCalcPts[TM],MATCH(TableWRRanks3242[[#This Row],[Player]],TableWRCalcPts[PLAYER],0)),"")</f>
        <v/>
      </c>
      <c r="AG189" s="22" t="str">
        <f>IFERROR(INDEX(TableWRCalcPts[BYE],MATCH(TableWRRanks3242[[#This Row],[RK]],TableWRCalcPts[RK],0)),"")</f>
        <v/>
      </c>
      <c r="AH189" s="279" t="e">
        <f>VLOOKUP(TableWRRanks3242[[#This Row],[Player]],WR!B:O,4,FALSE)</f>
        <v>#N/A</v>
      </c>
      <c r="AI189" s="279" t="e">
        <f>VLOOKUP(TableWRRanks3242[[#This Row],[Player]],WR!B:O,5,FALSE)</f>
        <v>#N/A</v>
      </c>
      <c r="AJ189" s="279" t="e">
        <f>VLOOKUP(TableWRRanks3242[[#This Row],[Player]],WR!B:O,6,FALSE)</f>
        <v>#N/A</v>
      </c>
      <c r="AK189" s="279" t="e">
        <f>VLOOKUP(TableWRRanks3242[[#This Row],[Player]],WR!B:O,7,FALSE)</f>
        <v>#N/A</v>
      </c>
      <c r="AL189" s="279" t="e">
        <f>VLOOKUP(TableWRRanks3242[[#This Row],[Player]],WR!B:O,8,FALSE)</f>
        <v>#N/A</v>
      </c>
      <c r="AM189" s="279" t="e">
        <f>VLOOKUP(TableWRRanks3242[[#This Row],[Player]],WR!B:O,9,FALSE)</f>
        <v>#N/A</v>
      </c>
      <c r="AN189" s="272" t="e">
        <f>VLOOKUP(TableWRRanks3242[[#This Row],[Player]],WR!B:O,13,FALSE)</f>
        <v>#N/A</v>
      </c>
      <c r="AO189" s="273" t="e">
        <f>IF(VLOOKUP(TableWRRanks3242[[#This Row],[RK]],'Ranks w Proj'!AD:AO,12,FALSE)&lt;0,0,VLOOKUP(TableWRRanks3242[[#This Row],[RK]],'Ranks w Proj'!AD:AO,12,FALSE))</f>
        <v>#VALUE!</v>
      </c>
    </row>
    <row r="190" spans="30:41" x14ac:dyDescent="0.3">
      <c r="AD190" s="22">
        <v>189</v>
      </c>
      <c r="AE190" s="22" t="e">
        <f>VLOOKUP(TableWRRanks3242[[#This Row],[RK]],Rankings!A:Q,11,FALSE)</f>
        <v>#N/A</v>
      </c>
      <c r="AF190" s="22" t="str">
        <f>IFERROR(INDEX(TableWRCalcPts[TM],MATCH(TableWRRanks3242[[#This Row],[Player]],TableWRCalcPts[PLAYER],0)),"")</f>
        <v/>
      </c>
      <c r="AG190" s="22" t="str">
        <f>IFERROR(INDEX(TableWRCalcPts[BYE],MATCH(TableWRRanks3242[[#This Row],[RK]],TableWRCalcPts[RK],0)),"")</f>
        <v/>
      </c>
      <c r="AH190" s="279" t="e">
        <f>VLOOKUP(TableWRRanks3242[[#This Row],[Player]],WR!B:O,4,FALSE)</f>
        <v>#N/A</v>
      </c>
      <c r="AI190" s="279" t="e">
        <f>VLOOKUP(TableWRRanks3242[[#This Row],[Player]],WR!B:O,5,FALSE)</f>
        <v>#N/A</v>
      </c>
      <c r="AJ190" s="279" t="e">
        <f>VLOOKUP(TableWRRanks3242[[#This Row],[Player]],WR!B:O,6,FALSE)</f>
        <v>#N/A</v>
      </c>
      <c r="AK190" s="279" t="e">
        <f>VLOOKUP(TableWRRanks3242[[#This Row],[Player]],WR!B:O,7,FALSE)</f>
        <v>#N/A</v>
      </c>
      <c r="AL190" s="279" t="e">
        <f>VLOOKUP(TableWRRanks3242[[#This Row],[Player]],WR!B:O,8,FALSE)</f>
        <v>#N/A</v>
      </c>
      <c r="AM190" s="279" t="e">
        <f>VLOOKUP(TableWRRanks3242[[#This Row],[Player]],WR!B:O,9,FALSE)</f>
        <v>#N/A</v>
      </c>
      <c r="AN190" s="272" t="e">
        <f>VLOOKUP(TableWRRanks3242[[#This Row],[Player]],WR!B:O,13,FALSE)</f>
        <v>#N/A</v>
      </c>
      <c r="AO190" s="273" t="e">
        <f>IF(VLOOKUP(TableWRRanks3242[[#This Row],[RK]],'Ranks w Proj'!AD:AO,12,FALSE)&lt;0,0,VLOOKUP(TableWRRanks3242[[#This Row],[RK]],'Ranks w Proj'!AD:AO,12,FALSE))</f>
        <v>#VALUE!</v>
      </c>
    </row>
    <row r="191" spans="30:41" x14ac:dyDescent="0.3">
      <c r="AD191" s="22">
        <v>190</v>
      </c>
      <c r="AE191" s="274" t="e">
        <f>VLOOKUP(TableWRRanks3242[[#This Row],[RK]],Rankings!A:Q,11,FALSE)</f>
        <v>#N/A</v>
      </c>
      <c r="AF191" s="22" t="str">
        <f>IFERROR(INDEX(TableWRCalcPts[TM],MATCH(TableWRRanks3242[[#This Row],[Player]],TableWRCalcPts[PLAYER],0)),"")</f>
        <v/>
      </c>
      <c r="AG191" s="22" t="str">
        <f>IFERROR(INDEX(TableWRCalcPts[BYE],MATCH(TableWRRanks3242[[#This Row],[RK]],TableWRCalcPts[RK],0)),"")</f>
        <v/>
      </c>
      <c r="AH191" s="279" t="e">
        <f>VLOOKUP(TableWRRanks3242[[#This Row],[Player]],WR!B:O,4,FALSE)</f>
        <v>#N/A</v>
      </c>
      <c r="AI191" s="279" t="e">
        <f>VLOOKUP(TableWRRanks3242[[#This Row],[Player]],WR!B:O,5,FALSE)</f>
        <v>#N/A</v>
      </c>
      <c r="AJ191" s="279" t="e">
        <f>VLOOKUP(TableWRRanks3242[[#This Row],[Player]],WR!B:O,6,FALSE)</f>
        <v>#N/A</v>
      </c>
      <c r="AK191" s="279" t="e">
        <f>VLOOKUP(TableWRRanks3242[[#This Row],[Player]],WR!B:O,7,FALSE)</f>
        <v>#N/A</v>
      </c>
      <c r="AL191" s="279" t="e">
        <f>VLOOKUP(TableWRRanks3242[[#This Row],[Player]],WR!B:O,8,FALSE)</f>
        <v>#N/A</v>
      </c>
      <c r="AM191" s="279" t="e">
        <f>VLOOKUP(TableWRRanks3242[[#This Row],[Player]],WR!B:O,9,FALSE)</f>
        <v>#N/A</v>
      </c>
      <c r="AN191" s="272" t="e">
        <f>VLOOKUP(TableWRRanks3242[[#This Row],[Player]],WR!B:O,13,FALSE)</f>
        <v>#N/A</v>
      </c>
      <c r="AO191" s="273" t="e">
        <f>IF(VLOOKUP(TableWRRanks3242[[#This Row],[RK]],'Ranks w Proj'!AD:AO,12,FALSE)&lt;0,0,VLOOKUP(TableWRRanks3242[[#This Row],[RK]],'Ranks w Proj'!AD:AO,12,FALSE))</f>
        <v>#VALUE!</v>
      </c>
    </row>
    <row r="192" spans="30:41" x14ac:dyDescent="0.3">
      <c r="AD192" s="274">
        <v>191</v>
      </c>
      <c r="AE192" s="274" t="e">
        <f>VLOOKUP(TableWRRanks3242[[#This Row],[RK]],Rankings!A:Q,11,FALSE)</f>
        <v>#N/A</v>
      </c>
      <c r="AF192" s="22" t="str">
        <f>IFERROR(INDEX(TableWRCalcPts[TM],MATCH(TableWRRanks3242[[#This Row],[Player]],TableWRCalcPts[PLAYER],0)),"")</f>
        <v/>
      </c>
      <c r="AG192" s="22" t="str">
        <f>IFERROR(INDEX(TableWRCalcPts[BYE],MATCH(TableWRRanks3242[[#This Row],[RK]],TableWRCalcPts[RK],0)),"")</f>
        <v/>
      </c>
      <c r="AH192" s="279" t="e">
        <f>VLOOKUP(TableWRRanks3242[[#This Row],[Player]],WR!B:O,4,FALSE)</f>
        <v>#N/A</v>
      </c>
      <c r="AI192" s="279" t="e">
        <f>VLOOKUP(TableWRRanks3242[[#This Row],[Player]],WR!B:O,5,FALSE)</f>
        <v>#N/A</v>
      </c>
      <c r="AJ192" s="279" t="e">
        <f>VLOOKUP(TableWRRanks3242[[#This Row],[Player]],WR!B:O,6,FALSE)</f>
        <v>#N/A</v>
      </c>
      <c r="AK192" s="279" t="e">
        <f>VLOOKUP(TableWRRanks3242[[#This Row],[Player]],WR!B:O,7,FALSE)</f>
        <v>#N/A</v>
      </c>
      <c r="AL192" s="279" t="e">
        <f>VLOOKUP(TableWRRanks3242[[#This Row],[Player]],WR!B:O,8,FALSE)</f>
        <v>#N/A</v>
      </c>
      <c r="AM192" s="279" t="e">
        <f>VLOOKUP(TableWRRanks3242[[#This Row],[Player]],WR!B:O,9,FALSE)</f>
        <v>#N/A</v>
      </c>
      <c r="AN192" s="272" t="e">
        <f>VLOOKUP(TableWRRanks3242[[#This Row],[Player]],WR!B:O,13,FALSE)</f>
        <v>#N/A</v>
      </c>
      <c r="AO192" s="273" t="e">
        <f>IF(VLOOKUP(TableWRRanks3242[[#This Row],[RK]],'Ranks w Proj'!AD:AO,12,FALSE)&lt;0,0,VLOOKUP(TableWRRanks3242[[#This Row],[RK]],'Ranks w Proj'!AD:AO,12,FALSE))</f>
        <v>#VALUE!</v>
      </c>
    </row>
    <row r="193" spans="30:41" x14ac:dyDescent="0.3">
      <c r="AD193" s="22">
        <v>192</v>
      </c>
      <c r="AE193" s="22" t="e">
        <f>VLOOKUP(TableWRRanks3242[[#This Row],[RK]],Rankings!A:Q,11,FALSE)</f>
        <v>#N/A</v>
      </c>
      <c r="AF193" s="22" t="str">
        <f>IFERROR(INDEX(TableWRCalcPts[TM],MATCH(TableWRRanks3242[[#This Row],[Player]],TableWRCalcPts[PLAYER],0)),"")</f>
        <v/>
      </c>
      <c r="AG193" s="22" t="str">
        <f>IFERROR(INDEX(TableWRCalcPts[BYE],MATCH(TableWRRanks3242[[#This Row],[RK]],TableWRCalcPts[RK],0)),"")</f>
        <v/>
      </c>
      <c r="AH193" s="279" t="e">
        <f>VLOOKUP(TableWRRanks3242[[#This Row],[Player]],WR!B:O,4,FALSE)</f>
        <v>#N/A</v>
      </c>
      <c r="AI193" s="279" t="e">
        <f>VLOOKUP(TableWRRanks3242[[#This Row],[Player]],WR!B:O,5,FALSE)</f>
        <v>#N/A</v>
      </c>
      <c r="AJ193" s="279" t="e">
        <f>VLOOKUP(TableWRRanks3242[[#This Row],[Player]],WR!B:O,6,FALSE)</f>
        <v>#N/A</v>
      </c>
      <c r="AK193" s="279" t="e">
        <f>VLOOKUP(TableWRRanks3242[[#This Row],[Player]],WR!B:O,7,FALSE)</f>
        <v>#N/A</v>
      </c>
      <c r="AL193" s="279" t="e">
        <f>VLOOKUP(TableWRRanks3242[[#This Row],[Player]],WR!B:O,8,FALSE)</f>
        <v>#N/A</v>
      </c>
      <c r="AM193" s="279" t="e">
        <f>VLOOKUP(TableWRRanks3242[[#This Row],[Player]],WR!B:O,9,FALSE)</f>
        <v>#N/A</v>
      </c>
      <c r="AN193" s="272" t="e">
        <f>VLOOKUP(TableWRRanks3242[[#This Row],[Player]],WR!B:O,13,FALSE)</f>
        <v>#N/A</v>
      </c>
      <c r="AO193" s="273" t="e">
        <f>IF(VLOOKUP(TableWRRanks3242[[#This Row],[RK]],'Ranks w Proj'!AD:AO,12,FALSE)&lt;0,0,VLOOKUP(TableWRRanks3242[[#This Row],[RK]],'Ranks w Proj'!AD:AO,12,FALSE))</f>
        <v>#VALUE!</v>
      </c>
    </row>
    <row r="194" spans="30:41" x14ac:dyDescent="0.3">
      <c r="AD194" s="22">
        <v>193</v>
      </c>
      <c r="AE194" s="22" t="e">
        <f>VLOOKUP(TableWRRanks3242[[#This Row],[RK]],Rankings!A:Q,11,FALSE)</f>
        <v>#N/A</v>
      </c>
      <c r="AF194" s="22" t="str">
        <f>IFERROR(INDEX(TableWRCalcPts[TM],MATCH(TableWRRanks3242[[#This Row],[Player]],TableWRCalcPts[PLAYER],0)),"")</f>
        <v/>
      </c>
      <c r="AG194" s="22" t="str">
        <f>IFERROR(INDEX(TableWRCalcPts[BYE],MATCH(TableWRRanks3242[[#This Row],[RK]],TableWRCalcPts[RK],0)),"")</f>
        <v/>
      </c>
      <c r="AH194" s="279" t="e">
        <f>VLOOKUP(TableWRRanks3242[[#This Row],[Player]],WR!B:O,4,FALSE)</f>
        <v>#N/A</v>
      </c>
      <c r="AI194" s="279" t="e">
        <f>VLOOKUP(TableWRRanks3242[[#This Row],[Player]],WR!B:O,5,FALSE)</f>
        <v>#N/A</v>
      </c>
      <c r="AJ194" s="279" t="e">
        <f>VLOOKUP(TableWRRanks3242[[#This Row],[Player]],WR!B:O,6,FALSE)</f>
        <v>#N/A</v>
      </c>
      <c r="AK194" s="279" t="e">
        <f>VLOOKUP(TableWRRanks3242[[#This Row],[Player]],WR!B:O,7,FALSE)</f>
        <v>#N/A</v>
      </c>
      <c r="AL194" s="279" t="e">
        <f>VLOOKUP(TableWRRanks3242[[#This Row],[Player]],WR!B:O,8,FALSE)</f>
        <v>#N/A</v>
      </c>
      <c r="AM194" s="279" t="e">
        <f>VLOOKUP(TableWRRanks3242[[#This Row],[Player]],WR!B:O,9,FALSE)</f>
        <v>#N/A</v>
      </c>
      <c r="AN194" s="272" t="e">
        <f>VLOOKUP(TableWRRanks3242[[#This Row],[Player]],WR!B:O,13,FALSE)</f>
        <v>#N/A</v>
      </c>
      <c r="AO194" s="273" t="e">
        <f>IF(VLOOKUP(TableWRRanks3242[[#This Row],[RK]],'Ranks w Proj'!AD:AO,12,FALSE)&lt;0,0,VLOOKUP(TableWRRanks3242[[#This Row],[RK]],'Ranks w Proj'!AD:AO,12,FALSE))</f>
        <v>#VALUE!</v>
      </c>
    </row>
    <row r="195" spans="30:41" x14ac:dyDescent="0.3">
      <c r="AD195" s="274">
        <v>194</v>
      </c>
      <c r="AE195" s="274" t="e">
        <f>VLOOKUP(TableWRRanks3242[[#This Row],[RK]],Rankings!A:Q,11,FALSE)</f>
        <v>#N/A</v>
      </c>
      <c r="AF195" s="22" t="str">
        <f>IFERROR(INDEX(TableWRCalcPts[TM],MATCH(TableWRRanks3242[[#This Row],[Player]],TableWRCalcPts[PLAYER],0)),"")</f>
        <v/>
      </c>
      <c r="AG195" s="22" t="str">
        <f>IFERROR(INDEX(TableWRCalcPts[BYE],MATCH(TableWRRanks3242[[#This Row],[RK]],TableWRCalcPts[RK],0)),"")</f>
        <v/>
      </c>
      <c r="AH195" s="279" t="e">
        <f>VLOOKUP(TableWRRanks3242[[#This Row],[Player]],WR!B:O,4,FALSE)</f>
        <v>#N/A</v>
      </c>
      <c r="AI195" s="279" t="e">
        <f>VLOOKUP(TableWRRanks3242[[#This Row],[Player]],WR!B:O,5,FALSE)</f>
        <v>#N/A</v>
      </c>
      <c r="AJ195" s="279" t="e">
        <f>VLOOKUP(TableWRRanks3242[[#This Row],[Player]],WR!B:O,6,FALSE)</f>
        <v>#N/A</v>
      </c>
      <c r="AK195" s="279" t="e">
        <f>VLOOKUP(TableWRRanks3242[[#This Row],[Player]],WR!B:O,7,FALSE)</f>
        <v>#N/A</v>
      </c>
      <c r="AL195" s="279" t="e">
        <f>VLOOKUP(TableWRRanks3242[[#This Row],[Player]],WR!B:O,8,FALSE)</f>
        <v>#N/A</v>
      </c>
      <c r="AM195" s="279" t="e">
        <f>VLOOKUP(TableWRRanks3242[[#This Row],[Player]],WR!B:O,9,FALSE)</f>
        <v>#N/A</v>
      </c>
      <c r="AN195" s="272" t="e">
        <f>VLOOKUP(TableWRRanks3242[[#This Row],[Player]],WR!B:O,13,FALSE)</f>
        <v>#N/A</v>
      </c>
      <c r="AO195" s="273" t="e">
        <f>IF(VLOOKUP(TableWRRanks3242[[#This Row],[RK]],'Ranks w Proj'!AD:AO,12,FALSE)&lt;0,0,VLOOKUP(TableWRRanks3242[[#This Row],[RK]],'Ranks w Proj'!AD:AO,12,FALSE))</f>
        <v>#VALUE!</v>
      </c>
    </row>
    <row r="196" spans="30:41" x14ac:dyDescent="0.3">
      <c r="AD196" s="22">
        <v>195</v>
      </c>
      <c r="AE196" s="274" t="e">
        <f>VLOOKUP(TableWRRanks3242[[#This Row],[RK]],Rankings!A:Q,11,FALSE)</f>
        <v>#N/A</v>
      </c>
      <c r="AF196" s="22" t="str">
        <f>IFERROR(INDEX(TableWRCalcPts[TM],MATCH(TableWRRanks3242[[#This Row],[Player]],TableWRCalcPts[PLAYER],0)),"")</f>
        <v/>
      </c>
      <c r="AG196" s="22" t="str">
        <f>IFERROR(INDEX(TableWRCalcPts[BYE],MATCH(TableWRRanks3242[[#This Row],[RK]],TableWRCalcPts[RK],0)),"")</f>
        <v/>
      </c>
      <c r="AH196" s="279" t="e">
        <f>VLOOKUP(TableWRRanks3242[[#This Row],[Player]],WR!B:O,4,FALSE)</f>
        <v>#N/A</v>
      </c>
      <c r="AI196" s="279" t="e">
        <f>VLOOKUP(TableWRRanks3242[[#This Row],[Player]],WR!B:O,5,FALSE)</f>
        <v>#N/A</v>
      </c>
      <c r="AJ196" s="279" t="e">
        <f>VLOOKUP(TableWRRanks3242[[#This Row],[Player]],WR!B:O,6,FALSE)</f>
        <v>#N/A</v>
      </c>
      <c r="AK196" s="279" t="e">
        <f>VLOOKUP(TableWRRanks3242[[#This Row],[Player]],WR!B:O,7,FALSE)</f>
        <v>#N/A</v>
      </c>
      <c r="AL196" s="279" t="e">
        <f>VLOOKUP(TableWRRanks3242[[#This Row],[Player]],WR!B:O,8,FALSE)</f>
        <v>#N/A</v>
      </c>
      <c r="AM196" s="279" t="e">
        <f>VLOOKUP(TableWRRanks3242[[#This Row],[Player]],WR!B:O,9,FALSE)</f>
        <v>#N/A</v>
      </c>
      <c r="AN196" s="272" t="e">
        <f>VLOOKUP(TableWRRanks3242[[#This Row],[Player]],WR!B:O,13,FALSE)</f>
        <v>#N/A</v>
      </c>
      <c r="AO196" s="273" t="e">
        <f>IF(VLOOKUP(TableWRRanks3242[[#This Row],[RK]],'Ranks w Proj'!AD:AO,12,FALSE)&lt;0,0,VLOOKUP(TableWRRanks3242[[#This Row],[RK]],'Ranks w Proj'!AD:AO,12,FALSE))</f>
        <v>#VALUE!</v>
      </c>
    </row>
    <row r="197" spans="30:41" x14ac:dyDescent="0.3">
      <c r="AD197" s="22">
        <v>196</v>
      </c>
      <c r="AE197" s="274" t="e">
        <f>VLOOKUP(TableWRRanks3242[[#This Row],[RK]],Rankings!A:Q,11,FALSE)</f>
        <v>#N/A</v>
      </c>
      <c r="AF197" s="22" t="str">
        <f>IFERROR(INDEX(TableWRCalcPts[TM],MATCH(TableWRRanks3242[[#This Row],[Player]],TableWRCalcPts[PLAYER],0)),"")</f>
        <v/>
      </c>
      <c r="AG197" s="22" t="str">
        <f>IFERROR(INDEX(TableWRCalcPts[BYE],MATCH(TableWRRanks3242[[#This Row],[RK]],TableWRCalcPts[RK],0)),"")</f>
        <v/>
      </c>
      <c r="AH197" s="279" t="e">
        <f>VLOOKUP(TableWRRanks3242[[#This Row],[Player]],WR!B:O,4,FALSE)</f>
        <v>#N/A</v>
      </c>
      <c r="AI197" s="279" t="e">
        <f>VLOOKUP(TableWRRanks3242[[#This Row],[Player]],WR!B:O,5,FALSE)</f>
        <v>#N/A</v>
      </c>
      <c r="AJ197" s="279" t="e">
        <f>VLOOKUP(TableWRRanks3242[[#This Row],[Player]],WR!B:O,6,FALSE)</f>
        <v>#N/A</v>
      </c>
      <c r="AK197" s="279" t="e">
        <f>VLOOKUP(TableWRRanks3242[[#This Row],[Player]],WR!B:O,7,FALSE)</f>
        <v>#N/A</v>
      </c>
      <c r="AL197" s="279" t="e">
        <f>VLOOKUP(TableWRRanks3242[[#This Row],[Player]],WR!B:O,8,FALSE)</f>
        <v>#N/A</v>
      </c>
      <c r="AM197" s="279" t="e">
        <f>VLOOKUP(TableWRRanks3242[[#This Row],[Player]],WR!B:O,9,FALSE)</f>
        <v>#N/A</v>
      </c>
      <c r="AN197" s="272" t="e">
        <f>VLOOKUP(TableWRRanks3242[[#This Row],[Player]],WR!B:O,13,FALSE)</f>
        <v>#N/A</v>
      </c>
      <c r="AO197" s="273" t="e">
        <f>IF(VLOOKUP(TableWRRanks3242[[#This Row],[RK]],'Ranks w Proj'!AD:AO,12,FALSE)&lt;0,0,VLOOKUP(TableWRRanks3242[[#This Row],[RK]],'Ranks w Proj'!AD:AO,12,FALSE))</f>
        <v>#VALUE!</v>
      </c>
    </row>
    <row r="198" spans="30:41" x14ac:dyDescent="0.3">
      <c r="AD198" s="274">
        <v>197</v>
      </c>
      <c r="AE198" s="274" t="e">
        <f>VLOOKUP(TableWRRanks3242[[#This Row],[RK]],Rankings!A:Q,11,FALSE)</f>
        <v>#N/A</v>
      </c>
      <c r="AF198" s="22" t="str">
        <f>IFERROR(INDEX(TableWRCalcPts[TM],MATCH(TableWRRanks3242[[#This Row],[Player]],TableWRCalcPts[PLAYER],0)),"")</f>
        <v/>
      </c>
      <c r="AG198" s="22" t="str">
        <f>IFERROR(INDEX(TableWRCalcPts[BYE],MATCH(TableWRRanks3242[[#This Row],[RK]],TableWRCalcPts[RK],0)),"")</f>
        <v/>
      </c>
      <c r="AH198" s="279" t="e">
        <f>VLOOKUP(TableWRRanks3242[[#This Row],[Player]],WR!B:O,4,FALSE)</f>
        <v>#N/A</v>
      </c>
      <c r="AI198" s="279" t="e">
        <f>VLOOKUP(TableWRRanks3242[[#This Row],[Player]],WR!B:O,5,FALSE)</f>
        <v>#N/A</v>
      </c>
      <c r="AJ198" s="279" t="e">
        <f>VLOOKUP(TableWRRanks3242[[#This Row],[Player]],WR!B:O,6,FALSE)</f>
        <v>#N/A</v>
      </c>
      <c r="AK198" s="279" t="e">
        <f>VLOOKUP(TableWRRanks3242[[#This Row],[Player]],WR!B:O,7,FALSE)</f>
        <v>#N/A</v>
      </c>
      <c r="AL198" s="279" t="e">
        <f>VLOOKUP(TableWRRanks3242[[#This Row],[Player]],WR!B:O,8,FALSE)</f>
        <v>#N/A</v>
      </c>
      <c r="AM198" s="279" t="e">
        <f>VLOOKUP(TableWRRanks3242[[#This Row],[Player]],WR!B:O,9,FALSE)</f>
        <v>#N/A</v>
      </c>
      <c r="AN198" s="272" t="e">
        <f>VLOOKUP(TableWRRanks3242[[#This Row],[Player]],WR!B:O,13,FALSE)</f>
        <v>#N/A</v>
      </c>
      <c r="AO198" s="273" t="e">
        <f>IF(VLOOKUP(TableWRRanks3242[[#This Row],[RK]],'Ranks w Proj'!AD:AO,12,FALSE)&lt;0,0,VLOOKUP(TableWRRanks3242[[#This Row],[RK]],'Ranks w Proj'!AD:AO,12,FALSE))</f>
        <v>#VALUE!</v>
      </c>
    </row>
    <row r="199" spans="30:41" x14ac:dyDescent="0.3">
      <c r="AD199" s="22">
        <v>198</v>
      </c>
      <c r="AE199" s="274" t="e">
        <f>VLOOKUP(TableWRRanks3242[[#This Row],[RK]],Rankings!A:Q,11,FALSE)</f>
        <v>#N/A</v>
      </c>
      <c r="AF199" s="22" t="str">
        <f>IFERROR(INDEX(TableWRCalcPts[TM],MATCH(TableWRRanks3242[[#This Row],[Player]],TableWRCalcPts[PLAYER],0)),"")</f>
        <v/>
      </c>
      <c r="AG199" s="22" t="str">
        <f>IFERROR(INDEX(TableWRCalcPts[BYE],MATCH(TableWRRanks3242[[#This Row],[RK]],TableWRCalcPts[RK],0)),"")</f>
        <v/>
      </c>
      <c r="AH199" s="279" t="e">
        <f>VLOOKUP(TableWRRanks3242[[#This Row],[Player]],WR!B:O,4,FALSE)</f>
        <v>#N/A</v>
      </c>
      <c r="AI199" s="279" t="e">
        <f>VLOOKUP(TableWRRanks3242[[#This Row],[Player]],WR!B:O,5,FALSE)</f>
        <v>#N/A</v>
      </c>
      <c r="AJ199" s="279" t="e">
        <f>VLOOKUP(TableWRRanks3242[[#This Row],[Player]],WR!B:O,6,FALSE)</f>
        <v>#N/A</v>
      </c>
      <c r="AK199" s="279" t="e">
        <f>VLOOKUP(TableWRRanks3242[[#This Row],[Player]],WR!B:O,7,FALSE)</f>
        <v>#N/A</v>
      </c>
      <c r="AL199" s="279" t="e">
        <f>VLOOKUP(TableWRRanks3242[[#This Row],[Player]],WR!B:O,8,FALSE)</f>
        <v>#N/A</v>
      </c>
      <c r="AM199" s="279" t="e">
        <f>VLOOKUP(TableWRRanks3242[[#This Row],[Player]],WR!B:O,9,FALSE)</f>
        <v>#N/A</v>
      </c>
      <c r="AN199" s="272" t="e">
        <f>VLOOKUP(TableWRRanks3242[[#This Row],[Player]],WR!B:O,13,FALSE)</f>
        <v>#N/A</v>
      </c>
      <c r="AO199" s="273" t="e">
        <f>IF(VLOOKUP(TableWRRanks3242[[#This Row],[RK]],'Ranks w Proj'!AD:AO,12,FALSE)&lt;0,0,VLOOKUP(TableWRRanks3242[[#This Row],[RK]],'Ranks w Proj'!AD:AO,12,FALSE))</f>
        <v>#VALUE!</v>
      </c>
    </row>
    <row r="200" spans="30:41" x14ac:dyDescent="0.3">
      <c r="AD200" s="22">
        <v>199</v>
      </c>
      <c r="AE200" s="274" t="e">
        <f>VLOOKUP(TableWRRanks3242[[#This Row],[RK]],Rankings!A:Q,11,FALSE)</f>
        <v>#N/A</v>
      </c>
      <c r="AF200" s="22" t="str">
        <f>IFERROR(INDEX(TableWRCalcPts[TM],MATCH(TableWRRanks3242[[#This Row],[Player]],TableWRCalcPts[PLAYER],0)),"")</f>
        <v/>
      </c>
      <c r="AG200" s="22" t="str">
        <f>IFERROR(INDEX(TableWRCalcPts[BYE],MATCH(TableWRRanks3242[[#This Row],[RK]],TableWRCalcPts[RK],0)),"")</f>
        <v/>
      </c>
      <c r="AH200" s="279" t="e">
        <f>VLOOKUP(TableWRRanks3242[[#This Row],[Player]],WR!B:O,4,FALSE)</f>
        <v>#N/A</v>
      </c>
      <c r="AI200" s="279" t="e">
        <f>VLOOKUP(TableWRRanks3242[[#This Row],[Player]],WR!B:O,5,FALSE)</f>
        <v>#N/A</v>
      </c>
      <c r="AJ200" s="279" t="e">
        <f>VLOOKUP(TableWRRanks3242[[#This Row],[Player]],WR!B:O,6,FALSE)</f>
        <v>#N/A</v>
      </c>
      <c r="AK200" s="279" t="e">
        <f>VLOOKUP(TableWRRanks3242[[#This Row],[Player]],WR!B:O,7,FALSE)</f>
        <v>#N/A</v>
      </c>
      <c r="AL200" s="279" t="e">
        <f>VLOOKUP(TableWRRanks3242[[#This Row],[Player]],WR!B:O,8,FALSE)</f>
        <v>#N/A</v>
      </c>
      <c r="AM200" s="279" t="e">
        <f>VLOOKUP(TableWRRanks3242[[#This Row],[Player]],WR!B:O,9,FALSE)</f>
        <v>#N/A</v>
      </c>
      <c r="AN200" s="272" t="e">
        <f>VLOOKUP(TableWRRanks3242[[#This Row],[Player]],WR!B:O,13,FALSE)</f>
        <v>#N/A</v>
      </c>
      <c r="AO200" s="273" t="e">
        <f>IF(VLOOKUP(TableWRRanks3242[[#This Row],[RK]],'Ranks w Proj'!AD:AO,12,FALSE)&lt;0,0,VLOOKUP(TableWRRanks3242[[#This Row],[RK]],'Ranks w Proj'!AD:AO,12,FALSE))</f>
        <v>#VALUE!</v>
      </c>
    </row>
    <row r="201" spans="30:41" x14ac:dyDescent="0.3">
      <c r="AD201" s="274">
        <v>200</v>
      </c>
      <c r="AE201" s="22" t="e">
        <f>VLOOKUP(TableWRRanks3242[[#This Row],[RK]],Rankings!A:Q,11,FALSE)</f>
        <v>#N/A</v>
      </c>
      <c r="AF201" s="22" t="str">
        <f>IFERROR(INDEX(TableWRCalcPts[TM],MATCH(TableWRRanks3242[[#This Row],[Player]],TableWRCalcPts[PLAYER],0)),"")</f>
        <v/>
      </c>
      <c r="AG201" s="22" t="str">
        <f>IFERROR(INDEX(TableWRCalcPts[BYE],MATCH(TableWRRanks3242[[#This Row],[RK]],TableWRCalcPts[RK],0)),"")</f>
        <v/>
      </c>
      <c r="AH201" s="279" t="e">
        <f>VLOOKUP(TableWRRanks3242[[#This Row],[Player]],WR!B:O,4,FALSE)</f>
        <v>#N/A</v>
      </c>
      <c r="AI201" s="279" t="e">
        <f>VLOOKUP(TableWRRanks3242[[#This Row],[Player]],WR!B:O,5,FALSE)</f>
        <v>#N/A</v>
      </c>
      <c r="AJ201" s="279" t="e">
        <f>VLOOKUP(TableWRRanks3242[[#This Row],[Player]],WR!B:O,6,FALSE)</f>
        <v>#N/A</v>
      </c>
      <c r="AK201" s="279" t="e">
        <f>VLOOKUP(TableWRRanks3242[[#This Row],[Player]],WR!B:O,7,FALSE)</f>
        <v>#N/A</v>
      </c>
      <c r="AL201" s="279" t="e">
        <f>VLOOKUP(TableWRRanks3242[[#This Row],[Player]],WR!B:O,8,FALSE)</f>
        <v>#N/A</v>
      </c>
      <c r="AM201" s="279" t="e">
        <f>VLOOKUP(TableWRRanks3242[[#This Row],[Player]],WR!B:O,9,FALSE)</f>
        <v>#N/A</v>
      </c>
      <c r="AN201" s="272" t="e">
        <f>VLOOKUP(TableWRRanks3242[[#This Row],[Player]],WR!B:O,13,FALSE)</f>
        <v>#N/A</v>
      </c>
      <c r="AO201" s="273" t="e">
        <f>IF(VLOOKUP(TableWRRanks3242[[#This Row],[RK]],'Ranks w Proj'!AD:AO,12,FALSE)&lt;0,0,VLOOKUP(TableWRRanks3242[[#This Row],[RK]],'Ranks w Proj'!AD:AO,12,FALSE))</f>
        <v>#VALUE!</v>
      </c>
    </row>
    <row r="202" spans="30:41" x14ac:dyDescent="0.3">
      <c r="AD202" s="22">
        <v>201</v>
      </c>
      <c r="AE202" s="22" t="e">
        <f>VLOOKUP(TableWRRanks3242[[#This Row],[RK]],Rankings!A:Q,11,FALSE)</f>
        <v>#N/A</v>
      </c>
      <c r="AF202" s="22" t="str">
        <f>IFERROR(INDEX(TableWRCalcPts[TM],MATCH(TableWRRanks3242[[#This Row],[Player]],TableWRCalcPts[PLAYER],0)),"")</f>
        <v/>
      </c>
      <c r="AG202" s="22" t="str">
        <f>IFERROR(INDEX(TableWRCalcPts[BYE],MATCH(TableWRRanks3242[[#This Row],[RK]],TableWRCalcPts[RK],0)),"")</f>
        <v/>
      </c>
      <c r="AH202" s="279" t="e">
        <f>VLOOKUP(TableWRRanks3242[[#This Row],[Player]],WR!B:O,4,FALSE)</f>
        <v>#N/A</v>
      </c>
      <c r="AI202" s="279" t="e">
        <f>VLOOKUP(TableWRRanks3242[[#This Row],[Player]],WR!B:O,5,FALSE)</f>
        <v>#N/A</v>
      </c>
      <c r="AJ202" s="279" t="e">
        <f>VLOOKUP(TableWRRanks3242[[#This Row],[Player]],WR!B:O,6,FALSE)</f>
        <v>#N/A</v>
      </c>
      <c r="AK202" s="279" t="e">
        <f>VLOOKUP(TableWRRanks3242[[#This Row],[Player]],WR!B:O,7,FALSE)</f>
        <v>#N/A</v>
      </c>
      <c r="AL202" s="279" t="e">
        <f>VLOOKUP(TableWRRanks3242[[#This Row],[Player]],WR!B:O,8,FALSE)</f>
        <v>#N/A</v>
      </c>
      <c r="AM202" s="279" t="e">
        <f>VLOOKUP(TableWRRanks3242[[#This Row],[Player]],WR!B:O,9,FALSE)</f>
        <v>#N/A</v>
      </c>
      <c r="AN202" s="272" t="e">
        <f>VLOOKUP(TableWRRanks3242[[#This Row],[Player]],WR!B:O,13,FALSE)</f>
        <v>#N/A</v>
      </c>
      <c r="AO202" s="273" t="e">
        <f>IF(VLOOKUP(TableWRRanks3242[[#This Row],[RK]],'Ranks w Proj'!AD:AO,12,FALSE)&lt;0,0,VLOOKUP(TableWRRanks3242[[#This Row],[RK]],'Ranks w Proj'!AD:AO,12,FALSE))</f>
        <v>#VALUE!</v>
      </c>
    </row>
    <row r="203" spans="30:41" x14ac:dyDescent="0.3">
      <c r="AD203" s="22">
        <v>202</v>
      </c>
      <c r="AE203" s="22" t="e">
        <f>VLOOKUP(TableWRRanks3242[[#This Row],[RK]],Rankings!A:Q,11,FALSE)</f>
        <v>#N/A</v>
      </c>
      <c r="AF203" s="22" t="str">
        <f>IFERROR(INDEX(TableWRCalcPts[TM],MATCH(TableWRRanks3242[[#This Row],[Player]],TableWRCalcPts[PLAYER],0)),"")</f>
        <v/>
      </c>
      <c r="AG203" s="22" t="str">
        <f>IFERROR(INDEX(TableWRCalcPts[BYE],MATCH(TableWRRanks3242[[#This Row],[RK]],TableWRCalcPts[RK],0)),"")</f>
        <v/>
      </c>
      <c r="AH203" s="279" t="e">
        <f>VLOOKUP(TableWRRanks3242[[#This Row],[Player]],WR!B:O,4,FALSE)</f>
        <v>#N/A</v>
      </c>
      <c r="AI203" s="279" t="e">
        <f>VLOOKUP(TableWRRanks3242[[#This Row],[Player]],WR!B:O,5,FALSE)</f>
        <v>#N/A</v>
      </c>
      <c r="AJ203" s="279" t="e">
        <f>VLOOKUP(TableWRRanks3242[[#This Row],[Player]],WR!B:O,6,FALSE)</f>
        <v>#N/A</v>
      </c>
      <c r="AK203" s="279" t="e">
        <f>VLOOKUP(TableWRRanks3242[[#This Row],[Player]],WR!B:O,7,FALSE)</f>
        <v>#N/A</v>
      </c>
      <c r="AL203" s="279" t="e">
        <f>VLOOKUP(TableWRRanks3242[[#This Row],[Player]],WR!B:O,8,FALSE)</f>
        <v>#N/A</v>
      </c>
      <c r="AM203" s="279" t="e">
        <f>VLOOKUP(TableWRRanks3242[[#This Row],[Player]],WR!B:O,9,FALSE)</f>
        <v>#N/A</v>
      </c>
      <c r="AN203" s="272" t="e">
        <f>VLOOKUP(TableWRRanks3242[[#This Row],[Player]],WR!B:O,13,FALSE)</f>
        <v>#N/A</v>
      </c>
      <c r="AO203" s="273" t="e">
        <f>IF(VLOOKUP(TableWRRanks3242[[#This Row],[RK]],'Ranks w Proj'!AD:AO,12,FALSE)&lt;0,0,VLOOKUP(TableWRRanks3242[[#This Row],[RK]],'Ranks w Proj'!AD:AO,12,FALSE))</f>
        <v>#VALUE!</v>
      </c>
    </row>
    <row r="204" spans="30:41" x14ac:dyDescent="0.3">
      <c r="AD204" s="274">
        <v>203</v>
      </c>
      <c r="AE204" s="274" t="e">
        <f>VLOOKUP(TableWRRanks3242[[#This Row],[RK]],Rankings!A:Q,11,FALSE)</f>
        <v>#N/A</v>
      </c>
      <c r="AF204" s="274" t="str">
        <f>IFERROR(INDEX(TableWRCalcPts[TM],MATCH(TableWRRanks3242[[#This Row],[Player]],TableWRCalcPts[PLAYER],0)),"")</f>
        <v/>
      </c>
      <c r="AG204" s="274" t="str">
        <f>IFERROR(INDEX(TableWRCalcPts[BYE],MATCH(TableWRRanks3242[[#This Row],[RK]],TableWRCalcPts[RK],0)),"")</f>
        <v/>
      </c>
      <c r="AH204" s="279" t="e">
        <f>VLOOKUP(TableWRRanks3242[[#This Row],[Player]],WR!B:O,4,FALSE)</f>
        <v>#N/A</v>
      </c>
      <c r="AI204" s="279" t="e">
        <f>VLOOKUP(TableWRRanks3242[[#This Row],[Player]],WR!B:O,5,FALSE)</f>
        <v>#N/A</v>
      </c>
      <c r="AJ204" s="279" t="e">
        <f>VLOOKUP(TableWRRanks3242[[#This Row],[Player]],WR!B:O,6,FALSE)</f>
        <v>#N/A</v>
      </c>
      <c r="AK204" s="279" t="e">
        <f>VLOOKUP(TableWRRanks3242[[#This Row],[Player]],WR!B:O,7,FALSE)</f>
        <v>#N/A</v>
      </c>
      <c r="AL204" s="279" t="e">
        <f>VLOOKUP(TableWRRanks3242[[#This Row],[Player]],WR!B:O,8,FALSE)</f>
        <v>#N/A</v>
      </c>
      <c r="AM204" s="279" t="e">
        <f>VLOOKUP(TableWRRanks3242[[#This Row],[Player]],WR!B:O,9,FALSE)</f>
        <v>#N/A</v>
      </c>
      <c r="AN204" s="272" t="e">
        <f>VLOOKUP(TableWRRanks3242[[#This Row],[Player]],WR!B:O,13,FALSE)</f>
        <v>#N/A</v>
      </c>
      <c r="AO204" s="273" t="e">
        <f>IF(VLOOKUP(TableWRRanks3242[[#This Row],[RK]],'Ranks w Proj'!AD:AO,12,FALSE)&lt;0,0,VLOOKUP(TableWRRanks3242[[#This Row],[RK]],'Ranks w Proj'!AD:AO,12,FALSE))</f>
        <v>#VALUE!</v>
      </c>
    </row>
    <row r="205" spans="30:41" x14ac:dyDescent="0.3">
      <c r="AD205" s="22">
        <v>204</v>
      </c>
      <c r="AE205" s="274" t="e">
        <f>VLOOKUP(TableWRRanks3242[[#This Row],[RK]],Rankings!A:Q,11,FALSE)</f>
        <v>#N/A</v>
      </c>
      <c r="AF205" s="274" t="str">
        <f>IFERROR(INDEX(TableWRCalcPts[TM],MATCH(TableWRRanks3242[[#This Row],[Player]],TableWRCalcPts[PLAYER],0)),"")</f>
        <v/>
      </c>
      <c r="AG205" s="274" t="str">
        <f>IFERROR(INDEX(TableWRCalcPts[BYE],MATCH(TableWRRanks3242[[#This Row],[RK]],TableWRCalcPts[RK],0)),"")</f>
        <v/>
      </c>
      <c r="AH205" s="279" t="e">
        <f>VLOOKUP(TableWRRanks3242[[#This Row],[Player]],WR!B:O,4,FALSE)</f>
        <v>#N/A</v>
      </c>
      <c r="AI205" s="279" t="e">
        <f>VLOOKUP(TableWRRanks3242[[#This Row],[Player]],WR!B:O,5,FALSE)</f>
        <v>#N/A</v>
      </c>
      <c r="AJ205" s="279" t="e">
        <f>VLOOKUP(TableWRRanks3242[[#This Row],[Player]],WR!B:O,6,FALSE)</f>
        <v>#N/A</v>
      </c>
      <c r="AK205" s="279" t="e">
        <f>VLOOKUP(TableWRRanks3242[[#This Row],[Player]],WR!B:O,7,FALSE)</f>
        <v>#N/A</v>
      </c>
      <c r="AL205" s="279" t="e">
        <f>VLOOKUP(TableWRRanks3242[[#This Row],[Player]],WR!B:O,8,FALSE)</f>
        <v>#N/A</v>
      </c>
      <c r="AM205" s="279" t="e">
        <f>VLOOKUP(TableWRRanks3242[[#This Row],[Player]],WR!B:O,9,FALSE)</f>
        <v>#N/A</v>
      </c>
      <c r="AN205" s="272" t="e">
        <f>VLOOKUP(TableWRRanks3242[[#This Row],[Player]],WR!B:O,13,FALSE)</f>
        <v>#N/A</v>
      </c>
      <c r="AO205" s="273" t="e">
        <f>IF(VLOOKUP(TableWRRanks3242[[#This Row],[RK]],'Ranks w Proj'!AD:AO,12,FALSE)&lt;0,0,VLOOKUP(TableWRRanks3242[[#This Row],[RK]],'Ranks w Proj'!AD:AO,12,FALSE))</f>
        <v>#VALUE!</v>
      </c>
    </row>
    <row r="206" spans="30:41" x14ac:dyDescent="0.3">
      <c r="AD206" s="22">
        <v>205</v>
      </c>
      <c r="AE206" s="274" t="e">
        <f>VLOOKUP(TableWRRanks3242[[#This Row],[RK]],Rankings!A:Q,11,FALSE)</f>
        <v>#N/A</v>
      </c>
      <c r="AF206" s="274" t="str">
        <f>IFERROR(INDEX(TableWRCalcPts[TM],MATCH(TableWRRanks3242[[#This Row],[Player]],TableWRCalcPts[PLAYER],0)),"")</f>
        <v/>
      </c>
      <c r="AG206" s="274" t="str">
        <f>IFERROR(INDEX(TableWRCalcPts[BYE],MATCH(TableWRRanks3242[[#This Row],[RK]],TableWRCalcPts[RK],0)),"")</f>
        <v/>
      </c>
      <c r="AH206" s="279" t="e">
        <f>VLOOKUP(TableWRRanks3242[[#This Row],[Player]],WR!B:O,4,FALSE)</f>
        <v>#N/A</v>
      </c>
      <c r="AI206" s="279" t="e">
        <f>VLOOKUP(TableWRRanks3242[[#This Row],[Player]],WR!B:O,5,FALSE)</f>
        <v>#N/A</v>
      </c>
      <c r="AJ206" s="279" t="e">
        <f>VLOOKUP(TableWRRanks3242[[#This Row],[Player]],WR!B:O,6,FALSE)</f>
        <v>#N/A</v>
      </c>
      <c r="AK206" s="279" t="e">
        <f>VLOOKUP(TableWRRanks3242[[#This Row],[Player]],WR!B:O,7,FALSE)</f>
        <v>#N/A</v>
      </c>
      <c r="AL206" s="279" t="e">
        <f>VLOOKUP(TableWRRanks3242[[#This Row],[Player]],WR!B:O,8,FALSE)</f>
        <v>#N/A</v>
      </c>
      <c r="AM206" s="279" t="e">
        <f>VLOOKUP(TableWRRanks3242[[#This Row],[Player]],WR!B:O,9,FALSE)</f>
        <v>#N/A</v>
      </c>
      <c r="AN206" s="272" t="e">
        <f>VLOOKUP(TableWRRanks3242[[#This Row],[Player]],WR!B:O,13,FALSE)</f>
        <v>#N/A</v>
      </c>
      <c r="AO206" s="273" t="e">
        <f>IF(VLOOKUP(TableWRRanks3242[[#This Row],[RK]],'Ranks w Proj'!AD:AO,12,FALSE)&lt;0,0,VLOOKUP(TableWRRanks3242[[#This Row],[RK]],'Ranks w Proj'!AD:AO,12,FALSE))</f>
        <v>#VALUE!</v>
      </c>
    </row>
    <row r="207" spans="30:41" x14ac:dyDescent="0.3">
      <c r="AD207" s="274">
        <v>206</v>
      </c>
      <c r="AE207" s="274" t="e">
        <f>VLOOKUP(TableWRRanks3242[[#This Row],[RK]],Rankings!A:Q,11,FALSE)</f>
        <v>#N/A</v>
      </c>
      <c r="AF207" s="274" t="str">
        <f>IFERROR(INDEX(TableWRCalcPts[TM],MATCH(TableWRRanks3242[[#This Row],[Player]],TableWRCalcPts[PLAYER],0)),"")</f>
        <v/>
      </c>
      <c r="AG207" s="274" t="str">
        <f>IFERROR(INDEX(TableWRCalcPts[BYE],MATCH(TableWRRanks3242[[#This Row],[RK]],TableWRCalcPts[RK],0)),"")</f>
        <v/>
      </c>
      <c r="AH207" s="279" t="e">
        <f>VLOOKUP(TableWRRanks3242[[#This Row],[Player]],WR!B:O,4,FALSE)</f>
        <v>#N/A</v>
      </c>
      <c r="AI207" s="279" t="e">
        <f>VLOOKUP(TableWRRanks3242[[#This Row],[Player]],WR!B:O,5,FALSE)</f>
        <v>#N/A</v>
      </c>
      <c r="AJ207" s="279" t="e">
        <f>VLOOKUP(TableWRRanks3242[[#This Row],[Player]],WR!B:O,6,FALSE)</f>
        <v>#N/A</v>
      </c>
      <c r="AK207" s="279" t="e">
        <f>VLOOKUP(TableWRRanks3242[[#This Row],[Player]],WR!B:O,7,FALSE)</f>
        <v>#N/A</v>
      </c>
      <c r="AL207" s="279" t="e">
        <f>VLOOKUP(TableWRRanks3242[[#This Row],[Player]],WR!B:O,8,FALSE)</f>
        <v>#N/A</v>
      </c>
      <c r="AM207" s="279" t="e">
        <f>VLOOKUP(TableWRRanks3242[[#This Row],[Player]],WR!B:O,9,FALSE)</f>
        <v>#N/A</v>
      </c>
      <c r="AN207" s="272" t="e">
        <f>VLOOKUP(TableWRRanks3242[[#This Row],[Player]],WR!B:O,13,FALSE)</f>
        <v>#N/A</v>
      </c>
      <c r="AO207" s="273" t="e">
        <f>IF(VLOOKUP(TableWRRanks3242[[#This Row],[RK]],'Ranks w Proj'!AD:AO,12,FALSE)&lt;0,0,VLOOKUP(TableWRRanks3242[[#This Row],[RK]],'Ranks w Proj'!AD:AO,12,FALSE))</f>
        <v>#VALUE!</v>
      </c>
    </row>
    <row r="208" spans="30:41" x14ac:dyDescent="0.3">
      <c r="AD208" s="22">
        <v>207</v>
      </c>
      <c r="AE208" s="274" t="e">
        <f>VLOOKUP(TableWRRanks3242[[#This Row],[RK]],Rankings!A:Q,11,FALSE)</f>
        <v>#N/A</v>
      </c>
      <c r="AF208" s="274" t="str">
        <f>IFERROR(INDEX(TableWRCalcPts[TM],MATCH(TableWRRanks3242[[#This Row],[Player]],TableWRCalcPts[PLAYER],0)),"")</f>
        <v/>
      </c>
      <c r="AG208" s="274" t="str">
        <f>IFERROR(INDEX(TableWRCalcPts[BYE],MATCH(TableWRRanks3242[[#This Row],[RK]],TableWRCalcPts[RK],0)),"")</f>
        <v/>
      </c>
      <c r="AH208" s="279" t="e">
        <f>VLOOKUP(TableWRRanks3242[[#This Row],[Player]],WR!B:O,4,FALSE)</f>
        <v>#N/A</v>
      </c>
      <c r="AI208" s="279" t="e">
        <f>VLOOKUP(TableWRRanks3242[[#This Row],[Player]],WR!B:O,5,FALSE)</f>
        <v>#N/A</v>
      </c>
      <c r="AJ208" s="279" t="e">
        <f>VLOOKUP(TableWRRanks3242[[#This Row],[Player]],WR!B:O,6,FALSE)</f>
        <v>#N/A</v>
      </c>
      <c r="AK208" s="279" t="e">
        <f>VLOOKUP(TableWRRanks3242[[#This Row],[Player]],WR!B:O,7,FALSE)</f>
        <v>#N/A</v>
      </c>
      <c r="AL208" s="279" t="e">
        <f>VLOOKUP(TableWRRanks3242[[#This Row],[Player]],WR!B:O,8,FALSE)</f>
        <v>#N/A</v>
      </c>
      <c r="AM208" s="279" t="e">
        <f>VLOOKUP(TableWRRanks3242[[#This Row],[Player]],WR!B:O,9,FALSE)</f>
        <v>#N/A</v>
      </c>
      <c r="AN208" s="272" t="e">
        <f>VLOOKUP(TableWRRanks3242[[#This Row],[Player]],WR!B:O,13,FALSE)</f>
        <v>#N/A</v>
      </c>
      <c r="AO208" s="273" t="e">
        <f>IF(VLOOKUP(TableWRRanks3242[[#This Row],[RK]],'Ranks w Proj'!AD:AO,12,FALSE)&lt;0,0,VLOOKUP(TableWRRanks3242[[#This Row],[RK]],'Ranks w Proj'!AD:AO,12,FALSE))</f>
        <v>#VALUE!</v>
      </c>
    </row>
    <row r="209" spans="30:41" x14ac:dyDescent="0.3">
      <c r="AD209" s="22">
        <v>208</v>
      </c>
      <c r="AE209" s="274" t="e">
        <f>VLOOKUP(TableWRRanks3242[[#This Row],[RK]],Rankings!A:Q,11,FALSE)</f>
        <v>#N/A</v>
      </c>
      <c r="AF209" s="274" t="str">
        <f>IFERROR(INDEX(TableWRCalcPts[TM],MATCH(TableWRRanks3242[[#This Row],[Player]],TableWRCalcPts[PLAYER],0)),"")</f>
        <v/>
      </c>
      <c r="AG209" s="274" t="str">
        <f>IFERROR(INDEX(TableWRCalcPts[BYE],MATCH(TableWRRanks3242[[#This Row],[RK]],TableWRCalcPts[RK],0)),"")</f>
        <v/>
      </c>
      <c r="AH209" s="279" t="e">
        <f>VLOOKUP(TableWRRanks3242[[#This Row],[Player]],WR!B:O,4,FALSE)</f>
        <v>#N/A</v>
      </c>
      <c r="AI209" s="279" t="e">
        <f>VLOOKUP(TableWRRanks3242[[#This Row],[Player]],WR!B:O,5,FALSE)</f>
        <v>#N/A</v>
      </c>
      <c r="AJ209" s="279" t="e">
        <f>VLOOKUP(TableWRRanks3242[[#This Row],[Player]],WR!B:O,6,FALSE)</f>
        <v>#N/A</v>
      </c>
      <c r="AK209" s="279" t="e">
        <f>VLOOKUP(TableWRRanks3242[[#This Row],[Player]],WR!B:O,7,FALSE)</f>
        <v>#N/A</v>
      </c>
      <c r="AL209" s="279" t="e">
        <f>VLOOKUP(TableWRRanks3242[[#This Row],[Player]],WR!B:O,8,FALSE)</f>
        <v>#N/A</v>
      </c>
      <c r="AM209" s="279" t="e">
        <f>VLOOKUP(TableWRRanks3242[[#This Row],[Player]],WR!B:O,9,FALSE)</f>
        <v>#N/A</v>
      </c>
      <c r="AN209" s="272" t="e">
        <f>VLOOKUP(TableWRRanks3242[[#This Row],[Player]],WR!B:O,13,FALSE)</f>
        <v>#N/A</v>
      </c>
      <c r="AO209" s="273" t="e">
        <f>IF(VLOOKUP(TableWRRanks3242[[#This Row],[RK]],'Ranks w Proj'!AD:AO,12,FALSE)&lt;0,0,VLOOKUP(TableWRRanks3242[[#This Row],[RK]],'Ranks w Proj'!AD:AO,12,FALSE))</f>
        <v>#VALUE!</v>
      </c>
    </row>
    <row r="210" spans="30:41" x14ac:dyDescent="0.3">
      <c r="AD210" s="274">
        <v>209</v>
      </c>
      <c r="AE210" s="274" t="e">
        <f>VLOOKUP(TableWRRanks3242[[#This Row],[RK]],Rankings!A:Q,11,FALSE)</f>
        <v>#N/A</v>
      </c>
      <c r="AF210" s="274" t="str">
        <f>IFERROR(INDEX(TableWRCalcPts[TM],MATCH(TableWRRanks3242[[#This Row],[Player]],TableWRCalcPts[PLAYER],0)),"")</f>
        <v/>
      </c>
      <c r="AG210" s="274" t="str">
        <f>IFERROR(INDEX(TableWRCalcPts[BYE],MATCH(TableWRRanks3242[[#This Row],[RK]],TableWRCalcPts[RK],0)),"")</f>
        <v/>
      </c>
      <c r="AH210" s="279" t="e">
        <f>VLOOKUP(TableWRRanks3242[[#This Row],[Player]],WR!B:O,4,FALSE)</f>
        <v>#N/A</v>
      </c>
      <c r="AI210" s="279" t="e">
        <f>VLOOKUP(TableWRRanks3242[[#This Row],[Player]],WR!B:O,5,FALSE)</f>
        <v>#N/A</v>
      </c>
      <c r="AJ210" s="279" t="e">
        <f>VLOOKUP(TableWRRanks3242[[#This Row],[Player]],WR!B:O,6,FALSE)</f>
        <v>#N/A</v>
      </c>
      <c r="AK210" s="279" t="e">
        <f>VLOOKUP(TableWRRanks3242[[#This Row],[Player]],WR!B:O,7,FALSE)</f>
        <v>#N/A</v>
      </c>
      <c r="AL210" s="279" t="e">
        <f>VLOOKUP(TableWRRanks3242[[#This Row],[Player]],WR!B:O,8,FALSE)</f>
        <v>#N/A</v>
      </c>
      <c r="AM210" s="279" t="e">
        <f>VLOOKUP(TableWRRanks3242[[#This Row],[Player]],WR!B:O,9,FALSE)</f>
        <v>#N/A</v>
      </c>
      <c r="AN210" s="272" t="e">
        <f>VLOOKUP(TableWRRanks3242[[#This Row],[Player]],WR!B:O,13,FALSE)</f>
        <v>#N/A</v>
      </c>
      <c r="AO210" s="273" t="e">
        <f>IF(VLOOKUP(TableWRRanks3242[[#This Row],[RK]],'Ranks w Proj'!AD:AO,12,FALSE)&lt;0,0,VLOOKUP(TableWRRanks3242[[#This Row],[RK]],'Ranks w Proj'!AD:AO,12,FALSE))</f>
        <v>#VALUE!</v>
      </c>
    </row>
    <row r="211" spans="30:41" x14ac:dyDescent="0.3">
      <c r="AD211" s="22">
        <v>210</v>
      </c>
      <c r="AE211" s="274" t="e">
        <f>VLOOKUP(TableWRRanks3242[[#This Row],[RK]],Rankings!A:Q,11,FALSE)</f>
        <v>#N/A</v>
      </c>
      <c r="AF211" s="274" t="str">
        <f>IFERROR(INDEX(TableWRCalcPts[TM],MATCH(TableWRRanks3242[[#This Row],[Player]],TableWRCalcPts[PLAYER],0)),"")</f>
        <v/>
      </c>
      <c r="AG211" s="274" t="str">
        <f>IFERROR(INDEX(TableWRCalcPts[BYE],MATCH(TableWRRanks3242[[#This Row],[RK]],TableWRCalcPts[RK],0)),"")</f>
        <v/>
      </c>
      <c r="AH211" s="279" t="e">
        <f>VLOOKUP(TableWRRanks3242[[#This Row],[Player]],WR!B:O,4,FALSE)</f>
        <v>#N/A</v>
      </c>
      <c r="AI211" s="279" t="e">
        <f>VLOOKUP(TableWRRanks3242[[#This Row],[Player]],WR!B:O,5,FALSE)</f>
        <v>#N/A</v>
      </c>
      <c r="AJ211" s="279" t="e">
        <f>VLOOKUP(TableWRRanks3242[[#This Row],[Player]],WR!B:O,6,FALSE)</f>
        <v>#N/A</v>
      </c>
      <c r="AK211" s="279" t="e">
        <f>VLOOKUP(TableWRRanks3242[[#This Row],[Player]],WR!B:O,7,FALSE)</f>
        <v>#N/A</v>
      </c>
      <c r="AL211" s="279" t="e">
        <f>VLOOKUP(TableWRRanks3242[[#This Row],[Player]],WR!B:O,8,FALSE)</f>
        <v>#N/A</v>
      </c>
      <c r="AM211" s="279" t="e">
        <f>VLOOKUP(TableWRRanks3242[[#This Row],[Player]],WR!B:O,9,FALSE)</f>
        <v>#N/A</v>
      </c>
      <c r="AN211" s="272" t="e">
        <f>VLOOKUP(TableWRRanks3242[[#This Row],[Player]],WR!B:O,13,FALSE)</f>
        <v>#N/A</v>
      </c>
      <c r="AO211" s="273" t="e">
        <f>IF(VLOOKUP(TableWRRanks3242[[#This Row],[RK]],'Ranks w Proj'!AD:AO,12,FALSE)&lt;0,0,VLOOKUP(TableWRRanks3242[[#This Row],[RK]],'Ranks w Proj'!AD:AO,12,FALSE))</f>
        <v>#VALUE!</v>
      </c>
    </row>
    <row r="212" spans="30:41" x14ac:dyDescent="0.3">
      <c r="AD212" s="22">
        <v>211</v>
      </c>
      <c r="AE212" s="274" t="e">
        <f>VLOOKUP(TableWRRanks3242[[#This Row],[RK]],Rankings!A:Q,11,FALSE)</f>
        <v>#N/A</v>
      </c>
      <c r="AF212" s="274" t="str">
        <f>IFERROR(INDEX(TableWRCalcPts[TM],MATCH(TableWRRanks3242[[#This Row],[Player]],TableWRCalcPts[PLAYER],0)),"")</f>
        <v/>
      </c>
      <c r="AG212" s="274" t="str">
        <f>IFERROR(INDEX(TableWRCalcPts[BYE],MATCH(TableWRRanks3242[[#This Row],[RK]],TableWRCalcPts[RK],0)),"")</f>
        <v/>
      </c>
      <c r="AH212" s="279" t="e">
        <f>VLOOKUP(TableWRRanks3242[[#This Row],[Player]],WR!B:O,4,FALSE)</f>
        <v>#N/A</v>
      </c>
      <c r="AI212" s="279" t="e">
        <f>VLOOKUP(TableWRRanks3242[[#This Row],[Player]],WR!B:O,5,FALSE)</f>
        <v>#N/A</v>
      </c>
      <c r="AJ212" s="279" t="e">
        <f>VLOOKUP(TableWRRanks3242[[#This Row],[Player]],WR!B:O,6,FALSE)</f>
        <v>#N/A</v>
      </c>
      <c r="AK212" s="279" t="e">
        <f>VLOOKUP(TableWRRanks3242[[#This Row],[Player]],WR!B:O,7,FALSE)</f>
        <v>#N/A</v>
      </c>
      <c r="AL212" s="279" t="e">
        <f>VLOOKUP(TableWRRanks3242[[#This Row],[Player]],WR!B:O,8,FALSE)</f>
        <v>#N/A</v>
      </c>
      <c r="AM212" s="279" t="e">
        <f>VLOOKUP(TableWRRanks3242[[#This Row],[Player]],WR!B:O,9,FALSE)</f>
        <v>#N/A</v>
      </c>
      <c r="AN212" s="272" t="e">
        <f>VLOOKUP(TableWRRanks3242[[#This Row],[Player]],WR!B:O,13,FALSE)</f>
        <v>#N/A</v>
      </c>
      <c r="AO212" s="273" t="e">
        <f>IF(VLOOKUP(TableWRRanks3242[[#This Row],[RK]],'Ranks w Proj'!AD:AO,12,FALSE)&lt;0,0,VLOOKUP(TableWRRanks3242[[#This Row],[RK]],'Ranks w Proj'!AD:AO,12,FALSE))</f>
        <v>#VALUE!</v>
      </c>
    </row>
    <row r="213" spans="30:41" x14ac:dyDescent="0.3">
      <c r="AD213" s="274">
        <v>212</v>
      </c>
      <c r="AE213" s="274" t="e">
        <f>VLOOKUP(TableWRRanks3242[[#This Row],[RK]],Rankings!A:Q,11,FALSE)</f>
        <v>#N/A</v>
      </c>
      <c r="AF213" s="274" t="str">
        <f>IFERROR(INDEX(TableWRCalcPts[TM],MATCH(TableWRRanks3242[[#This Row],[Player]],TableWRCalcPts[PLAYER],0)),"")</f>
        <v/>
      </c>
      <c r="AG213" s="274" t="str">
        <f>IFERROR(INDEX(TableWRCalcPts[BYE],MATCH(TableWRRanks3242[[#This Row],[RK]],TableWRCalcPts[RK],0)),"")</f>
        <v/>
      </c>
      <c r="AH213" s="279" t="e">
        <f>VLOOKUP(TableWRRanks3242[[#This Row],[Player]],WR!B:O,4,FALSE)</f>
        <v>#N/A</v>
      </c>
      <c r="AI213" s="279" t="e">
        <f>VLOOKUP(TableWRRanks3242[[#This Row],[Player]],WR!B:O,5,FALSE)</f>
        <v>#N/A</v>
      </c>
      <c r="AJ213" s="279" t="e">
        <f>VLOOKUP(TableWRRanks3242[[#This Row],[Player]],WR!B:O,6,FALSE)</f>
        <v>#N/A</v>
      </c>
      <c r="AK213" s="279" t="e">
        <f>VLOOKUP(TableWRRanks3242[[#This Row],[Player]],WR!B:O,7,FALSE)</f>
        <v>#N/A</v>
      </c>
      <c r="AL213" s="279" t="e">
        <f>VLOOKUP(TableWRRanks3242[[#This Row],[Player]],WR!B:O,8,FALSE)</f>
        <v>#N/A</v>
      </c>
      <c r="AM213" s="279" t="e">
        <f>VLOOKUP(TableWRRanks3242[[#This Row],[Player]],WR!B:O,9,FALSE)</f>
        <v>#N/A</v>
      </c>
      <c r="AN213" s="272" t="e">
        <f>VLOOKUP(TableWRRanks3242[[#This Row],[Player]],WR!B:O,13,FALSE)</f>
        <v>#N/A</v>
      </c>
      <c r="AO213" s="273" t="e">
        <f>IF(VLOOKUP(TableWRRanks3242[[#This Row],[RK]],'Ranks w Proj'!AD:AO,12,FALSE)&lt;0,0,VLOOKUP(TableWRRanks3242[[#This Row],[RK]],'Ranks w Proj'!AD:AO,12,FALSE))</f>
        <v>#VALUE!</v>
      </c>
    </row>
    <row r="214" spans="30:41" x14ac:dyDescent="0.3">
      <c r="AD214" s="22">
        <v>213</v>
      </c>
      <c r="AE214" s="274" t="e">
        <f>VLOOKUP(TableWRRanks3242[[#This Row],[RK]],Rankings!A:Q,11,FALSE)</f>
        <v>#N/A</v>
      </c>
      <c r="AF214" s="274" t="str">
        <f>IFERROR(INDEX(TableWRCalcPts[TM],MATCH(TableWRRanks3242[[#This Row],[Player]],TableWRCalcPts[PLAYER],0)),"")</f>
        <v/>
      </c>
      <c r="AG214" s="274" t="str">
        <f>IFERROR(INDEX(TableWRCalcPts[BYE],MATCH(TableWRRanks3242[[#This Row],[RK]],TableWRCalcPts[RK],0)),"")</f>
        <v/>
      </c>
      <c r="AH214" s="279" t="e">
        <f>VLOOKUP(TableWRRanks3242[[#This Row],[Player]],WR!B:O,4,FALSE)</f>
        <v>#N/A</v>
      </c>
      <c r="AI214" s="279" t="e">
        <f>VLOOKUP(TableWRRanks3242[[#This Row],[Player]],WR!B:O,5,FALSE)</f>
        <v>#N/A</v>
      </c>
      <c r="AJ214" s="279" t="e">
        <f>VLOOKUP(TableWRRanks3242[[#This Row],[Player]],WR!B:O,6,FALSE)</f>
        <v>#N/A</v>
      </c>
      <c r="AK214" s="279" t="e">
        <f>VLOOKUP(TableWRRanks3242[[#This Row],[Player]],WR!B:O,7,FALSE)</f>
        <v>#N/A</v>
      </c>
      <c r="AL214" s="279" t="e">
        <f>VLOOKUP(TableWRRanks3242[[#This Row],[Player]],WR!B:O,8,FALSE)</f>
        <v>#N/A</v>
      </c>
      <c r="AM214" s="279" t="e">
        <f>VLOOKUP(TableWRRanks3242[[#This Row],[Player]],WR!B:O,9,FALSE)</f>
        <v>#N/A</v>
      </c>
      <c r="AN214" s="272" t="e">
        <f>VLOOKUP(TableWRRanks3242[[#This Row],[Player]],WR!B:O,13,FALSE)</f>
        <v>#N/A</v>
      </c>
      <c r="AO214" s="273" t="e">
        <f>IF(VLOOKUP(TableWRRanks3242[[#This Row],[RK]],'Ranks w Proj'!AD:AO,12,FALSE)&lt;0,0,VLOOKUP(TableWRRanks3242[[#This Row],[RK]],'Ranks w Proj'!AD:AO,12,FALSE))</f>
        <v>#VALUE!</v>
      </c>
    </row>
    <row r="215" spans="30:41" x14ac:dyDescent="0.3">
      <c r="AD215" s="22">
        <v>214</v>
      </c>
      <c r="AE215" s="274" t="e">
        <f>VLOOKUP(TableWRRanks3242[[#This Row],[RK]],Rankings!A:Q,11,FALSE)</f>
        <v>#N/A</v>
      </c>
      <c r="AF215" s="274" t="str">
        <f>IFERROR(INDEX(TableWRCalcPts[TM],MATCH(TableWRRanks3242[[#This Row],[Player]],TableWRCalcPts[PLAYER],0)),"")</f>
        <v/>
      </c>
      <c r="AG215" s="274" t="str">
        <f>IFERROR(INDEX(TableWRCalcPts[BYE],MATCH(TableWRRanks3242[[#This Row],[RK]],TableWRCalcPts[RK],0)),"")</f>
        <v/>
      </c>
      <c r="AH215" s="279" t="e">
        <f>VLOOKUP(TableWRRanks3242[[#This Row],[Player]],WR!B:O,4,FALSE)</f>
        <v>#N/A</v>
      </c>
      <c r="AI215" s="279" t="e">
        <f>VLOOKUP(TableWRRanks3242[[#This Row],[Player]],WR!B:O,5,FALSE)</f>
        <v>#N/A</v>
      </c>
      <c r="AJ215" s="279" t="e">
        <f>VLOOKUP(TableWRRanks3242[[#This Row],[Player]],WR!B:O,6,FALSE)</f>
        <v>#N/A</v>
      </c>
      <c r="AK215" s="279" t="e">
        <f>VLOOKUP(TableWRRanks3242[[#This Row],[Player]],WR!B:O,7,FALSE)</f>
        <v>#N/A</v>
      </c>
      <c r="AL215" s="279" t="e">
        <f>VLOOKUP(TableWRRanks3242[[#This Row],[Player]],WR!B:O,8,FALSE)</f>
        <v>#N/A</v>
      </c>
      <c r="AM215" s="279" t="e">
        <f>VLOOKUP(TableWRRanks3242[[#This Row],[Player]],WR!B:O,9,FALSE)</f>
        <v>#N/A</v>
      </c>
      <c r="AN215" s="272" t="e">
        <f>VLOOKUP(TableWRRanks3242[[#This Row],[Player]],WR!B:O,13,FALSE)</f>
        <v>#N/A</v>
      </c>
      <c r="AO215" s="273" t="e">
        <f>IF(VLOOKUP(TableWRRanks3242[[#This Row],[RK]],'Ranks w Proj'!AD:AO,12,FALSE)&lt;0,0,VLOOKUP(TableWRRanks3242[[#This Row],[RK]],'Ranks w Proj'!AD:AO,12,FALSE))</f>
        <v>#VALUE!</v>
      </c>
    </row>
    <row r="216" spans="30:41" x14ac:dyDescent="0.3">
      <c r="AD216" s="274">
        <v>215</v>
      </c>
      <c r="AE216" s="274" t="e">
        <f>VLOOKUP(TableWRRanks3242[[#This Row],[RK]],Rankings!A:Q,11,FALSE)</f>
        <v>#N/A</v>
      </c>
      <c r="AF216" s="274" t="str">
        <f>IFERROR(INDEX(TableWRCalcPts[TM],MATCH(TableWRRanks3242[[#This Row],[Player]],TableWRCalcPts[PLAYER],0)),"")</f>
        <v/>
      </c>
      <c r="AG216" s="274" t="str">
        <f>IFERROR(INDEX(TableWRCalcPts[BYE],MATCH(TableWRRanks3242[[#This Row],[RK]],TableWRCalcPts[RK],0)),"")</f>
        <v/>
      </c>
      <c r="AH216" s="279" t="e">
        <f>VLOOKUP(TableWRRanks3242[[#This Row],[Player]],WR!B:O,4,FALSE)</f>
        <v>#N/A</v>
      </c>
      <c r="AI216" s="279" t="e">
        <f>VLOOKUP(TableWRRanks3242[[#This Row],[Player]],WR!B:O,5,FALSE)</f>
        <v>#N/A</v>
      </c>
      <c r="AJ216" s="279" t="e">
        <f>VLOOKUP(TableWRRanks3242[[#This Row],[Player]],WR!B:O,6,FALSE)</f>
        <v>#N/A</v>
      </c>
      <c r="AK216" s="279" t="e">
        <f>VLOOKUP(TableWRRanks3242[[#This Row],[Player]],WR!B:O,7,FALSE)</f>
        <v>#N/A</v>
      </c>
      <c r="AL216" s="279" t="e">
        <f>VLOOKUP(TableWRRanks3242[[#This Row],[Player]],WR!B:O,8,FALSE)</f>
        <v>#N/A</v>
      </c>
      <c r="AM216" s="279" t="e">
        <f>VLOOKUP(TableWRRanks3242[[#This Row],[Player]],WR!B:O,9,FALSE)</f>
        <v>#N/A</v>
      </c>
      <c r="AN216" s="272" t="e">
        <f>VLOOKUP(TableWRRanks3242[[#This Row],[Player]],WR!B:O,13,FALSE)</f>
        <v>#N/A</v>
      </c>
      <c r="AO216" s="273" t="e">
        <f>IF(VLOOKUP(TableWRRanks3242[[#This Row],[RK]],'Ranks w Proj'!AD:AO,12,FALSE)&lt;0,0,VLOOKUP(TableWRRanks3242[[#This Row],[RK]],'Ranks w Proj'!AD:AO,12,FALSE))</f>
        <v>#VALUE!</v>
      </c>
    </row>
    <row r="217" spans="30:41" x14ac:dyDescent="0.3">
      <c r="AD217" s="22">
        <v>216</v>
      </c>
      <c r="AE217" s="274" t="e">
        <f>VLOOKUP(TableWRRanks3242[[#This Row],[RK]],Rankings!A:Q,11,FALSE)</f>
        <v>#N/A</v>
      </c>
      <c r="AF217" s="274" t="str">
        <f>IFERROR(INDEX(TableWRCalcPts[TM],MATCH(TableWRRanks3242[[#This Row],[Player]],TableWRCalcPts[PLAYER],0)),"")</f>
        <v/>
      </c>
      <c r="AG217" s="274" t="str">
        <f>IFERROR(INDEX(TableWRCalcPts[BYE],MATCH(TableWRRanks3242[[#This Row],[RK]],TableWRCalcPts[RK],0)),"")</f>
        <v/>
      </c>
      <c r="AH217" s="279" t="e">
        <f>VLOOKUP(TableWRRanks3242[[#This Row],[Player]],WR!B:O,4,FALSE)</f>
        <v>#N/A</v>
      </c>
      <c r="AI217" s="279" t="e">
        <f>VLOOKUP(TableWRRanks3242[[#This Row],[Player]],WR!B:O,5,FALSE)</f>
        <v>#N/A</v>
      </c>
      <c r="AJ217" s="279" t="e">
        <f>VLOOKUP(TableWRRanks3242[[#This Row],[Player]],WR!B:O,6,FALSE)</f>
        <v>#N/A</v>
      </c>
      <c r="AK217" s="279" t="e">
        <f>VLOOKUP(TableWRRanks3242[[#This Row],[Player]],WR!B:O,7,FALSE)</f>
        <v>#N/A</v>
      </c>
      <c r="AL217" s="279" t="e">
        <f>VLOOKUP(TableWRRanks3242[[#This Row],[Player]],WR!B:O,8,FALSE)</f>
        <v>#N/A</v>
      </c>
      <c r="AM217" s="279" t="e">
        <f>VLOOKUP(TableWRRanks3242[[#This Row],[Player]],WR!B:O,9,FALSE)</f>
        <v>#N/A</v>
      </c>
      <c r="AN217" s="272" t="e">
        <f>VLOOKUP(TableWRRanks3242[[#This Row],[Player]],WR!B:O,13,FALSE)</f>
        <v>#N/A</v>
      </c>
      <c r="AO217" s="273" t="e">
        <f>IF(VLOOKUP(TableWRRanks3242[[#This Row],[RK]],'Ranks w Proj'!AD:AO,12,FALSE)&lt;0,0,VLOOKUP(TableWRRanks3242[[#This Row],[RK]],'Ranks w Proj'!AD:AO,12,FALSE))</f>
        <v>#VALUE!</v>
      </c>
    </row>
    <row r="218" spans="30:41" x14ac:dyDescent="0.3">
      <c r="AD218" s="22">
        <v>217</v>
      </c>
      <c r="AE218" s="274" t="e">
        <f>VLOOKUP(TableWRRanks3242[[#This Row],[RK]],Rankings!A:Q,11,FALSE)</f>
        <v>#N/A</v>
      </c>
      <c r="AF218" s="274" t="str">
        <f>IFERROR(INDEX(TableWRCalcPts[TM],MATCH(TableWRRanks3242[[#This Row],[Player]],TableWRCalcPts[PLAYER],0)),"")</f>
        <v/>
      </c>
      <c r="AG218" s="274" t="str">
        <f>IFERROR(INDEX(TableWRCalcPts[BYE],MATCH(TableWRRanks3242[[#This Row],[RK]],TableWRCalcPts[RK],0)),"")</f>
        <v/>
      </c>
      <c r="AH218" s="279" t="e">
        <f>VLOOKUP(TableWRRanks3242[[#This Row],[Player]],WR!B:O,4,FALSE)</f>
        <v>#N/A</v>
      </c>
      <c r="AI218" s="279" t="e">
        <f>VLOOKUP(TableWRRanks3242[[#This Row],[Player]],WR!B:O,5,FALSE)</f>
        <v>#N/A</v>
      </c>
      <c r="AJ218" s="279" t="e">
        <f>VLOOKUP(TableWRRanks3242[[#This Row],[Player]],WR!B:O,6,FALSE)</f>
        <v>#N/A</v>
      </c>
      <c r="AK218" s="279" t="e">
        <f>VLOOKUP(TableWRRanks3242[[#This Row],[Player]],WR!B:O,7,FALSE)</f>
        <v>#N/A</v>
      </c>
      <c r="AL218" s="279" t="e">
        <f>VLOOKUP(TableWRRanks3242[[#This Row],[Player]],WR!B:O,8,FALSE)</f>
        <v>#N/A</v>
      </c>
      <c r="AM218" s="279" t="e">
        <f>VLOOKUP(TableWRRanks3242[[#This Row],[Player]],WR!B:O,9,FALSE)</f>
        <v>#N/A</v>
      </c>
      <c r="AN218" s="272" t="e">
        <f>VLOOKUP(TableWRRanks3242[[#This Row],[Player]],WR!B:O,13,FALSE)</f>
        <v>#N/A</v>
      </c>
      <c r="AO218" s="273" t="e">
        <f>IF(VLOOKUP(TableWRRanks3242[[#This Row],[RK]],'Ranks w Proj'!AD:AO,12,FALSE)&lt;0,0,VLOOKUP(TableWRRanks3242[[#This Row],[RK]],'Ranks w Proj'!AD:AO,12,FALSE))</f>
        <v>#VALUE!</v>
      </c>
    </row>
    <row r="219" spans="30:41" x14ac:dyDescent="0.3">
      <c r="AD219" s="274">
        <v>218</v>
      </c>
      <c r="AE219" s="274" t="e">
        <f>VLOOKUP(TableWRRanks3242[[#This Row],[RK]],Rankings!A:Q,11,FALSE)</f>
        <v>#N/A</v>
      </c>
      <c r="AF219" s="274" t="str">
        <f>IFERROR(INDEX(TableWRCalcPts[TM],MATCH(TableWRRanks3242[[#This Row],[Player]],TableWRCalcPts[PLAYER],0)),"")</f>
        <v/>
      </c>
      <c r="AG219" s="274" t="str">
        <f>IFERROR(INDEX(TableWRCalcPts[BYE],MATCH(TableWRRanks3242[[#This Row],[RK]],TableWRCalcPts[RK],0)),"")</f>
        <v/>
      </c>
      <c r="AH219" s="279" t="e">
        <f>VLOOKUP(TableWRRanks3242[[#This Row],[Player]],WR!B:O,4,FALSE)</f>
        <v>#N/A</v>
      </c>
      <c r="AI219" s="279" t="e">
        <f>VLOOKUP(TableWRRanks3242[[#This Row],[Player]],WR!B:O,5,FALSE)</f>
        <v>#N/A</v>
      </c>
      <c r="AJ219" s="279" t="e">
        <f>VLOOKUP(TableWRRanks3242[[#This Row],[Player]],WR!B:O,6,FALSE)</f>
        <v>#N/A</v>
      </c>
      <c r="AK219" s="279" t="e">
        <f>VLOOKUP(TableWRRanks3242[[#This Row],[Player]],WR!B:O,7,FALSE)</f>
        <v>#N/A</v>
      </c>
      <c r="AL219" s="279" t="e">
        <f>VLOOKUP(TableWRRanks3242[[#This Row],[Player]],WR!B:O,8,FALSE)</f>
        <v>#N/A</v>
      </c>
      <c r="AM219" s="279" t="e">
        <f>VLOOKUP(TableWRRanks3242[[#This Row],[Player]],WR!B:O,9,FALSE)</f>
        <v>#N/A</v>
      </c>
      <c r="AN219" s="272" t="e">
        <f>VLOOKUP(TableWRRanks3242[[#This Row],[Player]],WR!B:O,13,FALSE)</f>
        <v>#N/A</v>
      </c>
      <c r="AO219" s="273" t="e">
        <f>IF(VLOOKUP(TableWRRanks3242[[#This Row],[RK]],'Ranks w Proj'!AD:AO,12,FALSE)&lt;0,0,VLOOKUP(TableWRRanks3242[[#This Row],[RK]],'Ranks w Proj'!AD:AO,12,FALSE))</f>
        <v>#VALUE!</v>
      </c>
    </row>
    <row r="220" spans="30:41" x14ac:dyDescent="0.3">
      <c r="AD220" s="22">
        <v>219</v>
      </c>
      <c r="AE220" s="274" t="e">
        <f>VLOOKUP(TableWRRanks3242[[#This Row],[RK]],Rankings!A:Q,11,FALSE)</f>
        <v>#N/A</v>
      </c>
      <c r="AF220" s="274" t="str">
        <f>IFERROR(INDEX(TableWRCalcPts[TM],MATCH(TableWRRanks3242[[#This Row],[Player]],TableWRCalcPts[PLAYER],0)),"")</f>
        <v/>
      </c>
      <c r="AG220" s="274" t="str">
        <f>IFERROR(INDEX(TableWRCalcPts[BYE],MATCH(TableWRRanks3242[[#This Row],[RK]],TableWRCalcPts[RK],0)),"")</f>
        <v/>
      </c>
      <c r="AH220" s="279" t="e">
        <f>VLOOKUP(TableWRRanks3242[[#This Row],[Player]],WR!B:O,4,FALSE)</f>
        <v>#N/A</v>
      </c>
      <c r="AI220" s="279" t="e">
        <f>VLOOKUP(TableWRRanks3242[[#This Row],[Player]],WR!B:O,5,FALSE)</f>
        <v>#N/A</v>
      </c>
      <c r="AJ220" s="279" t="e">
        <f>VLOOKUP(TableWRRanks3242[[#This Row],[Player]],WR!B:O,6,FALSE)</f>
        <v>#N/A</v>
      </c>
      <c r="AK220" s="279" t="e">
        <f>VLOOKUP(TableWRRanks3242[[#This Row],[Player]],WR!B:O,7,FALSE)</f>
        <v>#N/A</v>
      </c>
      <c r="AL220" s="279" t="e">
        <f>VLOOKUP(TableWRRanks3242[[#This Row],[Player]],WR!B:O,8,FALSE)</f>
        <v>#N/A</v>
      </c>
      <c r="AM220" s="279" t="e">
        <f>VLOOKUP(TableWRRanks3242[[#This Row],[Player]],WR!B:O,9,FALSE)</f>
        <v>#N/A</v>
      </c>
      <c r="AN220" s="272" t="e">
        <f>VLOOKUP(TableWRRanks3242[[#This Row],[Player]],WR!B:O,13,FALSE)</f>
        <v>#N/A</v>
      </c>
      <c r="AO220" s="273" t="e">
        <f>IF(VLOOKUP(TableWRRanks3242[[#This Row],[RK]],'Ranks w Proj'!AD:AO,12,FALSE)&lt;0,0,VLOOKUP(TableWRRanks3242[[#This Row],[RK]],'Ranks w Proj'!AD:AO,12,FALSE))</f>
        <v>#VALUE!</v>
      </c>
    </row>
    <row r="221" spans="30:41" x14ac:dyDescent="0.3">
      <c r="AD221" s="22">
        <v>220</v>
      </c>
      <c r="AE221" s="274" t="e">
        <f>VLOOKUP(TableWRRanks3242[[#This Row],[RK]],Rankings!A:Q,11,FALSE)</f>
        <v>#N/A</v>
      </c>
      <c r="AF221" s="274" t="str">
        <f>IFERROR(INDEX(TableWRCalcPts[TM],MATCH(TableWRRanks3242[[#This Row],[Player]],TableWRCalcPts[PLAYER],0)),"")</f>
        <v/>
      </c>
      <c r="AG221" s="274" t="str">
        <f>IFERROR(INDEX(TableWRCalcPts[BYE],MATCH(TableWRRanks3242[[#This Row],[RK]],TableWRCalcPts[RK],0)),"")</f>
        <v/>
      </c>
      <c r="AH221" s="279" t="e">
        <f>VLOOKUP(TableWRRanks3242[[#This Row],[Player]],WR!B:O,4,FALSE)</f>
        <v>#N/A</v>
      </c>
      <c r="AI221" s="279" t="e">
        <f>VLOOKUP(TableWRRanks3242[[#This Row],[Player]],WR!B:O,5,FALSE)</f>
        <v>#N/A</v>
      </c>
      <c r="AJ221" s="279" t="e">
        <f>VLOOKUP(TableWRRanks3242[[#This Row],[Player]],WR!B:O,6,FALSE)</f>
        <v>#N/A</v>
      </c>
      <c r="AK221" s="279" t="e">
        <f>VLOOKUP(TableWRRanks3242[[#This Row],[Player]],WR!B:O,7,FALSE)</f>
        <v>#N/A</v>
      </c>
      <c r="AL221" s="279" t="e">
        <f>VLOOKUP(TableWRRanks3242[[#This Row],[Player]],WR!B:O,8,FALSE)</f>
        <v>#N/A</v>
      </c>
      <c r="AM221" s="279" t="e">
        <f>VLOOKUP(TableWRRanks3242[[#This Row],[Player]],WR!B:O,9,FALSE)</f>
        <v>#N/A</v>
      </c>
      <c r="AN221" s="272" t="e">
        <f>VLOOKUP(TableWRRanks3242[[#This Row],[Player]],WR!B:O,13,FALSE)</f>
        <v>#N/A</v>
      </c>
      <c r="AO221" s="273" t="e">
        <f>IF(VLOOKUP(TableWRRanks3242[[#This Row],[RK]],'Ranks w Proj'!AD:AO,12,FALSE)&lt;0,0,VLOOKUP(TableWRRanks3242[[#This Row],[RK]],'Ranks w Proj'!AD:AO,12,FALSE))</f>
        <v>#VALUE!</v>
      </c>
    </row>
  </sheetData>
  <sheetProtection sheet="1" objects="1" scenarios="1" sort="0" autoFilter="0"/>
  <protectedRanges>
    <protectedRange sqref="A1:AZ239" name="QBRanks_1"/>
  </protectedRanges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AH44"/>
  <sheetViews>
    <sheetView showGridLines="0"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R2" sqref="R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7" customFormat="1" ht="25.5" customHeight="1" x14ac:dyDescent="0.3">
      <c r="A1" s="128" t="s">
        <v>0</v>
      </c>
      <c r="B1" s="126" t="s">
        <v>8</v>
      </c>
      <c r="C1" s="128" t="s">
        <v>174</v>
      </c>
      <c r="D1" s="29" t="s">
        <v>360</v>
      </c>
      <c r="E1" s="29" t="s">
        <v>1</v>
      </c>
      <c r="F1" s="29" t="s">
        <v>363</v>
      </c>
      <c r="G1" s="29" t="s">
        <v>410</v>
      </c>
      <c r="H1" s="29" t="s">
        <v>2</v>
      </c>
      <c r="I1" s="29" t="s">
        <v>411</v>
      </c>
      <c r="J1" s="29" t="s">
        <v>367</v>
      </c>
      <c r="K1" s="29" t="s">
        <v>412</v>
      </c>
      <c r="L1" s="29" t="s">
        <v>369</v>
      </c>
      <c r="M1" s="29" t="s">
        <v>4</v>
      </c>
      <c r="N1" s="29" t="s">
        <v>373</v>
      </c>
      <c r="O1" s="29" t="s">
        <v>413</v>
      </c>
      <c r="Q1" s="51" t="s">
        <v>463</v>
      </c>
      <c r="R1" s="129" t="s">
        <v>414</v>
      </c>
      <c r="S1" s="130" t="s">
        <v>835</v>
      </c>
      <c r="T1" s="129" t="s">
        <v>355</v>
      </c>
      <c r="U1" s="129" t="s">
        <v>359</v>
      </c>
      <c r="V1" s="131" t="s">
        <v>462</v>
      </c>
      <c r="W1" s="53" t="s">
        <v>464</v>
      </c>
      <c r="X1" s="129" t="s">
        <v>415</v>
      </c>
      <c r="Y1" s="52" t="s">
        <v>416</v>
      </c>
      <c r="Z1" s="131" t="s">
        <v>417</v>
      </c>
      <c r="AA1" s="54" t="s">
        <v>418</v>
      </c>
      <c r="AB1" s="54" t="s">
        <v>419</v>
      </c>
      <c r="AC1" s="52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135</v>
      </c>
      <c r="B2" s="59" t="s">
        <v>9</v>
      </c>
      <c r="C2" s="60">
        <v>13</v>
      </c>
      <c r="D2" s="4">
        <f>D$34*Q2</f>
        <v>604.88196535000009</v>
      </c>
      <c r="E2" s="4">
        <f>D2*R2</f>
        <v>403.45627088845009</v>
      </c>
      <c r="F2" s="4">
        <f>E2*S2</f>
        <v>4485.3168405119823</v>
      </c>
      <c r="G2" s="4">
        <f t="shared" ref="G2:G3" si="0">E2*T2</f>
        <v>28.282284589280351</v>
      </c>
      <c r="H2" s="4">
        <f>E2*U2</f>
        <v>9.0465899526061726</v>
      </c>
      <c r="I2" s="4">
        <f>D$37*W2</f>
        <v>95.56169749874222</v>
      </c>
      <c r="J2" s="4">
        <f>I2*V2</f>
        <v>487.36465724358527</v>
      </c>
      <c r="K2" s="4">
        <f>I2*X2</f>
        <v>5.0647699674333371</v>
      </c>
      <c r="L2" s="44"/>
      <c r="M2" s="44"/>
      <c r="N2" s="44"/>
      <c r="O2" s="44"/>
      <c r="Q2" s="43">
        <f>AE2</f>
        <v>0.97</v>
      </c>
      <c r="R2" s="61">
        <v>0.66700000000000004</v>
      </c>
      <c r="S2" s="236">
        <v>11.117231690648596</v>
      </c>
      <c r="T2" s="237">
        <v>7.0099999999999996E-2</v>
      </c>
      <c r="U2" s="61">
        <v>2.2422727332220414E-2</v>
      </c>
      <c r="V2" s="236">
        <v>5.0999999999999996</v>
      </c>
      <c r="W2" s="43">
        <f>(AF2/SUM(AF$2:AF$22))*0.98</f>
        <v>0.19424872291760997</v>
      </c>
      <c r="X2" s="61">
        <v>5.2999999999999999E-2</v>
      </c>
      <c r="Y2" s="64"/>
      <c r="Z2" s="65"/>
      <c r="AA2" s="1"/>
      <c r="AB2" s="1"/>
      <c r="AC2" s="1"/>
      <c r="AE2" s="61">
        <v>0.97</v>
      </c>
      <c r="AF2" s="61">
        <v>0.1942635667470998</v>
      </c>
      <c r="AG2" s="47"/>
      <c r="AH2" s="47"/>
    </row>
    <row r="3" spans="1:34" x14ac:dyDescent="0.3">
      <c r="A3" s="58" t="s">
        <v>263</v>
      </c>
      <c r="B3" s="59" t="s">
        <v>9</v>
      </c>
      <c r="C3" s="60">
        <v>13</v>
      </c>
      <c r="D3" s="4">
        <f>D$34*Q3</f>
        <v>18.70768965000002</v>
      </c>
      <c r="E3" s="4">
        <f t="shared" ref="E3:E4" si="1">D3*R3</f>
        <v>12.025147009606261</v>
      </c>
      <c r="F3" s="4">
        <f t="shared" ref="F3:F4" si="2">E3*S3</f>
        <v>129.15007888317126</v>
      </c>
      <c r="G3" s="4">
        <f t="shared" si="0"/>
        <v>0.67628298084750083</v>
      </c>
      <c r="H3" s="4">
        <f t="shared" ref="H3" si="3">E3*U3</f>
        <v>0.27687900989618419</v>
      </c>
      <c r="I3" s="4">
        <f t="shared" ref="I3:I4" si="4">D$37*W3</f>
        <v>1.4998853838390409</v>
      </c>
      <c r="J3" s="4">
        <f>I3*V3</f>
        <v>5.7995568175109584</v>
      </c>
      <c r="K3" s="4">
        <f>I3*X3</f>
        <v>0</v>
      </c>
      <c r="L3" s="44"/>
      <c r="M3" s="44"/>
      <c r="N3" s="44"/>
      <c r="O3" s="44"/>
      <c r="Q3" s="43">
        <f t="shared" ref="Q3:Q4" si="5">AE3</f>
        <v>3.0000000000000027E-2</v>
      </c>
      <c r="R3" s="61">
        <v>0.64279166666666654</v>
      </c>
      <c r="S3" s="236">
        <v>10.74</v>
      </c>
      <c r="T3" s="237">
        <v>5.623906138588191E-2</v>
      </c>
      <c r="U3" s="61">
        <v>2.3025E-2</v>
      </c>
      <c r="V3" s="236">
        <v>3.8666666666666667</v>
      </c>
      <c r="W3" s="43">
        <f t="shared" ref="W3:W4" si="6">(AF3/SUM(AF$2:AF$22))*0.98</f>
        <v>3.0488242461092501E-3</v>
      </c>
      <c r="X3" s="61">
        <v>0</v>
      </c>
      <c r="Y3" s="64"/>
      <c r="Z3" s="65"/>
      <c r="AA3" s="1"/>
      <c r="AB3" s="1"/>
      <c r="AC3" s="1"/>
      <c r="AE3" s="61">
        <f>1-AE2</f>
        <v>3.0000000000000027E-2</v>
      </c>
      <c r="AF3" s="61">
        <v>3.049057226931847E-3</v>
      </c>
      <c r="AG3" s="47"/>
      <c r="AH3" s="47"/>
    </row>
    <row r="4" spans="1:34" x14ac:dyDescent="0.3">
      <c r="B4" s="59" t="s">
        <v>9</v>
      </c>
      <c r="C4" s="60">
        <v>13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67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58" t="s">
        <v>101</v>
      </c>
      <c r="B7" s="59" t="s">
        <v>357</v>
      </c>
      <c r="C7" s="60">
        <v>13</v>
      </c>
      <c r="D7" s="44"/>
      <c r="E7" s="44"/>
      <c r="F7" s="44"/>
      <c r="G7" s="44"/>
      <c r="H7" s="44"/>
      <c r="I7" s="4">
        <f t="shared" ref="I7:I12" si="9">D$37*W7</f>
        <v>207.09737456506932</v>
      </c>
      <c r="J7" s="4">
        <f>I7*V7</f>
        <v>886.3767631384967</v>
      </c>
      <c r="K7" s="4">
        <f>I7*X7</f>
        <v>10.596209583821869</v>
      </c>
      <c r="L7" s="7">
        <f>((D$2+D$3+D$4)*AA7)</f>
        <v>63.606144809999996</v>
      </c>
      <c r="M7" s="4">
        <f t="shared" ref="M7:N9" si="10">L7*Y7</f>
        <v>51.648189585719997</v>
      </c>
      <c r="N7" s="4">
        <f t="shared" si="10"/>
        <v>404.4053244561876</v>
      </c>
      <c r="O7" s="4">
        <f>(M7*AH7)</f>
        <v>3.0472431855574795</v>
      </c>
      <c r="Q7" s="45"/>
      <c r="R7" s="45"/>
      <c r="S7" s="44"/>
      <c r="T7" s="45"/>
      <c r="U7" s="45"/>
      <c r="V7" s="63">
        <v>4.28</v>
      </c>
      <c r="W7" s="43">
        <f t="shared" ref="W7:W12" si="11">(AF7/SUM(AF$2:AF$22))*0.98</f>
        <v>0.42096783106415753</v>
      </c>
      <c r="X7" s="237">
        <v>5.1165349662569359E-2</v>
      </c>
      <c r="Y7" s="237">
        <v>0.81200000000000006</v>
      </c>
      <c r="Z7" s="63">
        <v>7.83</v>
      </c>
      <c r="AA7" s="43">
        <f>(AG7/SUM(AG$7:AG$27))*0.98</f>
        <v>0.10199999999999998</v>
      </c>
      <c r="AB7" s="17">
        <v>6.8949109856088334E-2</v>
      </c>
      <c r="AC7" s="43">
        <f>(AH7/SUM(AH$7:AH$27))*0.98</f>
        <v>7.5375187296141524E-2</v>
      </c>
      <c r="AE7" s="47"/>
      <c r="AF7" s="61">
        <v>0.42099999999999999</v>
      </c>
      <c r="AG7" s="61">
        <v>0.10199999999999999</v>
      </c>
      <c r="AH7" s="61">
        <v>5.8999999999999997E-2</v>
      </c>
    </row>
    <row r="8" spans="1:34" x14ac:dyDescent="0.3">
      <c r="A8" s="77" t="s">
        <v>817</v>
      </c>
      <c r="B8" s="59" t="s">
        <v>357</v>
      </c>
      <c r="C8" s="60">
        <v>13</v>
      </c>
      <c r="D8" s="44"/>
      <c r="E8" s="44"/>
      <c r="F8" s="44"/>
      <c r="G8" s="44"/>
      <c r="H8" s="44"/>
      <c r="I8" s="4">
        <f t="shared" si="9"/>
        <v>102.31889289675634</v>
      </c>
      <c r="J8" s="4">
        <f>I8*V8</f>
        <v>432.80891695327938</v>
      </c>
      <c r="K8" s="4">
        <f>I8*X8</f>
        <v>3.7506209475200207</v>
      </c>
      <c r="L8" s="7">
        <f>((D$2+D$3+D$4)*AA8)</f>
        <v>21.825637925000002</v>
      </c>
      <c r="M8" s="4">
        <f t="shared" si="10"/>
        <v>16.078947459347503</v>
      </c>
      <c r="N8" s="4">
        <f t="shared" si="10"/>
        <v>129.75710599693437</v>
      </c>
      <c r="O8" s="4">
        <f t="shared" ref="O8:O12" si="12">(M8*AH8)</f>
        <v>0.88507967666133036</v>
      </c>
      <c r="Q8" s="45"/>
      <c r="R8" s="45"/>
      <c r="S8" s="44"/>
      <c r="T8" s="45"/>
      <c r="U8" s="45"/>
      <c r="V8" s="63">
        <v>4.2300000000000004</v>
      </c>
      <c r="W8" s="43">
        <f t="shared" si="11"/>
        <v>0.2079841065590137</v>
      </c>
      <c r="X8" s="237">
        <v>3.6656191650788678E-2</v>
      </c>
      <c r="Y8" s="237">
        <v>0.73670000000000002</v>
      </c>
      <c r="Z8" s="63">
        <v>8.07</v>
      </c>
      <c r="AA8" s="43">
        <f t="shared" ref="AA8:AA12" si="13">(AG8/SUM(AG$7:AG$27))*0.98</f>
        <v>3.4999999999999996E-2</v>
      </c>
      <c r="AB8" s="17">
        <v>0.11375359040554218</v>
      </c>
      <c r="AC8" s="43">
        <f t="shared" ref="AC8:AC12" si="14">(AH8/SUM(AH$7:AH$27))*0.98</f>
        <v>7.0323608113333727E-2</v>
      </c>
      <c r="AE8" s="47"/>
      <c r="AF8" s="61">
        <v>0.20799999999999999</v>
      </c>
      <c r="AG8" s="61">
        <v>3.5000000000000003E-2</v>
      </c>
      <c r="AH8" s="61">
        <v>5.5045871559633024E-2</v>
      </c>
    </row>
    <row r="9" spans="1:34" x14ac:dyDescent="0.3">
      <c r="A9" s="58" t="s">
        <v>236</v>
      </c>
      <c r="B9" s="59" t="s">
        <v>357</v>
      </c>
      <c r="C9" s="60">
        <v>13</v>
      </c>
      <c r="D9" s="44"/>
      <c r="E9" s="44"/>
      <c r="F9" s="44"/>
      <c r="G9" s="44"/>
      <c r="H9" s="44"/>
      <c r="I9" s="4">
        <f t="shared" si="9"/>
        <v>35.418078310415652</v>
      </c>
      <c r="J9" s="4">
        <f>I9*V9</f>
        <v>135.29705914578778</v>
      </c>
      <c r="K9" s="4">
        <f>I9*X9</f>
        <v>0.80753218547747685</v>
      </c>
      <c r="L9" s="7">
        <f>((D$2+D$3+D$4)*AA9)</f>
        <v>13.718972409999999</v>
      </c>
      <c r="M9" s="4">
        <f t="shared" si="10"/>
        <v>9.6705036518089997</v>
      </c>
      <c r="N9" s="4">
        <f t="shared" si="10"/>
        <v>77.654144324026262</v>
      </c>
      <c r="O9" s="4">
        <f t="shared" si="12"/>
        <v>0.29623371760028572</v>
      </c>
      <c r="Q9" s="45"/>
      <c r="R9" s="45"/>
      <c r="S9" s="44"/>
      <c r="T9" s="45"/>
      <c r="U9" s="45"/>
      <c r="V9" s="63">
        <v>3.82</v>
      </c>
      <c r="W9" s="43">
        <f t="shared" si="11"/>
        <v>7.1994498424273967E-2</v>
      </c>
      <c r="X9" s="237">
        <v>2.2800000000000001E-2</v>
      </c>
      <c r="Y9" s="237">
        <v>0.70489999999999997</v>
      </c>
      <c r="Z9" s="63">
        <v>8.0299999999999994</v>
      </c>
      <c r="AA9" s="43">
        <f t="shared" si="13"/>
        <v>2.1999999999999995E-2</v>
      </c>
      <c r="AB9" s="17">
        <v>1.0147659498226561E-2</v>
      </c>
      <c r="AC9" s="43">
        <f t="shared" si="14"/>
        <v>3.9134680109127254E-2</v>
      </c>
      <c r="AE9" s="47"/>
      <c r="AF9" s="61">
        <v>7.1999999999999995E-2</v>
      </c>
      <c r="AG9" s="61">
        <v>2.1999999999999999E-2</v>
      </c>
      <c r="AH9" s="61">
        <v>3.06327083124436E-2</v>
      </c>
    </row>
    <row r="10" spans="1:34" x14ac:dyDescent="0.3">
      <c r="A10" s="58" t="s">
        <v>751</v>
      </c>
      <c r="B10" s="59" t="s">
        <v>357</v>
      </c>
      <c r="C10" s="60">
        <v>13</v>
      </c>
      <c r="D10" s="44"/>
      <c r="E10" s="44"/>
      <c r="F10" s="44"/>
      <c r="G10" s="44"/>
      <c r="H10" s="44"/>
      <c r="I10" s="4">
        <f t="shared" si="9"/>
        <v>22.628216698321111</v>
      </c>
      <c r="J10" s="4">
        <f t="shared" ref="J10:J12" si="15">I10*V10</f>
        <v>107.12436314520724</v>
      </c>
      <c r="K10" s="4">
        <f t="shared" ref="K10:K12" si="16">I10*X10</f>
        <v>0.50234641070272867</v>
      </c>
      <c r="L10" s="7">
        <f t="shared" ref="L10:L12" si="17">((D$2+D$3+D$4)*AA10)</f>
        <v>15.589741375000003</v>
      </c>
      <c r="M10" s="4">
        <f t="shared" ref="M10:N10" si="18">L10*Y10</f>
        <v>11.998254705734377</v>
      </c>
      <c r="N10" s="4">
        <f t="shared" si="18"/>
        <v>96.106020192932363</v>
      </c>
      <c r="O10" s="4">
        <f t="shared" si="12"/>
        <v>0.11998254705734378</v>
      </c>
      <c r="Q10" s="45"/>
      <c r="R10" s="45"/>
      <c r="S10" s="44"/>
      <c r="T10" s="45"/>
      <c r="U10" s="45"/>
      <c r="V10" s="63">
        <v>4.734105412432049</v>
      </c>
      <c r="W10" s="43">
        <f t="shared" si="11"/>
        <v>4.5996485104397258E-2</v>
      </c>
      <c r="X10" s="237">
        <v>2.2200000000000001E-2</v>
      </c>
      <c r="Y10" s="237">
        <v>0.769625</v>
      </c>
      <c r="Z10" s="63">
        <v>8.01</v>
      </c>
      <c r="AA10" s="43">
        <f t="shared" si="13"/>
        <v>2.5000000000000001E-2</v>
      </c>
      <c r="AB10" s="17">
        <v>4.7188203192819848E-3</v>
      </c>
      <c r="AC10" s="43">
        <f t="shared" si="14"/>
        <v>1.2775455473922294E-2</v>
      </c>
      <c r="AE10" s="47"/>
      <c r="AF10" s="61">
        <v>4.5999999999999999E-2</v>
      </c>
      <c r="AG10" s="61">
        <v>2.5000000000000001E-2</v>
      </c>
      <c r="AH10" s="61">
        <v>0.01</v>
      </c>
    </row>
    <row r="11" spans="1:34" x14ac:dyDescent="0.3">
      <c r="B11" s="59" t="s">
        <v>357</v>
      </c>
      <c r="C11" s="60">
        <v>13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/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B12" s="59" t="s">
        <v>357</v>
      </c>
      <c r="C12" s="60">
        <v>13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67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244</v>
      </c>
      <c r="B15" s="59" t="s">
        <v>358</v>
      </c>
      <c r="C15" s="60">
        <v>13</v>
      </c>
      <c r="D15" s="44"/>
      <c r="E15" s="44"/>
      <c r="F15" s="44"/>
      <c r="G15" s="44"/>
      <c r="H15" s="44"/>
      <c r="I15" s="4">
        <f t="shared" ref="I15:I22" si="21">D$37*W15</f>
        <v>0</v>
      </c>
      <c r="J15" s="4">
        <f t="shared" ref="J15:J22" si="22">I15*V15</f>
        <v>0</v>
      </c>
      <c r="K15" s="4">
        <f t="shared" ref="K15:K22" si="23">I15*X15</f>
        <v>0</v>
      </c>
      <c r="L15" s="7">
        <f t="shared" ref="L15:L20" si="24">((D$2+D$3+D$4)*AA15)</f>
        <v>83.561013770000017</v>
      </c>
      <c r="M15" s="4">
        <f t="shared" ref="M15:N19" si="25">L15*Y15</f>
        <v>56.955186985632011</v>
      </c>
      <c r="N15" s="4">
        <f t="shared" si="25"/>
        <v>738.13922333379094</v>
      </c>
      <c r="O15" s="4">
        <f t="shared" ref="O15:O22" si="26">(M15*AH15)</f>
        <v>4.6133701458361926</v>
      </c>
      <c r="Q15" s="45"/>
      <c r="R15" s="45"/>
      <c r="S15" s="44"/>
      <c r="T15" s="45"/>
      <c r="U15" s="45"/>
      <c r="V15" s="63">
        <v>0</v>
      </c>
      <c r="W15" s="43">
        <f t="shared" ref="W15:W22" si="27">(AF15/SUM(AF$2:AF$22))*0.98</f>
        <v>0</v>
      </c>
      <c r="X15" s="237">
        <v>0</v>
      </c>
      <c r="Y15" s="237">
        <v>0.68159999999999998</v>
      </c>
      <c r="Z15" s="63">
        <v>12.96</v>
      </c>
      <c r="AA15" s="43">
        <f t="shared" ref="AA15:AA22" si="28">(AG15/SUM(AG$7:AG$27))*0.98</f>
        <v>0.13400000000000001</v>
      </c>
      <c r="AB15" s="17">
        <v>0.26977139264554484</v>
      </c>
      <c r="AC15" s="43">
        <f t="shared" ref="AC15:AC22" si="29">(AH15/SUM(AH$7:AH$27))*0.98</f>
        <v>0.10348118933877058</v>
      </c>
      <c r="AE15" s="47"/>
      <c r="AF15" s="61">
        <v>0</v>
      </c>
      <c r="AG15" s="61">
        <v>0.13400000000000001</v>
      </c>
      <c r="AH15" s="61">
        <v>8.1000000000000003E-2</v>
      </c>
    </row>
    <row r="16" spans="1:34" x14ac:dyDescent="0.3">
      <c r="A16" s="66" t="s">
        <v>24</v>
      </c>
      <c r="B16" s="59" t="s">
        <v>358</v>
      </c>
      <c r="C16" s="60">
        <v>13</v>
      </c>
      <c r="D16" s="44"/>
      <c r="E16" s="44"/>
      <c r="F16" s="44"/>
      <c r="G16" s="44"/>
      <c r="H16" s="44"/>
      <c r="I16" s="4">
        <f t="shared" si="21"/>
        <v>0.37497134595976023</v>
      </c>
      <c r="J16" s="4">
        <f t="shared" si="22"/>
        <v>1.8748567297988012</v>
      </c>
      <c r="K16" s="4">
        <f t="shared" si="23"/>
        <v>0</v>
      </c>
      <c r="L16" s="7">
        <f t="shared" si="24"/>
        <v>112.24613789999999</v>
      </c>
      <c r="M16" s="4">
        <f t="shared" si="25"/>
        <v>72.163042055909997</v>
      </c>
      <c r="N16" s="4">
        <f t="shared" si="25"/>
        <v>950.38726387633471</v>
      </c>
      <c r="O16" s="4">
        <f t="shared" si="26"/>
        <v>6.0616955326964401</v>
      </c>
      <c r="Q16" s="45"/>
      <c r="R16" s="45"/>
      <c r="S16" s="44"/>
      <c r="T16" s="45"/>
      <c r="U16" s="45"/>
      <c r="V16" s="63">
        <v>5</v>
      </c>
      <c r="W16" s="43">
        <f t="shared" si="27"/>
        <v>7.6220606152731251E-4</v>
      </c>
      <c r="X16" s="237">
        <v>0</v>
      </c>
      <c r="Y16" s="237">
        <v>0.64290000000000003</v>
      </c>
      <c r="Z16" s="63">
        <v>13.17</v>
      </c>
      <c r="AA16" s="43">
        <f t="shared" si="28"/>
        <v>0.17999999999999997</v>
      </c>
      <c r="AB16" s="17">
        <v>0.12971605405131142</v>
      </c>
      <c r="AC16" s="43">
        <f t="shared" si="29"/>
        <v>0.10731382598094726</v>
      </c>
      <c r="AE16" s="47"/>
      <c r="AF16" s="61">
        <v>7.6226430673296175E-4</v>
      </c>
      <c r="AG16" s="61">
        <v>0.18</v>
      </c>
      <c r="AH16" s="61">
        <v>8.4000000000000005E-2</v>
      </c>
    </row>
    <row r="17" spans="1:34" x14ac:dyDescent="0.3">
      <c r="A17" s="66" t="s">
        <v>321</v>
      </c>
      <c r="B17" s="59" t="s">
        <v>358</v>
      </c>
      <c r="C17" s="60">
        <v>13</v>
      </c>
      <c r="D17" s="44"/>
      <c r="E17" s="44"/>
      <c r="F17" s="44"/>
      <c r="G17" s="44"/>
      <c r="H17" s="44"/>
      <c r="I17" s="4">
        <f t="shared" si="21"/>
        <v>17.217121400896502</v>
      </c>
      <c r="J17" s="4">
        <f t="shared" si="22"/>
        <v>86.113240615590598</v>
      </c>
      <c r="K17" s="4">
        <f t="shared" si="23"/>
        <v>0.42601817124974628</v>
      </c>
      <c r="L17" s="7">
        <f t="shared" si="24"/>
        <v>77.32511722000001</v>
      </c>
      <c r="M17" s="4">
        <f t="shared" si="25"/>
        <v>55.909214886669737</v>
      </c>
      <c r="N17" s="4">
        <f t="shared" si="25"/>
        <v>616.11954805110042</v>
      </c>
      <c r="O17" s="4">
        <f t="shared" si="26"/>
        <v>3.3007582994099187</v>
      </c>
      <c r="Q17" s="45"/>
      <c r="R17" s="45"/>
      <c r="S17" s="44"/>
      <c r="T17" s="45"/>
      <c r="U17" s="45"/>
      <c r="V17" s="63">
        <v>5.0016050076237857</v>
      </c>
      <c r="W17" s="43">
        <f t="shared" si="27"/>
        <v>3.4997325622910962E-2</v>
      </c>
      <c r="X17" s="237">
        <v>2.4743867533370784E-2</v>
      </c>
      <c r="Y17" s="237">
        <v>0.7230408035153798</v>
      </c>
      <c r="Z17" s="63">
        <v>11.02</v>
      </c>
      <c r="AA17" s="43">
        <f t="shared" si="28"/>
        <v>0.12399999999999999</v>
      </c>
      <c r="AB17" s="17">
        <v>0.12797452401887696</v>
      </c>
      <c r="AC17" s="43">
        <f t="shared" si="29"/>
        <v>7.5423507144159588E-2</v>
      </c>
      <c r="AE17" s="47"/>
      <c r="AF17" s="61">
        <v>3.5000000000000003E-2</v>
      </c>
      <c r="AG17" s="61">
        <v>0.124</v>
      </c>
      <c r="AH17" s="61">
        <v>5.9037822407284571E-2</v>
      </c>
    </row>
    <row r="18" spans="1:34" x14ac:dyDescent="0.3">
      <c r="A18" s="66" t="s">
        <v>37</v>
      </c>
      <c r="B18" s="59" t="s">
        <v>358</v>
      </c>
      <c r="C18" s="60">
        <v>13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56.123068949999997</v>
      </c>
      <c r="M18" s="4">
        <f t="shared" si="25"/>
        <v>30.502887974324999</v>
      </c>
      <c r="N18" s="4">
        <f t="shared" si="25"/>
        <v>400.19789022314399</v>
      </c>
      <c r="O18" s="4">
        <f t="shared" si="26"/>
        <v>2.4402310379459999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0.54349999999999998</v>
      </c>
      <c r="Z18" s="63">
        <v>13.12</v>
      </c>
      <c r="AA18" s="43">
        <f t="shared" si="28"/>
        <v>8.9999999999999983E-2</v>
      </c>
      <c r="AB18" s="17">
        <v>0.10081793453823511</v>
      </c>
      <c r="AC18" s="43">
        <f t="shared" si="29"/>
        <v>0.10220364379137835</v>
      </c>
      <c r="AE18" s="47"/>
      <c r="AF18" s="61">
        <v>0</v>
      </c>
      <c r="AG18" s="61">
        <v>0.09</v>
      </c>
      <c r="AH18" s="61">
        <v>0.08</v>
      </c>
    </row>
    <row r="19" spans="1:34" x14ac:dyDescent="0.3">
      <c r="A19" s="66" t="s">
        <v>133</v>
      </c>
      <c r="B19" s="59" t="s">
        <v>358</v>
      </c>
      <c r="C19" s="60">
        <v>13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16.213331029999999</v>
      </c>
      <c r="M19" s="4">
        <f t="shared" si="25"/>
        <v>10.342058331428571</v>
      </c>
      <c r="N19" s="4">
        <f t="shared" si="25"/>
        <v>132.17150547565714</v>
      </c>
      <c r="O19" s="4">
        <f t="shared" si="26"/>
        <v>0.21545954857142852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0.63787375415282399</v>
      </c>
      <c r="Z19" s="63">
        <v>12.78</v>
      </c>
      <c r="AA19" s="43">
        <f t="shared" si="28"/>
        <v>2.5999999999999995E-2</v>
      </c>
      <c r="AB19" s="17">
        <v>4.1675676567124779E-2</v>
      </c>
      <c r="AC19" s="43">
        <f t="shared" si="29"/>
        <v>2.6615532237338105E-2</v>
      </c>
      <c r="AE19" s="47"/>
      <c r="AF19" s="61">
        <v>0</v>
      </c>
      <c r="AG19" s="61">
        <v>2.5999999999999999E-2</v>
      </c>
      <c r="AH19" s="61">
        <v>2.0833333333333329E-2</v>
      </c>
    </row>
    <row r="20" spans="1:34" x14ac:dyDescent="0.3">
      <c r="A20" s="58" t="s">
        <v>583</v>
      </c>
      <c r="B20" s="59" t="s">
        <v>358</v>
      </c>
      <c r="C20" s="60">
        <v>13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12.471793100000001</v>
      </c>
      <c r="M20" s="4">
        <f t="shared" ref="M20:N20" si="30">L20*Y20</f>
        <v>7.4018092198294481</v>
      </c>
      <c r="N20" s="4">
        <f t="shared" si="30"/>
        <v>93.33681426204933</v>
      </c>
      <c r="O20" s="4">
        <f t="shared" si="26"/>
        <v>0.52552845460789077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0.59348396501457734</v>
      </c>
      <c r="Z20" s="63">
        <v>12.61</v>
      </c>
      <c r="AA20" s="43">
        <f t="shared" si="28"/>
        <v>1.9999999999999997E-2</v>
      </c>
      <c r="AB20" s="17">
        <v>2.8390581729766013E-2</v>
      </c>
      <c r="AC20" s="43">
        <f t="shared" si="29"/>
        <v>9.0705733864848273E-2</v>
      </c>
      <c r="AE20" s="47"/>
      <c r="AF20" s="61">
        <v>0</v>
      </c>
      <c r="AG20" s="61">
        <v>0.02</v>
      </c>
      <c r="AH20" s="61">
        <v>7.0999999999999994E-2</v>
      </c>
    </row>
    <row r="21" spans="1:34" x14ac:dyDescent="0.3">
      <c r="B21" s="59" t="s">
        <v>358</v>
      </c>
      <c r="C21" s="60">
        <v>13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/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13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105</v>
      </c>
      <c r="B24" s="59" t="s">
        <v>10</v>
      </c>
      <c r="C24" s="60">
        <v>13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97.279986180000023</v>
      </c>
      <c r="M24" s="4">
        <f t="shared" ref="M24:N27" si="34">L24*Y24</f>
        <v>64.049142900912017</v>
      </c>
      <c r="N24" s="4">
        <f t="shared" si="34"/>
        <v>678.2804233206582</v>
      </c>
      <c r="O24" s="4">
        <f t="shared" ref="O24:O27" si="35">(M24*AH24)</f>
        <v>5.2520297178747857</v>
      </c>
      <c r="Q24" s="45"/>
      <c r="R24" s="45"/>
      <c r="S24" s="44"/>
      <c r="T24" s="45"/>
      <c r="U24" s="45"/>
      <c r="V24" s="46"/>
      <c r="W24" s="46"/>
      <c r="X24" s="45"/>
      <c r="Y24" s="237">
        <v>0.65839999999999999</v>
      </c>
      <c r="Z24" s="236">
        <v>10.59</v>
      </c>
      <c r="AA24" s="43">
        <f t="shared" ref="AA24:AA27" si="36">(AG24/SUM(AG$7:AG$27))*0.98</f>
        <v>0.156</v>
      </c>
      <c r="AB24" s="17">
        <v>4.7611960208794789E-2</v>
      </c>
      <c r="AC24" s="43">
        <f t="shared" ref="AC24:AC27" si="37">(AH24/SUM(AH$7:AH$27))*0.98</f>
        <v>0.10475873488616282</v>
      </c>
      <c r="AE24" s="47"/>
      <c r="AF24" s="47"/>
      <c r="AG24" s="61">
        <v>0.156</v>
      </c>
      <c r="AH24" s="61">
        <v>8.2000000000000003E-2</v>
      </c>
    </row>
    <row r="25" spans="1:34" x14ac:dyDescent="0.3">
      <c r="A25" s="66" t="s">
        <v>816</v>
      </c>
      <c r="B25" s="59" t="s">
        <v>10</v>
      </c>
      <c r="C25" s="60">
        <v>13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23.696406889999999</v>
      </c>
      <c r="M25" s="4">
        <f t="shared" si="34"/>
        <v>15.038322759144966</v>
      </c>
      <c r="N25" s="4">
        <f t="shared" si="34"/>
        <v>160.15813738489391</v>
      </c>
      <c r="O25" s="4">
        <f t="shared" si="35"/>
        <v>1.0008514347789137</v>
      </c>
      <c r="Q25" s="45"/>
      <c r="R25" s="45"/>
      <c r="S25" s="44"/>
      <c r="T25" s="45"/>
      <c r="U25" s="45"/>
      <c r="V25" s="46"/>
      <c r="W25" s="46"/>
      <c r="X25" s="45"/>
      <c r="Y25" s="237">
        <v>0.63462460063897763</v>
      </c>
      <c r="Z25" s="236">
        <v>10.65</v>
      </c>
      <c r="AA25" s="43">
        <f t="shared" si="36"/>
        <v>3.7999999999999992E-2</v>
      </c>
      <c r="AB25" s="17">
        <v>2.8953817101297047E-2</v>
      </c>
      <c r="AC25" s="43">
        <f t="shared" si="37"/>
        <v>8.5024993450507944E-2</v>
      </c>
      <c r="AE25" s="47"/>
      <c r="AF25" s="47"/>
      <c r="AG25" s="61">
        <v>3.7999999999999999E-2</v>
      </c>
      <c r="AH25" s="61">
        <v>6.655339500346108E-2</v>
      </c>
    </row>
    <row r="26" spans="1:34" x14ac:dyDescent="0.3">
      <c r="A26" s="58" t="s">
        <v>190</v>
      </c>
      <c r="B26" s="59" t="s">
        <v>10</v>
      </c>
      <c r="C26" s="60">
        <v>13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17.460510340000003</v>
      </c>
      <c r="M26" s="4">
        <f t="shared" si="34"/>
        <v>11.384252741680003</v>
      </c>
      <c r="N26" s="4">
        <f t="shared" si="34"/>
        <v>126.02367785039763</v>
      </c>
      <c r="O26" s="4">
        <f t="shared" si="35"/>
        <v>0.77404730374425734</v>
      </c>
      <c r="Q26" s="45"/>
      <c r="R26" s="45"/>
      <c r="S26" s="44"/>
      <c r="T26" s="45"/>
      <c r="U26" s="45"/>
      <c r="V26" s="46"/>
      <c r="W26" s="46"/>
      <c r="X26" s="45"/>
      <c r="Y26" s="237">
        <v>0.65200000000000002</v>
      </c>
      <c r="Z26" s="236">
        <v>11.07</v>
      </c>
      <c r="AA26" s="43">
        <f t="shared" si="36"/>
        <v>2.7999999999999997E-2</v>
      </c>
      <c r="AB26" s="17">
        <v>2.5188790599100677E-3</v>
      </c>
      <c r="AC26" s="43">
        <f t="shared" si="37"/>
        <v>8.6863908313362409E-2</v>
      </c>
      <c r="AE26" s="47"/>
      <c r="AF26" s="47"/>
      <c r="AG26" s="61">
        <v>2.8000000000000001E-2</v>
      </c>
      <c r="AH26" s="61">
        <v>6.7992807372443245E-2</v>
      </c>
    </row>
    <row r="27" spans="1:34" x14ac:dyDescent="0.3">
      <c r="B27" s="59" t="s">
        <v>10</v>
      </c>
      <c r="C27" s="60">
        <v>13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/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67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79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26" t="s">
        <v>446</v>
      </c>
      <c r="X29" s="83"/>
      <c r="Y29" s="83"/>
      <c r="Z29" s="84"/>
      <c r="AA29" s="26" t="s">
        <v>446</v>
      </c>
      <c r="AB29" s="26" t="s">
        <v>446</v>
      </c>
      <c r="AC29" s="26" t="s">
        <v>446</v>
      </c>
      <c r="AD29" s="85"/>
      <c r="AE29" s="26" t="s">
        <v>446</v>
      </c>
      <c r="AF29" s="26" t="s">
        <v>446</v>
      </c>
      <c r="AG29" s="26" t="s">
        <v>446</v>
      </c>
    </row>
    <row r="30" spans="1:34" s="86" customFormat="1" x14ac:dyDescent="0.3">
      <c r="A30" s="87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0.97999999999999987</v>
      </c>
      <c r="X30" s="83"/>
      <c r="Y30" s="83"/>
      <c r="Z30" s="84"/>
      <c r="AA30" s="28">
        <f>SUM(AA7:AA27)</f>
        <v>0.98</v>
      </c>
      <c r="AB30" s="28">
        <f t="shared" ref="AB30" si="38">SUM(AB2:AB4,AB7:AB12,AB15:AB22,AB24:AB27)</f>
        <v>0.9750000000000002</v>
      </c>
      <c r="AC30" s="28">
        <f>SUM(AC7:AC27)</f>
        <v>0.9800000000000002</v>
      </c>
      <c r="AD30" s="89"/>
      <c r="AE30" s="28">
        <f>SUM(AE2:AE4,AE7:AE27)</f>
        <v>1</v>
      </c>
      <c r="AF30" s="28">
        <f>SUM(AF2:AF4,AF7:AF27)</f>
        <v>0.98007488828076461</v>
      </c>
      <c r="AG30" s="28">
        <f>SUM(AG7:AG27)</f>
        <v>0.98000000000000009</v>
      </c>
    </row>
    <row r="31" spans="1:34" s="86" customFormat="1" x14ac:dyDescent="0.3">
      <c r="A31" s="79"/>
      <c r="B31" s="80"/>
      <c r="C31" s="80"/>
      <c r="D31" s="105">
        <v>1115.5450000000001</v>
      </c>
      <c r="E31" s="106">
        <v>0.55900000000000005</v>
      </c>
      <c r="F31" s="8">
        <f>1-E31</f>
        <v>0.44099999999999995</v>
      </c>
      <c r="G31" s="234">
        <v>4.4000000000000004</v>
      </c>
      <c r="H31" s="275">
        <v>4.3435897435897437E-2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79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87" t="s">
        <v>447</v>
      </c>
      <c r="B33" s="80"/>
      <c r="C33" s="80"/>
      <c r="D33" s="27" t="s">
        <v>460</v>
      </c>
      <c r="E33" s="27" t="s">
        <v>1</v>
      </c>
      <c r="F33" s="27" t="s">
        <v>445</v>
      </c>
      <c r="G33" s="27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79"/>
      <c r="B34" s="80"/>
      <c r="C34" s="80"/>
      <c r="D34" s="2">
        <f>D31*E31</f>
        <v>623.58965500000011</v>
      </c>
      <c r="E34" s="2">
        <f>SUM(E2:E4)</f>
        <v>415.48141789805635</v>
      </c>
      <c r="F34" s="2">
        <f>SUM(F2:F4)</f>
        <v>4614.4669193951531</v>
      </c>
      <c r="G34" s="2">
        <f>SUM(G2:G4)</f>
        <v>28.958567570127851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79"/>
      <c r="B35" s="80"/>
      <c r="C35" s="80"/>
      <c r="D35" s="134"/>
      <c r="E35" s="134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87" t="s">
        <v>447</v>
      </c>
      <c r="B36" s="80"/>
      <c r="C36" s="80"/>
      <c r="D36" s="27" t="s">
        <v>452</v>
      </c>
      <c r="E36" s="27" t="s">
        <v>445</v>
      </c>
      <c r="F36" s="27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79"/>
      <c r="B37" s="80"/>
      <c r="C37" s="80"/>
      <c r="D37" s="2">
        <f>D31*F31</f>
        <v>491.95534499999997</v>
      </c>
      <c r="E37" s="2">
        <f>D37*G31</f>
        <v>2164.6035179999999</v>
      </c>
      <c r="F37" s="2">
        <f>D37*H31</f>
        <v>21.368521908461538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79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91" t="s">
        <v>461</v>
      </c>
      <c r="B39" s="92"/>
      <c r="C39" s="92"/>
      <c r="D39" s="29" t="s">
        <v>455</v>
      </c>
      <c r="E39" s="29" t="s">
        <v>456</v>
      </c>
      <c r="F39" s="29" t="s">
        <v>457</v>
      </c>
      <c r="G39" s="29" t="s">
        <v>453</v>
      </c>
      <c r="H39" s="29" t="s">
        <v>454</v>
      </c>
      <c r="I39" s="29" t="s">
        <v>458</v>
      </c>
      <c r="J39" s="29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482.11623809999992</v>
      </c>
      <c r="E40" s="3">
        <f>SUM(J2:J4,J7:J12,J15:J22)</f>
        <v>2142.7594137892565</v>
      </c>
      <c r="F40" s="3">
        <f>SUM(K2:K4,K7:K12,K15:K22)</f>
        <v>21.147497266205178</v>
      </c>
      <c r="G40" s="3">
        <f>SUM(L7:L12,L15:L22,L24:L27)</f>
        <v>611.11786190000021</v>
      </c>
      <c r="H40" s="3">
        <f>SUM(M7:M12,M15:M22,M24:M27)</f>
        <v>413.14181325814275</v>
      </c>
      <c r="I40" s="3">
        <f>SUM(N7:N12,N15:N22,N24:N27)</f>
        <v>4602.7370787481068</v>
      </c>
      <c r="J40" s="3">
        <f>SUM(O7:O12,O15:O22,O24:O27)</f>
        <v>28.532510602342263</v>
      </c>
    </row>
    <row r="41" spans="1:32" ht="14.4" thickTop="1" x14ac:dyDescent="0.3">
      <c r="D41" s="50">
        <f>D37-D40</f>
        <v>9.8391069000000471</v>
      </c>
      <c r="E41" s="50">
        <f>E37-E40</f>
        <v>21.844104210743353</v>
      </c>
      <c r="F41" s="50">
        <f>F37-F40</f>
        <v>0.22102464225635998</v>
      </c>
      <c r="G41" s="50">
        <f>SUM(D2:D4)-G40</f>
        <v>12.4717930999999</v>
      </c>
      <c r="H41" s="50">
        <f>E34-H40</f>
        <v>2.3396046399136026</v>
      </c>
      <c r="I41" s="50">
        <f>F34-I40</f>
        <v>11.729840647046331</v>
      </c>
      <c r="J41" s="50">
        <f>G34-J40</f>
        <v>0.42605696778558766</v>
      </c>
    </row>
    <row r="42" spans="1:32" x14ac:dyDescent="0.3">
      <c r="N42" s="74"/>
      <c r="O42" s="74"/>
    </row>
    <row r="44" spans="1:32" x14ac:dyDescent="0.3">
      <c r="N44" s="74"/>
      <c r="O44" s="74"/>
    </row>
  </sheetData>
  <sheetProtection sheet="1" selectLockedCells="1"/>
  <conditionalFormatting sqref="AA30:AB30 AD30:AF30">
    <cfRule type="cellIs" dxfId="431" priority="14" operator="greaterThan">
      <formula>1</formula>
    </cfRule>
    <cfRule type="cellIs" dxfId="430" priority="15" operator="greaterThan">
      <formula>1</formula>
    </cfRule>
  </conditionalFormatting>
  <conditionalFormatting sqref="AC30">
    <cfRule type="cellIs" dxfId="429" priority="10" operator="greaterThan">
      <formula>1</formula>
    </cfRule>
    <cfRule type="cellIs" dxfId="428" priority="11" operator="greaterThan">
      <formula>1</formula>
    </cfRule>
  </conditionalFormatting>
  <conditionalFormatting sqref="AG30">
    <cfRule type="cellIs" dxfId="427" priority="8" operator="greaterThan">
      <formula>1</formula>
    </cfRule>
    <cfRule type="cellIs" dxfId="426" priority="9" operator="greaterThan">
      <formula>1</formula>
    </cfRule>
  </conditionalFormatting>
  <conditionalFormatting sqref="W30">
    <cfRule type="cellIs" dxfId="425" priority="2" operator="greaterThan">
      <formula>1</formula>
    </cfRule>
    <cfRule type="cellIs" dxfId="424" priority="3" operator="greaterThan">
      <formula>1</formula>
    </cfRule>
  </conditionalFormatting>
  <conditionalFormatting sqref="D41:J41">
    <cfRule type="cellIs" dxfId="423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CC0000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4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6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272</v>
      </c>
      <c r="B2" s="59" t="s">
        <v>9</v>
      </c>
      <c r="C2" s="59">
        <v>14</v>
      </c>
      <c r="D2" s="4">
        <f>D$34*Q2</f>
        <v>453.06680999999998</v>
      </c>
      <c r="E2" s="4">
        <f>D2*R2</f>
        <v>285.82060924630895</v>
      </c>
      <c r="F2" s="4">
        <f>E2*S2</f>
        <v>3289.795212425016</v>
      </c>
      <c r="G2" s="4">
        <f t="shared" ref="G2:G3" si="0">E2*T2</f>
        <v>16.810781356444785</v>
      </c>
      <c r="H2" s="4">
        <f>E2*U2</f>
        <v>8.0473601831645905</v>
      </c>
      <c r="I2" s="4">
        <f>D$37*W2</f>
        <v>30.373596275357116</v>
      </c>
      <c r="J2" s="4">
        <f>I2*V2</f>
        <v>182.40966705779738</v>
      </c>
      <c r="K2" s="4">
        <f>I2*X2</f>
        <v>1.359585713984468</v>
      </c>
      <c r="L2" s="44"/>
      <c r="M2" s="44"/>
      <c r="N2" s="44"/>
      <c r="O2" s="44"/>
      <c r="Q2" s="43">
        <f>AE2</f>
        <v>0.7</v>
      </c>
      <c r="R2" s="61">
        <v>0.63085753124646005</v>
      </c>
      <c r="S2" s="236">
        <v>11.51</v>
      </c>
      <c r="T2" s="237">
        <v>5.8815847467310924E-2</v>
      </c>
      <c r="U2" s="61">
        <v>2.8155283149052739E-2</v>
      </c>
      <c r="V2" s="236">
        <v>6.0055340633401073</v>
      </c>
      <c r="W2" s="43">
        <f>(AF2/SUM(AF$2:AF$22))*0.98</f>
        <v>7.4962902508571128E-2</v>
      </c>
      <c r="X2" s="61">
        <v>4.4762092103250058E-2</v>
      </c>
      <c r="Y2" s="64"/>
      <c r="Z2" s="65"/>
      <c r="AA2" s="1"/>
      <c r="AB2" s="1"/>
      <c r="AC2" s="1"/>
      <c r="AE2" s="61">
        <v>0.7</v>
      </c>
      <c r="AF2" s="61">
        <v>7.4999999999999997E-2</v>
      </c>
      <c r="AG2" s="47"/>
      <c r="AH2" s="47"/>
    </row>
    <row r="3" spans="1:34" x14ac:dyDescent="0.3">
      <c r="A3" s="58" t="s">
        <v>677</v>
      </c>
      <c r="B3" s="59" t="s">
        <v>9</v>
      </c>
      <c r="C3" s="59">
        <v>14</v>
      </c>
      <c r="D3" s="4">
        <f>D$34*Q3</f>
        <v>194.17149000000003</v>
      </c>
      <c r="E3" s="4">
        <f t="shared" ref="E3:E4" si="1">D3*R3</f>
        <v>117.12286686057021</v>
      </c>
      <c r="F3" s="4">
        <f t="shared" ref="F3:F4" si="2">E3*S3</f>
        <v>1323.4883955244434</v>
      </c>
      <c r="G3" s="4">
        <f t="shared" si="0"/>
        <v>7.0111129962407857</v>
      </c>
      <c r="H3" s="4">
        <f t="shared" ref="H3" si="3">E3*U3</f>
        <v>2.9081830254177503</v>
      </c>
      <c r="I3" s="4">
        <f t="shared" ref="I3:I4" si="4">D$37*W3</f>
        <v>17.640769971000349</v>
      </c>
      <c r="J3" s="4">
        <f>I3*V3</f>
        <v>82.55534517571256</v>
      </c>
      <c r="K3" s="4">
        <f>I3*X3</f>
        <v>0.65767453134186415</v>
      </c>
      <c r="L3" s="44"/>
      <c r="M3" s="44"/>
      <c r="N3" s="44"/>
      <c r="O3" s="44"/>
      <c r="Q3" s="43">
        <f t="shared" ref="Q3:Q4" si="5">AE3</f>
        <v>0.30000000000000004</v>
      </c>
      <c r="R3" s="61">
        <v>0.60319291395750319</v>
      </c>
      <c r="S3" s="236">
        <v>11.3</v>
      </c>
      <c r="T3" s="237">
        <v>5.9861179837641929E-2</v>
      </c>
      <c r="U3" s="61">
        <v>2.4830189896903894E-2</v>
      </c>
      <c r="V3" s="236">
        <v>4.6798039604521371</v>
      </c>
      <c r="W3" s="43">
        <f t="shared" ref="W3:W4" si="6">(AF3/SUM(AF$2:AF$22))*0.98</f>
        <v>4.3537923778394598E-2</v>
      </c>
      <c r="X3" s="61">
        <v>3.7281509391200889E-2</v>
      </c>
      <c r="Y3" s="64"/>
      <c r="Z3" s="65"/>
      <c r="AA3" s="1"/>
      <c r="AB3" s="1"/>
      <c r="AC3" s="1"/>
      <c r="AE3" s="61">
        <f>1-AE2</f>
        <v>0.30000000000000004</v>
      </c>
      <c r="AF3" s="61">
        <v>4.3559469739131849E-2</v>
      </c>
      <c r="AG3" s="47"/>
      <c r="AH3" s="47"/>
    </row>
    <row r="4" spans="1:34" x14ac:dyDescent="0.3">
      <c r="B4" s="59" t="s">
        <v>9</v>
      </c>
      <c r="C4" s="59">
        <v>14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2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5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0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34</v>
      </c>
      <c r="B7" s="59" t="s">
        <v>357</v>
      </c>
      <c r="C7" s="59">
        <v>14</v>
      </c>
      <c r="D7" s="44"/>
      <c r="E7" s="44"/>
      <c r="F7" s="44"/>
      <c r="G7" s="44"/>
      <c r="H7" s="44"/>
      <c r="I7" s="4">
        <f t="shared" ref="I7:I12" si="9">D$37*W7</f>
        <v>114.20472199534274</v>
      </c>
      <c r="J7" s="4">
        <f>I7*V7</f>
        <v>446.11019177669237</v>
      </c>
      <c r="K7" s="4">
        <f>I7*X7</f>
        <v>4.0660862757981384</v>
      </c>
      <c r="L7" s="7">
        <f>((D$2+D$3+D$4)*AA7)</f>
        <v>67.338550612674524</v>
      </c>
      <c r="M7" s="4">
        <f t="shared" ref="M7:N9" si="10">L7*Y7</f>
        <v>50.867541132814331</v>
      </c>
      <c r="N7" s="4">
        <f t="shared" si="10"/>
        <v>473.98077882062245</v>
      </c>
      <c r="O7" s="4">
        <f>M7*AH7</f>
        <v>3.2675368181686331</v>
      </c>
      <c r="Q7" s="45"/>
      <c r="R7" s="45"/>
      <c r="S7" s="44"/>
      <c r="T7" s="45"/>
      <c r="U7" s="45"/>
      <c r="V7" s="63">
        <v>3.9062324567882993</v>
      </c>
      <c r="W7" s="43">
        <f t="shared" ref="W7:W12" si="11">(AF7/SUM(AF$2:AF$22))*0.98</f>
        <v>0.2818605134322274</v>
      </c>
      <c r="X7" s="237">
        <v>3.5603486482493722E-2</v>
      </c>
      <c r="Y7" s="237">
        <v>0.75539999999999996</v>
      </c>
      <c r="Z7" s="63">
        <v>9.3179416237766688</v>
      </c>
      <c r="AA7" s="43">
        <f>(AG7/SUM(AG$7:AG$27))*0.98</f>
        <v>0.10403981132246735</v>
      </c>
      <c r="AB7" s="17">
        <v>0.10241586707245035</v>
      </c>
      <c r="AC7" s="43">
        <f>(AH7/SUM(AH$7:AH$27))*0.98</f>
        <v>0.10863098894226264</v>
      </c>
      <c r="AE7" s="47"/>
      <c r="AF7" s="61">
        <v>0.28199999999999997</v>
      </c>
      <c r="AG7" s="61">
        <v>0.104</v>
      </c>
      <c r="AH7" s="61">
        <v>6.4236185697223835E-2</v>
      </c>
    </row>
    <row r="8" spans="1:34" x14ac:dyDescent="0.3">
      <c r="A8" s="101" t="s">
        <v>300</v>
      </c>
      <c r="B8" s="59" t="s">
        <v>357</v>
      </c>
      <c r="C8" s="59">
        <v>14</v>
      </c>
      <c r="D8" s="44"/>
      <c r="E8" s="44"/>
      <c r="F8" s="44"/>
      <c r="G8" s="44"/>
      <c r="H8" s="44"/>
      <c r="I8" s="4">
        <f t="shared" si="9"/>
        <v>84.6410882873285</v>
      </c>
      <c r="J8" s="4">
        <f>I8*V8</f>
        <v>347.02846197804683</v>
      </c>
      <c r="K8" s="4">
        <f>I8*X8</f>
        <v>2.5984814104209852</v>
      </c>
      <c r="L8" s="7">
        <f>((D$2+D$3+D$4)*AA8)</f>
        <v>34.964247433504084</v>
      </c>
      <c r="M8" s="4">
        <f t="shared" si="10"/>
        <v>27.146241707372571</v>
      </c>
      <c r="N8" s="4">
        <f t="shared" si="10"/>
        <v>184.34204883345504</v>
      </c>
      <c r="O8" s="4">
        <f t="shared" ref="O8:O12" si="12">M8*AH8</f>
        <v>1.1705125842535893</v>
      </c>
      <c r="Q8" s="45"/>
      <c r="R8" s="45"/>
      <c r="S8" s="44"/>
      <c r="T8" s="45"/>
      <c r="U8" s="45"/>
      <c r="V8" s="63">
        <v>4.0999999999999996</v>
      </c>
      <c r="W8" s="43">
        <f t="shared" si="11"/>
        <v>0.2088966216572182</v>
      </c>
      <c r="X8" s="237">
        <v>3.0700000000000002E-2</v>
      </c>
      <c r="Y8" s="237">
        <v>0.77639999999999998</v>
      </c>
      <c r="Z8" s="63">
        <v>6.7907024044286066</v>
      </c>
      <c r="AA8" s="43">
        <f t="shared" ref="AA8:AA12" si="13">(AG8/SUM(AG$7:AG$27))*0.98</f>
        <v>5.4020671263588824E-2</v>
      </c>
      <c r="AB8" s="17">
        <v>1.6834405145425353E-2</v>
      </c>
      <c r="AC8" s="43">
        <f t="shared" ref="AC8:AC12" si="14">(AH8/SUM(AH$7:AH$27))*0.98</f>
        <v>7.2918942853203925E-2</v>
      </c>
      <c r="AE8" s="47"/>
      <c r="AF8" s="61">
        <v>0.20899999999999999</v>
      </c>
      <c r="AG8" s="61">
        <v>5.3999999999999999E-2</v>
      </c>
      <c r="AH8" s="61">
        <v>4.3118771168080078E-2</v>
      </c>
    </row>
    <row r="9" spans="1:34" x14ac:dyDescent="0.3">
      <c r="A9" s="101" t="s">
        <v>638</v>
      </c>
      <c r="B9" s="59" t="s">
        <v>357</v>
      </c>
      <c r="C9" s="59">
        <v>14</v>
      </c>
      <c r="D9" s="44"/>
      <c r="E9" s="44"/>
      <c r="F9" s="44"/>
      <c r="G9" s="44"/>
      <c r="H9" s="44"/>
      <c r="I9" s="4">
        <f t="shared" si="9"/>
        <v>135.26374874625702</v>
      </c>
      <c r="J9" s="4">
        <f>I9*V9</f>
        <v>539.70235749756557</v>
      </c>
      <c r="K9" s="4">
        <f>I9*X9</f>
        <v>4.0308597126384589</v>
      </c>
      <c r="L9" s="7">
        <f>((D$2+D$3+D$4)*AA9)</f>
        <v>26.546928606919771</v>
      </c>
      <c r="M9" s="4">
        <f t="shared" si="10"/>
        <v>16.910393522607894</v>
      </c>
      <c r="N9" s="4">
        <f t="shared" si="10"/>
        <v>121.46152732935231</v>
      </c>
      <c r="O9" s="4">
        <f t="shared" si="12"/>
        <v>0.60732872444969388</v>
      </c>
      <c r="Q9" s="45"/>
      <c r="R9" s="45"/>
      <c r="S9" s="44"/>
      <c r="T9" s="45"/>
      <c r="U9" s="45"/>
      <c r="V9" s="63">
        <v>3.99</v>
      </c>
      <c r="W9" s="43">
        <f t="shared" si="11"/>
        <v>0.33383479250483677</v>
      </c>
      <c r="X9" s="237">
        <v>2.98E-2</v>
      </c>
      <c r="Y9" s="237">
        <v>0.63700000000000001</v>
      </c>
      <c r="Z9" s="63">
        <v>7.1826552804325692</v>
      </c>
      <c r="AA9" s="43">
        <f t="shared" si="13"/>
        <v>4.101569484828041E-2</v>
      </c>
      <c r="AB9" s="17">
        <v>3.4364046000666143E-2</v>
      </c>
      <c r="AC9" s="43">
        <f t="shared" si="14"/>
        <v>6.0735707696584297E-2</v>
      </c>
      <c r="AE9" s="47"/>
      <c r="AF9" s="61">
        <v>0.33400000000000002</v>
      </c>
      <c r="AG9" s="61">
        <v>4.1000000000000002E-2</v>
      </c>
      <c r="AH9" s="61">
        <v>3.591452343422654E-2</v>
      </c>
    </row>
    <row r="10" spans="1:34" x14ac:dyDescent="0.3">
      <c r="A10" s="101" t="s">
        <v>750</v>
      </c>
      <c r="B10" s="59" t="s">
        <v>357</v>
      </c>
      <c r="C10" s="59">
        <v>14</v>
      </c>
      <c r="D10" s="44"/>
      <c r="E10" s="44"/>
      <c r="F10" s="44"/>
      <c r="G10" s="44"/>
      <c r="H10" s="44"/>
      <c r="I10" s="4">
        <f t="shared" si="9"/>
        <v>14.579326212171415</v>
      </c>
      <c r="J10" s="4">
        <f t="shared" ref="J10:J12" si="15">I10*V10</f>
        <v>55.6930261304948</v>
      </c>
      <c r="K10" s="4">
        <f t="shared" ref="K10:K12" si="16">I10*X10</f>
        <v>0.27846513065247402</v>
      </c>
      <c r="L10" s="7">
        <f t="shared" ref="L10:L12" si="17">((D$2+D$3+D$4)*AA10)</f>
        <v>8.4173188265843155</v>
      </c>
      <c r="M10" s="4">
        <f t="shared" ref="M10:N10" si="18">L10*Y10</f>
        <v>5.7254602658426519</v>
      </c>
      <c r="N10" s="4">
        <f t="shared" si="18"/>
        <v>40.543552180190538</v>
      </c>
      <c r="O10" s="4">
        <f t="shared" si="12"/>
        <v>3.2158280531580839E-2</v>
      </c>
      <c r="Q10" s="45"/>
      <c r="R10" s="45"/>
      <c r="S10" s="44"/>
      <c r="T10" s="45"/>
      <c r="U10" s="45"/>
      <c r="V10" s="63">
        <v>3.82</v>
      </c>
      <c r="W10" s="43">
        <f t="shared" si="11"/>
        <v>3.5982193204114138E-2</v>
      </c>
      <c r="X10" s="237">
        <v>1.9099999999999999E-2</v>
      </c>
      <c r="Y10" s="237">
        <v>0.68020000000000003</v>
      </c>
      <c r="Z10" s="63">
        <v>7.0812738710402154</v>
      </c>
      <c r="AA10" s="43">
        <f t="shared" si="13"/>
        <v>1.3004976415308419E-2</v>
      </c>
      <c r="AB10" s="17">
        <v>9.0147436135723479E-3</v>
      </c>
      <c r="AC10" s="43">
        <f t="shared" si="14"/>
        <v>9.4985300870126209E-3</v>
      </c>
      <c r="AE10" s="47"/>
      <c r="AF10" s="61">
        <v>3.5999999999999997E-2</v>
      </c>
      <c r="AG10" s="61">
        <v>1.2999999999999999E-2</v>
      </c>
      <c r="AH10" s="61">
        <v>5.6167153448663226E-3</v>
      </c>
    </row>
    <row r="11" spans="1:34" x14ac:dyDescent="0.3">
      <c r="A11" s="101"/>
      <c r="B11" s="59" t="s">
        <v>357</v>
      </c>
      <c r="C11" s="59">
        <v>14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4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5.6836923515051971E-3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59">
        <v>14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4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5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5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6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584</v>
      </c>
      <c r="B15" s="59" t="s">
        <v>358</v>
      </c>
      <c r="C15" s="59">
        <v>14</v>
      </c>
      <c r="D15" s="44"/>
      <c r="E15" s="44"/>
      <c r="F15" s="44"/>
      <c r="G15" s="44"/>
      <c r="H15" s="44"/>
      <c r="I15" s="4">
        <f t="shared" ref="I15:I22" si="21">D$37*W15</f>
        <v>0.24987634169523712</v>
      </c>
      <c r="J15" s="4">
        <f t="shared" ref="J15:J22" si="22">I15*V15</f>
        <v>1.1244435376285671</v>
      </c>
      <c r="K15" s="4">
        <f t="shared" ref="K15:K22" si="23">I15*X15</f>
        <v>0</v>
      </c>
      <c r="L15" s="7">
        <f t="shared" ref="L15:L20" si="24">((D$2+D$3+D$4)*AA15)</f>
        <v>119.39568732054308</v>
      </c>
      <c r="M15" s="4">
        <f t="shared" ref="M15:N19" si="25">L15*Y15</f>
        <v>71.219527486703953</v>
      </c>
      <c r="N15" s="4">
        <f t="shared" si="25"/>
        <v>962.17581634537044</v>
      </c>
      <c r="O15" s="4">
        <f t="shared" ref="O15:O22" si="26">M15*AH15</f>
        <v>6.2673184188299471</v>
      </c>
      <c r="Q15" s="45"/>
      <c r="R15" s="45"/>
      <c r="S15" s="44"/>
      <c r="T15" s="45"/>
      <c r="U15" s="45"/>
      <c r="V15" s="63">
        <v>4.5</v>
      </c>
      <c r="W15" s="43">
        <f t="shared" ref="W15:W22" si="27">(AF15/SUM(AF$2:AF$22))*0.98</f>
        <v>6.1670194309179584E-4</v>
      </c>
      <c r="X15" s="237">
        <v>0</v>
      </c>
      <c r="Y15" s="237">
        <v>0.59650000000000003</v>
      </c>
      <c r="Z15" s="63">
        <v>13.51</v>
      </c>
      <c r="AA15" s="43">
        <f t="shared" ref="AA15:AA22" si="28">(AG15/SUM(AG$7:AG$27))*0.98</f>
        <v>0.18446944088528611</v>
      </c>
      <c r="AB15" s="17">
        <v>0.20587017634578869</v>
      </c>
      <c r="AC15" s="43">
        <f t="shared" ref="AC15:AC22" si="29">(AH15/SUM(AH$7:AH$27))*0.98</f>
        <v>0.14881841010887195</v>
      </c>
      <c r="AE15" s="47"/>
      <c r="AF15" s="61">
        <v>6.1700713531731566E-4</v>
      </c>
      <c r="AG15" s="61">
        <v>0.18439885278729642</v>
      </c>
      <c r="AH15" s="61">
        <v>8.7999999999999995E-2</v>
      </c>
    </row>
    <row r="16" spans="1:34" x14ac:dyDescent="0.3">
      <c r="A16" s="66" t="s">
        <v>215</v>
      </c>
      <c r="B16" s="59" t="s">
        <v>358</v>
      </c>
      <c r="C16" s="59">
        <v>14</v>
      </c>
      <c r="D16" s="44"/>
      <c r="E16" s="44"/>
      <c r="F16" s="44"/>
      <c r="G16" s="44"/>
      <c r="H16" s="44"/>
      <c r="I16" s="4">
        <f t="shared" si="21"/>
        <v>0</v>
      </c>
      <c r="J16" s="4">
        <f t="shared" si="22"/>
        <v>0</v>
      </c>
      <c r="K16" s="4">
        <f t="shared" si="23"/>
        <v>0</v>
      </c>
      <c r="L16" s="7">
        <f t="shared" si="24"/>
        <v>50.503912959505897</v>
      </c>
      <c r="M16" s="4">
        <f t="shared" si="25"/>
        <v>27.105450085366812</v>
      </c>
      <c r="N16" s="4">
        <f t="shared" si="25"/>
        <v>359.41826813196394</v>
      </c>
      <c r="O16" s="4">
        <f t="shared" si="26"/>
        <v>1.9786978562317772</v>
      </c>
      <c r="Q16" s="45"/>
      <c r="R16" s="45"/>
      <c r="S16" s="44"/>
      <c r="T16" s="45"/>
      <c r="U16" s="45"/>
      <c r="V16" s="63">
        <v>0</v>
      </c>
      <c r="W16" s="43">
        <f t="shared" si="27"/>
        <v>0</v>
      </c>
      <c r="X16" s="237">
        <v>0</v>
      </c>
      <c r="Y16" s="237">
        <v>0.53669999999999995</v>
      </c>
      <c r="Z16" s="63">
        <v>13.26</v>
      </c>
      <c r="AA16" s="43">
        <f t="shared" si="28"/>
        <v>7.8029858491850526E-2</v>
      </c>
      <c r="AB16" s="17">
        <v>0.15289666611219216</v>
      </c>
      <c r="AC16" s="43">
        <f t="shared" si="29"/>
        <v>0.12345163565849605</v>
      </c>
      <c r="AE16" s="47"/>
      <c r="AF16" s="61">
        <v>0</v>
      </c>
      <c r="AG16" s="61">
        <v>7.8E-2</v>
      </c>
      <c r="AH16" s="61">
        <v>7.2999999999999995E-2</v>
      </c>
    </row>
    <row r="17" spans="1:34" x14ac:dyDescent="0.3">
      <c r="A17" s="58" t="s">
        <v>245</v>
      </c>
      <c r="B17" s="59" t="s">
        <v>358</v>
      </c>
      <c r="C17" s="59">
        <v>14</v>
      </c>
      <c r="D17" s="44"/>
      <c r="E17" s="44"/>
      <c r="F17" s="44"/>
      <c r="G17" s="44"/>
      <c r="H17" s="44"/>
      <c r="I17" s="4">
        <f t="shared" si="21"/>
        <v>0.12493817084761856</v>
      </c>
      <c r="J17" s="4">
        <f t="shared" si="22"/>
        <v>0.74962902508571139</v>
      </c>
      <c r="K17" s="4">
        <f t="shared" si="23"/>
        <v>0</v>
      </c>
      <c r="L17" s="7">
        <f t="shared" si="24"/>
        <v>60.216203913257033</v>
      </c>
      <c r="M17" s="4">
        <f t="shared" si="25"/>
        <v>36.012762874678984</v>
      </c>
      <c r="N17" s="4">
        <f t="shared" si="25"/>
        <v>405.14358234013855</v>
      </c>
      <c r="O17" s="4">
        <f t="shared" si="26"/>
        <v>1.7646253808592702</v>
      </c>
      <c r="Q17" s="45"/>
      <c r="R17" s="45"/>
      <c r="S17" s="44"/>
      <c r="T17" s="45"/>
      <c r="U17" s="45"/>
      <c r="V17" s="63">
        <v>6</v>
      </c>
      <c r="W17" s="43">
        <f t="shared" si="27"/>
        <v>3.0835097154589792E-4</v>
      </c>
      <c r="X17" s="237">
        <v>0</v>
      </c>
      <c r="Y17" s="237">
        <v>0.59805767441860469</v>
      </c>
      <c r="Z17" s="63">
        <v>11.25</v>
      </c>
      <c r="AA17" s="43">
        <f t="shared" si="28"/>
        <v>9.3035600509514094E-2</v>
      </c>
      <c r="AB17" s="17">
        <v>0.10227292908389216</v>
      </c>
      <c r="AC17" s="43">
        <f t="shared" si="29"/>
        <v>8.2864796537894622E-2</v>
      </c>
      <c r="AE17" s="47"/>
      <c r="AF17" s="61">
        <v>3.0850356765865783E-4</v>
      </c>
      <c r="AG17" s="61">
        <v>9.2999999999999999E-2</v>
      </c>
      <c r="AH17" s="61">
        <v>4.9000000000000002E-2</v>
      </c>
    </row>
    <row r="18" spans="1:34" x14ac:dyDescent="0.3">
      <c r="A18" s="77" t="s">
        <v>585</v>
      </c>
      <c r="B18" s="59" t="s">
        <v>358</v>
      </c>
      <c r="C18" s="59">
        <v>14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27.841900734086583</v>
      </c>
      <c r="M18" s="4">
        <f t="shared" si="25"/>
        <v>14.830679606064409</v>
      </c>
      <c r="N18" s="4">
        <f t="shared" si="25"/>
        <v>189.18620223463469</v>
      </c>
      <c r="O18" s="4">
        <f t="shared" si="26"/>
        <v>0.55781150771439203</v>
      </c>
      <c r="Q18" s="45"/>
      <c r="R18" s="45"/>
      <c r="S18" s="44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0.53267482517482523</v>
      </c>
      <c r="Z18" s="63">
        <v>12.756408152548492</v>
      </c>
      <c r="AA18" s="43">
        <f t="shared" si="28"/>
        <v>4.3016460450635542E-2</v>
      </c>
      <c r="AB18" s="17">
        <v>4.4906581143286987E-2</v>
      </c>
      <c r="AC18" s="43">
        <f t="shared" si="29"/>
        <v>6.3606339821087612E-2</v>
      </c>
      <c r="AE18" s="47"/>
      <c r="AF18" s="61">
        <v>0</v>
      </c>
      <c r="AG18" s="61">
        <v>4.2999999999999997E-2</v>
      </c>
      <c r="AH18" s="61">
        <v>3.7611999081033173E-2</v>
      </c>
    </row>
    <row r="19" spans="1:34" x14ac:dyDescent="0.3">
      <c r="A19" s="58" t="s">
        <v>203</v>
      </c>
      <c r="B19" s="59" t="s">
        <v>358</v>
      </c>
      <c r="C19" s="59">
        <v>14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30.43184498842022</v>
      </c>
      <c r="M19" s="4">
        <f t="shared" si="25"/>
        <v>16.4207920091049</v>
      </c>
      <c r="N19" s="4">
        <f t="shared" si="25"/>
        <v>193.61558464419318</v>
      </c>
      <c r="O19" s="4">
        <f t="shared" si="26"/>
        <v>0.55830692830956663</v>
      </c>
      <c r="Q19" s="45"/>
      <c r="R19" s="45"/>
      <c r="S19" s="44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0.53959239130434788</v>
      </c>
      <c r="Z19" s="63">
        <v>11.790879790502089</v>
      </c>
      <c r="AA19" s="43">
        <f t="shared" si="28"/>
        <v>4.7017991655345828E-2</v>
      </c>
      <c r="AB19" s="17">
        <v>2.1429158079693849E-2</v>
      </c>
      <c r="AC19" s="43">
        <f t="shared" si="29"/>
        <v>5.7498022087518717E-2</v>
      </c>
      <c r="AE19" s="47"/>
      <c r="AF19" s="61">
        <v>0</v>
      </c>
      <c r="AG19" s="61">
        <v>4.7E-2</v>
      </c>
      <c r="AH19" s="61">
        <v>3.4000000000000002E-2</v>
      </c>
    </row>
    <row r="20" spans="1:34" x14ac:dyDescent="0.3">
      <c r="A20" s="58" t="s">
        <v>253</v>
      </c>
      <c r="B20" s="59" t="s">
        <v>358</v>
      </c>
      <c r="C20" s="59">
        <v>14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34.463187500567322</v>
      </c>
      <c r="M20" s="4">
        <f t="shared" ref="M20:N20" si="30">L20*Y20</f>
        <v>19.916276056577853</v>
      </c>
      <c r="N20" s="4">
        <f t="shared" si="30"/>
        <v>221.99221619159692</v>
      </c>
      <c r="O20" s="4">
        <f t="shared" si="26"/>
        <v>0.69706966198022491</v>
      </c>
      <c r="Q20" s="45"/>
      <c r="R20" s="45"/>
      <c r="S20" s="44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0.57789999999999997</v>
      </c>
      <c r="Z20" s="63">
        <v>11.146271298959947</v>
      </c>
      <c r="AA20" s="43">
        <f t="shared" si="28"/>
        <v>5.3246520640956078E-2</v>
      </c>
      <c r="AB20" s="17">
        <v>1.115758719853931E-2</v>
      </c>
      <c r="AC20" s="43">
        <f t="shared" si="29"/>
        <v>5.9189140384210449E-2</v>
      </c>
      <c r="AE20" s="47"/>
      <c r="AF20" s="61">
        <v>0</v>
      </c>
      <c r="AG20" s="61">
        <v>5.3226145609739109E-2</v>
      </c>
      <c r="AH20" s="61">
        <v>3.5000000000000003E-2</v>
      </c>
    </row>
    <row r="21" spans="1:34" x14ac:dyDescent="0.3">
      <c r="B21" s="59" t="s">
        <v>358</v>
      </c>
      <c r="C21" s="59">
        <v>14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4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/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59">
        <v>14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4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6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66" t="s">
        <v>280</v>
      </c>
      <c r="B24" s="59" t="s">
        <v>10</v>
      </c>
      <c r="C24" s="59">
        <v>14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135.32458728893246</v>
      </c>
      <c r="M24" s="4">
        <f t="shared" ref="M24:N27" si="34">L24*Y24</f>
        <v>82.953972008115599</v>
      </c>
      <c r="N24" s="4">
        <f t="shared" si="34"/>
        <v>1214.6307347246861</v>
      </c>
      <c r="O24" s="4">
        <f t="shared" ref="O24:O27" si="35">M24*AH24</f>
        <v>5.8067780405680924</v>
      </c>
      <c r="Q24" s="45"/>
      <c r="R24" s="45"/>
      <c r="S24" s="44"/>
      <c r="T24" s="45"/>
      <c r="U24" s="45"/>
      <c r="V24" s="46"/>
      <c r="W24" s="46"/>
      <c r="X24" s="45"/>
      <c r="Y24" s="237">
        <v>0.61299999999999999</v>
      </c>
      <c r="Z24" s="236">
        <v>14.642225143913009</v>
      </c>
      <c r="AA24" s="43">
        <f t="shared" ref="AA24:AA27" si="36">(AG24/SUM(AG$7:AG$27))*0.98</f>
        <v>0.2090800054461123</v>
      </c>
      <c r="AB24" s="17">
        <v>0.15309603149915491</v>
      </c>
      <c r="AC24" s="43">
        <f t="shared" ref="AC24:AC27" si="37">(AH24/SUM(AH$7:AH$27))*0.98</f>
        <v>0.1183782807684209</v>
      </c>
      <c r="AE24" s="47"/>
      <c r="AF24" s="47"/>
      <c r="AG24" s="61">
        <v>0.20899999999999999</v>
      </c>
      <c r="AH24" s="61">
        <v>7.0000000000000007E-2</v>
      </c>
    </row>
    <row r="25" spans="1:34" x14ac:dyDescent="0.3">
      <c r="A25" s="66" t="s">
        <v>188</v>
      </c>
      <c r="B25" s="59" t="s">
        <v>10</v>
      </c>
      <c r="C25" s="59">
        <v>14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38.849163815004538</v>
      </c>
      <c r="M25" s="4">
        <f t="shared" si="34"/>
        <v>24.513822367267863</v>
      </c>
      <c r="N25" s="4">
        <f t="shared" si="34"/>
        <v>214.4810319290321</v>
      </c>
      <c r="O25" s="4">
        <f t="shared" si="35"/>
        <v>1.0786081841597859</v>
      </c>
      <c r="Q25" s="45"/>
      <c r="R25" s="45"/>
      <c r="S25" s="44"/>
      <c r="T25" s="45"/>
      <c r="U25" s="45"/>
      <c r="V25" s="46"/>
      <c r="W25" s="46"/>
      <c r="X25" s="45"/>
      <c r="Y25" s="237">
        <v>0.63100000000000001</v>
      </c>
      <c r="Z25" s="236">
        <v>8.7493916173357924</v>
      </c>
      <c r="AA25" s="43">
        <f t="shared" si="36"/>
        <v>6.0022968070654249E-2</v>
      </c>
      <c r="AB25" s="17">
        <v>9.595419253822994E-2</v>
      </c>
      <c r="AC25" s="43">
        <f t="shared" si="37"/>
        <v>7.4409205054435976E-2</v>
      </c>
      <c r="AE25" s="47"/>
      <c r="AF25" s="47"/>
      <c r="AG25" s="61">
        <v>0.06</v>
      </c>
      <c r="AH25" s="61">
        <v>4.3999999999999997E-2</v>
      </c>
    </row>
    <row r="26" spans="1:34" x14ac:dyDescent="0.3">
      <c r="A26" s="66"/>
      <c r="B26" s="59" t="s">
        <v>10</v>
      </c>
      <c r="C26" s="59">
        <v>14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0</v>
      </c>
      <c r="M26" s="4">
        <f t="shared" si="34"/>
        <v>0</v>
      </c>
      <c r="N26" s="4">
        <f t="shared" si="34"/>
        <v>0</v>
      </c>
      <c r="O26" s="4">
        <f t="shared" si="35"/>
        <v>0</v>
      </c>
      <c r="Q26" s="45"/>
      <c r="R26" s="45"/>
      <c r="S26" s="44"/>
      <c r="T26" s="45"/>
      <c r="U26" s="45"/>
      <c r="V26" s="46"/>
      <c r="W26" s="46"/>
      <c r="X26" s="45"/>
      <c r="Y26" s="237">
        <v>0</v>
      </c>
      <c r="Z26" s="236">
        <v>0</v>
      </c>
      <c r="AA26" s="43">
        <f t="shared" si="36"/>
        <v>0</v>
      </c>
      <c r="AB26" s="17">
        <v>8.8918704301745796E-3</v>
      </c>
      <c r="AC26" s="43">
        <f t="shared" si="37"/>
        <v>0</v>
      </c>
      <c r="AE26" s="47"/>
      <c r="AF26" s="47"/>
      <c r="AG26" s="61">
        <v>0</v>
      </c>
      <c r="AH26" s="61">
        <v>0</v>
      </c>
    </row>
    <row r="27" spans="1:34" x14ac:dyDescent="0.3">
      <c r="A27" s="66"/>
      <c r="B27" s="59" t="s">
        <v>10</v>
      </c>
      <c r="C27" s="59">
        <v>14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0</v>
      </c>
      <c r="M27" s="4">
        <f t="shared" si="34"/>
        <v>0</v>
      </c>
      <c r="N27" s="4">
        <f t="shared" si="34"/>
        <v>0</v>
      </c>
      <c r="O27" s="4">
        <f t="shared" si="35"/>
        <v>0</v>
      </c>
      <c r="Q27" s="45"/>
      <c r="R27" s="45"/>
      <c r="S27" s="44"/>
      <c r="T27" s="45"/>
      <c r="U27" s="45"/>
      <c r="V27" s="46"/>
      <c r="W27" s="46"/>
      <c r="X27" s="45"/>
      <c r="Y27" s="237">
        <v>0</v>
      </c>
      <c r="Z27" s="236">
        <v>0</v>
      </c>
      <c r="AA27" s="43">
        <f t="shared" si="36"/>
        <v>0</v>
      </c>
      <c r="AB27" s="17">
        <v>1.0212053385428152E-2</v>
      </c>
      <c r="AC27" s="43">
        <f t="shared" si="37"/>
        <v>0</v>
      </c>
      <c r="AE27" s="47"/>
      <c r="AF27" s="47"/>
      <c r="AG27" s="61">
        <v>0</v>
      </c>
      <c r="AH27" s="61">
        <v>0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0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1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1"/>
      <c r="T30" s="83"/>
      <c r="U30" s="83"/>
      <c r="V30" s="84"/>
      <c r="W30" s="28">
        <f>SUM(W2:W4,W7:W27)</f>
        <v>0.98</v>
      </c>
      <c r="X30" s="83"/>
      <c r="Y30" s="83"/>
      <c r="Z30" s="84"/>
      <c r="AA30" s="28">
        <f>SUM(AA7:AA27)</f>
        <v>0.97999999999999965</v>
      </c>
      <c r="AB30" s="28">
        <f t="shared" ref="AB30" si="38">SUM(AB2:AB4,AB7:AB12,AB15:AB22,AB24:AB27)</f>
        <v>0.97500000000000009</v>
      </c>
      <c r="AC30" s="28">
        <f>SUM(AC7:AC27)</f>
        <v>0.97999999999999976</v>
      </c>
      <c r="AD30" s="89"/>
      <c r="AE30" s="28">
        <f>SUM(AE2:AE4,AE7:AE27)</f>
        <v>1</v>
      </c>
      <c r="AF30" s="28">
        <f>SUM(AF2:AF4,AF7:AF27)</f>
        <v>0.98048498044210786</v>
      </c>
      <c r="AG30" s="28">
        <f>SUM(AG7:AG27)</f>
        <v>0.97962499839703576</v>
      </c>
    </row>
    <row r="31" spans="1:34" s="86" customFormat="1" x14ac:dyDescent="0.3">
      <c r="A31" s="102"/>
      <c r="B31" s="80"/>
      <c r="C31" s="80"/>
      <c r="D31" s="105">
        <v>1052.42</v>
      </c>
      <c r="E31" s="106">
        <v>0.61499999999999999</v>
      </c>
      <c r="F31" s="8">
        <f>1-E31</f>
        <v>0.38500000000000001</v>
      </c>
      <c r="G31" s="234">
        <v>4.09</v>
      </c>
      <c r="H31" s="275">
        <v>3.2616791354945968E-2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1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1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1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647.23829999999998</v>
      </c>
      <c r="E34" s="2">
        <f>SUM(E2:E4)</f>
        <v>402.94347610687919</v>
      </c>
      <c r="F34" s="2">
        <f>SUM(F2:F4)</f>
        <v>4613.2836079494591</v>
      </c>
      <c r="G34" s="2">
        <f>SUM(G2:G4)</f>
        <v>23.821894352685572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1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1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1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405.18170000000003</v>
      </c>
      <c r="E37" s="2">
        <f>D37*G31</f>
        <v>1657.1931530000002</v>
      </c>
      <c r="F37" s="2">
        <f>D37*H31</f>
        <v>13.215726969742311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1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1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6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397.07806599999998</v>
      </c>
      <c r="E40" s="3">
        <f>SUM(J2:J4,J7:J12,J15:J22)</f>
        <v>1655.373122179024</v>
      </c>
      <c r="F40" s="3">
        <f>SUM(K2:K4,K7:K12,K15:K22)</f>
        <v>12.99115277483639</v>
      </c>
      <c r="G40" s="3">
        <f>SUM(L7:L12,L15:L22,L24:L27)</f>
        <v>634.2935339999998</v>
      </c>
      <c r="H40" s="3">
        <f>SUM(M7:M12,M15:M22,M24:M27)</f>
        <v>393.62291912251783</v>
      </c>
      <c r="I40" s="3">
        <f>SUM(N7:N12,N15:N22,N24:N27)</f>
        <v>4580.971343705236</v>
      </c>
      <c r="J40" s="3">
        <f>SUM(O7:O12,O15:O22,O24:O27)</f>
        <v>23.786752386056559</v>
      </c>
    </row>
    <row r="41" spans="1:32" ht="14.4" thickTop="1" x14ac:dyDescent="0.3">
      <c r="D41" s="50">
        <f>D37-D40</f>
        <v>8.1036340000000564</v>
      </c>
      <c r="E41" s="50">
        <f>E37-E40</f>
        <v>1.8200308209761715</v>
      </c>
      <c r="F41" s="50">
        <f>F37-F40</f>
        <v>0.22457419490592123</v>
      </c>
      <c r="G41" s="50">
        <f>SUM(D2:D4)-G40</f>
        <v>12.944766000000186</v>
      </c>
      <c r="H41" s="50">
        <f>E34-H40</f>
        <v>9.3205569843613603</v>
      </c>
      <c r="I41" s="50">
        <f>F34-I40</f>
        <v>32.312264244223115</v>
      </c>
      <c r="J41" s="50">
        <f>G34-J40</f>
        <v>3.51419666290127E-2</v>
      </c>
    </row>
  </sheetData>
  <sheetProtection sheet="1" selectLockedCells="1"/>
  <conditionalFormatting sqref="AA30:AB30 AD30:AF30">
    <cfRule type="cellIs" dxfId="422" priority="14" operator="greaterThan">
      <formula>1</formula>
    </cfRule>
    <cfRule type="cellIs" dxfId="421" priority="15" operator="greaterThan">
      <formula>1</formula>
    </cfRule>
  </conditionalFormatting>
  <conditionalFormatting sqref="AC30">
    <cfRule type="cellIs" dxfId="420" priority="10" operator="greaterThan">
      <formula>1</formula>
    </cfRule>
    <cfRule type="cellIs" dxfId="419" priority="11" operator="greaterThan">
      <formula>1</formula>
    </cfRule>
  </conditionalFormatting>
  <conditionalFormatting sqref="AG30">
    <cfRule type="cellIs" dxfId="418" priority="8" operator="greaterThan">
      <formula>1</formula>
    </cfRule>
    <cfRule type="cellIs" dxfId="417" priority="9" operator="greaterThan">
      <formula>1</formula>
    </cfRule>
  </conditionalFormatting>
  <conditionalFormatting sqref="W30">
    <cfRule type="cellIs" dxfId="416" priority="2" operator="greaterThan">
      <formula>1</formula>
    </cfRule>
    <cfRule type="cellIs" dxfId="415" priority="3" operator="greaterThan">
      <formula>1</formula>
    </cfRule>
  </conditionalFormatting>
  <conditionalFormatting sqref="D41:J41">
    <cfRule type="cellIs" dxfId="414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580167"/>
  </sheetPr>
  <dimension ref="A1:AH41"/>
  <sheetViews>
    <sheetView showGridLines="0" zoomScale="85" zoomScaleNormal="85" workbookViewId="0">
      <pane xSplit="1" ySplit="1" topLeftCell="B2" activePane="bottomRight" state="frozen"/>
      <selection activeCell="AE2" sqref="AE2"/>
      <selection pane="topRight" activeCell="AE2" sqref="AE2"/>
      <selection pane="bottomLeft" activeCell="AE2" sqref="AE2"/>
      <selection pane="bottomRight" activeCell="B2" sqref="B2"/>
    </sheetView>
  </sheetViews>
  <sheetFormatPr defaultColWidth="8.6640625" defaultRowHeight="13.8" x14ac:dyDescent="0.3"/>
  <cols>
    <col min="1" max="1" width="22.6640625" style="58" customWidth="1"/>
    <col min="2" max="3" width="8.6640625" style="59"/>
    <col min="4" max="13" width="8.6640625" style="74"/>
    <col min="14" max="15" width="8.6640625" style="60"/>
    <col min="16" max="16" width="4.6640625" style="60" customWidth="1"/>
    <col min="17" max="18" width="8.6640625" style="75"/>
    <col min="19" max="19" width="8.6640625" style="76"/>
    <col min="20" max="21" width="8.6640625" style="75"/>
    <col min="22" max="23" width="8.6640625" style="76"/>
    <col min="24" max="25" width="8.6640625" style="75"/>
    <col min="26" max="26" width="8.6640625" style="76"/>
    <col min="27" max="27" width="8.6640625" style="60"/>
    <col min="28" max="28" width="0" style="60" hidden="1" customWidth="1"/>
    <col min="29" max="29" width="8.6640625" style="75"/>
    <col min="30" max="30" width="4.6640625" style="66" customWidth="1"/>
    <col min="31" max="31" width="8.6640625" style="99"/>
    <col min="32" max="32" width="8.6640625" style="60"/>
    <col min="33" max="16384" width="8.6640625" style="66"/>
  </cols>
  <sheetData>
    <row r="1" spans="1:34" s="56" customFormat="1" ht="25.5" customHeight="1" x14ac:dyDescent="0.3">
      <c r="A1" s="126" t="s">
        <v>0</v>
      </c>
      <c r="B1" s="126" t="s">
        <v>8</v>
      </c>
      <c r="C1" s="126" t="s">
        <v>174</v>
      </c>
      <c r="D1" s="30" t="s">
        <v>360</v>
      </c>
      <c r="E1" s="30" t="s">
        <v>1</v>
      </c>
      <c r="F1" s="30" t="s">
        <v>363</v>
      </c>
      <c r="G1" s="30" t="s">
        <v>410</v>
      </c>
      <c r="H1" s="30" t="s">
        <v>2</v>
      </c>
      <c r="I1" s="30" t="s">
        <v>411</v>
      </c>
      <c r="J1" s="30" t="s">
        <v>367</v>
      </c>
      <c r="K1" s="30" t="s">
        <v>412</v>
      </c>
      <c r="L1" s="30" t="s">
        <v>369</v>
      </c>
      <c r="M1" s="30" t="s">
        <v>4</v>
      </c>
      <c r="N1" s="30" t="s">
        <v>373</v>
      </c>
      <c r="O1" s="30" t="s">
        <v>413</v>
      </c>
      <c r="Q1" s="55" t="s">
        <v>463</v>
      </c>
      <c r="R1" s="135" t="s">
        <v>414</v>
      </c>
      <c r="S1" s="137" t="s">
        <v>835</v>
      </c>
      <c r="T1" s="135" t="s">
        <v>355</v>
      </c>
      <c r="U1" s="135" t="s">
        <v>359</v>
      </c>
      <c r="V1" s="137" t="s">
        <v>462</v>
      </c>
      <c r="W1" s="42" t="s">
        <v>464</v>
      </c>
      <c r="X1" s="135" t="s">
        <v>415</v>
      </c>
      <c r="Y1" s="35" t="s">
        <v>416</v>
      </c>
      <c r="Z1" s="137" t="s">
        <v>417</v>
      </c>
      <c r="AA1" s="36" t="s">
        <v>418</v>
      </c>
      <c r="AB1" s="36" t="s">
        <v>419</v>
      </c>
      <c r="AC1" s="35" t="s">
        <v>444</v>
      </c>
      <c r="AE1" s="132" t="s">
        <v>465</v>
      </c>
      <c r="AF1" s="131" t="s">
        <v>466</v>
      </c>
      <c r="AG1" s="132" t="s">
        <v>467</v>
      </c>
      <c r="AH1" s="132" t="s">
        <v>834</v>
      </c>
    </row>
    <row r="2" spans="1:34" x14ac:dyDescent="0.3">
      <c r="A2" s="58" t="s">
        <v>22</v>
      </c>
      <c r="B2" s="59" t="s">
        <v>9</v>
      </c>
      <c r="C2" s="60">
        <v>10</v>
      </c>
      <c r="D2" s="4">
        <f>D$34*Q2</f>
        <v>494.6515</v>
      </c>
      <c r="E2" s="4">
        <f>D2*R2</f>
        <v>321.06154047054855</v>
      </c>
      <c r="F2" s="4">
        <f>E2*S2</f>
        <v>3615.1529456983767</v>
      </c>
      <c r="G2" s="4">
        <f t="shared" ref="G2:G3" si="0">E2*T2</f>
        <v>30.308209420419782</v>
      </c>
      <c r="H2" s="4">
        <f>E2*U2</f>
        <v>9.4681371888136034</v>
      </c>
      <c r="I2" s="4">
        <f>D$37*W2</f>
        <v>173.58438227729116</v>
      </c>
      <c r="J2" s="4">
        <f>I2*V2</f>
        <v>1025.8836992587908</v>
      </c>
      <c r="K2" s="4">
        <f>I2*X2</f>
        <v>5.3811158505960259</v>
      </c>
      <c r="L2" s="44"/>
      <c r="M2" s="44"/>
      <c r="N2" s="44"/>
      <c r="O2" s="44"/>
      <c r="Q2" s="43">
        <f>AE2</f>
        <v>0.97</v>
      </c>
      <c r="R2" s="61">
        <v>0.64906614145625463</v>
      </c>
      <c r="S2" s="236">
        <v>11.26</v>
      </c>
      <c r="T2" s="237">
        <v>9.4399999999999998E-2</v>
      </c>
      <c r="U2" s="61">
        <v>2.9490100791695818E-2</v>
      </c>
      <c r="V2" s="236">
        <v>5.91</v>
      </c>
      <c r="W2" s="43">
        <f>(AF2/SUM(AF$2:AF$22))*0.98</f>
        <v>0.30185963355758827</v>
      </c>
      <c r="X2" s="61">
        <v>3.1E-2</v>
      </c>
      <c r="Y2" s="64"/>
      <c r="Z2" s="65"/>
      <c r="AA2" s="1"/>
      <c r="AB2" s="1"/>
      <c r="AC2" s="1"/>
      <c r="AE2" s="61">
        <v>0.97</v>
      </c>
      <c r="AF2" s="61">
        <v>0.30199999999999999</v>
      </c>
      <c r="AG2" s="47"/>
      <c r="AH2" s="47"/>
    </row>
    <row r="3" spans="1:34" x14ac:dyDescent="0.3">
      <c r="A3" s="58" t="s">
        <v>586</v>
      </c>
      <c r="B3" s="59" t="s">
        <v>9</v>
      </c>
      <c r="C3" s="60">
        <v>10</v>
      </c>
      <c r="D3" s="4">
        <f>D$34*Q3</f>
        <v>15.298500000000013</v>
      </c>
      <c r="E3" s="4">
        <f t="shared" ref="E3:E4" si="1">D3*R3</f>
        <v>9.9622404650199137</v>
      </c>
      <c r="F3" s="4">
        <f t="shared" ref="F3:F4" si="2">E3*S3</f>
        <v>101.71447514785332</v>
      </c>
      <c r="G3" s="4">
        <f t="shared" si="0"/>
        <v>0.51006671180901964</v>
      </c>
      <c r="H3" s="4">
        <f t="shared" ref="H3" si="3">E3*U3</f>
        <v>0.2004626835029093</v>
      </c>
      <c r="I3" s="4">
        <f t="shared" ref="I3:I4" si="4">D$37*W3</f>
        <v>9.7713062871322851</v>
      </c>
      <c r="J3" s="4">
        <f>I3*V3</f>
        <v>59.409542225764291</v>
      </c>
      <c r="K3" s="4">
        <f>I3*X3</f>
        <v>0.14656959430698427</v>
      </c>
      <c r="L3" s="44"/>
      <c r="M3" s="44"/>
      <c r="N3" s="44"/>
      <c r="O3" s="44"/>
      <c r="Q3" s="43">
        <f t="shared" ref="Q3:Q4" si="5">AE3</f>
        <v>3.0000000000000027E-2</v>
      </c>
      <c r="R3" s="61">
        <v>0.65119067000162789</v>
      </c>
      <c r="S3" s="236">
        <v>10.210000000000001</v>
      </c>
      <c r="T3" s="237">
        <v>5.1200000000000002E-2</v>
      </c>
      <c r="U3" s="61">
        <v>2.0122249026891824E-2</v>
      </c>
      <c r="V3" s="236">
        <v>6.08</v>
      </c>
      <c r="W3" s="43">
        <f t="shared" ref="W3:W4" si="6">(AF3/SUM(AF$2:AF$22))*0.98</f>
        <v>1.6992098577745036E-2</v>
      </c>
      <c r="X3" s="61">
        <v>1.4999999999999999E-2</v>
      </c>
      <c r="Y3" s="64"/>
      <c r="Z3" s="65"/>
      <c r="AA3" s="1"/>
      <c r="AB3" s="1"/>
      <c r="AC3" s="1"/>
      <c r="AE3" s="61">
        <f>1-AE2</f>
        <v>3.0000000000000027E-2</v>
      </c>
      <c r="AF3" s="61">
        <v>1.7000000000000001E-2</v>
      </c>
      <c r="AG3" s="47"/>
      <c r="AH3" s="47"/>
    </row>
    <row r="4" spans="1:34" x14ac:dyDescent="0.3">
      <c r="B4" s="59" t="s">
        <v>9</v>
      </c>
      <c r="C4" s="60">
        <v>10</v>
      </c>
      <c r="D4" s="4">
        <f>D$34*Q4</f>
        <v>0</v>
      </c>
      <c r="E4" s="4">
        <f t="shared" si="1"/>
        <v>0</v>
      </c>
      <c r="F4" s="4">
        <f t="shared" si="2"/>
        <v>0</v>
      </c>
      <c r="G4" s="4">
        <f t="shared" ref="G4" si="7">E4*T4</f>
        <v>0</v>
      </c>
      <c r="H4" s="4">
        <f t="shared" ref="H4" si="8">E4*U4</f>
        <v>0</v>
      </c>
      <c r="I4" s="4">
        <f t="shared" si="4"/>
        <v>0</v>
      </c>
      <c r="J4" s="4">
        <f>I4*V4</f>
        <v>0</v>
      </c>
      <c r="K4" s="4">
        <f>I4*X4</f>
        <v>0</v>
      </c>
      <c r="L4" s="44"/>
      <c r="M4" s="44"/>
      <c r="N4" s="44"/>
      <c r="O4" s="44"/>
      <c r="Q4" s="43">
        <f t="shared" si="5"/>
        <v>0</v>
      </c>
      <c r="R4" s="61"/>
      <c r="S4" s="63"/>
      <c r="T4" s="61"/>
      <c r="U4" s="61"/>
      <c r="V4" s="63"/>
      <c r="W4" s="43">
        <f t="shared" si="6"/>
        <v>0</v>
      </c>
      <c r="X4" s="61"/>
      <c r="Y4" s="64"/>
      <c r="Z4" s="65"/>
      <c r="AA4" s="1"/>
      <c r="AB4" s="1"/>
      <c r="AC4" s="1"/>
      <c r="AE4" s="49"/>
      <c r="AF4" s="61"/>
      <c r="AG4" s="47"/>
      <c r="AH4" s="47"/>
    </row>
    <row r="5" spans="1:34" s="73" customFormat="1" x14ac:dyDescent="0.3">
      <c r="A5" s="100"/>
      <c r="B5" s="68"/>
      <c r="C5" s="6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9"/>
      <c r="Q5" s="12"/>
      <c r="R5" s="71"/>
      <c r="S5" s="72"/>
      <c r="T5" s="71"/>
      <c r="U5" s="71"/>
      <c r="V5" s="72"/>
      <c r="W5" s="23"/>
      <c r="X5" s="71"/>
      <c r="Y5" s="71"/>
      <c r="Z5" s="72"/>
      <c r="AA5" s="20"/>
      <c r="AB5" s="20"/>
      <c r="AC5" s="12"/>
      <c r="AF5" s="72"/>
    </row>
    <row r="6" spans="1:34" x14ac:dyDescent="0.3">
      <c r="C6" s="6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11"/>
      <c r="W6" s="18"/>
      <c r="AA6" s="16"/>
      <c r="AB6" s="16"/>
      <c r="AC6" s="11"/>
      <c r="AE6" s="66"/>
      <c r="AF6" s="76"/>
    </row>
    <row r="7" spans="1:34" x14ac:dyDescent="0.3">
      <c r="A7" s="66" t="s">
        <v>587</v>
      </c>
      <c r="B7" s="59" t="s">
        <v>357</v>
      </c>
      <c r="C7" s="60">
        <v>10</v>
      </c>
      <c r="D7" s="44"/>
      <c r="E7" s="44"/>
      <c r="F7" s="44"/>
      <c r="G7" s="44"/>
      <c r="H7" s="44"/>
      <c r="I7" s="4">
        <f t="shared" ref="I7:I12" si="9">D$37*W7</f>
        <v>212.09482470304781</v>
      </c>
      <c r="J7" s="4">
        <f>I7*V7</f>
        <v>1047.7484340330564</v>
      </c>
      <c r="K7" s="4">
        <f>I7*X7</f>
        <v>10.350227445508734</v>
      </c>
      <c r="L7" s="7">
        <f>((D$2+D$3+D$4)*AA7)</f>
        <v>42.037810989016307</v>
      </c>
      <c r="M7" s="4">
        <f t="shared" ref="M7:N9" si="10">L7*Y7</f>
        <v>30.775881425058838</v>
      </c>
      <c r="N7" s="4">
        <f t="shared" si="10"/>
        <v>249.28463954297658</v>
      </c>
      <c r="O7" s="4">
        <f>M7*AH7</f>
        <v>1.4156905455527065</v>
      </c>
      <c r="Q7" s="45"/>
      <c r="R7" s="45"/>
      <c r="S7" s="46"/>
      <c r="T7" s="45"/>
      <c r="U7" s="45"/>
      <c r="V7" s="63">
        <v>4.9400000000000004</v>
      </c>
      <c r="W7" s="43">
        <f t="shared" ref="W7:W12" si="11">(AF7/SUM(AF$2:AF$22))*0.98</f>
        <v>0.36882849265811285</v>
      </c>
      <c r="X7" s="237">
        <v>4.8800000000000003E-2</v>
      </c>
      <c r="Y7" s="237">
        <v>0.73209999999999997</v>
      </c>
      <c r="Z7" s="63">
        <v>8.1</v>
      </c>
      <c r="AA7" s="43">
        <f>(AG7/SUM(AG$7:AG$27))*0.98</f>
        <v>8.2435162249272095E-2</v>
      </c>
      <c r="AB7" s="17">
        <v>7.4425001523669182E-2</v>
      </c>
      <c r="AC7" s="43">
        <f>(AH7/SUM(AH$7:AH$27))*0.98</f>
        <v>4.4220637727796046E-2</v>
      </c>
      <c r="AE7" s="47"/>
      <c r="AF7" s="61">
        <v>0.36899999999999999</v>
      </c>
      <c r="AG7" s="61">
        <v>8.2430126416205007E-2</v>
      </c>
      <c r="AH7" s="61">
        <v>4.5999999999999999E-2</v>
      </c>
    </row>
    <row r="8" spans="1:34" x14ac:dyDescent="0.3">
      <c r="A8" s="101" t="s">
        <v>23</v>
      </c>
      <c r="B8" s="59" t="s">
        <v>357</v>
      </c>
      <c r="C8" s="60">
        <v>10</v>
      </c>
      <c r="D8" s="44"/>
      <c r="E8" s="44"/>
      <c r="F8" s="44"/>
      <c r="G8" s="44"/>
      <c r="H8" s="44"/>
      <c r="I8" s="4">
        <f t="shared" si="9"/>
        <v>128.75132990103714</v>
      </c>
      <c r="J8" s="4">
        <f>I8*V8</f>
        <v>623.15643672101976</v>
      </c>
      <c r="K8" s="4">
        <f>I8*X8</f>
        <v>6.0513125053487453</v>
      </c>
      <c r="L8" s="7">
        <f>((D$2+D$3+D$4)*AA8)</f>
        <v>19.470006810744145</v>
      </c>
      <c r="M8" s="4">
        <f t="shared" si="10"/>
        <v>14.485685067193645</v>
      </c>
      <c r="N8" s="4">
        <f t="shared" si="10"/>
        <v>118.63776070031594</v>
      </c>
      <c r="O8" s="4">
        <f t="shared" ref="O8:O12" si="12">M8*AH8</f>
        <v>0.86914110403161859</v>
      </c>
      <c r="Q8" s="45"/>
      <c r="R8" s="45"/>
      <c r="S8" s="46"/>
      <c r="T8" s="45"/>
      <c r="U8" s="45"/>
      <c r="V8" s="63">
        <v>4.84</v>
      </c>
      <c r="W8" s="43">
        <f t="shared" si="11"/>
        <v>0.22389588714205222</v>
      </c>
      <c r="X8" s="237">
        <v>4.7E-2</v>
      </c>
      <c r="Y8" s="237">
        <v>0.74399999999999999</v>
      </c>
      <c r="Z8" s="63">
        <v>8.19</v>
      </c>
      <c r="AA8" s="43">
        <f t="shared" ref="AA8:AA12" si="13">(AG8/SUM(AG$7:AG$27))*0.98</f>
        <v>3.8180227102155399E-2</v>
      </c>
      <c r="AB8" s="17">
        <v>2.7655430004005315E-2</v>
      </c>
      <c r="AC8" s="43">
        <f t="shared" ref="AC8:AC12" si="14">(AH8/SUM(AH$7:AH$27))*0.98</f>
        <v>5.767909268842962E-2</v>
      </c>
      <c r="AE8" s="47"/>
      <c r="AF8" s="61">
        <v>0.224</v>
      </c>
      <c r="AG8" s="61">
        <v>3.8177894732752536E-2</v>
      </c>
      <c r="AH8" s="61">
        <v>0.06</v>
      </c>
    </row>
    <row r="9" spans="1:34" x14ac:dyDescent="0.3">
      <c r="A9" s="101" t="s">
        <v>143</v>
      </c>
      <c r="B9" s="59" t="s">
        <v>357</v>
      </c>
      <c r="C9" s="60">
        <v>10</v>
      </c>
      <c r="D9" s="44"/>
      <c r="E9" s="44"/>
      <c r="F9" s="44"/>
      <c r="G9" s="44"/>
      <c r="H9" s="44"/>
      <c r="I9" s="4">
        <f t="shared" si="9"/>
        <v>16.668698960402132</v>
      </c>
      <c r="J9" s="4">
        <f>I9*V9</f>
        <v>86.151808213817546</v>
      </c>
      <c r="K9" s="4">
        <f>I9*X9</f>
        <v>0.60340690236655725</v>
      </c>
      <c r="L9" s="7">
        <f>((D$2+D$3+D$4)*AA9)</f>
        <v>7.6497173090745232</v>
      </c>
      <c r="M9" s="4">
        <f t="shared" si="10"/>
        <v>4.8630345750545185</v>
      </c>
      <c r="N9" s="4">
        <f t="shared" si="10"/>
        <v>33.068635110370728</v>
      </c>
      <c r="O9" s="4">
        <f t="shared" si="12"/>
        <v>2.732041896098044E-2</v>
      </c>
      <c r="Q9" s="45"/>
      <c r="R9" s="45"/>
      <c r="S9" s="46"/>
      <c r="T9" s="45"/>
      <c r="U9" s="45"/>
      <c r="V9" s="63">
        <v>5.1684782608695654</v>
      </c>
      <c r="W9" s="43">
        <f t="shared" si="11"/>
        <v>2.8986521103212121E-2</v>
      </c>
      <c r="X9" s="237">
        <v>3.6200000000000003E-2</v>
      </c>
      <c r="Y9" s="237">
        <v>0.63571428571428579</v>
      </c>
      <c r="Z9" s="63">
        <v>6.8</v>
      </c>
      <c r="AA9" s="43">
        <f t="shared" si="13"/>
        <v>1.5000916382144373E-2</v>
      </c>
      <c r="AB9" s="17">
        <v>1.86198077556744E-2</v>
      </c>
      <c r="AC9" s="43">
        <f t="shared" si="14"/>
        <v>5.4006641094035222E-3</v>
      </c>
      <c r="AE9" s="47"/>
      <c r="AF9" s="61">
        <v>2.9000000000000001E-2</v>
      </c>
      <c r="AG9" s="61">
        <v>1.4999999999999999E-2</v>
      </c>
      <c r="AH9" s="61">
        <v>5.6179775280898875E-3</v>
      </c>
    </row>
    <row r="10" spans="1:34" x14ac:dyDescent="0.3">
      <c r="A10" s="101" t="s">
        <v>748</v>
      </c>
      <c r="B10" s="59" t="s">
        <v>357</v>
      </c>
      <c r="C10" s="60">
        <v>10</v>
      </c>
      <c r="D10" s="44"/>
      <c r="E10" s="44"/>
      <c r="F10" s="44"/>
      <c r="G10" s="44"/>
      <c r="H10" s="44"/>
      <c r="I10" s="4">
        <f t="shared" si="9"/>
        <v>10.346089009904771</v>
      </c>
      <c r="J10" s="4">
        <f t="shared" ref="J10:J12" si="15">I10*V10</f>
        <v>44.902026302986705</v>
      </c>
      <c r="K10" s="4">
        <f t="shared" ref="K10:K12" si="16">I10*X10</f>
        <v>0.24934074513870499</v>
      </c>
      <c r="L10" s="7">
        <f t="shared" ref="L10:L12" si="17">((D$2+D$3+D$4)*AA10)</f>
        <v>10.367788187367013</v>
      </c>
      <c r="M10" s="4">
        <f t="shared" ref="M10:N10" si="18">L10*Y10</f>
        <v>6.9671536619106336</v>
      </c>
      <c r="N10" s="4">
        <f t="shared" si="18"/>
        <v>56.294601588237917</v>
      </c>
      <c r="O10" s="4">
        <f t="shared" si="12"/>
        <v>0.16024453422394458</v>
      </c>
      <c r="Q10" s="45"/>
      <c r="R10" s="45"/>
      <c r="S10" s="46"/>
      <c r="T10" s="45"/>
      <c r="U10" s="45"/>
      <c r="V10" s="63">
        <v>4.34</v>
      </c>
      <c r="W10" s="43">
        <f t="shared" si="11"/>
        <v>1.7991633788200626E-2</v>
      </c>
      <c r="X10" s="237">
        <v>2.41E-2</v>
      </c>
      <c r="Y10" s="237">
        <v>0.67200000000000004</v>
      </c>
      <c r="Z10" s="63">
        <v>8.08</v>
      </c>
      <c r="AA10" s="43">
        <f t="shared" si="13"/>
        <v>2.0330989680100036E-2</v>
      </c>
      <c r="AB10" s="17">
        <v>2.7786169029541063E-2</v>
      </c>
      <c r="AC10" s="43">
        <f t="shared" si="14"/>
        <v>2.2110318863898023E-2</v>
      </c>
      <c r="AE10" s="47"/>
      <c r="AF10" s="61">
        <v>1.7999999999999999E-2</v>
      </c>
      <c r="AG10" s="61">
        <v>2.0329747692247716E-2</v>
      </c>
      <c r="AH10" s="61">
        <v>2.3E-2</v>
      </c>
    </row>
    <row r="11" spans="1:34" x14ac:dyDescent="0.3">
      <c r="A11" s="101"/>
      <c r="B11" s="59" t="s">
        <v>357</v>
      </c>
      <c r="C11" s="60">
        <v>10</v>
      </c>
      <c r="D11" s="44"/>
      <c r="E11" s="44"/>
      <c r="F11" s="44"/>
      <c r="G11" s="44"/>
      <c r="H11" s="44"/>
      <c r="I11" s="4">
        <f t="shared" si="9"/>
        <v>0</v>
      </c>
      <c r="J11" s="4">
        <f t="shared" si="15"/>
        <v>0</v>
      </c>
      <c r="K11" s="4">
        <f t="shared" si="16"/>
        <v>0</v>
      </c>
      <c r="L11" s="7">
        <f t="shared" si="17"/>
        <v>0</v>
      </c>
      <c r="M11" s="4">
        <f t="shared" ref="M11:N11" si="19">L11*Y11</f>
        <v>0</v>
      </c>
      <c r="N11" s="4">
        <f t="shared" si="19"/>
        <v>0</v>
      </c>
      <c r="O11" s="4">
        <f t="shared" si="12"/>
        <v>0</v>
      </c>
      <c r="Q11" s="45"/>
      <c r="R11" s="45"/>
      <c r="S11" s="46"/>
      <c r="T11" s="45"/>
      <c r="U11" s="45"/>
      <c r="V11" s="63">
        <v>0</v>
      </c>
      <c r="W11" s="43">
        <f t="shared" si="11"/>
        <v>0</v>
      </c>
      <c r="X11" s="237">
        <v>0</v>
      </c>
      <c r="Y11" s="237">
        <v>0</v>
      </c>
      <c r="Z11" s="63">
        <v>0</v>
      </c>
      <c r="AA11" s="43">
        <f t="shared" si="13"/>
        <v>0</v>
      </c>
      <c r="AB11" s="17">
        <v>7.6820007370456802E-3</v>
      </c>
      <c r="AC11" s="43">
        <f t="shared" si="14"/>
        <v>0</v>
      </c>
      <c r="AE11" s="47"/>
      <c r="AF11" s="61">
        <v>0</v>
      </c>
      <c r="AG11" s="61">
        <v>0</v>
      </c>
      <c r="AH11" s="61">
        <v>0</v>
      </c>
    </row>
    <row r="12" spans="1:34" x14ac:dyDescent="0.3">
      <c r="A12" s="101"/>
      <c r="B12" s="59" t="s">
        <v>357</v>
      </c>
      <c r="C12" s="60">
        <v>10</v>
      </c>
      <c r="D12" s="44"/>
      <c r="E12" s="44"/>
      <c r="F12" s="44"/>
      <c r="G12" s="44"/>
      <c r="H12" s="44"/>
      <c r="I12" s="4">
        <f t="shared" si="9"/>
        <v>0</v>
      </c>
      <c r="J12" s="4">
        <f t="shared" si="15"/>
        <v>0</v>
      </c>
      <c r="K12" s="4">
        <f t="shared" si="16"/>
        <v>0</v>
      </c>
      <c r="L12" s="7">
        <f t="shared" si="17"/>
        <v>0</v>
      </c>
      <c r="M12" s="4">
        <f t="shared" ref="M12:N12" si="20">L12*Y12</f>
        <v>0</v>
      </c>
      <c r="N12" s="4">
        <f t="shared" si="20"/>
        <v>0</v>
      </c>
      <c r="O12" s="4">
        <f t="shared" si="12"/>
        <v>0</v>
      </c>
      <c r="Q12" s="45"/>
      <c r="R12" s="45"/>
      <c r="S12" s="46"/>
      <c r="T12" s="45"/>
      <c r="U12" s="45"/>
      <c r="V12" s="63">
        <v>0</v>
      </c>
      <c r="W12" s="43">
        <f t="shared" si="11"/>
        <v>0</v>
      </c>
      <c r="X12" s="237">
        <v>0</v>
      </c>
      <c r="Y12" s="237">
        <v>0</v>
      </c>
      <c r="Z12" s="63">
        <v>0</v>
      </c>
      <c r="AA12" s="43">
        <f t="shared" si="13"/>
        <v>0</v>
      </c>
      <c r="AB12" s="17"/>
      <c r="AC12" s="43">
        <f t="shared" si="14"/>
        <v>0</v>
      </c>
      <c r="AE12" s="47"/>
      <c r="AF12" s="61">
        <v>0</v>
      </c>
      <c r="AG12" s="61">
        <v>0</v>
      </c>
      <c r="AH12" s="61">
        <v>0</v>
      </c>
    </row>
    <row r="13" spans="1:34" s="73" customFormat="1" x14ac:dyDescent="0.3">
      <c r="A13" s="100"/>
      <c r="B13" s="68"/>
      <c r="C13" s="6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9"/>
      <c r="Q13" s="12"/>
      <c r="R13" s="12"/>
      <c r="S13" s="21"/>
      <c r="T13" s="12"/>
      <c r="U13" s="12"/>
      <c r="V13" s="72"/>
      <c r="W13" s="21"/>
      <c r="X13" s="71"/>
      <c r="Y13" s="71"/>
      <c r="Z13" s="72"/>
      <c r="AA13" s="23"/>
      <c r="AB13" s="20"/>
      <c r="AC13" s="22"/>
      <c r="AG13" s="71"/>
      <c r="AH13" s="71"/>
    </row>
    <row r="14" spans="1:34" x14ac:dyDescent="0.3">
      <c r="C14" s="6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11"/>
      <c r="R14" s="11"/>
      <c r="S14" s="24"/>
      <c r="T14" s="11"/>
      <c r="U14" s="11"/>
      <c r="W14" s="24"/>
      <c r="AA14" s="18"/>
      <c r="AB14" s="16"/>
      <c r="AC14" s="19"/>
      <c r="AE14" s="66"/>
      <c r="AF14" s="66"/>
      <c r="AG14" s="75"/>
      <c r="AH14" s="75"/>
    </row>
    <row r="15" spans="1:34" x14ac:dyDescent="0.3">
      <c r="A15" s="66" t="s">
        <v>322</v>
      </c>
      <c r="B15" s="59" t="s">
        <v>358</v>
      </c>
      <c r="C15" s="60">
        <v>10</v>
      </c>
      <c r="D15" s="44"/>
      <c r="E15" s="44"/>
      <c r="F15" s="44"/>
      <c r="G15" s="44"/>
      <c r="H15" s="44"/>
      <c r="I15" s="4">
        <f t="shared" ref="I15:I22" si="21">D$37*W15</f>
        <v>2.0127904506153929</v>
      </c>
      <c r="J15" s="4">
        <f t="shared" ref="J15:J22" si="22">I15*V15</f>
        <v>14.020492848613818</v>
      </c>
      <c r="K15" s="4">
        <f t="shared" ref="K15:K22" si="23">I15*X15</f>
        <v>0</v>
      </c>
      <c r="L15" s="7">
        <f t="shared" ref="L15:L20" si="24">((D$2+D$3+D$4)*AA15)</f>
        <v>119.33559002156258</v>
      </c>
      <c r="M15" s="4">
        <f t="shared" ref="M15:N19" si="25">L15*Y15</f>
        <v>77.00725624091433</v>
      </c>
      <c r="N15" s="4">
        <f t="shared" si="25"/>
        <v>959.51041276179262</v>
      </c>
      <c r="O15" s="4">
        <f t="shared" ref="O15:O22" si="26">M15*AH15</f>
        <v>8.54780544274149</v>
      </c>
      <c r="Q15" s="45"/>
      <c r="R15" s="45"/>
      <c r="S15" s="46"/>
      <c r="T15" s="45"/>
      <c r="U15" s="45"/>
      <c r="V15" s="63">
        <v>6.9656992084432714</v>
      </c>
      <c r="W15" s="43">
        <f t="shared" ref="W15:W22" si="27">(AF15/SUM(AF$2:AF$22))*0.98</f>
        <v>3.5002007662210117E-3</v>
      </c>
      <c r="X15" s="237">
        <v>0</v>
      </c>
      <c r="Y15" s="237">
        <v>0.64529999999999998</v>
      </c>
      <c r="Z15" s="63">
        <v>12.46</v>
      </c>
      <c r="AA15" s="43">
        <f t="shared" ref="AA15:AA22" si="28">(AG15/SUM(AG$7:AG$27))*0.98</f>
        <v>0.23401429556145226</v>
      </c>
      <c r="AB15" s="17">
        <v>0.14561096689517464</v>
      </c>
      <c r="AC15" s="43">
        <f t="shared" ref="AC15:AC22" si="29">(AH15/SUM(AH$7:AH$27))*0.98</f>
        <v>0.10670632147359481</v>
      </c>
      <c r="AE15" s="47"/>
      <c r="AF15" s="61">
        <v>3.5018283794380914E-3</v>
      </c>
      <c r="AG15" s="61">
        <v>0.23400000000000001</v>
      </c>
      <c r="AH15" s="61">
        <v>0.111</v>
      </c>
    </row>
    <row r="16" spans="1:34" x14ac:dyDescent="0.3">
      <c r="A16" s="66" t="s">
        <v>198</v>
      </c>
      <c r="B16" s="59" t="s">
        <v>358</v>
      </c>
      <c r="C16" s="60">
        <v>10</v>
      </c>
      <c r="D16" s="44"/>
      <c r="E16" s="44"/>
      <c r="F16" s="44"/>
      <c r="G16" s="44"/>
      <c r="H16" s="44"/>
      <c r="I16" s="4">
        <f t="shared" si="21"/>
        <v>10.319578410569365</v>
      </c>
      <c r="J16" s="4">
        <f t="shared" si="22"/>
        <v>76.468076022318996</v>
      </c>
      <c r="K16" s="4">
        <f t="shared" si="23"/>
        <v>0.14162113988498803</v>
      </c>
      <c r="L16" s="7">
        <f t="shared" si="24"/>
        <v>65.442565619081975</v>
      </c>
      <c r="M16" s="4">
        <f t="shared" si="25"/>
        <v>39.409293961198216</v>
      </c>
      <c r="N16" s="4">
        <f t="shared" si="25"/>
        <v>431.13767593550847</v>
      </c>
      <c r="O16" s="4">
        <f t="shared" si="26"/>
        <v>3.8621108081974254</v>
      </c>
      <c r="Q16" s="45"/>
      <c r="R16" s="45"/>
      <c r="S16" s="46"/>
      <c r="T16" s="45"/>
      <c r="U16" s="45"/>
      <c r="V16" s="63">
        <v>7.41</v>
      </c>
      <c r="W16" s="43">
        <f t="shared" si="27"/>
        <v>1.7945532406867862E-2</v>
      </c>
      <c r="X16" s="237">
        <v>1.3723539300785674E-2</v>
      </c>
      <c r="Y16" s="237">
        <v>0.60219665271966527</v>
      </c>
      <c r="Z16" s="63">
        <v>10.94</v>
      </c>
      <c r="AA16" s="43">
        <f t="shared" si="28"/>
        <v>0.12833133761953519</v>
      </c>
      <c r="AB16" s="17">
        <v>0.1296962865312439</v>
      </c>
      <c r="AC16" s="43">
        <f t="shared" si="29"/>
        <v>9.4209184724435055E-2</v>
      </c>
      <c r="AE16" s="47"/>
      <c r="AF16" s="61">
        <v>1.7953877181263331E-2</v>
      </c>
      <c r="AG16" s="61">
        <v>0.12832349806204668</v>
      </c>
      <c r="AH16" s="61">
        <v>9.8000000000000004E-2</v>
      </c>
    </row>
    <row r="17" spans="1:34" x14ac:dyDescent="0.3">
      <c r="A17" s="66" t="s">
        <v>588</v>
      </c>
      <c r="B17" s="59" t="s">
        <v>358</v>
      </c>
      <c r="C17" s="60">
        <v>10</v>
      </c>
      <c r="D17" s="44"/>
      <c r="E17" s="44"/>
      <c r="F17" s="44"/>
      <c r="G17" s="44"/>
      <c r="H17" s="44"/>
      <c r="I17" s="4">
        <f t="shared" si="21"/>
        <v>0</v>
      </c>
      <c r="J17" s="4">
        <f t="shared" si="22"/>
        <v>0</v>
      </c>
      <c r="K17" s="4">
        <f t="shared" si="23"/>
        <v>0</v>
      </c>
      <c r="L17" s="7">
        <f t="shared" si="24"/>
        <v>43.582740701689886</v>
      </c>
      <c r="M17" s="4">
        <f t="shared" si="25"/>
        <v>27.306526595660884</v>
      </c>
      <c r="N17" s="4">
        <f t="shared" si="25"/>
        <v>332.09363869022224</v>
      </c>
      <c r="O17" s="4">
        <f t="shared" si="26"/>
        <v>2.1572156010572097</v>
      </c>
      <c r="Q17" s="45"/>
      <c r="R17" s="45"/>
      <c r="S17" s="46"/>
      <c r="T17" s="45"/>
      <c r="U17" s="45"/>
      <c r="V17" s="63">
        <v>0</v>
      </c>
      <c r="W17" s="43">
        <f t="shared" si="27"/>
        <v>0</v>
      </c>
      <c r="X17" s="237">
        <v>0</v>
      </c>
      <c r="Y17" s="237">
        <v>0.62654450261780104</v>
      </c>
      <c r="Z17" s="63">
        <v>12.161694660315868</v>
      </c>
      <c r="AA17" s="43">
        <f t="shared" si="28"/>
        <v>8.5464733212451974E-2</v>
      </c>
      <c r="AB17" s="17">
        <v>0.12173525551154903</v>
      </c>
      <c r="AC17" s="43">
        <f t="shared" si="29"/>
        <v>7.5944138706432338E-2</v>
      </c>
      <c r="AE17" s="47"/>
      <c r="AF17" s="61">
        <v>0</v>
      </c>
      <c r="AG17" s="61">
        <v>8.5459512307708929E-2</v>
      </c>
      <c r="AH17" s="61">
        <v>7.9000000000000001E-2</v>
      </c>
    </row>
    <row r="18" spans="1:34" x14ac:dyDescent="0.3">
      <c r="A18" s="66" t="s">
        <v>323</v>
      </c>
      <c r="B18" s="59" t="s">
        <v>358</v>
      </c>
      <c r="C18" s="60">
        <v>10</v>
      </c>
      <c r="D18" s="44"/>
      <c r="E18" s="44"/>
      <c r="F18" s="44"/>
      <c r="G18" s="44"/>
      <c r="H18" s="44"/>
      <c r="I18" s="4">
        <f t="shared" si="21"/>
        <v>0</v>
      </c>
      <c r="J18" s="4">
        <f t="shared" si="22"/>
        <v>0</v>
      </c>
      <c r="K18" s="4">
        <f t="shared" si="23"/>
        <v>0</v>
      </c>
      <c r="L18" s="7">
        <f t="shared" si="24"/>
        <v>21.929189619346964</v>
      </c>
      <c r="M18" s="4">
        <f t="shared" si="25"/>
        <v>13.569782536451902</v>
      </c>
      <c r="N18" s="4">
        <f t="shared" si="25"/>
        <v>164.33006651643251</v>
      </c>
      <c r="O18" s="4">
        <f t="shared" si="26"/>
        <v>1.2212804282806711</v>
      </c>
      <c r="Q18" s="45"/>
      <c r="R18" s="45"/>
      <c r="S18" s="46"/>
      <c r="T18" s="45"/>
      <c r="U18" s="45"/>
      <c r="V18" s="63">
        <v>0</v>
      </c>
      <c r="W18" s="43">
        <f t="shared" si="27"/>
        <v>0</v>
      </c>
      <c r="X18" s="237">
        <v>0</v>
      </c>
      <c r="Y18" s="237">
        <v>0.61880000000000002</v>
      </c>
      <c r="Z18" s="63">
        <v>12.11</v>
      </c>
      <c r="AA18" s="43">
        <f t="shared" si="28"/>
        <v>4.3002626962147197E-2</v>
      </c>
      <c r="AB18" s="17">
        <v>5.3801420074477219E-2</v>
      </c>
      <c r="AC18" s="43">
        <f t="shared" si="29"/>
        <v>8.6518639032644437E-2</v>
      </c>
      <c r="AE18" s="47"/>
      <c r="AF18" s="61">
        <v>0</v>
      </c>
      <c r="AG18" s="61">
        <v>4.2999999999999997E-2</v>
      </c>
      <c r="AH18" s="61">
        <v>0.09</v>
      </c>
    </row>
    <row r="19" spans="1:34" x14ac:dyDescent="0.3">
      <c r="A19" s="58" t="s">
        <v>818</v>
      </c>
      <c r="B19" s="59" t="s">
        <v>358</v>
      </c>
      <c r="C19" s="60">
        <v>10</v>
      </c>
      <c r="D19" s="44"/>
      <c r="E19" s="44"/>
      <c r="F19" s="44"/>
      <c r="G19" s="44"/>
      <c r="H19" s="44"/>
      <c r="I19" s="4">
        <f t="shared" si="21"/>
        <v>0</v>
      </c>
      <c r="J19" s="4">
        <f t="shared" si="22"/>
        <v>0</v>
      </c>
      <c r="K19" s="4">
        <f t="shared" si="23"/>
        <v>0</v>
      </c>
      <c r="L19" s="7">
        <f t="shared" si="24"/>
        <v>6.6297550011979203</v>
      </c>
      <c r="M19" s="4">
        <f t="shared" si="25"/>
        <v>4.0189574817261793</v>
      </c>
      <c r="N19" s="4">
        <f t="shared" si="25"/>
        <v>54.391905767722726</v>
      </c>
      <c r="O19" s="4">
        <f t="shared" si="26"/>
        <v>0.28936493868428487</v>
      </c>
      <c r="Q19" s="45"/>
      <c r="R19" s="45"/>
      <c r="S19" s="46"/>
      <c r="T19" s="45"/>
      <c r="U19" s="45"/>
      <c r="V19" s="63">
        <v>0</v>
      </c>
      <c r="W19" s="43">
        <f t="shared" si="27"/>
        <v>0</v>
      </c>
      <c r="X19" s="237">
        <v>0</v>
      </c>
      <c r="Y19" s="237">
        <v>0.60619999999999996</v>
      </c>
      <c r="Z19" s="63">
        <v>13.533834586466165</v>
      </c>
      <c r="AA19" s="43">
        <f t="shared" si="28"/>
        <v>1.3000794197858458E-2</v>
      </c>
      <c r="AB19" s="17">
        <v>5.1413104394337189E-2</v>
      </c>
      <c r="AC19" s="43">
        <f t="shared" si="29"/>
        <v>6.9214911226115533E-2</v>
      </c>
      <c r="AE19" s="47"/>
      <c r="AF19" s="61">
        <v>0</v>
      </c>
      <c r="AG19" s="61">
        <v>1.2999999999999999E-2</v>
      </c>
      <c r="AH19" s="61">
        <v>7.1999999999999995E-2</v>
      </c>
    </row>
    <row r="20" spans="1:34" x14ac:dyDescent="0.3">
      <c r="A20" s="58" t="s">
        <v>819</v>
      </c>
      <c r="B20" s="59" t="s">
        <v>358</v>
      </c>
      <c r="C20" s="60">
        <v>10</v>
      </c>
      <c r="D20" s="44"/>
      <c r="E20" s="44"/>
      <c r="F20" s="44"/>
      <c r="G20" s="44"/>
      <c r="H20" s="44"/>
      <c r="I20" s="4">
        <f t="shared" si="21"/>
        <v>0</v>
      </c>
      <c r="J20" s="4">
        <f t="shared" si="22"/>
        <v>0</v>
      </c>
      <c r="K20" s="4">
        <f t="shared" si="23"/>
        <v>0</v>
      </c>
      <c r="L20" s="7">
        <f t="shared" si="24"/>
        <v>1.6839823370600591</v>
      </c>
      <c r="M20" s="4">
        <f t="shared" ref="M20:N20" si="30">L20*Y20</f>
        <v>1.0065162428607972</v>
      </c>
      <c r="N20" s="4">
        <f t="shared" si="30"/>
        <v>12.444812359515288</v>
      </c>
      <c r="O20" s="4">
        <f t="shared" si="26"/>
        <v>7.0456137000255811E-2</v>
      </c>
      <c r="Q20" s="45"/>
      <c r="R20" s="45"/>
      <c r="S20" s="46"/>
      <c r="T20" s="45"/>
      <c r="U20" s="45"/>
      <c r="V20" s="63">
        <v>0</v>
      </c>
      <c r="W20" s="43">
        <f t="shared" si="27"/>
        <v>0</v>
      </c>
      <c r="X20" s="237">
        <v>0</v>
      </c>
      <c r="Y20" s="237">
        <v>0.59770000000000001</v>
      </c>
      <c r="Z20" s="63">
        <v>12.364243943191312</v>
      </c>
      <c r="AA20" s="43">
        <f t="shared" si="28"/>
        <v>3.3022499010884579E-3</v>
      </c>
      <c r="AB20" s="17">
        <v>6.0690359663566847E-2</v>
      </c>
      <c r="AC20" s="43">
        <f t="shared" si="29"/>
        <v>6.7292274803167906E-2</v>
      </c>
      <c r="AE20" s="47"/>
      <c r="AF20" s="61">
        <v>0</v>
      </c>
      <c r="AG20" s="61">
        <v>3.3020481718894859E-3</v>
      </c>
      <c r="AH20" s="61">
        <v>7.0000000000000007E-2</v>
      </c>
    </row>
    <row r="21" spans="1:34" x14ac:dyDescent="0.3">
      <c r="B21" s="59" t="s">
        <v>358</v>
      </c>
      <c r="C21" s="60">
        <v>10</v>
      </c>
      <c r="D21" s="44"/>
      <c r="E21" s="44"/>
      <c r="F21" s="44"/>
      <c r="G21" s="44"/>
      <c r="H21" s="44"/>
      <c r="I21" s="4">
        <f t="shared" si="21"/>
        <v>0</v>
      </c>
      <c r="J21" s="4">
        <f t="shared" si="22"/>
        <v>0</v>
      </c>
      <c r="K21" s="4">
        <f t="shared" si="23"/>
        <v>0</v>
      </c>
      <c r="L21" s="7">
        <f t="shared" ref="L21:L22" si="31">((D$2+D$3+D$4)*AA21)</f>
        <v>0</v>
      </c>
      <c r="M21" s="4">
        <f t="shared" ref="M21:N21" si="32">L21*Y21</f>
        <v>0</v>
      </c>
      <c r="N21" s="4">
        <f t="shared" si="32"/>
        <v>0</v>
      </c>
      <c r="O21" s="4">
        <f t="shared" si="26"/>
        <v>0</v>
      </c>
      <c r="Q21" s="45"/>
      <c r="R21" s="45"/>
      <c r="S21" s="46"/>
      <c r="T21" s="45"/>
      <c r="U21" s="45"/>
      <c r="V21" s="63">
        <v>0</v>
      </c>
      <c r="W21" s="43">
        <f t="shared" si="27"/>
        <v>0</v>
      </c>
      <c r="X21" s="237">
        <v>0</v>
      </c>
      <c r="Y21" s="237">
        <v>0</v>
      </c>
      <c r="Z21" s="63">
        <v>0</v>
      </c>
      <c r="AA21" s="43">
        <f t="shared" si="28"/>
        <v>0</v>
      </c>
      <c r="AB21" s="17"/>
      <c r="AC21" s="43">
        <f t="shared" si="29"/>
        <v>0</v>
      </c>
      <c r="AE21" s="47"/>
      <c r="AF21" s="61">
        <v>0</v>
      </c>
      <c r="AG21" s="61">
        <v>0</v>
      </c>
      <c r="AH21" s="61">
        <v>0</v>
      </c>
    </row>
    <row r="22" spans="1:34" x14ac:dyDescent="0.3">
      <c r="B22" s="59" t="s">
        <v>358</v>
      </c>
      <c r="C22" s="60">
        <v>10</v>
      </c>
      <c r="D22" s="44"/>
      <c r="E22" s="44"/>
      <c r="F22" s="44"/>
      <c r="G22" s="44"/>
      <c r="H22" s="44"/>
      <c r="I22" s="4">
        <f t="shared" si="21"/>
        <v>0</v>
      </c>
      <c r="J22" s="4">
        <f t="shared" si="22"/>
        <v>0</v>
      </c>
      <c r="K22" s="4">
        <f t="shared" si="23"/>
        <v>0</v>
      </c>
      <c r="L22" s="7">
        <f t="shared" si="31"/>
        <v>0</v>
      </c>
      <c r="M22" s="4">
        <f t="shared" ref="M22:N22" si="33">L22*Y22</f>
        <v>0</v>
      </c>
      <c r="N22" s="4">
        <f t="shared" si="33"/>
        <v>0</v>
      </c>
      <c r="O22" s="4">
        <f t="shared" si="26"/>
        <v>0</v>
      </c>
      <c r="Q22" s="45"/>
      <c r="R22" s="45"/>
      <c r="S22" s="46"/>
      <c r="T22" s="45"/>
      <c r="U22" s="45"/>
      <c r="V22" s="63">
        <v>0</v>
      </c>
      <c r="W22" s="43">
        <f t="shared" si="27"/>
        <v>0</v>
      </c>
      <c r="X22" s="237">
        <v>0</v>
      </c>
      <c r="Y22" s="237">
        <v>0</v>
      </c>
      <c r="Z22" s="63">
        <v>0</v>
      </c>
      <c r="AA22" s="43">
        <f t="shared" si="28"/>
        <v>0</v>
      </c>
      <c r="AB22" s="17"/>
      <c r="AC22" s="43">
        <f t="shared" si="29"/>
        <v>0</v>
      </c>
      <c r="AE22" s="47"/>
      <c r="AF22" s="61">
        <v>0</v>
      </c>
      <c r="AG22" s="61">
        <v>0</v>
      </c>
      <c r="AH22" s="61">
        <v>0</v>
      </c>
    </row>
    <row r="23" spans="1:34" x14ac:dyDescent="0.3">
      <c r="C23" s="6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11"/>
      <c r="R23" s="11"/>
      <c r="S23" s="24"/>
      <c r="T23" s="11"/>
      <c r="U23" s="11"/>
      <c r="V23" s="24"/>
      <c r="W23" s="24"/>
      <c r="X23" s="11"/>
      <c r="AA23" s="18"/>
      <c r="AB23" s="16"/>
      <c r="AC23" s="19"/>
      <c r="AE23" s="66"/>
      <c r="AF23" s="66"/>
      <c r="AG23" s="75"/>
      <c r="AH23" s="75"/>
    </row>
    <row r="24" spans="1:34" x14ac:dyDescent="0.3">
      <c r="A24" s="77" t="s">
        <v>26</v>
      </c>
      <c r="B24" s="59" t="s">
        <v>10</v>
      </c>
      <c r="C24" s="60">
        <v>10</v>
      </c>
      <c r="D24" s="44"/>
      <c r="E24" s="44"/>
      <c r="F24" s="44"/>
      <c r="G24" s="44"/>
      <c r="H24" s="44"/>
      <c r="I24" s="44"/>
      <c r="J24" s="44"/>
      <c r="K24" s="44"/>
      <c r="L24" s="7">
        <f>((D$2+D$3+D$4)*AA24)</f>
        <v>119.84557117550085</v>
      </c>
      <c r="M24" s="4">
        <f t="shared" ref="M24:N27" si="34">L24*Y24</f>
        <v>79.443691066075004</v>
      </c>
      <c r="N24" s="4">
        <f t="shared" si="34"/>
        <v>1013.1941631612659</v>
      </c>
      <c r="O24" s="4">
        <f t="shared" ref="O24:O27" si="35">M24*AH24</f>
        <v>9.7715740011272256</v>
      </c>
      <c r="Q24" s="45"/>
      <c r="R24" s="45"/>
      <c r="S24" s="46"/>
      <c r="T24" s="45"/>
      <c r="U24" s="45"/>
      <c r="V24" s="46"/>
      <c r="W24" s="46"/>
      <c r="X24" s="45"/>
      <c r="Y24" s="237">
        <v>0.66288382863759165</v>
      </c>
      <c r="Z24" s="236">
        <v>12.753613906465786</v>
      </c>
      <c r="AA24" s="43">
        <f t="shared" ref="AA24:AA27" si="36">(AG24/SUM(AG$7:AG$27))*0.98</f>
        <v>0.23501435665359516</v>
      </c>
      <c r="AB24" s="17">
        <v>0.18053077737948031</v>
      </c>
      <c r="AC24" s="43">
        <f t="shared" ref="AC24:AC27" si="37">(AH24/SUM(AH$7:AH$27))*0.98</f>
        <v>0.11824214001128072</v>
      </c>
      <c r="AE24" s="47"/>
      <c r="AF24" s="47"/>
      <c r="AG24" s="61">
        <v>0.23499999999999999</v>
      </c>
      <c r="AH24" s="61">
        <v>0.123</v>
      </c>
    </row>
    <row r="25" spans="1:34" x14ac:dyDescent="0.3">
      <c r="A25" s="58" t="s">
        <v>28</v>
      </c>
      <c r="B25" s="59" t="s">
        <v>10</v>
      </c>
      <c r="C25" s="60">
        <v>10</v>
      </c>
      <c r="D25" s="44"/>
      <c r="E25" s="44"/>
      <c r="F25" s="44"/>
      <c r="G25" s="44"/>
      <c r="H25" s="44"/>
      <c r="I25" s="44"/>
      <c r="J25" s="44"/>
      <c r="K25" s="44"/>
      <c r="L25" s="7">
        <f>((D$2+D$3+D$4)*AA25)</f>
        <v>20.415279575469579</v>
      </c>
      <c r="M25" s="4">
        <f t="shared" si="34"/>
        <v>13.310762283206167</v>
      </c>
      <c r="N25" s="4">
        <f t="shared" si="34"/>
        <v>131.90965422657311</v>
      </c>
      <c r="O25" s="4">
        <f t="shared" si="35"/>
        <v>1.3177654660374105</v>
      </c>
      <c r="Q25" s="45"/>
      <c r="R25" s="45"/>
      <c r="S25" s="46"/>
      <c r="T25" s="45"/>
      <c r="U25" s="45"/>
      <c r="V25" s="46"/>
      <c r="W25" s="46"/>
      <c r="X25" s="45"/>
      <c r="Y25" s="237">
        <v>0.65200000000000002</v>
      </c>
      <c r="Z25" s="236">
        <v>9.91</v>
      </c>
      <c r="AA25" s="43">
        <f t="shared" si="36"/>
        <v>4.0033884842571976E-2</v>
      </c>
      <c r="AB25" s="17">
        <v>4.7408829825310229E-2</v>
      </c>
      <c r="AC25" s="43">
        <f t="shared" si="37"/>
        <v>9.5170502935908882E-2</v>
      </c>
      <c r="AE25" s="47"/>
      <c r="AF25" s="47"/>
      <c r="AG25" s="61">
        <v>4.0031439236163334E-2</v>
      </c>
      <c r="AH25" s="61">
        <v>9.9000000000000005E-2</v>
      </c>
    </row>
    <row r="26" spans="1:34" x14ac:dyDescent="0.3">
      <c r="A26" s="58" t="s">
        <v>639</v>
      </c>
      <c r="B26" s="59" t="s">
        <v>10</v>
      </c>
      <c r="C26" s="60">
        <v>10</v>
      </c>
      <c r="D26" s="44"/>
      <c r="E26" s="44"/>
      <c r="F26" s="44"/>
      <c r="G26" s="44"/>
      <c r="H26" s="44"/>
      <c r="I26" s="44"/>
      <c r="J26" s="44"/>
      <c r="K26" s="44"/>
      <c r="L26" s="7">
        <f>((D$2+D$3+D$4)*AA26)</f>
        <v>11.219585386642633</v>
      </c>
      <c r="M26" s="4">
        <f t="shared" si="34"/>
        <v>6.9337037689451471</v>
      </c>
      <c r="N26" s="4">
        <f t="shared" si="34"/>
        <v>74.068270849437567</v>
      </c>
      <c r="O26" s="4">
        <f t="shared" si="35"/>
        <v>0.48535926382616035</v>
      </c>
      <c r="Q26" s="45"/>
      <c r="R26" s="45"/>
      <c r="S26" s="46"/>
      <c r="T26" s="45"/>
      <c r="U26" s="45"/>
      <c r="V26" s="46"/>
      <c r="W26" s="46"/>
      <c r="X26" s="45"/>
      <c r="Y26" s="237">
        <v>0.61799999999999999</v>
      </c>
      <c r="Z26" s="236">
        <v>10.68235294117647</v>
      </c>
      <c r="AA26" s="43">
        <f t="shared" si="36"/>
        <v>2.200134402714508E-2</v>
      </c>
      <c r="AB26" s="17">
        <v>1.1868783100480383E-2</v>
      </c>
      <c r="AC26" s="43">
        <f t="shared" si="37"/>
        <v>6.7292274803167906E-2</v>
      </c>
      <c r="AE26" s="47"/>
      <c r="AF26" s="47"/>
      <c r="AG26" s="61">
        <v>2.1999999999999999E-2</v>
      </c>
      <c r="AH26" s="61">
        <v>7.0000000000000007E-2</v>
      </c>
    </row>
    <row r="27" spans="1:34" x14ac:dyDescent="0.3">
      <c r="A27" s="58" t="s">
        <v>640</v>
      </c>
      <c r="B27" s="59" t="s">
        <v>10</v>
      </c>
      <c r="C27" s="60">
        <v>10</v>
      </c>
      <c r="D27" s="44"/>
      <c r="E27" s="44"/>
      <c r="F27" s="44"/>
      <c r="G27" s="44"/>
      <c r="H27" s="44"/>
      <c r="I27" s="44"/>
      <c r="J27" s="44"/>
      <c r="K27" s="44"/>
      <c r="L27" s="7">
        <f>((D$2+D$3+D$4)*AA27)</f>
        <v>10.141417266245465</v>
      </c>
      <c r="M27" s="4">
        <f t="shared" si="34"/>
        <v>6.2673958705396977</v>
      </c>
      <c r="N27" s="4">
        <f t="shared" si="34"/>
        <v>63.373716496767912</v>
      </c>
      <c r="O27" s="4">
        <f t="shared" si="35"/>
        <v>0.45636377698104591</v>
      </c>
      <c r="Q27" s="45"/>
      <c r="R27" s="45"/>
      <c r="S27" s="46"/>
      <c r="T27" s="45"/>
      <c r="U27" s="45"/>
      <c r="V27" s="46"/>
      <c r="W27" s="46"/>
      <c r="X27" s="45"/>
      <c r="Y27" s="237">
        <v>0.61799999999999999</v>
      </c>
      <c r="Z27" s="236">
        <v>10.111650485436893</v>
      </c>
      <c r="AA27" s="43">
        <f t="shared" si="36"/>
        <v>1.9887081608482137E-2</v>
      </c>
      <c r="AB27" s="17">
        <v>3.7861891311964935E-3</v>
      </c>
      <c r="AC27" s="43">
        <f t="shared" si="37"/>
        <v>6.9998898893725264E-2</v>
      </c>
      <c r="AE27" s="47"/>
      <c r="AF27" s="47"/>
      <c r="AG27" s="61">
        <v>1.9885866738268514E-2</v>
      </c>
      <c r="AH27" s="61">
        <v>7.281553398058252E-2</v>
      </c>
    </row>
    <row r="28" spans="1:34" s="73" customFormat="1" x14ac:dyDescent="0.3">
      <c r="A28" s="100"/>
      <c r="B28" s="68"/>
      <c r="C28" s="68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69"/>
      <c r="Q28" s="71"/>
      <c r="R28" s="71"/>
      <c r="S28" s="72"/>
      <c r="T28" s="71"/>
      <c r="U28" s="71"/>
      <c r="V28" s="72"/>
      <c r="W28" s="72"/>
      <c r="X28" s="71"/>
      <c r="Y28" s="71"/>
      <c r="Z28" s="72"/>
      <c r="AA28" s="69"/>
      <c r="AB28" s="69"/>
      <c r="AC28" s="71"/>
      <c r="AD28" s="67"/>
      <c r="AE28" s="78"/>
      <c r="AF28" s="69"/>
    </row>
    <row r="29" spans="1:34" s="86" customFormat="1" x14ac:dyDescent="0.3">
      <c r="A29" s="102"/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Q29" s="83"/>
      <c r="R29" s="83"/>
      <c r="S29" s="84"/>
      <c r="T29" s="83"/>
      <c r="U29" s="83"/>
      <c r="V29" s="84"/>
      <c r="W29" s="32" t="s">
        <v>446</v>
      </c>
      <c r="X29" s="83"/>
      <c r="Y29" s="83"/>
      <c r="Z29" s="84"/>
      <c r="AA29" s="32" t="s">
        <v>446</v>
      </c>
      <c r="AB29" s="32" t="s">
        <v>446</v>
      </c>
      <c r="AC29" s="32" t="s">
        <v>446</v>
      </c>
      <c r="AD29" s="103"/>
      <c r="AE29" s="32" t="s">
        <v>446</v>
      </c>
      <c r="AF29" s="32" t="s">
        <v>446</v>
      </c>
      <c r="AG29" s="32" t="s">
        <v>446</v>
      </c>
    </row>
    <row r="30" spans="1:34" s="86" customFormat="1" x14ac:dyDescent="0.3">
      <c r="A30" s="104" t="s">
        <v>447</v>
      </c>
      <c r="B30" s="80"/>
      <c r="C30" s="80"/>
      <c r="D30" s="88" t="s">
        <v>451</v>
      </c>
      <c r="E30" s="88" t="s">
        <v>448</v>
      </c>
      <c r="F30" s="27" t="s">
        <v>449</v>
      </c>
      <c r="G30" s="88" t="s">
        <v>468</v>
      </c>
      <c r="H30" s="88" t="s">
        <v>450</v>
      </c>
      <c r="I30" s="81"/>
      <c r="J30" s="81"/>
      <c r="K30" s="81"/>
      <c r="L30" s="81"/>
      <c r="M30" s="81"/>
      <c r="N30" s="81"/>
      <c r="O30" s="81"/>
      <c r="P30" s="82"/>
      <c r="Q30" s="83"/>
      <c r="R30" s="83"/>
      <c r="S30" s="84"/>
      <c r="T30" s="83"/>
      <c r="U30" s="83"/>
      <c r="V30" s="84"/>
      <c r="W30" s="28">
        <f>SUM(W2:W4,W7:W27)</f>
        <v>0.98000000000000009</v>
      </c>
      <c r="X30" s="83"/>
      <c r="Y30" s="83"/>
      <c r="Z30" s="84"/>
      <c r="AA30" s="28">
        <f>SUM(AA7:AA27)</f>
        <v>0.97999999999999976</v>
      </c>
      <c r="AB30" s="28">
        <f t="shared" ref="AB30" si="38">SUM(AB2:AB4,AB7:AB12,AB15:AB22,AB24:AB27)</f>
        <v>0.96271038155675193</v>
      </c>
      <c r="AC30" s="28">
        <f>SUM(AC7:AC27)</f>
        <v>0.98000000000000009</v>
      </c>
      <c r="AD30" s="89"/>
      <c r="AE30" s="28">
        <f>SUM(AE2:AE4,AE7:AE27)</f>
        <v>1</v>
      </c>
      <c r="AF30" s="28">
        <f>SUM(AF2:AF4,AF7:AF27)</f>
        <v>0.98045570556070138</v>
      </c>
      <c r="AG30" s="28">
        <f>SUM(AG7:AG27)</f>
        <v>0.97994013335728236</v>
      </c>
    </row>
    <row r="31" spans="1:34" s="86" customFormat="1" x14ac:dyDescent="0.3">
      <c r="A31" s="102"/>
      <c r="B31" s="80"/>
      <c r="C31" s="80"/>
      <c r="D31" s="105">
        <v>1085</v>
      </c>
      <c r="E31" s="106">
        <v>0.47</v>
      </c>
      <c r="F31" s="8">
        <f>1-E31</f>
        <v>0.53</v>
      </c>
      <c r="G31" s="234">
        <v>5.19</v>
      </c>
      <c r="H31" s="275">
        <v>0.04</v>
      </c>
      <c r="I31" s="83"/>
      <c r="J31" s="81"/>
      <c r="K31" s="81"/>
      <c r="L31" s="81"/>
      <c r="M31" s="81"/>
      <c r="N31" s="81"/>
      <c r="O31" s="81"/>
      <c r="P31" s="82"/>
      <c r="Q31" s="83"/>
      <c r="R31" s="83"/>
      <c r="S31" s="84"/>
      <c r="T31" s="83"/>
      <c r="U31" s="83"/>
      <c r="V31" s="84"/>
      <c r="W31" s="84"/>
      <c r="X31" s="83"/>
      <c r="Y31" s="83"/>
      <c r="Z31" s="84"/>
      <c r="AA31" s="82"/>
      <c r="AB31" s="82"/>
      <c r="AC31" s="83"/>
      <c r="AD31" s="79"/>
      <c r="AE31" s="90"/>
      <c r="AF31" s="82"/>
    </row>
    <row r="32" spans="1:34" s="86" customFormat="1" x14ac:dyDescent="0.3">
      <c r="A32" s="102"/>
      <c r="B32" s="80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3"/>
      <c r="R32" s="83"/>
      <c r="S32" s="84"/>
      <c r="T32" s="83"/>
      <c r="U32" s="83"/>
      <c r="V32" s="84"/>
      <c r="W32" s="84"/>
      <c r="X32" s="83"/>
      <c r="Y32" s="83"/>
      <c r="Z32" s="84"/>
      <c r="AA32" s="82"/>
      <c r="AB32" s="82"/>
      <c r="AC32" s="83"/>
      <c r="AD32" s="79"/>
      <c r="AE32" s="90"/>
      <c r="AF32" s="82"/>
    </row>
    <row r="33" spans="1:32" s="86" customFormat="1" x14ac:dyDescent="0.3">
      <c r="A33" s="104" t="s">
        <v>447</v>
      </c>
      <c r="B33" s="80"/>
      <c r="C33" s="80"/>
      <c r="D33" s="33" t="s">
        <v>460</v>
      </c>
      <c r="E33" s="33" t="s">
        <v>1</v>
      </c>
      <c r="F33" s="33" t="s">
        <v>445</v>
      </c>
      <c r="G33" s="33" t="s">
        <v>192</v>
      </c>
      <c r="H33" s="133"/>
      <c r="I33" s="133"/>
      <c r="J33" s="133"/>
      <c r="K33" s="81"/>
      <c r="L33" s="81"/>
      <c r="M33" s="81"/>
      <c r="N33" s="81"/>
      <c r="O33" s="81"/>
      <c r="P33" s="82"/>
      <c r="Q33" s="83"/>
      <c r="R33" s="83"/>
      <c r="S33" s="84"/>
      <c r="T33" s="83"/>
      <c r="U33" s="83"/>
      <c r="V33" s="84"/>
      <c r="W33" s="84"/>
      <c r="X33" s="83"/>
      <c r="Y33" s="83"/>
      <c r="Z33" s="84"/>
      <c r="AA33" s="82"/>
      <c r="AB33" s="82"/>
      <c r="AC33" s="83"/>
      <c r="AE33" s="90"/>
      <c r="AF33" s="82"/>
    </row>
    <row r="34" spans="1:32" s="86" customFormat="1" x14ac:dyDescent="0.3">
      <c r="A34" s="102"/>
      <c r="B34" s="80"/>
      <c r="C34" s="80"/>
      <c r="D34" s="9">
        <f>D31*E31</f>
        <v>509.95</v>
      </c>
      <c r="E34" s="2">
        <f>SUM(E2:E4)</f>
        <v>331.02378093556848</v>
      </c>
      <c r="F34" s="2">
        <f>SUM(F2:F4)</f>
        <v>3716.8674208462298</v>
      </c>
      <c r="G34" s="2">
        <f>SUM(G2:G4)</f>
        <v>30.818276132228803</v>
      </c>
      <c r="H34" s="133"/>
      <c r="I34" s="133"/>
      <c r="J34" s="133"/>
      <c r="K34" s="81"/>
      <c r="L34" s="81"/>
      <c r="M34" s="81"/>
      <c r="N34" s="81"/>
      <c r="O34" s="81"/>
      <c r="P34" s="82"/>
      <c r="Q34" s="83"/>
      <c r="R34" s="83"/>
      <c r="S34" s="84"/>
      <c r="T34" s="83"/>
      <c r="U34" s="83"/>
      <c r="V34" s="84"/>
      <c r="W34" s="84"/>
      <c r="X34" s="83"/>
      <c r="Y34" s="83"/>
      <c r="Z34" s="84"/>
      <c r="AA34" s="82"/>
      <c r="AB34" s="82"/>
      <c r="AC34" s="83"/>
      <c r="AE34" s="90"/>
      <c r="AF34" s="82"/>
    </row>
    <row r="35" spans="1:32" s="86" customFormat="1" x14ac:dyDescent="0.3">
      <c r="A35" s="102"/>
      <c r="B35" s="80"/>
      <c r="C35" s="80"/>
      <c r="D35" s="138"/>
      <c r="E35" s="138"/>
      <c r="F35" s="133"/>
      <c r="G35" s="133"/>
      <c r="H35" s="133"/>
      <c r="I35" s="133"/>
      <c r="J35" s="133"/>
      <c r="K35" s="81"/>
      <c r="L35" s="81"/>
      <c r="M35" s="81"/>
      <c r="N35" s="81"/>
      <c r="O35" s="81"/>
      <c r="P35" s="82"/>
      <c r="Q35" s="83"/>
      <c r="R35" s="83"/>
      <c r="S35" s="84"/>
      <c r="T35" s="83"/>
      <c r="U35" s="83"/>
      <c r="V35" s="84"/>
      <c r="W35" s="84"/>
      <c r="X35" s="83"/>
      <c r="Y35" s="83"/>
      <c r="Z35" s="84"/>
      <c r="AA35" s="82"/>
      <c r="AB35" s="82"/>
      <c r="AC35" s="83"/>
      <c r="AE35" s="90"/>
      <c r="AF35" s="82"/>
    </row>
    <row r="36" spans="1:32" s="86" customFormat="1" x14ac:dyDescent="0.3">
      <c r="A36" s="104" t="s">
        <v>447</v>
      </c>
      <c r="B36" s="80"/>
      <c r="C36" s="80"/>
      <c r="D36" s="33" t="s">
        <v>452</v>
      </c>
      <c r="E36" s="33" t="s">
        <v>445</v>
      </c>
      <c r="F36" s="33" t="s">
        <v>192</v>
      </c>
      <c r="G36" s="133"/>
      <c r="H36" s="133"/>
      <c r="I36" s="133"/>
      <c r="J36" s="133"/>
      <c r="K36" s="81"/>
      <c r="L36" s="81"/>
      <c r="M36" s="81"/>
      <c r="N36" s="81"/>
      <c r="O36" s="81"/>
      <c r="P36" s="82"/>
      <c r="Q36" s="83"/>
      <c r="R36" s="83"/>
      <c r="S36" s="84"/>
      <c r="T36" s="83"/>
      <c r="U36" s="83"/>
      <c r="V36" s="84"/>
      <c r="W36" s="84"/>
      <c r="X36" s="83"/>
      <c r="Y36" s="83"/>
      <c r="Z36" s="84"/>
      <c r="AA36" s="82"/>
      <c r="AB36" s="82"/>
      <c r="AC36" s="83"/>
      <c r="AE36" s="90"/>
      <c r="AF36" s="82"/>
    </row>
    <row r="37" spans="1:32" s="86" customFormat="1" x14ac:dyDescent="0.3">
      <c r="A37" s="102"/>
      <c r="B37" s="80"/>
      <c r="C37" s="80"/>
      <c r="D37" s="9">
        <f>D31*F31</f>
        <v>575.05000000000007</v>
      </c>
      <c r="E37" s="2">
        <f>D37*G31</f>
        <v>2984.5095000000006</v>
      </c>
      <c r="F37" s="2">
        <f>D37*H31</f>
        <v>23.002000000000002</v>
      </c>
      <c r="G37" s="133"/>
      <c r="H37" s="133"/>
      <c r="I37" s="133"/>
      <c r="J37" s="133"/>
      <c r="K37" s="81"/>
      <c r="L37" s="81"/>
      <c r="M37" s="81"/>
      <c r="N37" s="81"/>
      <c r="O37" s="81"/>
      <c r="P37" s="82"/>
      <c r="Q37" s="83"/>
      <c r="R37" s="83"/>
      <c r="S37" s="84"/>
      <c r="T37" s="83"/>
      <c r="U37" s="83"/>
      <c r="V37" s="84"/>
      <c r="W37" s="84"/>
      <c r="X37" s="83"/>
      <c r="Y37" s="83"/>
      <c r="Z37" s="84"/>
      <c r="AA37" s="82"/>
      <c r="AB37" s="82"/>
      <c r="AC37" s="83"/>
      <c r="AE37" s="90"/>
      <c r="AF37" s="82"/>
    </row>
    <row r="38" spans="1:32" s="86" customFormat="1" x14ac:dyDescent="0.3">
      <c r="A38" s="102"/>
      <c r="B38" s="80"/>
      <c r="C38" s="80"/>
      <c r="D38" s="133"/>
      <c r="E38" s="133"/>
      <c r="F38" s="133"/>
      <c r="G38" s="133"/>
      <c r="H38" s="133"/>
      <c r="I38" s="133"/>
      <c r="J38" s="133"/>
      <c r="K38" s="81"/>
      <c r="L38" s="81"/>
      <c r="M38" s="81"/>
      <c r="N38" s="81"/>
      <c r="O38" s="81"/>
      <c r="P38" s="82"/>
      <c r="Q38" s="83"/>
      <c r="R38" s="83"/>
      <c r="S38" s="84"/>
      <c r="T38" s="83"/>
      <c r="U38" s="83"/>
      <c r="V38" s="84"/>
      <c r="W38" s="84"/>
      <c r="X38" s="83"/>
      <c r="Y38" s="83"/>
      <c r="Z38" s="84"/>
      <c r="AA38" s="82"/>
      <c r="AB38" s="82"/>
      <c r="AC38" s="83"/>
      <c r="AE38" s="90"/>
      <c r="AF38" s="82"/>
    </row>
    <row r="39" spans="1:32" s="93" customFormat="1" ht="25.5" customHeight="1" x14ac:dyDescent="0.3">
      <c r="A39" s="107" t="s">
        <v>461</v>
      </c>
      <c r="B39" s="92"/>
      <c r="C39" s="92"/>
      <c r="D39" s="34" t="s">
        <v>455</v>
      </c>
      <c r="E39" s="34" t="s">
        <v>456</v>
      </c>
      <c r="F39" s="34" t="s">
        <v>457</v>
      </c>
      <c r="G39" s="34" t="s">
        <v>453</v>
      </c>
      <c r="H39" s="34" t="s">
        <v>454</v>
      </c>
      <c r="I39" s="36" t="s">
        <v>458</v>
      </c>
      <c r="J39" s="36" t="s">
        <v>459</v>
      </c>
      <c r="P39" s="94"/>
      <c r="Q39" s="95"/>
      <c r="R39" s="95"/>
      <c r="S39" s="97"/>
      <c r="T39" s="95"/>
      <c r="U39" s="95"/>
      <c r="V39" s="97"/>
      <c r="W39" s="97"/>
      <c r="X39" s="95"/>
      <c r="Y39" s="95"/>
      <c r="Z39" s="97"/>
      <c r="AA39" s="94"/>
      <c r="AB39" s="94"/>
      <c r="AC39" s="95"/>
      <c r="AE39" s="98"/>
      <c r="AF39" s="94"/>
    </row>
    <row r="40" spans="1:32" ht="14.4" thickBot="1" x14ac:dyDescent="0.35">
      <c r="D40" s="3">
        <f>SUM(I2:I22)</f>
        <v>563.54900000000009</v>
      </c>
      <c r="E40" s="3">
        <f>SUM(J2:J4,J7:J12,J15:J22)</f>
        <v>2977.7405156263681</v>
      </c>
      <c r="F40" s="3">
        <f>SUM(K2:K4,K7:K12,K15:K22)</f>
        <v>22.923594183150744</v>
      </c>
      <c r="G40" s="3">
        <f>SUM(L7:L12,L15:L22,L24:L27)</f>
        <v>499.75099999999986</v>
      </c>
      <c r="H40" s="3">
        <f>SUM(M7:M12,M15:M22,M24:M27)</f>
        <v>325.36564077679594</v>
      </c>
      <c r="I40" s="3">
        <f>SUM(N7:N12,N15:N22,N24:N27)</f>
        <v>3693.7399537071387</v>
      </c>
      <c r="J40" s="3">
        <f>SUM(O7:O12,O15:O22,O24:O27)</f>
        <v>30.651692466702428</v>
      </c>
    </row>
    <row r="41" spans="1:32" ht="14.4" thickTop="1" x14ac:dyDescent="0.3">
      <c r="D41" s="50">
        <f>D37-D40</f>
        <v>11.500999999999976</v>
      </c>
      <c r="E41" s="50">
        <f>E37-E40</f>
        <v>6.7689843736325201</v>
      </c>
      <c r="F41" s="50">
        <f>F37-F40</f>
        <v>7.8405816849258514E-2</v>
      </c>
      <c r="G41" s="50">
        <f>SUM(D2:D4)-G40</f>
        <v>10.199000000000126</v>
      </c>
      <c r="H41" s="50">
        <f>E34-H40</f>
        <v>5.6581401587725395</v>
      </c>
      <c r="I41" s="50">
        <f>F34-I40</f>
        <v>23.127467139091095</v>
      </c>
      <c r="J41" s="50">
        <f>G34-J40</f>
        <v>0.1665836655263746</v>
      </c>
    </row>
  </sheetData>
  <sheetProtection sheet="1" selectLockedCells="1"/>
  <conditionalFormatting sqref="AA30:AB30 AD30:AF30">
    <cfRule type="cellIs" dxfId="413" priority="14" operator="greaterThan">
      <formula>1</formula>
    </cfRule>
    <cfRule type="cellIs" dxfId="412" priority="15" operator="greaterThan">
      <formula>1</formula>
    </cfRule>
  </conditionalFormatting>
  <conditionalFormatting sqref="AC30">
    <cfRule type="cellIs" dxfId="411" priority="10" operator="greaterThan">
      <formula>1</formula>
    </cfRule>
    <cfRule type="cellIs" dxfId="410" priority="11" operator="greaterThan">
      <formula>1</formula>
    </cfRule>
  </conditionalFormatting>
  <conditionalFormatting sqref="AG30">
    <cfRule type="cellIs" dxfId="409" priority="8" operator="greaterThan">
      <formula>1</formula>
    </cfRule>
    <cfRule type="cellIs" dxfId="408" priority="9" operator="greaterThan">
      <formula>1</formula>
    </cfRule>
  </conditionalFormatting>
  <conditionalFormatting sqref="W30">
    <cfRule type="cellIs" dxfId="407" priority="2" operator="greaterThan">
      <formula>1</formula>
    </cfRule>
    <cfRule type="cellIs" dxfId="406" priority="3" operator="greaterThan">
      <formula>1</formula>
    </cfRule>
  </conditionalFormatting>
  <conditionalFormatting sqref="D41:J41">
    <cfRule type="cellIs" dxfId="405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42</vt:i4>
      </vt:variant>
    </vt:vector>
  </HeadingPairs>
  <TitlesOfParts>
    <vt:vector size="93" baseType="lpstr">
      <vt:lpstr>Instructions</vt:lpstr>
      <vt:lpstr>Settings</vt:lpstr>
      <vt:lpstr>POS Ranks</vt:lpstr>
      <vt:lpstr>OVR &amp; VORP Ranks</vt:lpstr>
      <vt:lpstr>Ranks w Proj</vt:lpstr>
      <vt:lpstr>Jake's Ranks</vt:lpstr>
      <vt:lpstr>ARI</vt:lpstr>
      <vt:lpstr>ATL</vt:lpstr>
      <vt:lpstr>BAL</vt:lpstr>
      <vt:lpstr>BUF</vt:lpstr>
      <vt:lpstr>CAR</vt:lpstr>
      <vt:lpstr>CHI</vt:lpstr>
      <vt:lpstr>CIN</vt:lpstr>
      <vt:lpstr>CLE</vt:lpstr>
      <vt:lpstr>DAL</vt:lpstr>
      <vt:lpstr>DEN</vt:lpstr>
      <vt:lpstr>DET</vt:lpstr>
      <vt:lpstr>GB</vt:lpstr>
      <vt:lpstr>HOU</vt:lpstr>
      <vt:lpstr>IND</vt:lpstr>
      <vt:lpstr>JAX</vt:lpstr>
      <vt:lpstr>KC</vt:lpstr>
      <vt:lpstr>LV</vt:lpstr>
      <vt:lpstr>LAC</vt:lpstr>
      <vt:lpstr>LAR</vt:lpstr>
      <vt:lpstr>MIA</vt:lpstr>
      <vt:lpstr>MIN</vt:lpstr>
      <vt:lpstr>NE</vt:lpstr>
      <vt:lpstr>NO</vt:lpstr>
      <vt:lpstr>NYG</vt:lpstr>
      <vt:lpstr>NYJ</vt:lpstr>
      <vt:lpstr>PHI</vt:lpstr>
      <vt:lpstr>PIT</vt:lpstr>
      <vt:lpstr>SF</vt:lpstr>
      <vt:lpstr>SEA</vt:lpstr>
      <vt:lpstr>TB</vt:lpstr>
      <vt:lpstr>TEN</vt:lpstr>
      <vt:lpstr>WSH</vt:lpstr>
      <vt:lpstr>DST</vt:lpstr>
      <vt:lpstr>Calculated Points</vt:lpstr>
      <vt:lpstr>Rankings</vt:lpstr>
      <vt:lpstr>QB</vt:lpstr>
      <vt:lpstr>RB</vt:lpstr>
      <vt:lpstr>WR</vt:lpstr>
      <vt:lpstr>TE</vt:lpstr>
      <vt:lpstr>DST1</vt:lpstr>
      <vt:lpstr>AVG</vt:lpstr>
      <vt:lpstr>QBA</vt:lpstr>
      <vt:lpstr>RBA</vt:lpstr>
      <vt:lpstr>WRA</vt:lpstr>
      <vt:lpstr>TEA</vt:lpstr>
      <vt:lpstr>COMPLETIONS</vt:lpstr>
      <vt:lpstr>DEF_0_PTS_ALLOW</vt:lpstr>
      <vt:lpstr>DEF_1_6_PTS_ALLOW</vt:lpstr>
      <vt:lpstr>DEF_14_21_PTS_ALLOW</vt:lpstr>
      <vt:lpstr>DEF_22_27_PTS_ALLOW</vt:lpstr>
      <vt:lpstr>DEF_28_35_PTS_ALLOW</vt:lpstr>
      <vt:lpstr>DEF_35__PTS_ALLOW</vt:lpstr>
      <vt:lpstr>DEF_7_13_PTS_ALLOW</vt:lpstr>
      <vt:lpstr>DEF_FORCE_FUMBLE</vt:lpstr>
      <vt:lpstr>DEF_INT</vt:lpstr>
      <vt:lpstr>DEF_RECOVER_FUMBLE</vt:lpstr>
      <vt:lpstr>DEF_SACKS</vt:lpstr>
      <vt:lpstr>DEF_SAFETIES</vt:lpstr>
      <vt:lpstr>DEF_TOUCHDOWN</vt:lpstr>
      <vt:lpstr>FLEXVORPCalc</vt:lpstr>
      <vt:lpstr>INTERCEPTIONS</vt:lpstr>
      <vt:lpstr>PASS_ATTEMPTS</vt:lpstr>
      <vt:lpstr>PASS_TDS</vt:lpstr>
      <vt:lpstr>PASS_YARDS</vt:lpstr>
      <vt:lpstr>QBVORPCalc</vt:lpstr>
      <vt:lpstr>RBVORPCalc</vt:lpstr>
      <vt:lpstr>RECEPTIONS_RB</vt:lpstr>
      <vt:lpstr>RECEPTIONS_TE</vt:lpstr>
      <vt:lpstr>RECEPTIONS_WR</vt:lpstr>
      <vt:lpstr>RECV_TDS</vt:lpstr>
      <vt:lpstr>RECV_YARDS</vt:lpstr>
      <vt:lpstr>RUSH_ATTEMPTS</vt:lpstr>
      <vt:lpstr>RUSH_TDS</vt:lpstr>
      <vt:lpstr>RUSH_YARDS</vt:lpstr>
      <vt:lpstr>SFLEXVORPCalc</vt:lpstr>
      <vt:lpstr>STARTING_DST</vt:lpstr>
      <vt:lpstr>STARTING_FLEX</vt:lpstr>
      <vt:lpstr>STARTING_QB</vt:lpstr>
      <vt:lpstr>STARTING_RB</vt:lpstr>
      <vt:lpstr>STARTING_SUPERFLEX</vt:lpstr>
      <vt:lpstr>STARTING_TE</vt:lpstr>
      <vt:lpstr>STARTING_WR</vt:lpstr>
      <vt:lpstr>TARGETS</vt:lpstr>
      <vt:lpstr>TEAMS</vt:lpstr>
      <vt:lpstr>TEVORPCalc</vt:lpstr>
      <vt:lpstr>WRTEVORPCalc</vt:lpstr>
      <vt:lpstr>WRVORPCalc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Adam Pranger</cp:lastModifiedBy>
  <dcterms:created xsi:type="dcterms:W3CDTF">2019-06-07T20:23:38Z</dcterms:created>
  <dcterms:modified xsi:type="dcterms:W3CDTF">2022-06-30T15:14:39Z</dcterms:modified>
</cp:coreProperties>
</file>